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3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4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6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7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8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9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10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11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12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showSheetTabs="0" xWindow="480" yWindow="660" windowWidth="6315" windowHeight="1860" tabRatio="845" firstSheet="13" activeTab="13"/>
  </bookViews>
  <sheets>
    <sheet name="Config" sheetId="37" state="veryHidden" r:id="rId1"/>
    <sheet name="Data" sheetId="36" state="veryHidden" r:id="rId2"/>
    <sheet name="TDM" sheetId="35" state="veryHidden" r:id="rId3"/>
    <sheet name="Coles" sheetId="34" state="veryHidden" r:id="rId4"/>
    <sheet name="WOW" sheetId="33" state="veryHidden" r:id="rId5"/>
    <sheet name="SSL" sheetId="32" state="veryHidden" r:id="rId6"/>
    <sheet name="WFM" sheetId="31" state="veryHidden" r:id="rId7"/>
    <sheet name="R10" sheetId="30" state="veryHidden" r:id="rId8"/>
    <sheet name="DDD" sheetId="1" state="veryHidden" r:id="rId9"/>
    <sheet name="Reopened" sheetId="5" state="veryHidden" r:id="rId10"/>
    <sheet name="Regression" sheetId="7" state="veryHidden" r:id="rId11"/>
    <sheet name="Median" sheetId="8" state="veryHidden" r:id="rId12"/>
    <sheet name="Core" sheetId="10" state="veryHidden" r:id="rId13"/>
    <sheet name="Dashboard" sheetId="28" r:id="rId14"/>
    <sheet name="DR Defects Density" sheetId="54" r:id="rId15"/>
    <sheet name="DR Reopened" sheetId="55" r:id="rId16"/>
    <sheet name="DR Regression" sheetId="56" r:id="rId17"/>
    <sheet name="DR Median" sheetId="57" r:id="rId18"/>
    <sheet name="DR Escaping Core" sheetId="58" state="veryHidden" r:id="rId19"/>
    <sheet name="DR Target" sheetId="42" state="veryHidden" r:id="rId20"/>
    <sheet name="DR Coles" sheetId="52" state="veryHidden" r:id="rId21"/>
    <sheet name="DR WOW" sheetId="59" state="veryHidden" r:id="rId22"/>
    <sheet name="DR SSL" sheetId="60" state="veryHidden" r:id="rId23"/>
    <sheet name="DR WFM" sheetId="61" state="veryHidden" r:id="rId24"/>
    <sheet name="DR Core" sheetId="62" state="veryHidden" r:id="rId25"/>
  </sheets>
  <externalReferences>
    <externalReference r:id="rId26"/>
    <externalReference r:id="rId27"/>
  </externalReferences>
  <definedNames>
    <definedName name="ChartToDisplay">INDEX(#REF!,MATCH(#REF!,#REF!))</definedName>
    <definedName name="Coverage_Rate">#REF!</definedName>
    <definedName name="CRs_Status">#REF!</definedName>
    <definedName name="CurrentClosureRate">#REF!</definedName>
    <definedName name="CurrentExecuted">#REF!</definedName>
    <definedName name="CurrentSCourve">#REF!</definedName>
    <definedName name="CurrentWritten">#REF!</definedName>
    <definedName name="Defect_Status">#REF!</definedName>
    <definedName name="Defects_trend">#REF!</definedName>
    <definedName name="DynamicPrintRange">OFFSET(OffSet1,0,0,OffSet2,57)</definedName>
    <definedName name="Execution_Rate">#REF!</definedName>
    <definedName name="INAB_K">'[1]Analysis NAB'!$B$2</definedName>
    <definedName name="OffSet1">#REF!</definedName>
    <definedName name="OffSet2">#REF!</definedName>
    <definedName name="Open_Defects_By_Product">#REF!</definedName>
    <definedName name="Open_Defects_By_Sevirity">#REF!</definedName>
    <definedName name="Pass_Rate">#REF!</definedName>
    <definedName name="PDR_K">'[1]Analysis DDP'!$B$3</definedName>
    <definedName name="_xlnm.Print_Area" localSheetId="13">Dashboard!$A$1:$AS$73</definedName>
    <definedName name="_xlnm.Print_Area" localSheetId="20">'DR Coles'!$A$1:$AF$107</definedName>
    <definedName name="_xlnm.Print_Area" localSheetId="24">'DR Core'!$A$1:$AF$107</definedName>
    <definedName name="_xlnm.Print_Area" localSheetId="14">'DR Defects Density'!$A$1:$AF$107</definedName>
    <definedName name="_xlnm.Print_Area" localSheetId="18">'DR Escaping Core'!$A$1:$AF$107</definedName>
    <definedName name="_xlnm.Print_Area" localSheetId="17">'DR Median'!$A$1:$AF$107</definedName>
    <definedName name="_xlnm.Print_Area" localSheetId="16">'DR Regression'!$A$1:$AF$107</definedName>
    <definedName name="_xlnm.Print_Area" localSheetId="15">'DR Reopened'!$A$1:$AF$107</definedName>
    <definedName name="_xlnm.Print_Area" localSheetId="22">'DR SSL'!$A$1:$AF$107</definedName>
    <definedName name="_xlnm.Print_Area" localSheetId="19">'DR Target'!$A$1:$AF$107</definedName>
    <definedName name="_xlnm.Print_Area" localSheetId="23">'DR WFM'!$A$1:$AF$107</definedName>
    <definedName name="_xlnm.Print_Area" localSheetId="21">'DR WOW'!$A$1:$AF$107</definedName>
    <definedName name="Requirement_Coverage">#REF!</definedName>
    <definedName name="Requirement_Coverage_Chart">#REF!</definedName>
    <definedName name="S_Curve">#REF!</definedName>
    <definedName name="SKIPIControl">#REF!</definedName>
    <definedName name="System_Readiness_Factor">#REF!</definedName>
    <definedName name="Test_Execution_Progress">#REF!</definedName>
    <definedName name="Test_Writing_Progress">#REF!</definedName>
    <definedName name="Total_Data">OFFSET([2]Data!$F$2,0,0,COUNT([2]!Table1[execution date]))</definedName>
    <definedName name="Total_Date">OFFSET([2]Data!$E$2,0,0,COUNT([2]!Table1[execution date]))</definedName>
  </definedNames>
  <calcPr calcId="145621"/>
</workbook>
</file>

<file path=xl/calcChain.xml><?xml version="1.0" encoding="utf-8"?>
<calcChain xmlns="http://schemas.openxmlformats.org/spreadsheetml/2006/main">
  <c r="R2" i="5" l="1"/>
  <c r="R3" i="5"/>
  <c r="R4" i="5"/>
  <c r="R5" i="5"/>
  <c r="R1" i="5"/>
  <c r="DG2" i="36" l="1"/>
  <c r="DF2" i="36"/>
  <c r="DE2" i="36"/>
  <c r="DD2" i="36"/>
  <c r="DC2" i="36"/>
  <c r="DB2" i="36"/>
  <c r="DA2" i="36"/>
  <c r="CZ2" i="36"/>
  <c r="CY2" i="36"/>
  <c r="CX2" i="36"/>
  <c r="CW2" i="36"/>
  <c r="CV2" i="36"/>
  <c r="CU2" i="36"/>
  <c r="CT2" i="36"/>
  <c r="L2" i="30" l="1"/>
  <c r="L3" i="30"/>
  <c r="L4" i="30"/>
  <c r="L5" i="30"/>
  <c r="L6" i="30"/>
  <c r="L7" i="30"/>
  <c r="L8" i="30"/>
  <c r="L9" i="30"/>
  <c r="L10" i="30"/>
  <c r="L11" i="30"/>
  <c r="L12" i="30"/>
  <c r="L13" i="30"/>
  <c r="L14" i="30"/>
  <c r="L15" i="30"/>
  <c r="L16" i="30"/>
  <c r="L17" i="30"/>
  <c r="L18" i="30"/>
  <c r="L19" i="30"/>
  <c r="L20" i="30"/>
  <c r="L21" i="30"/>
  <c r="L22" i="30"/>
  <c r="L23" i="30"/>
  <c r="L24" i="30"/>
  <c r="L25" i="30"/>
  <c r="L26" i="30"/>
  <c r="L27" i="30"/>
  <c r="L28" i="30"/>
  <c r="L29" i="30"/>
  <c r="L30" i="30"/>
  <c r="L31" i="30"/>
  <c r="L32" i="30"/>
  <c r="L33" i="30"/>
  <c r="L34" i="30"/>
  <c r="L35" i="30"/>
  <c r="L36" i="30"/>
  <c r="L37" i="30"/>
  <c r="L38" i="30"/>
  <c r="L39" i="30"/>
  <c r="L40" i="30"/>
  <c r="L41" i="30"/>
  <c r="L42" i="30"/>
  <c r="L43" i="30"/>
  <c r="L44" i="30"/>
  <c r="L45" i="30"/>
  <c r="L46" i="30"/>
  <c r="L47" i="30"/>
  <c r="L48" i="30"/>
  <c r="L49" i="30"/>
  <c r="L50" i="30"/>
  <c r="L51" i="30"/>
  <c r="L52" i="30"/>
  <c r="L53" i="30"/>
  <c r="L54" i="30"/>
  <c r="L55" i="30"/>
  <c r="L56" i="30"/>
  <c r="L57" i="30"/>
  <c r="L58" i="30"/>
  <c r="L59" i="30"/>
  <c r="L60" i="30"/>
  <c r="L61" i="30"/>
  <c r="L62" i="30"/>
  <c r="L63" i="30"/>
  <c r="L64" i="30"/>
  <c r="L65" i="30"/>
  <c r="C102" i="32" l="1"/>
  <c r="C126" i="32" s="1"/>
  <c r="G51" i="30"/>
  <c r="G52" i="30"/>
  <c r="G53" i="30"/>
  <c r="G54" i="30"/>
  <c r="G55" i="30"/>
  <c r="G56" i="30"/>
  <c r="G57" i="30"/>
  <c r="G58" i="30"/>
  <c r="G59" i="30"/>
  <c r="G60" i="30"/>
  <c r="G61" i="30"/>
  <c r="G62" i="30"/>
  <c r="G63" i="30"/>
  <c r="G64" i="30"/>
  <c r="G65" i="30"/>
  <c r="H51" i="30"/>
  <c r="H52" i="30"/>
  <c r="H53" i="30"/>
  <c r="H54" i="30"/>
  <c r="H55" i="30"/>
  <c r="H56" i="30"/>
  <c r="H57" i="30"/>
  <c r="H58" i="30"/>
  <c r="H59" i="30"/>
  <c r="H60" i="30"/>
  <c r="H61" i="30"/>
  <c r="H62" i="30"/>
  <c r="H63" i="30"/>
  <c r="H64" i="30"/>
  <c r="H65" i="30"/>
  <c r="I51" i="30"/>
  <c r="I52" i="30"/>
  <c r="I53" i="30"/>
  <c r="I54" i="30"/>
  <c r="I55" i="30"/>
  <c r="I56" i="30"/>
  <c r="I57" i="30"/>
  <c r="I58" i="30"/>
  <c r="I59" i="30"/>
  <c r="I60" i="30"/>
  <c r="I61" i="30"/>
  <c r="I62" i="30"/>
  <c r="I63" i="30"/>
  <c r="I64" i="30"/>
  <c r="I65" i="30"/>
  <c r="C125" i="32" l="1"/>
  <c r="C127" i="32" s="1"/>
  <c r="BO84" i="36" l="1"/>
  <c r="BO85" i="36"/>
  <c r="BO86" i="36"/>
  <c r="BO87" i="36"/>
  <c r="BO88" i="36"/>
  <c r="BO89" i="36"/>
  <c r="BO90" i="36"/>
  <c r="BO91" i="36"/>
  <c r="BO92" i="36"/>
  <c r="BO93" i="36"/>
  <c r="BO94" i="36"/>
  <c r="BO95" i="36"/>
  <c r="BO96" i="36"/>
  <c r="BO97" i="36"/>
  <c r="BO98" i="36"/>
  <c r="BO99" i="36"/>
  <c r="BO100" i="36"/>
  <c r="BO101" i="36"/>
  <c r="BO102" i="36"/>
  <c r="BO103" i="36"/>
  <c r="BO104" i="36"/>
  <c r="BO105" i="36"/>
  <c r="BO106" i="36"/>
  <c r="BO107" i="36"/>
  <c r="BO108" i="36"/>
  <c r="BO109" i="36"/>
  <c r="BO110" i="36"/>
  <c r="BO111" i="36"/>
  <c r="BO112" i="36"/>
  <c r="BO113" i="36"/>
  <c r="BO114" i="36"/>
  <c r="BO115" i="36"/>
  <c r="BO116" i="36"/>
  <c r="BP84" i="36"/>
  <c r="BP85" i="36"/>
  <c r="BP86" i="36"/>
  <c r="BP87" i="36"/>
  <c r="BP88" i="36"/>
  <c r="BP89" i="36"/>
  <c r="BP90" i="36"/>
  <c r="BP91" i="36"/>
  <c r="BP92" i="36"/>
  <c r="BP93" i="36"/>
  <c r="BP94" i="36"/>
  <c r="BP95" i="36"/>
  <c r="BP96" i="36"/>
  <c r="BP97" i="36"/>
  <c r="BP98" i="36"/>
  <c r="BP99" i="36"/>
  <c r="BP100" i="36"/>
  <c r="BP101" i="36"/>
  <c r="BP102" i="36"/>
  <c r="BP103" i="36"/>
  <c r="BP104" i="36"/>
  <c r="BP105" i="36"/>
  <c r="BP106" i="36"/>
  <c r="BP107" i="36"/>
  <c r="BP108" i="36"/>
  <c r="BP109" i="36"/>
  <c r="BP110" i="36"/>
  <c r="BP111" i="36"/>
  <c r="BP112" i="36"/>
  <c r="BP113" i="36"/>
  <c r="BP114" i="36"/>
  <c r="BP115" i="36"/>
  <c r="BP116" i="36"/>
  <c r="I35" i="32"/>
  <c r="I36" i="32"/>
  <c r="I37" i="32"/>
  <c r="I38" i="32"/>
  <c r="I39" i="32"/>
  <c r="I40" i="32"/>
  <c r="I41" i="32"/>
  <c r="I42" i="32"/>
  <c r="I43" i="32"/>
  <c r="I44" i="32"/>
  <c r="I45" i="32"/>
  <c r="I46" i="32"/>
  <c r="I47" i="32"/>
  <c r="I48" i="32"/>
  <c r="I49" i="32"/>
  <c r="I50" i="32"/>
  <c r="I51" i="32"/>
  <c r="I52" i="32"/>
  <c r="I53" i="32"/>
  <c r="I54" i="32"/>
  <c r="I55" i="32"/>
  <c r="I56" i="32"/>
  <c r="I57" i="32"/>
  <c r="I58" i="32"/>
  <c r="I59" i="32"/>
  <c r="I60" i="32"/>
  <c r="I61" i="32"/>
  <c r="I62" i="32"/>
  <c r="I63" i="32"/>
  <c r="I64" i="32"/>
  <c r="I65" i="32"/>
  <c r="I66" i="32"/>
  <c r="I67" i="32"/>
  <c r="I68" i="32"/>
  <c r="I69" i="32"/>
  <c r="I70" i="32"/>
  <c r="I71" i="32"/>
  <c r="I72" i="32"/>
  <c r="I73" i="32"/>
  <c r="I74" i="32"/>
  <c r="I75" i="32"/>
  <c r="I76" i="32"/>
  <c r="I77" i="32"/>
  <c r="I78" i="32"/>
  <c r="I79" i="32"/>
  <c r="I80" i="32"/>
  <c r="I81" i="32"/>
  <c r="I82" i="32"/>
  <c r="I83" i="32"/>
  <c r="I84" i="32"/>
  <c r="I85" i="32"/>
  <c r="I86" i="32"/>
  <c r="I87" i="32"/>
  <c r="I88" i="32"/>
  <c r="I89" i="32"/>
  <c r="I90" i="32"/>
  <c r="I91" i="32"/>
  <c r="I92" i="32"/>
  <c r="I93" i="32"/>
  <c r="I94" i="32"/>
  <c r="I95" i="32"/>
  <c r="I96" i="32"/>
  <c r="I97" i="32"/>
  <c r="I98" i="32"/>
  <c r="I99" i="32"/>
  <c r="I100" i="32"/>
  <c r="I101" i="32"/>
  <c r="I102" i="32"/>
  <c r="I103" i="32"/>
  <c r="I104" i="32"/>
  <c r="I105" i="32"/>
  <c r="I106" i="32"/>
  <c r="I107" i="32"/>
  <c r="I108" i="32"/>
  <c r="I109" i="32"/>
  <c r="I110" i="32"/>
  <c r="I111" i="32"/>
  <c r="I112" i="32"/>
  <c r="I113" i="32"/>
  <c r="I114" i="32"/>
  <c r="I115" i="32"/>
  <c r="I116" i="32"/>
  <c r="J35" i="32"/>
  <c r="J36" i="32"/>
  <c r="J37" i="32"/>
  <c r="J38" i="32"/>
  <c r="J39" i="32"/>
  <c r="J40" i="32"/>
  <c r="J41" i="32"/>
  <c r="J42" i="32"/>
  <c r="J43" i="32"/>
  <c r="J44" i="32"/>
  <c r="J45" i="32"/>
  <c r="J46" i="32"/>
  <c r="J47" i="32"/>
  <c r="J48" i="32"/>
  <c r="J49" i="32"/>
  <c r="J50" i="32"/>
  <c r="J51" i="32"/>
  <c r="J52" i="32"/>
  <c r="J53" i="32"/>
  <c r="J54" i="32"/>
  <c r="J55" i="32"/>
  <c r="J56" i="32"/>
  <c r="J57" i="32"/>
  <c r="J58" i="32"/>
  <c r="J59" i="32"/>
  <c r="J60" i="32"/>
  <c r="J61" i="32"/>
  <c r="J62" i="32"/>
  <c r="J63" i="32"/>
  <c r="J64" i="32"/>
  <c r="J65" i="32"/>
  <c r="J66" i="32"/>
  <c r="J67" i="32"/>
  <c r="J68" i="32"/>
  <c r="J69" i="32"/>
  <c r="J70" i="32"/>
  <c r="J71" i="32"/>
  <c r="J72" i="32"/>
  <c r="J73" i="32"/>
  <c r="J74" i="32"/>
  <c r="J75" i="32"/>
  <c r="J76" i="32"/>
  <c r="J77" i="32"/>
  <c r="J78" i="32"/>
  <c r="J79" i="32"/>
  <c r="J80" i="32"/>
  <c r="J81" i="32"/>
  <c r="J82" i="32"/>
  <c r="J83" i="32"/>
  <c r="J84" i="32"/>
  <c r="J85" i="32"/>
  <c r="J86" i="32"/>
  <c r="J87" i="32"/>
  <c r="J88" i="32"/>
  <c r="J89" i="32"/>
  <c r="J90" i="32"/>
  <c r="J91" i="32"/>
  <c r="J92" i="32"/>
  <c r="J93" i="32"/>
  <c r="J94" i="32"/>
  <c r="J95" i="32"/>
  <c r="J96" i="32"/>
  <c r="J97" i="32"/>
  <c r="J98" i="32"/>
  <c r="J99" i="32"/>
  <c r="J100" i="32"/>
  <c r="J101" i="32"/>
  <c r="J102" i="32"/>
  <c r="J103" i="32"/>
  <c r="J104" i="32"/>
  <c r="J105" i="32"/>
  <c r="J106" i="32"/>
  <c r="J107" i="32"/>
  <c r="J108" i="32"/>
  <c r="J109" i="32"/>
  <c r="J110" i="32"/>
  <c r="J111" i="32"/>
  <c r="J112" i="32"/>
  <c r="J113" i="32"/>
  <c r="J114" i="32"/>
  <c r="J115" i="32"/>
  <c r="J116" i="32"/>
  <c r="K35" i="32"/>
  <c r="K36" i="32"/>
  <c r="K37" i="32"/>
  <c r="K38" i="32"/>
  <c r="K39" i="32"/>
  <c r="K40" i="32"/>
  <c r="K41" i="32"/>
  <c r="K42" i="32"/>
  <c r="K43" i="32"/>
  <c r="K44" i="32"/>
  <c r="K45" i="32"/>
  <c r="K46" i="32"/>
  <c r="K47" i="32"/>
  <c r="K48" i="32"/>
  <c r="K49" i="32"/>
  <c r="K50" i="32"/>
  <c r="K51" i="32"/>
  <c r="K52" i="32"/>
  <c r="K53" i="32"/>
  <c r="K54" i="32"/>
  <c r="K55" i="32"/>
  <c r="K56" i="32"/>
  <c r="K57" i="32"/>
  <c r="K58" i="32"/>
  <c r="K59" i="32"/>
  <c r="K60" i="32"/>
  <c r="K61" i="32"/>
  <c r="K62" i="32"/>
  <c r="K63" i="32"/>
  <c r="K64" i="32"/>
  <c r="K65" i="32"/>
  <c r="K66" i="32"/>
  <c r="K67" i="32"/>
  <c r="K68" i="32"/>
  <c r="K69" i="32"/>
  <c r="K70" i="32"/>
  <c r="K71" i="32"/>
  <c r="K72" i="32"/>
  <c r="K73" i="32"/>
  <c r="K74" i="32"/>
  <c r="K75" i="32"/>
  <c r="K76" i="32"/>
  <c r="K77" i="32"/>
  <c r="K78" i="32"/>
  <c r="K79" i="32"/>
  <c r="K80" i="32"/>
  <c r="K81" i="32"/>
  <c r="K82" i="32"/>
  <c r="K83" i="32"/>
  <c r="K84" i="32"/>
  <c r="K85" i="32"/>
  <c r="K86" i="32"/>
  <c r="K87" i="32"/>
  <c r="K88" i="32"/>
  <c r="K89" i="32"/>
  <c r="K90" i="32"/>
  <c r="K91" i="32"/>
  <c r="K92" i="32"/>
  <c r="K93" i="32"/>
  <c r="K94" i="32"/>
  <c r="K95" i="32"/>
  <c r="K96" i="32"/>
  <c r="K97" i="32"/>
  <c r="K98" i="32"/>
  <c r="K99" i="32"/>
  <c r="K100" i="32"/>
  <c r="K101" i="32"/>
  <c r="K102" i="32"/>
  <c r="K103" i="32"/>
  <c r="K104" i="32"/>
  <c r="K105" i="32"/>
  <c r="K106" i="32"/>
  <c r="K107" i="32"/>
  <c r="K108" i="32"/>
  <c r="K109" i="32"/>
  <c r="K110" i="32"/>
  <c r="K111" i="32"/>
  <c r="K112" i="32"/>
  <c r="K113" i="32"/>
  <c r="K114" i="32"/>
  <c r="K115" i="32"/>
  <c r="K116" i="32"/>
  <c r="N35" i="32"/>
  <c r="N36" i="32"/>
  <c r="N37" i="32"/>
  <c r="N38" i="32"/>
  <c r="N39" i="32"/>
  <c r="N40" i="32"/>
  <c r="N41" i="32"/>
  <c r="N42" i="32"/>
  <c r="N43" i="32"/>
  <c r="N44" i="32"/>
  <c r="N45" i="32"/>
  <c r="N46" i="32"/>
  <c r="N47" i="32"/>
  <c r="N48" i="32"/>
  <c r="N49" i="32"/>
  <c r="N50" i="32"/>
  <c r="N51" i="32"/>
  <c r="N52" i="32"/>
  <c r="N53" i="32"/>
  <c r="N54" i="32"/>
  <c r="N55" i="32"/>
  <c r="N56" i="32"/>
  <c r="N57" i="32"/>
  <c r="N58" i="32"/>
  <c r="N59" i="32"/>
  <c r="N60" i="32"/>
  <c r="N61" i="32"/>
  <c r="N62" i="32"/>
  <c r="N63" i="32"/>
  <c r="N64" i="32"/>
  <c r="N65" i="32"/>
  <c r="N66" i="32"/>
  <c r="N67" i="32"/>
  <c r="N68" i="32"/>
  <c r="N69" i="32"/>
  <c r="N70" i="32"/>
  <c r="N71" i="32"/>
  <c r="N72" i="32"/>
  <c r="N73" i="32"/>
  <c r="N74" i="32"/>
  <c r="N75" i="32"/>
  <c r="N76" i="32"/>
  <c r="N77" i="32"/>
  <c r="N78" i="32"/>
  <c r="N79" i="32"/>
  <c r="N80" i="32"/>
  <c r="N81" i="32"/>
  <c r="N82" i="32"/>
  <c r="N83" i="32"/>
  <c r="N84" i="32"/>
  <c r="N85" i="32"/>
  <c r="N86" i="32"/>
  <c r="N87" i="32"/>
  <c r="N88" i="32"/>
  <c r="N89" i="32"/>
  <c r="N90" i="32"/>
  <c r="N91" i="32"/>
  <c r="N92" i="32"/>
  <c r="N93" i="32"/>
  <c r="N94" i="32"/>
  <c r="N95" i="32"/>
  <c r="N96" i="32"/>
  <c r="N97" i="32"/>
  <c r="N98" i="32"/>
  <c r="N99" i="32"/>
  <c r="N100" i="32"/>
  <c r="N101" i="32"/>
  <c r="N102" i="32"/>
  <c r="N103" i="32"/>
  <c r="N104" i="32"/>
  <c r="N105" i="32"/>
  <c r="N106" i="32"/>
  <c r="N107" i="32"/>
  <c r="N108" i="32"/>
  <c r="N109" i="32"/>
  <c r="N110" i="32"/>
  <c r="N111" i="32"/>
  <c r="N112" i="32"/>
  <c r="N113" i="32"/>
  <c r="N114" i="32"/>
  <c r="N115" i="32"/>
  <c r="N116" i="32"/>
  <c r="BO69" i="36"/>
  <c r="BO70" i="36"/>
  <c r="BO71" i="36"/>
  <c r="BO72" i="36"/>
  <c r="BO73" i="36"/>
  <c r="BO74" i="36"/>
  <c r="BO75" i="36"/>
  <c r="BO76" i="36"/>
  <c r="BO77" i="36"/>
  <c r="BO78" i="36"/>
  <c r="BO79" i="36"/>
  <c r="BO80" i="36"/>
  <c r="BO81" i="36"/>
  <c r="BO82" i="36"/>
  <c r="BO83" i="36"/>
  <c r="BP69" i="36"/>
  <c r="BP70" i="36"/>
  <c r="BP71" i="36"/>
  <c r="BP72" i="36"/>
  <c r="BP73" i="36"/>
  <c r="BP74" i="36"/>
  <c r="BP75" i="36"/>
  <c r="BP76" i="36"/>
  <c r="BP77" i="36"/>
  <c r="BP78" i="36"/>
  <c r="BP79" i="36"/>
  <c r="BP80" i="36"/>
  <c r="BP81" i="36"/>
  <c r="BP82" i="36"/>
  <c r="BP83" i="36"/>
  <c r="I69" i="33"/>
  <c r="I70" i="33"/>
  <c r="I71" i="33"/>
  <c r="I72" i="33"/>
  <c r="I73" i="33"/>
  <c r="I74" i="33"/>
  <c r="I75" i="33"/>
  <c r="I76" i="33"/>
  <c r="I77" i="33"/>
  <c r="I78" i="33"/>
  <c r="I79" i="33"/>
  <c r="I80" i="33"/>
  <c r="I81" i="33"/>
  <c r="I82" i="33"/>
  <c r="I83" i="33"/>
  <c r="J69" i="33"/>
  <c r="J70" i="33"/>
  <c r="J71" i="33"/>
  <c r="J72" i="33"/>
  <c r="J73" i="33"/>
  <c r="J74" i="33"/>
  <c r="J75" i="33"/>
  <c r="J76" i="33"/>
  <c r="J77" i="33"/>
  <c r="J78" i="33"/>
  <c r="J79" i="33"/>
  <c r="J80" i="33"/>
  <c r="J81" i="33"/>
  <c r="J82" i="33"/>
  <c r="J83" i="33"/>
  <c r="K69" i="33"/>
  <c r="K70" i="33"/>
  <c r="K71" i="33"/>
  <c r="K72" i="33"/>
  <c r="K73" i="33"/>
  <c r="K74" i="33"/>
  <c r="K75" i="33"/>
  <c r="K76" i="33"/>
  <c r="K77" i="33"/>
  <c r="K78" i="33"/>
  <c r="K79" i="33"/>
  <c r="K80" i="33"/>
  <c r="K81" i="33"/>
  <c r="K82" i="33"/>
  <c r="K83" i="33"/>
  <c r="N69" i="33"/>
  <c r="N70" i="33"/>
  <c r="N71" i="33"/>
  <c r="N72" i="33"/>
  <c r="N73" i="33"/>
  <c r="N74" i="33"/>
  <c r="N75" i="33"/>
  <c r="N76" i="33"/>
  <c r="N77" i="33"/>
  <c r="N78" i="33"/>
  <c r="N79" i="33"/>
  <c r="N80" i="33"/>
  <c r="N81" i="33"/>
  <c r="N82" i="33"/>
  <c r="N83" i="33"/>
  <c r="AC66" i="62" l="1"/>
  <c r="AC1" i="62"/>
  <c r="AC66" i="61"/>
  <c r="AC1" i="61"/>
  <c r="AC66" i="60"/>
  <c r="AC1" i="60"/>
  <c r="AC66" i="59"/>
  <c r="AC1" i="59"/>
  <c r="AC1" i="58"/>
  <c r="AC88" i="57"/>
  <c r="AC70" i="57"/>
  <c r="AC52" i="57"/>
  <c r="AC34" i="57"/>
  <c r="AC16" i="57"/>
  <c r="AC1" i="57"/>
  <c r="AC1" i="56"/>
  <c r="AC1" i="55" l="1"/>
  <c r="AC66" i="52"/>
  <c r="AC1" i="52" l="1"/>
  <c r="DO3" i="36" l="1"/>
  <c r="DP3" i="36"/>
  <c r="DQ3" i="36"/>
  <c r="DR3" i="36"/>
  <c r="DS3" i="36"/>
  <c r="DT3" i="36"/>
  <c r="DU3" i="36"/>
  <c r="DV3" i="36"/>
  <c r="DW3" i="36"/>
  <c r="DX3" i="36"/>
  <c r="DY3" i="36"/>
  <c r="DO4" i="36"/>
  <c r="DP4" i="36"/>
  <c r="DQ4" i="36"/>
  <c r="DR4" i="36"/>
  <c r="DS4" i="36"/>
  <c r="DT4" i="36"/>
  <c r="DU4" i="36"/>
  <c r="DV4" i="36"/>
  <c r="DW4" i="36"/>
  <c r="DX4" i="36"/>
  <c r="DY4" i="36"/>
  <c r="DO5" i="36"/>
  <c r="DP5" i="36"/>
  <c r="DQ5" i="36"/>
  <c r="DR5" i="36"/>
  <c r="DS5" i="36"/>
  <c r="DT5" i="36"/>
  <c r="DU5" i="36"/>
  <c r="DV5" i="36"/>
  <c r="DW5" i="36"/>
  <c r="DX5" i="36"/>
  <c r="DY5" i="36"/>
  <c r="DO6" i="36"/>
  <c r="DP6" i="36"/>
  <c r="DQ6" i="36"/>
  <c r="DR6" i="36"/>
  <c r="DS6" i="36"/>
  <c r="DT6" i="36"/>
  <c r="DU6" i="36"/>
  <c r="DV6" i="36"/>
  <c r="DW6" i="36"/>
  <c r="DX6" i="36"/>
  <c r="DY6" i="36"/>
  <c r="DN4" i="36"/>
  <c r="DN5" i="36"/>
  <c r="DN6" i="36"/>
  <c r="DN3" i="36"/>
  <c r="DY2" i="36"/>
  <c r="DW2" i="36"/>
  <c r="DV2" i="36"/>
  <c r="DU2" i="36"/>
  <c r="DT2" i="36"/>
  <c r="DS2" i="36"/>
  <c r="DR2" i="36"/>
  <c r="DQ2" i="36"/>
  <c r="DP2" i="36"/>
  <c r="DO2" i="36"/>
  <c r="DN2" i="36"/>
  <c r="DM3" i="36"/>
  <c r="DM4" i="36" s="1"/>
  <c r="DM5" i="36" s="1"/>
  <c r="DM6" i="36" s="1"/>
  <c r="E4" i="5"/>
  <c r="F5" i="5"/>
  <c r="D3" i="5"/>
  <c r="C2" i="5"/>
  <c r="B1" i="5"/>
  <c r="DX2" i="36" l="1"/>
  <c r="O6" i="5"/>
  <c r="A8" i="5" l="1"/>
  <c r="AC66" i="42"/>
  <c r="AC1" i="42"/>
  <c r="BP2" i="36"/>
  <c r="BP3" i="36"/>
  <c r="BP4" i="36"/>
  <c r="BP5" i="36"/>
  <c r="BP6" i="36"/>
  <c r="BP7" i="36"/>
  <c r="BP8" i="36"/>
  <c r="BP9" i="36"/>
  <c r="BP10" i="36"/>
  <c r="BP11" i="36"/>
  <c r="BP12" i="36"/>
  <c r="BP13" i="36"/>
  <c r="BP14" i="36"/>
  <c r="BP15" i="36"/>
  <c r="BP16" i="36"/>
  <c r="BP17" i="36"/>
  <c r="BP18" i="36"/>
  <c r="BP19" i="36"/>
  <c r="BP20" i="36"/>
  <c r="BP21" i="36"/>
  <c r="BP22" i="36"/>
  <c r="BP23" i="36"/>
  <c r="BP24" i="36"/>
  <c r="BP25" i="36"/>
  <c r="BP26" i="36"/>
  <c r="BP27" i="36"/>
  <c r="BP28" i="36"/>
  <c r="BP29" i="36"/>
  <c r="BP30" i="36"/>
  <c r="BP31" i="36"/>
  <c r="BP32" i="36"/>
  <c r="BP33" i="36"/>
  <c r="BP34" i="36"/>
  <c r="BP35" i="36"/>
  <c r="BP36" i="36"/>
  <c r="BP37" i="36"/>
  <c r="BP38" i="36"/>
  <c r="BP39" i="36"/>
  <c r="BP40" i="36"/>
  <c r="BP41" i="36"/>
  <c r="BP42" i="36"/>
  <c r="BP43" i="36"/>
  <c r="BP44" i="36"/>
  <c r="BP45" i="36"/>
  <c r="BP46" i="36"/>
  <c r="BP47" i="36"/>
  <c r="BP48" i="36"/>
  <c r="BP49" i="36"/>
  <c r="BP50" i="36"/>
  <c r="BP51" i="36"/>
  <c r="BP52" i="36"/>
  <c r="BP53" i="36"/>
  <c r="BP54" i="36"/>
  <c r="BP55" i="36"/>
  <c r="BP56" i="36"/>
  <c r="BP57" i="36"/>
  <c r="BP58" i="36"/>
  <c r="BP59" i="36"/>
  <c r="BP60" i="36"/>
  <c r="BP61" i="36"/>
  <c r="BP62" i="36"/>
  <c r="BP63" i="36"/>
  <c r="BP64" i="36"/>
  <c r="BP65" i="36"/>
  <c r="BP66" i="36"/>
  <c r="BP67" i="36"/>
  <c r="BP68" i="36"/>
  <c r="BO2" i="36"/>
  <c r="O6" i="8"/>
  <c r="N5" i="8"/>
  <c r="M4" i="8"/>
  <c r="L3" i="8"/>
  <c r="K2" i="8"/>
  <c r="N6" i="8"/>
  <c r="M6" i="8"/>
  <c r="L6" i="8"/>
  <c r="K6" i="8"/>
  <c r="J6" i="8"/>
  <c r="P6" i="8"/>
  <c r="F5" i="8"/>
  <c r="E4" i="8"/>
  <c r="D3" i="8"/>
  <c r="C2" i="8"/>
  <c r="B1" i="8"/>
  <c r="N2" i="31"/>
  <c r="N3" i="31"/>
  <c r="N4" i="31"/>
  <c r="N5" i="31"/>
  <c r="N6" i="31"/>
  <c r="N7" i="31"/>
  <c r="N8" i="31"/>
  <c r="N9" i="31"/>
  <c r="N10" i="31"/>
  <c r="N11" i="31"/>
  <c r="N12" i="31"/>
  <c r="N13" i="31"/>
  <c r="N14" i="31"/>
  <c r="N15" i="31"/>
  <c r="N16" i="31"/>
  <c r="N17" i="31"/>
  <c r="N18" i="31"/>
  <c r="N19" i="31"/>
  <c r="N20" i="31"/>
  <c r="N21" i="31"/>
  <c r="N22" i="31"/>
  <c r="N23" i="31"/>
  <c r="N24" i="31"/>
  <c r="N25" i="31"/>
  <c r="N2" i="32"/>
  <c r="N3" i="32"/>
  <c r="N4" i="32"/>
  <c r="N5" i="32"/>
  <c r="N6" i="32"/>
  <c r="N7" i="32"/>
  <c r="N8" i="32"/>
  <c r="N9" i="32"/>
  <c r="N10" i="32"/>
  <c r="N11" i="32"/>
  <c r="N12" i="32"/>
  <c r="N13" i="32"/>
  <c r="N14" i="32"/>
  <c r="N15" i="32"/>
  <c r="N16" i="32"/>
  <c r="N17" i="32"/>
  <c r="N18" i="32"/>
  <c r="N19" i="32"/>
  <c r="N20" i="32"/>
  <c r="N21" i="32"/>
  <c r="N22" i="32"/>
  <c r="N23" i="32"/>
  <c r="N24" i="32"/>
  <c r="N25" i="32"/>
  <c r="N26" i="32"/>
  <c r="N27" i="32"/>
  <c r="N28" i="32"/>
  <c r="N29" i="32"/>
  <c r="N30" i="32"/>
  <c r="N31" i="32"/>
  <c r="N32" i="32"/>
  <c r="N33" i="32"/>
  <c r="N34" i="32"/>
  <c r="N2" i="33"/>
  <c r="N3" i="33"/>
  <c r="N4" i="33"/>
  <c r="N5" i="33"/>
  <c r="N6" i="33"/>
  <c r="N7" i="33"/>
  <c r="N8" i="33"/>
  <c r="N9" i="33"/>
  <c r="N10" i="33"/>
  <c r="N11" i="33"/>
  <c r="N12" i="33"/>
  <c r="N13" i="33"/>
  <c r="N14" i="33"/>
  <c r="N15" i="33"/>
  <c r="N16" i="33"/>
  <c r="N17" i="33"/>
  <c r="N18" i="33"/>
  <c r="N19" i="33"/>
  <c r="N20" i="33"/>
  <c r="N21" i="33"/>
  <c r="N22" i="33"/>
  <c r="N23" i="33"/>
  <c r="N24" i="33"/>
  <c r="N25" i="33"/>
  <c r="N26" i="33"/>
  <c r="N27" i="33"/>
  <c r="N28" i="33"/>
  <c r="N29" i="33"/>
  <c r="N30" i="33"/>
  <c r="N31" i="33"/>
  <c r="N32" i="33"/>
  <c r="N33" i="33"/>
  <c r="N34" i="33"/>
  <c r="N35" i="33"/>
  <c r="N36" i="33"/>
  <c r="N37" i="33"/>
  <c r="N38" i="33"/>
  <c r="N39" i="33"/>
  <c r="N40" i="33"/>
  <c r="N41" i="33"/>
  <c r="N42" i="33"/>
  <c r="N43" i="33"/>
  <c r="N44" i="33"/>
  <c r="N45" i="33"/>
  <c r="N46" i="33"/>
  <c r="N47" i="33"/>
  <c r="N48" i="33"/>
  <c r="N49" i="33"/>
  <c r="N50" i="33"/>
  <c r="N51" i="33"/>
  <c r="N52" i="33"/>
  <c r="N53" i="33"/>
  <c r="N54" i="33"/>
  <c r="N55" i="33"/>
  <c r="N56" i="33"/>
  <c r="N57" i="33"/>
  <c r="N58" i="33"/>
  <c r="N59" i="33"/>
  <c r="N60" i="33"/>
  <c r="N61" i="33"/>
  <c r="N62" i="33"/>
  <c r="N63" i="33"/>
  <c r="N64" i="33"/>
  <c r="N65" i="33"/>
  <c r="N66" i="33"/>
  <c r="N67" i="33"/>
  <c r="N68" i="33"/>
  <c r="N2" i="34"/>
  <c r="N3" i="34"/>
  <c r="N4" i="34"/>
  <c r="N5" i="34"/>
  <c r="N6" i="34"/>
  <c r="N7" i="34"/>
  <c r="N8" i="34"/>
  <c r="N9" i="34"/>
  <c r="N10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8" i="34"/>
  <c r="N49" i="34"/>
  <c r="N50" i="34"/>
  <c r="N51" i="34"/>
  <c r="N52" i="34"/>
  <c r="N53" i="34"/>
  <c r="N2" i="35"/>
  <c r="N3" i="35"/>
  <c r="N4" i="35"/>
  <c r="N5" i="35"/>
  <c r="N6" i="35"/>
  <c r="N7" i="35"/>
  <c r="N8" i="35"/>
  <c r="N9" i="35"/>
  <c r="N10" i="35"/>
  <c r="N11" i="35"/>
  <c r="N12" i="35"/>
  <c r="P6" i="7"/>
  <c r="N6" i="7"/>
  <c r="M6" i="7"/>
  <c r="L6" i="7"/>
  <c r="K6" i="7"/>
  <c r="J6" i="7"/>
  <c r="K2" i="30"/>
  <c r="K3" i="30" s="1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M2" i="31"/>
  <c r="M3" i="31" s="1"/>
  <c r="M4" i="31" s="1"/>
  <c r="M5" i="31" s="1"/>
  <c r="M6" i="31" s="1"/>
  <c r="M7" i="31" s="1"/>
  <c r="M8" i="31" s="1"/>
  <c r="M9" i="31" s="1"/>
  <c r="M10" i="31" s="1"/>
  <c r="M11" i="31" s="1"/>
  <c r="M12" i="31" s="1"/>
  <c r="M13" i="31" s="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" i="32"/>
  <c r="M3" i="32" s="1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M84" i="32" s="1"/>
  <c r="M85" i="32" s="1"/>
  <c r="M86" i="32" s="1"/>
  <c r="M87" i="32" s="1"/>
  <c r="M88" i="32" s="1"/>
  <c r="M89" i="32" s="1"/>
  <c r="M90" i="32" s="1"/>
  <c r="M91" i="32" s="1"/>
  <c r="M92" i="32" s="1"/>
  <c r="M93" i="32" s="1"/>
  <c r="M94" i="32" s="1"/>
  <c r="M95" i="32" s="1"/>
  <c r="M96" i="32" s="1"/>
  <c r="M97" i="32" s="1"/>
  <c r="M98" i="32" s="1"/>
  <c r="M99" i="32" s="1"/>
  <c r="M100" i="32" s="1"/>
  <c r="M101" i="32" s="1"/>
  <c r="M102" i="32" s="1"/>
  <c r="M103" i="32" s="1"/>
  <c r="M104" i="32" s="1"/>
  <c r="M105" i="32" s="1"/>
  <c r="M106" i="32" s="1"/>
  <c r="M107" i="32" s="1"/>
  <c r="M108" i="32" s="1"/>
  <c r="M109" i="32" s="1"/>
  <c r="M110" i="32" s="1"/>
  <c r="M111" i="32" s="1"/>
  <c r="M112" i="32" s="1"/>
  <c r="M113" i="32" s="1"/>
  <c r="M114" i="32" s="1"/>
  <c r="M115" i="32" s="1"/>
  <c r="M116" i="32" s="1"/>
  <c r="J2" i="30"/>
  <c r="J3" i="30" s="1"/>
  <c r="J4" i="30" s="1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L2" i="31"/>
  <c r="L3" i="31" s="1"/>
  <c r="L4" i="31" s="1"/>
  <c r="L5" i="31" s="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L38" i="32" s="1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L66" i="32" s="1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L84" i="32" s="1"/>
  <c r="L85" i="32" s="1"/>
  <c r="L86" i="32" s="1"/>
  <c r="L87" i="32" s="1"/>
  <c r="L88" i="32" s="1"/>
  <c r="L89" i="32" s="1"/>
  <c r="L90" i="32" s="1"/>
  <c r="L91" i="32" s="1"/>
  <c r="L92" i="32" s="1"/>
  <c r="L93" i="32" s="1"/>
  <c r="L94" i="32" s="1"/>
  <c r="L95" i="32" s="1"/>
  <c r="L96" i="32" s="1"/>
  <c r="L97" i="32" s="1"/>
  <c r="L98" i="32" s="1"/>
  <c r="L99" i="32" s="1"/>
  <c r="L100" i="32" s="1"/>
  <c r="L101" i="32" s="1"/>
  <c r="L102" i="32" s="1"/>
  <c r="L103" i="32" s="1"/>
  <c r="L104" i="32" s="1"/>
  <c r="L105" i="32" s="1"/>
  <c r="L106" i="32" s="1"/>
  <c r="L107" i="32" s="1"/>
  <c r="L108" i="32" s="1"/>
  <c r="L109" i="32" s="1"/>
  <c r="L110" i="32" s="1"/>
  <c r="L111" i="32" s="1"/>
  <c r="L112" i="32" s="1"/>
  <c r="L113" i="32" s="1"/>
  <c r="L114" i="32" s="1"/>
  <c r="L115" i="32" s="1"/>
  <c r="L116" i="32" s="1"/>
  <c r="M2" i="33"/>
  <c r="M3" i="33"/>
  <c r="M4" i="33"/>
  <c r="M5" i="33"/>
  <c r="M6" i="33"/>
  <c r="M7" i="33"/>
  <c r="M8" i="33"/>
  <c r="M9" i="33"/>
  <c r="M10" i="33"/>
  <c r="M11" i="33"/>
  <c r="M12" i="33"/>
  <c r="M13" i="33"/>
  <c r="M14" i="33"/>
  <c r="M15" i="33"/>
  <c r="M16" i="33"/>
  <c r="M17" i="33"/>
  <c r="M18" i="33"/>
  <c r="M19" i="33"/>
  <c r="M20" i="33"/>
  <c r="M21" i="33"/>
  <c r="M22" i="33"/>
  <c r="M23" i="33"/>
  <c r="M24" i="33"/>
  <c r="M25" i="33"/>
  <c r="M26" i="33"/>
  <c r="M27" i="33"/>
  <c r="M28" i="33"/>
  <c r="M29" i="33"/>
  <c r="M30" i="33"/>
  <c r="M31" i="33"/>
  <c r="M32" i="33"/>
  <c r="M33" i="33"/>
  <c r="M34" i="33"/>
  <c r="M35" i="33"/>
  <c r="M36" i="33"/>
  <c r="M37" i="33"/>
  <c r="M38" i="33"/>
  <c r="M39" i="33"/>
  <c r="M40" i="33"/>
  <c r="M41" i="33"/>
  <c r="M42" i="33"/>
  <c r="M43" i="33"/>
  <c r="M44" i="33"/>
  <c r="M45" i="33"/>
  <c r="M46" i="33"/>
  <c r="M47" i="33"/>
  <c r="M48" i="33"/>
  <c r="M49" i="33"/>
  <c r="M50" i="33"/>
  <c r="M51" i="33"/>
  <c r="M52" i="33"/>
  <c r="M53" i="33"/>
  <c r="M54" i="33"/>
  <c r="M55" i="33"/>
  <c r="M56" i="33"/>
  <c r="M57" i="33"/>
  <c r="M58" i="33"/>
  <c r="M59" i="33"/>
  <c r="M60" i="33"/>
  <c r="M61" i="33"/>
  <c r="M62" i="33"/>
  <c r="M63" i="33"/>
  <c r="M64" i="33"/>
  <c r="M65" i="33"/>
  <c r="M66" i="33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L2" i="33"/>
  <c r="L3" i="33"/>
  <c r="L4" i="33"/>
  <c r="L5" i="33"/>
  <c r="L6" i="33"/>
  <c r="L7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M2" i="35"/>
  <c r="M3" i="35" s="1"/>
  <c r="M4" i="35" s="1"/>
  <c r="M5" i="35"/>
  <c r="M6" i="35"/>
  <c r="M7" i="35"/>
  <c r="M8" i="35"/>
  <c r="M9" i="35"/>
  <c r="M10" i="35"/>
  <c r="M11" i="35"/>
  <c r="M12" i="35"/>
  <c r="L2" i="35"/>
  <c r="L3" i="35"/>
  <c r="L4" i="35" s="1"/>
  <c r="L5" i="35" s="1"/>
  <c r="L6" i="35" s="1"/>
  <c r="L7" i="35" s="1"/>
  <c r="L8" i="35" s="1"/>
  <c r="L9" i="35" s="1"/>
  <c r="L10" i="35" s="1"/>
  <c r="L11" i="35" s="1"/>
  <c r="L12" i="35" s="1"/>
  <c r="Q6" i="8" l="1"/>
  <c r="R6" i="8" s="1"/>
  <c r="Q1" i="8"/>
  <c r="R1" i="8" s="1"/>
  <c r="Q5" i="8"/>
  <c r="R5" i="8" s="1"/>
  <c r="Q3" i="8"/>
  <c r="R3" i="8" s="1"/>
  <c r="A8" i="8"/>
  <c r="Q4" i="8"/>
  <c r="R4" i="8" s="1"/>
  <c r="Q2" i="8"/>
  <c r="R2" i="8" s="1"/>
  <c r="M2" i="34"/>
  <c r="M3" i="34"/>
  <c r="M4" i="34"/>
  <c r="M5" i="34"/>
  <c r="M6" i="34"/>
  <c r="M7" i="34"/>
  <c r="M8" i="34"/>
  <c r="M9" i="34"/>
  <c r="M10" i="34"/>
  <c r="M11" i="34"/>
  <c r="M12" i="34"/>
  <c r="M13" i="34"/>
  <c r="M14" i="34"/>
  <c r="M15" i="34"/>
  <c r="M16" i="34"/>
  <c r="M17" i="34"/>
  <c r="M18" i="34"/>
  <c r="M19" i="34"/>
  <c r="M20" i="34"/>
  <c r="M21" i="34"/>
  <c r="M22" i="34"/>
  <c r="M23" i="34"/>
  <c r="M24" i="34"/>
  <c r="M25" i="34"/>
  <c r="M26" i="34"/>
  <c r="M27" i="34"/>
  <c r="M28" i="34"/>
  <c r="M29" i="34"/>
  <c r="M30" i="34"/>
  <c r="M31" i="34"/>
  <c r="M32" i="34"/>
  <c r="M33" i="34"/>
  <c r="M34" i="34"/>
  <c r="M35" i="34"/>
  <c r="M36" i="34"/>
  <c r="M37" i="34"/>
  <c r="M38" i="34"/>
  <c r="M39" i="34"/>
  <c r="M40" i="34"/>
  <c r="M41" i="34"/>
  <c r="M42" i="34"/>
  <c r="M43" i="34"/>
  <c r="M44" i="34"/>
  <c r="M45" i="34"/>
  <c r="M46" i="34"/>
  <c r="M47" i="34"/>
  <c r="M48" i="34"/>
  <c r="M49" i="34"/>
  <c r="M50" i="34"/>
  <c r="M51" i="34"/>
  <c r="M52" i="34"/>
  <c r="M53" i="34"/>
  <c r="L2" i="34"/>
  <c r="L3" i="34"/>
  <c r="L4" i="34"/>
  <c r="L5" i="34"/>
  <c r="L6" i="34"/>
  <c r="L7" i="34"/>
  <c r="L8" i="34"/>
  <c r="L9" i="34"/>
  <c r="L10" i="34"/>
  <c r="L11" i="34"/>
  <c r="L12" i="34"/>
  <c r="L13" i="34"/>
  <c r="L14" i="34"/>
  <c r="L15" i="34"/>
  <c r="L16" i="34"/>
  <c r="L17" i="34"/>
  <c r="L18" i="34"/>
  <c r="L19" i="34"/>
  <c r="L20" i="34"/>
  <c r="L21" i="34"/>
  <c r="L22" i="34"/>
  <c r="L23" i="34"/>
  <c r="L24" i="34"/>
  <c r="L25" i="34"/>
  <c r="L26" i="34"/>
  <c r="L27" i="34"/>
  <c r="L28" i="34"/>
  <c r="L29" i="34"/>
  <c r="L30" i="34"/>
  <c r="L31" i="34"/>
  <c r="L32" i="34"/>
  <c r="L33" i="34"/>
  <c r="L34" i="34"/>
  <c r="L35" i="34"/>
  <c r="L36" i="34"/>
  <c r="L37" i="34"/>
  <c r="L38" i="34"/>
  <c r="L39" i="34"/>
  <c r="L40" i="34"/>
  <c r="L41" i="34"/>
  <c r="L42" i="34"/>
  <c r="L43" i="34"/>
  <c r="L44" i="34"/>
  <c r="L45" i="34"/>
  <c r="L46" i="34"/>
  <c r="L47" i="34"/>
  <c r="L48" i="34"/>
  <c r="L49" i="34"/>
  <c r="L50" i="34"/>
  <c r="L51" i="34"/>
  <c r="L52" i="34"/>
  <c r="I2" i="34"/>
  <c r="J2" i="34"/>
  <c r="K2" i="34"/>
  <c r="I3" i="34"/>
  <c r="J3" i="34"/>
  <c r="K3" i="34"/>
  <c r="I4" i="34"/>
  <c r="J4" i="34"/>
  <c r="K4" i="34"/>
  <c r="I5" i="34"/>
  <c r="J5" i="34"/>
  <c r="K5" i="34"/>
  <c r="I6" i="34"/>
  <c r="J6" i="34"/>
  <c r="K6" i="34"/>
  <c r="I7" i="34"/>
  <c r="J7" i="34"/>
  <c r="K7" i="34"/>
  <c r="I8" i="34"/>
  <c r="J8" i="34"/>
  <c r="K8" i="34"/>
  <c r="I9" i="34"/>
  <c r="J9" i="34"/>
  <c r="K9" i="34"/>
  <c r="I10" i="34"/>
  <c r="J10" i="34"/>
  <c r="K10" i="34"/>
  <c r="I11" i="34"/>
  <c r="J11" i="34"/>
  <c r="K11" i="34"/>
  <c r="I12" i="34"/>
  <c r="J12" i="34"/>
  <c r="K12" i="34"/>
  <c r="I13" i="34"/>
  <c r="J13" i="34"/>
  <c r="K13" i="34"/>
  <c r="I14" i="34"/>
  <c r="J14" i="34"/>
  <c r="K14" i="34"/>
  <c r="I15" i="34"/>
  <c r="J15" i="34"/>
  <c r="K15" i="34"/>
  <c r="I16" i="34"/>
  <c r="J16" i="34"/>
  <c r="K16" i="34"/>
  <c r="I17" i="34"/>
  <c r="J17" i="34"/>
  <c r="K17" i="34"/>
  <c r="I18" i="34"/>
  <c r="J18" i="34"/>
  <c r="K18" i="34"/>
  <c r="I19" i="34"/>
  <c r="J19" i="34"/>
  <c r="K19" i="34"/>
  <c r="I20" i="34"/>
  <c r="J20" i="34"/>
  <c r="K20" i="34"/>
  <c r="I21" i="34"/>
  <c r="J21" i="34"/>
  <c r="K21" i="34"/>
  <c r="I22" i="34"/>
  <c r="J22" i="34"/>
  <c r="K22" i="34"/>
  <c r="I23" i="34"/>
  <c r="J23" i="34"/>
  <c r="K23" i="34"/>
  <c r="I24" i="34"/>
  <c r="J24" i="34"/>
  <c r="K24" i="34"/>
  <c r="I25" i="34"/>
  <c r="J25" i="34"/>
  <c r="K25" i="34"/>
  <c r="I26" i="34"/>
  <c r="J26" i="34"/>
  <c r="K26" i="34"/>
  <c r="I27" i="34"/>
  <c r="J27" i="34"/>
  <c r="K27" i="34"/>
  <c r="I28" i="34"/>
  <c r="J28" i="34"/>
  <c r="K28" i="34"/>
  <c r="I29" i="34"/>
  <c r="J29" i="34"/>
  <c r="K29" i="34"/>
  <c r="I30" i="34"/>
  <c r="J30" i="34"/>
  <c r="K30" i="34"/>
  <c r="I31" i="34"/>
  <c r="J31" i="34"/>
  <c r="K31" i="34"/>
  <c r="I32" i="34"/>
  <c r="J32" i="34"/>
  <c r="K32" i="34"/>
  <c r="I33" i="34"/>
  <c r="J33" i="34"/>
  <c r="K33" i="34"/>
  <c r="I34" i="34"/>
  <c r="J34" i="34"/>
  <c r="K34" i="34"/>
  <c r="I35" i="34"/>
  <c r="J35" i="34"/>
  <c r="K35" i="34"/>
  <c r="I36" i="34"/>
  <c r="J36" i="34"/>
  <c r="K36" i="34"/>
  <c r="I37" i="34"/>
  <c r="J37" i="34"/>
  <c r="K37" i="34"/>
  <c r="I38" i="34"/>
  <c r="J38" i="34"/>
  <c r="K38" i="34"/>
  <c r="I39" i="34"/>
  <c r="J39" i="34"/>
  <c r="K39" i="34"/>
  <c r="I40" i="34"/>
  <c r="J40" i="34"/>
  <c r="K40" i="34"/>
  <c r="I41" i="34"/>
  <c r="J41" i="34"/>
  <c r="K41" i="34"/>
  <c r="I42" i="34"/>
  <c r="J42" i="34"/>
  <c r="K42" i="34"/>
  <c r="I43" i="34"/>
  <c r="J43" i="34"/>
  <c r="K43" i="34"/>
  <c r="I44" i="34"/>
  <c r="J44" i="34"/>
  <c r="K44" i="34"/>
  <c r="I45" i="34"/>
  <c r="J45" i="34"/>
  <c r="K45" i="34"/>
  <c r="I46" i="34"/>
  <c r="J46" i="34"/>
  <c r="K46" i="34"/>
  <c r="I47" i="34"/>
  <c r="J47" i="34"/>
  <c r="K47" i="34"/>
  <c r="I48" i="34"/>
  <c r="J48" i="34"/>
  <c r="K48" i="34"/>
  <c r="I49" i="34"/>
  <c r="J49" i="34"/>
  <c r="K49" i="34"/>
  <c r="I50" i="34"/>
  <c r="J50" i="34"/>
  <c r="K50" i="34"/>
  <c r="I51" i="34"/>
  <c r="J51" i="34"/>
  <c r="K51" i="34"/>
  <c r="I52" i="34"/>
  <c r="J52" i="34"/>
  <c r="K52" i="34"/>
  <c r="I53" i="34"/>
  <c r="J53" i="34"/>
  <c r="K53" i="34"/>
  <c r="I2" i="30"/>
  <c r="I3" i="30"/>
  <c r="I4" i="30"/>
  <c r="I5" i="30"/>
  <c r="I6" i="30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I25" i="30"/>
  <c r="I26" i="30"/>
  <c r="I27" i="30"/>
  <c r="I28" i="30"/>
  <c r="I29" i="30"/>
  <c r="I30" i="30"/>
  <c r="I31" i="30"/>
  <c r="I32" i="30"/>
  <c r="I33" i="30"/>
  <c r="I34" i="30"/>
  <c r="I35" i="30"/>
  <c r="I36" i="30"/>
  <c r="I37" i="30"/>
  <c r="I38" i="30"/>
  <c r="I39" i="30"/>
  <c r="I40" i="30"/>
  <c r="I41" i="30"/>
  <c r="I42" i="30"/>
  <c r="I43" i="30"/>
  <c r="I44" i="30"/>
  <c r="I45" i="30"/>
  <c r="I46" i="30"/>
  <c r="I47" i="30"/>
  <c r="I48" i="30"/>
  <c r="I49" i="30"/>
  <c r="I50" i="30"/>
  <c r="K2" i="31"/>
  <c r="K3" i="31"/>
  <c r="K4" i="31"/>
  <c r="K5" i="31"/>
  <c r="K6" i="31"/>
  <c r="K7" i="31"/>
  <c r="K8" i="31"/>
  <c r="K9" i="31"/>
  <c r="K10" i="31"/>
  <c r="K11" i="31"/>
  <c r="K12" i="31"/>
  <c r="K13" i="31"/>
  <c r="K14" i="31"/>
  <c r="K15" i="31"/>
  <c r="K16" i="31"/>
  <c r="K17" i="31"/>
  <c r="K18" i="31"/>
  <c r="K19" i="31"/>
  <c r="K20" i="31"/>
  <c r="K21" i="31"/>
  <c r="K22" i="31"/>
  <c r="K23" i="31"/>
  <c r="K24" i="31"/>
  <c r="K25" i="31"/>
  <c r="K2" i="32"/>
  <c r="K3" i="32"/>
  <c r="K4" i="32"/>
  <c r="K5" i="32"/>
  <c r="K6" i="32"/>
  <c r="K7" i="32"/>
  <c r="K8" i="32"/>
  <c r="K9" i="32"/>
  <c r="K10" i="32"/>
  <c r="K11" i="32"/>
  <c r="K12" i="32"/>
  <c r="K13" i="32"/>
  <c r="K14" i="32"/>
  <c r="K15" i="32"/>
  <c r="K16" i="32"/>
  <c r="K17" i="32"/>
  <c r="K18" i="32"/>
  <c r="K19" i="32"/>
  <c r="K20" i="32"/>
  <c r="K21" i="32"/>
  <c r="K22" i="32"/>
  <c r="K23" i="32"/>
  <c r="K24" i="32"/>
  <c r="K25" i="32"/>
  <c r="K26" i="32"/>
  <c r="K27" i="32"/>
  <c r="K28" i="32"/>
  <c r="K29" i="32"/>
  <c r="K30" i="32"/>
  <c r="K31" i="32"/>
  <c r="K32" i="32"/>
  <c r="K33" i="32"/>
  <c r="K34" i="32"/>
  <c r="K2" i="33"/>
  <c r="K3" i="33"/>
  <c r="K4" i="33"/>
  <c r="K5" i="33"/>
  <c r="K6" i="33"/>
  <c r="K7" i="33"/>
  <c r="K8" i="33"/>
  <c r="K9" i="33"/>
  <c r="K10" i="33"/>
  <c r="K11" i="33"/>
  <c r="K12" i="33"/>
  <c r="K13" i="33"/>
  <c r="K14" i="33"/>
  <c r="K15" i="33"/>
  <c r="K16" i="33"/>
  <c r="K17" i="33"/>
  <c r="K18" i="33"/>
  <c r="K19" i="33"/>
  <c r="K20" i="33"/>
  <c r="K21" i="33"/>
  <c r="K22" i="33"/>
  <c r="K23" i="33"/>
  <c r="K24" i="33"/>
  <c r="K25" i="33"/>
  <c r="K26" i="33"/>
  <c r="K27" i="33"/>
  <c r="K28" i="33"/>
  <c r="K29" i="33"/>
  <c r="K30" i="33"/>
  <c r="K31" i="33"/>
  <c r="K32" i="33"/>
  <c r="K33" i="33"/>
  <c r="K34" i="33"/>
  <c r="K35" i="33"/>
  <c r="K36" i="33"/>
  <c r="K37" i="33"/>
  <c r="K38" i="33"/>
  <c r="K39" i="33"/>
  <c r="K40" i="33"/>
  <c r="K41" i="33"/>
  <c r="K42" i="33"/>
  <c r="K43" i="33"/>
  <c r="K44" i="33"/>
  <c r="K45" i="33"/>
  <c r="K46" i="33"/>
  <c r="K47" i="33"/>
  <c r="K48" i="33"/>
  <c r="K49" i="33"/>
  <c r="K50" i="33"/>
  <c r="K51" i="33"/>
  <c r="K52" i="33"/>
  <c r="K53" i="33"/>
  <c r="K54" i="33"/>
  <c r="K55" i="33"/>
  <c r="K56" i="33"/>
  <c r="K57" i="33"/>
  <c r="K58" i="33"/>
  <c r="K59" i="33"/>
  <c r="K60" i="33"/>
  <c r="K61" i="33"/>
  <c r="K62" i="33"/>
  <c r="K63" i="33"/>
  <c r="K64" i="33"/>
  <c r="K65" i="33"/>
  <c r="K66" i="33"/>
  <c r="K67" i="33"/>
  <c r="K68" i="33"/>
  <c r="K2" i="35"/>
  <c r="K3" i="35"/>
  <c r="K4" i="35"/>
  <c r="K5" i="35"/>
  <c r="K6" i="35"/>
  <c r="K7" i="35"/>
  <c r="K8" i="35"/>
  <c r="K9" i="35"/>
  <c r="K10" i="35"/>
  <c r="K11" i="35"/>
  <c r="K12" i="35"/>
  <c r="B2" i="36"/>
  <c r="C2" i="36"/>
  <c r="A3" i="36"/>
  <c r="I2" i="35"/>
  <c r="J2" i="35"/>
  <c r="I3" i="35"/>
  <c r="J3" i="35"/>
  <c r="I4" i="35"/>
  <c r="J4" i="35"/>
  <c r="I5" i="35"/>
  <c r="J5" i="35"/>
  <c r="I6" i="35"/>
  <c r="J6" i="35"/>
  <c r="I7" i="35"/>
  <c r="J7" i="35"/>
  <c r="I8" i="35"/>
  <c r="J8" i="35"/>
  <c r="I9" i="35"/>
  <c r="J9" i="35"/>
  <c r="I10" i="35"/>
  <c r="J10" i="35"/>
  <c r="I11" i="35"/>
  <c r="J11" i="35"/>
  <c r="I12" i="35"/>
  <c r="J12" i="35"/>
  <c r="I2" i="33"/>
  <c r="J2" i="33"/>
  <c r="I3" i="33"/>
  <c r="J3" i="33"/>
  <c r="I4" i="33"/>
  <c r="J4" i="33"/>
  <c r="I5" i="33"/>
  <c r="J5" i="33"/>
  <c r="I6" i="33"/>
  <c r="J6" i="33"/>
  <c r="I7" i="33"/>
  <c r="J7" i="33"/>
  <c r="I8" i="33"/>
  <c r="J8" i="33"/>
  <c r="I9" i="33"/>
  <c r="J9" i="33"/>
  <c r="I10" i="33"/>
  <c r="J10" i="33"/>
  <c r="I11" i="33"/>
  <c r="J11" i="33"/>
  <c r="I12" i="33"/>
  <c r="J12" i="33"/>
  <c r="I13" i="33"/>
  <c r="J13" i="33"/>
  <c r="I14" i="33"/>
  <c r="J14" i="33"/>
  <c r="I15" i="33"/>
  <c r="J15" i="33"/>
  <c r="I16" i="33"/>
  <c r="J16" i="33"/>
  <c r="I17" i="33"/>
  <c r="J17" i="33"/>
  <c r="I18" i="33"/>
  <c r="J18" i="33"/>
  <c r="I19" i="33"/>
  <c r="J19" i="33"/>
  <c r="I20" i="33"/>
  <c r="J20" i="33"/>
  <c r="I21" i="33"/>
  <c r="J21" i="33"/>
  <c r="I22" i="33"/>
  <c r="J22" i="33"/>
  <c r="I23" i="33"/>
  <c r="J23" i="33"/>
  <c r="I24" i="33"/>
  <c r="J24" i="33"/>
  <c r="I25" i="33"/>
  <c r="J25" i="33"/>
  <c r="I26" i="33"/>
  <c r="J26" i="33"/>
  <c r="I27" i="33"/>
  <c r="J27" i="33"/>
  <c r="I28" i="33"/>
  <c r="J28" i="33"/>
  <c r="I29" i="33"/>
  <c r="J29" i="33"/>
  <c r="I30" i="33"/>
  <c r="J30" i="33"/>
  <c r="I31" i="33"/>
  <c r="J31" i="33"/>
  <c r="I32" i="33"/>
  <c r="J32" i="33"/>
  <c r="I33" i="33"/>
  <c r="J33" i="33"/>
  <c r="I34" i="33"/>
  <c r="J34" i="33"/>
  <c r="I35" i="33"/>
  <c r="J35" i="33"/>
  <c r="I36" i="33"/>
  <c r="J36" i="33"/>
  <c r="I37" i="33"/>
  <c r="J37" i="33"/>
  <c r="I38" i="33"/>
  <c r="J38" i="33"/>
  <c r="I39" i="33"/>
  <c r="J39" i="33"/>
  <c r="I40" i="33"/>
  <c r="J40" i="33"/>
  <c r="I41" i="33"/>
  <c r="J41" i="33"/>
  <c r="I42" i="33"/>
  <c r="J42" i="33"/>
  <c r="I43" i="33"/>
  <c r="J43" i="33"/>
  <c r="I44" i="33"/>
  <c r="J44" i="33"/>
  <c r="I45" i="33"/>
  <c r="J45" i="33"/>
  <c r="I46" i="33"/>
  <c r="J46" i="33"/>
  <c r="I47" i="33"/>
  <c r="J47" i="33"/>
  <c r="I48" i="33"/>
  <c r="J48" i="33"/>
  <c r="I49" i="33"/>
  <c r="J49" i="33"/>
  <c r="I50" i="33"/>
  <c r="J50" i="33"/>
  <c r="I51" i="33"/>
  <c r="J51" i="33"/>
  <c r="I52" i="33"/>
  <c r="J52" i="33"/>
  <c r="I53" i="33"/>
  <c r="J53" i="33"/>
  <c r="I54" i="33"/>
  <c r="J54" i="33"/>
  <c r="I55" i="33"/>
  <c r="J55" i="33"/>
  <c r="I56" i="33"/>
  <c r="J56" i="33"/>
  <c r="I57" i="33"/>
  <c r="J57" i="33"/>
  <c r="I58" i="33"/>
  <c r="J58" i="33"/>
  <c r="I59" i="33"/>
  <c r="J59" i="33"/>
  <c r="I60" i="33"/>
  <c r="J60" i="33"/>
  <c r="I61" i="33"/>
  <c r="J61" i="33"/>
  <c r="I62" i="33"/>
  <c r="J62" i="33"/>
  <c r="I63" i="33"/>
  <c r="J63" i="33"/>
  <c r="I64" i="33"/>
  <c r="J64" i="33"/>
  <c r="I65" i="33"/>
  <c r="J65" i="33"/>
  <c r="I66" i="33"/>
  <c r="J66" i="33"/>
  <c r="I67" i="33"/>
  <c r="J67" i="33"/>
  <c r="I68" i="33"/>
  <c r="J68" i="33"/>
  <c r="I2" i="32"/>
  <c r="J2" i="32"/>
  <c r="I3" i="32"/>
  <c r="J3" i="32"/>
  <c r="I4" i="32"/>
  <c r="J4" i="32"/>
  <c r="I5" i="32"/>
  <c r="J5" i="32"/>
  <c r="I6" i="32"/>
  <c r="J6" i="32"/>
  <c r="I7" i="32"/>
  <c r="J7" i="32"/>
  <c r="I8" i="32"/>
  <c r="J8" i="32"/>
  <c r="I9" i="32"/>
  <c r="J9" i="32"/>
  <c r="I10" i="32"/>
  <c r="J10" i="32"/>
  <c r="I11" i="32"/>
  <c r="J11" i="32"/>
  <c r="I12" i="32"/>
  <c r="J12" i="32"/>
  <c r="I13" i="32"/>
  <c r="J13" i="32"/>
  <c r="I14" i="32"/>
  <c r="J14" i="32"/>
  <c r="I15" i="32"/>
  <c r="J15" i="32"/>
  <c r="I16" i="32"/>
  <c r="J16" i="32"/>
  <c r="I17" i="32"/>
  <c r="J17" i="32"/>
  <c r="I18" i="32"/>
  <c r="J18" i="32"/>
  <c r="I19" i="32"/>
  <c r="J19" i="32"/>
  <c r="I20" i="32"/>
  <c r="J20" i="32"/>
  <c r="I21" i="32"/>
  <c r="J21" i="32"/>
  <c r="I22" i="32"/>
  <c r="J22" i="32"/>
  <c r="I23" i="32"/>
  <c r="J23" i="32"/>
  <c r="I24" i="32"/>
  <c r="J24" i="32"/>
  <c r="I25" i="32"/>
  <c r="J25" i="32"/>
  <c r="I26" i="32"/>
  <c r="J26" i="32"/>
  <c r="I27" i="32"/>
  <c r="J27" i="32"/>
  <c r="I28" i="32"/>
  <c r="J28" i="32"/>
  <c r="I29" i="32"/>
  <c r="J29" i="32"/>
  <c r="I30" i="32"/>
  <c r="J30" i="32"/>
  <c r="I31" i="32"/>
  <c r="J31" i="32"/>
  <c r="I32" i="32"/>
  <c r="J32" i="32"/>
  <c r="I33" i="32"/>
  <c r="J33" i="32"/>
  <c r="I34" i="32"/>
  <c r="J34" i="32"/>
  <c r="I2" i="31"/>
  <c r="J2" i="31"/>
  <c r="I3" i="31"/>
  <c r="J3" i="31"/>
  <c r="I4" i="31"/>
  <c r="J4" i="31"/>
  <c r="I5" i="31"/>
  <c r="J5" i="31"/>
  <c r="I6" i="31"/>
  <c r="J6" i="31"/>
  <c r="I7" i="31"/>
  <c r="J7" i="31"/>
  <c r="I8" i="31"/>
  <c r="J8" i="31"/>
  <c r="I9" i="31"/>
  <c r="J9" i="31"/>
  <c r="I10" i="31"/>
  <c r="J10" i="31"/>
  <c r="I11" i="31"/>
  <c r="J11" i="31"/>
  <c r="I12" i="31"/>
  <c r="J12" i="31"/>
  <c r="I13" i="31"/>
  <c r="J13" i="31"/>
  <c r="I14" i="31"/>
  <c r="J14" i="31"/>
  <c r="I15" i="31"/>
  <c r="J15" i="31"/>
  <c r="I16" i="31"/>
  <c r="J16" i="31"/>
  <c r="I17" i="31"/>
  <c r="J17" i="31"/>
  <c r="I18" i="31"/>
  <c r="J18" i="31"/>
  <c r="I19" i="31"/>
  <c r="J19" i="31"/>
  <c r="I20" i="31"/>
  <c r="J20" i="31"/>
  <c r="I21" i="31"/>
  <c r="J21" i="31"/>
  <c r="I22" i="31"/>
  <c r="J22" i="31"/>
  <c r="I23" i="31"/>
  <c r="J23" i="31"/>
  <c r="I24" i="31"/>
  <c r="J24" i="31"/>
  <c r="I25" i="31"/>
  <c r="J25" i="31"/>
  <c r="G2" i="30"/>
  <c r="H2" i="30"/>
  <c r="G3" i="30"/>
  <c r="H3" i="30"/>
  <c r="G4" i="30"/>
  <c r="H4" i="30"/>
  <c r="G5" i="30"/>
  <c r="H5" i="30"/>
  <c r="G6" i="30"/>
  <c r="H6" i="30"/>
  <c r="G7" i="30"/>
  <c r="H7" i="30"/>
  <c r="G8" i="30"/>
  <c r="H8" i="30"/>
  <c r="G9" i="30"/>
  <c r="H9" i="30"/>
  <c r="G10" i="30"/>
  <c r="H10" i="30"/>
  <c r="G11" i="30"/>
  <c r="H11" i="30"/>
  <c r="G12" i="30"/>
  <c r="H12" i="30"/>
  <c r="G13" i="30"/>
  <c r="H13" i="30"/>
  <c r="G14" i="30"/>
  <c r="H14" i="30"/>
  <c r="G15" i="30"/>
  <c r="H15" i="30"/>
  <c r="G16" i="30"/>
  <c r="H16" i="30"/>
  <c r="G17" i="30"/>
  <c r="H17" i="30"/>
  <c r="G18" i="30"/>
  <c r="H18" i="30"/>
  <c r="G19" i="30"/>
  <c r="H19" i="30"/>
  <c r="G20" i="30"/>
  <c r="H20" i="30"/>
  <c r="G21" i="30"/>
  <c r="H21" i="30"/>
  <c r="G22" i="30"/>
  <c r="H22" i="30"/>
  <c r="G23" i="30"/>
  <c r="H23" i="30"/>
  <c r="G24" i="30"/>
  <c r="H24" i="30"/>
  <c r="G25" i="30"/>
  <c r="H25" i="30"/>
  <c r="G26" i="30"/>
  <c r="H26" i="30"/>
  <c r="G27" i="30"/>
  <c r="H27" i="30"/>
  <c r="G28" i="30"/>
  <c r="H28" i="30"/>
  <c r="G29" i="30"/>
  <c r="H29" i="30"/>
  <c r="G30" i="30"/>
  <c r="H30" i="30"/>
  <c r="G31" i="30"/>
  <c r="H31" i="30"/>
  <c r="G32" i="30"/>
  <c r="H32" i="30"/>
  <c r="G33" i="30"/>
  <c r="H33" i="30"/>
  <c r="G34" i="30"/>
  <c r="H34" i="30"/>
  <c r="G35" i="30"/>
  <c r="H35" i="30"/>
  <c r="G36" i="30"/>
  <c r="H36" i="30"/>
  <c r="G37" i="30"/>
  <c r="H37" i="30"/>
  <c r="G38" i="30"/>
  <c r="H38" i="30"/>
  <c r="G39" i="30"/>
  <c r="H39" i="30"/>
  <c r="G40" i="30"/>
  <c r="H40" i="30"/>
  <c r="G41" i="30"/>
  <c r="H41" i="30"/>
  <c r="G42" i="30"/>
  <c r="H42" i="30"/>
  <c r="G43" i="30"/>
  <c r="H43" i="30"/>
  <c r="G44" i="30"/>
  <c r="H44" i="30"/>
  <c r="G45" i="30"/>
  <c r="H45" i="30"/>
  <c r="G46" i="30"/>
  <c r="H46" i="30"/>
  <c r="G47" i="30"/>
  <c r="H47" i="30"/>
  <c r="G48" i="30"/>
  <c r="H48" i="30"/>
  <c r="G49" i="30"/>
  <c r="H49" i="30"/>
  <c r="G50" i="30"/>
  <c r="H50" i="30"/>
  <c r="AY2" i="36" l="1"/>
  <c r="B3" i="36"/>
  <c r="O2" i="36"/>
  <c r="AU2" i="36"/>
  <c r="AV2" i="36"/>
  <c r="AS2" i="36"/>
  <c r="AT2" i="36"/>
  <c r="AI2" i="36"/>
  <c r="AR2" i="36"/>
  <c r="AC2" i="36"/>
  <c r="Y2" i="36"/>
  <c r="AG2" i="36"/>
  <c r="AA2" i="36"/>
  <c r="AE2" i="36"/>
  <c r="AB2" i="36"/>
  <c r="AL2" i="36" s="1"/>
  <c r="X2" i="36"/>
  <c r="AF2" i="36"/>
  <c r="AN2" i="36" s="1"/>
  <c r="AD2" i="36"/>
  <c r="AM2" i="36" s="1"/>
  <c r="Z2" i="36"/>
  <c r="AK2" i="36" s="1"/>
  <c r="AH2" i="36"/>
  <c r="L53" i="34"/>
  <c r="G2" i="36"/>
  <c r="I2" i="36"/>
  <c r="K2" i="36"/>
  <c r="C3" i="36"/>
  <c r="AY3" i="36" s="1"/>
  <c r="A4" i="36"/>
  <c r="B4" i="36" s="1"/>
  <c r="F2" i="36"/>
  <c r="J2" i="36"/>
  <c r="N2" i="36"/>
  <c r="D2" i="36"/>
  <c r="H2" i="36"/>
  <c r="L2" i="36"/>
  <c r="E2" i="36"/>
  <c r="M2" i="36"/>
  <c r="J6" i="1"/>
  <c r="K6" i="1"/>
  <c r="L6" i="1"/>
  <c r="M6" i="1"/>
  <c r="N6" i="1"/>
  <c r="P6" i="1"/>
  <c r="AP1" i="28"/>
  <c r="AJ2" i="36" l="1"/>
  <c r="AO2" i="36" s="1" a="1"/>
  <c r="AO2" i="36" s="1"/>
  <c r="P2" i="36" a="1"/>
  <c r="P2" i="36" s="1"/>
  <c r="AW2" i="36" a="1"/>
  <c r="AW2" i="36" s="1"/>
  <c r="AU3" i="36"/>
  <c r="AV3" i="36"/>
  <c r="AS3" i="36"/>
  <c r="AT3" i="36"/>
  <c r="AI3" i="36"/>
  <c r="AR3" i="36"/>
  <c r="AE3" i="36"/>
  <c r="Z3" i="36"/>
  <c r="AK3" i="36" s="1"/>
  <c r="X3" i="36"/>
  <c r="AJ3" i="36" s="1"/>
  <c r="AG3" i="36"/>
  <c r="AD3" i="36"/>
  <c r="Y3" i="36"/>
  <c r="AC3" i="36"/>
  <c r="AB3" i="36"/>
  <c r="AL3" i="36" s="1"/>
  <c r="AH3" i="36"/>
  <c r="AF3" i="36"/>
  <c r="AN3" i="36" s="1"/>
  <c r="AA3" i="36"/>
  <c r="G3" i="36"/>
  <c r="K3" i="36"/>
  <c r="O3" i="36"/>
  <c r="E3" i="36"/>
  <c r="I3" i="36"/>
  <c r="M3" i="36"/>
  <c r="F3" i="36"/>
  <c r="N3" i="36"/>
  <c r="L3" i="36"/>
  <c r="D3" i="36"/>
  <c r="H3" i="36"/>
  <c r="J3" i="36"/>
  <c r="C4" i="36"/>
  <c r="AY4" i="36" s="1"/>
  <c r="A5" i="36"/>
  <c r="B5" i="36" l="1"/>
  <c r="P3" i="36" a="1"/>
  <c r="P3" i="36" s="1"/>
  <c r="AU4" i="36"/>
  <c r="AW3" i="36" a="1"/>
  <c r="AW3" i="36" s="1"/>
  <c r="AV4" i="36"/>
  <c r="AI4" i="36"/>
  <c r="AT4" i="36"/>
  <c r="AS4" i="36"/>
  <c r="AR4" i="36"/>
  <c r="AA4" i="36"/>
  <c r="AF4" i="36"/>
  <c r="AN4" i="36" s="1"/>
  <c r="AD4" i="36"/>
  <c r="AM4" i="36" s="1"/>
  <c r="AM3" i="36"/>
  <c r="AO3" i="36" s="1" a="1"/>
  <c r="AO3" i="36" s="1"/>
  <c r="AE4" i="36"/>
  <c r="X4" i="36"/>
  <c r="AJ4" i="36" s="1"/>
  <c r="AC4" i="36"/>
  <c r="AB4" i="36"/>
  <c r="AL4" i="36" s="1"/>
  <c r="AH4" i="36"/>
  <c r="Y4" i="36"/>
  <c r="Z4" i="36"/>
  <c r="AG4" i="36"/>
  <c r="D4" i="36"/>
  <c r="H4" i="36"/>
  <c r="L4" i="36"/>
  <c r="F4" i="36"/>
  <c r="J4" i="36"/>
  <c r="N4" i="36"/>
  <c r="G4" i="36"/>
  <c r="O4" i="36"/>
  <c r="I4" i="36"/>
  <c r="M4" i="36"/>
  <c r="K4" i="36"/>
  <c r="E4" i="36"/>
  <c r="A6" i="36"/>
  <c r="B6" i="36" s="1"/>
  <c r="C5" i="36"/>
  <c r="AY5" i="36" s="1"/>
  <c r="P4" i="36" l="1" a="1"/>
  <c r="P4" i="36" s="1"/>
  <c r="AU5" i="36"/>
  <c r="AW4" i="36" a="1"/>
  <c r="AW4" i="36" s="1"/>
  <c r="AV5" i="36"/>
  <c r="AI5" i="36"/>
  <c r="AT5" i="36"/>
  <c r="AS5" i="36"/>
  <c r="AR5" i="36"/>
  <c r="AD5" i="36"/>
  <c r="AM5" i="36" s="1"/>
  <c r="AG5" i="36"/>
  <c r="Y5" i="36"/>
  <c r="AF5" i="36"/>
  <c r="AN5" i="36" s="1"/>
  <c r="Z5" i="36"/>
  <c r="AK5" i="36" s="1"/>
  <c r="AK4" i="36"/>
  <c r="AO4" i="36" s="1" a="1"/>
  <c r="AO4" i="36" s="1"/>
  <c r="X5" i="36"/>
  <c r="AJ5" i="36" s="1"/>
  <c r="AC5" i="36"/>
  <c r="AB5" i="36"/>
  <c r="AL5" i="36" s="1"/>
  <c r="AA5" i="36"/>
  <c r="AH5" i="36"/>
  <c r="AE5" i="36"/>
  <c r="E5" i="36"/>
  <c r="I5" i="36"/>
  <c r="M5" i="36"/>
  <c r="G5" i="36"/>
  <c r="K5" i="36"/>
  <c r="O5" i="36"/>
  <c r="H5" i="36"/>
  <c r="D5" i="36"/>
  <c r="N5" i="36"/>
  <c r="L5" i="36"/>
  <c r="F5" i="36"/>
  <c r="J5" i="36"/>
  <c r="A7" i="36"/>
  <c r="C6" i="36"/>
  <c r="AY6" i="36" s="1"/>
  <c r="B7" i="36" l="1"/>
  <c r="P5" i="36" a="1"/>
  <c r="P5" i="36" s="1"/>
  <c r="AU6" i="36"/>
  <c r="AW5" i="36" a="1"/>
  <c r="AW5" i="36" s="1"/>
  <c r="AV6" i="36"/>
  <c r="AI6" i="36"/>
  <c r="AT6" i="36"/>
  <c r="AS6" i="36"/>
  <c r="AR6" i="36"/>
  <c r="AO5" i="36" a="1"/>
  <c r="AO5" i="36" s="1"/>
  <c r="AB6" i="36"/>
  <c r="AL6" i="36" s="1"/>
  <c r="AC6" i="36"/>
  <c r="AF6" i="36"/>
  <c r="AN6" i="36" s="1"/>
  <c r="AA6" i="36"/>
  <c r="Y6" i="36"/>
  <c r="AD6" i="36"/>
  <c r="AM6" i="36" s="1"/>
  <c r="AG6" i="36"/>
  <c r="AE6" i="36"/>
  <c r="Z6" i="36"/>
  <c r="AK6" i="36" s="1"/>
  <c r="AH6" i="36"/>
  <c r="X6" i="36"/>
  <c r="AJ6" i="36" s="1"/>
  <c r="F6" i="36"/>
  <c r="J6" i="36"/>
  <c r="N6" i="36"/>
  <c r="D6" i="36"/>
  <c r="H6" i="36"/>
  <c r="L6" i="36"/>
  <c r="I6" i="36"/>
  <c r="K6" i="36"/>
  <c r="M6" i="36"/>
  <c r="O6" i="36"/>
  <c r="G6" i="36"/>
  <c r="E6" i="36"/>
  <c r="C7" i="36"/>
  <c r="AY7" i="36" s="1"/>
  <c r="A8" i="36"/>
  <c r="P6" i="36" l="1" a="1"/>
  <c r="P6" i="36" s="1"/>
  <c r="AU7" i="36"/>
  <c r="AV7" i="36"/>
  <c r="AW6" i="36" a="1"/>
  <c r="AW6" i="36" s="1"/>
  <c r="AI7" i="36"/>
  <c r="AT7" i="36"/>
  <c r="AS7" i="36"/>
  <c r="AR7" i="36"/>
  <c r="AO6" i="36" a="1"/>
  <c r="AO6" i="36" s="1"/>
  <c r="AE7" i="36"/>
  <c r="AA7" i="36"/>
  <c r="X7" i="36"/>
  <c r="AJ7" i="36" s="1"/>
  <c r="AG7" i="36"/>
  <c r="AF7" i="36"/>
  <c r="AN7" i="36" s="1"/>
  <c r="AH7" i="36"/>
  <c r="AD7" i="36"/>
  <c r="AM7" i="36" s="1"/>
  <c r="AC7" i="36"/>
  <c r="AB7" i="36"/>
  <c r="AL7" i="36" s="1"/>
  <c r="Z7" i="36"/>
  <c r="Y7" i="36"/>
  <c r="B8" i="36"/>
  <c r="C8" i="36"/>
  <c r="AY8" i="36" s="1"/>
  <c r="A9" i="36"/>
  <c r="B9" i="36" s="1"/>
  <c r="G7" i="36"/>
  <c r="K7" i="36"/>
  <c r="O7" i="36"/>
  <c r="E7" i="36"/>
  <c r="I7" i="36"/>
  <c r="M7" i="36"/>
  <c r="J7" i="36"/>
  <c r="F7" i="36"/>
  <c r="L7" i="36"/>
  <c r="N7" i="36"/>
  <c r="D7" i="36"/>
  <c r="H7" i="36"/>
  <c r="P7" i="36" l="1" a="1"/>
  <c r="P7" i="36" s="1"/>
  <c r="AU8" i="36"/>
  <c r="AW7" i="36" a="1"/>
  <c r="AW7" i="36" s="1"/>
  <c r="AV8" i="36"/>
  <c r="AI8" i="36"/>
  <c r="AT8" i="36"/>
  <c r="AR8" i="36"/>
  <c r="AS8" i="36"/>
  <c r="Y8" i="36"/>
  <c r="AD8" i="36"/>
  <c r="AM8" i="36" s="1"/>
  <c r="AH8" i="36"/>
  <c r="AA8" i="36"/>
  <c r="AG8" i="36"/>
  <c r="Z8" i="36"/>
  <c r="AK8" i="36" s="1"/>
  <c r="AK7" i="36"/>
  <c r="X8" i="36"/>
  <c r="AJ8" i="36" s="1"/>
  <c r="AB8" i="36"/>
  <c r="AL8" i="36" s="1"/>
  <c r="AC8" i="36"/>
  <c r="AF8" i="36"/>
  <c r="AN8" i="36" s="1"/>
  <c r="AE8" i="36"/>
  <c r="C9" i="36"/>
  <c r="AY9" i="36" s="1"/>
  <c r="A10" i="36"/>
  <c r="B10" i="36" s="1"/>
  <c r="D8" i="36"/>
  <c r="H8" i="36"/>
  <c r="F8" i="36"/>
  <c r="J8" i="36"/>
  <c r="N8" i="36"/>
  <c r="K8" i="36"/>
  <c r="L8" i="36"/>
  <c r="I8" i="36"/>
  <c r="M8" i="36"/>
  <c r="G8" i="36"/>
  <c r="E8" i="36"/>
  <c r="O8" i="36"/>
  <c r="P8" i="36" l="1" a="1"/>
  <c r="P8" i="36" s="1"/>
  <c r="AU9" i="36"/>
  <c r="AV9" i="36"/>
  <c r="AO7" i="36" a="1"/>
  <c r="AO7" i="36" s="1"/>
  <c r="AW8" i="36" a="1"/>
  <c r="AW8" i="36" s="1"/>
  <c r="AI9" i="36"/>
  <c r="AT9" i="36"/>
  <c r="AS9" i="36"/>
  <c r="AR9" i="36"/>
  <c r="AO8" i="36" a="1"/>
  <c r="AO8" i="36" s="1"/>
  <c r="X9" i="36"/>
  <c r="AJ9" i="36" s="1"/>
  <c r="AE9" i="36"/>
  <c r="AA9" i="36"/>
  <c r="Z9" i="36"/>
  <c r="AK9" i="36" s="1"/>
  <c r="AG9" i="36"/>
  <c r="AC9" i="36"/>
  <c r="AB9" i="36"/>
  <c r="AL9" i="36" s="1"/>
  <c r="AD9" i="36"/>
  <c r="AM9" i="36" s="1"/>
  <c r="AF9" i="36"/>
  <c r="AN9" i="36" s="1"/>
  <c r="AH9" i="36"/>
  <c r="Y9" i="36"/>
  <c r="C10" i="36"/>
  <c r="AY10" i="36" s="1"/>
  <c r="A11" i="36"/>
  <c r="G9" i="36"/>
  <c r="K9" i="36"/>
  <c r="O9" i="36"/>
  <c r="F9" i="36"/>
  <c r="L9" i="36"/>
  <c r="D9" i="36"/>
  <c r="J9" i="36"/>
  <c r="E9" i="36"/>
  <c r="N9" i="36"/>
  <c r="H9" i="36"/>
  <c r="M9" i="36"/>
  <c r="I9" i="36"/>
  <c r="P9" i="36" l="1" a="1"/>
  <c r="P9" i="36" s="1"/>
  <c r="AU10" i="36"/>
  <c r="AW9" i="36" a="1"/>
  <c r="AW9" i="36" s="1"/>
  <c r="AV10" i="36"/>
  <c r="AI10" i="36"/>
  <c r="AT10" i="36"/>
  <c r="AS10" i="36"/>
  <c r="AR10" i="36"/>
  <c r="AO9" i="36" a="1"/>
  <c r="AO9" i="36" s="1"/>
  <c r="AF10" i="36"/>
  <c r="AN10" i="36" s="1"/>
  <c r="AG10" i="36"/>
  <c r="AE10" i="36"/>
  <c r="Y10" i="36"/>
  <c r="AH10" i="36"/>
  <c r="AA10" i="36"/>
  <c r="AB10" i="36"/>
  <c r="AL10" i="36" s="1"/>
  <c r="AC10" i="36"/>
  <c r="AD10" i="36"/>
  <c r="AM10" i="36" s="1"/>
  <c r="Z10" i="36"/>
  <c r="AK10" i="36" s="1"/>
  <c r="X10" i="36"/>
  <c r="AJ10" i="36" s="1"/>
  <c r="B11" i="36"/>
  <c r="A12" i="36"/>
  <c r="B12" i="36" s="1"/>
  <c r="C11" i="36"/>
  <c r="AY11" i="36" s="1"/>
  <c r="D10" i="36"/>
  <c r="H10" i="36"/>
  <c r="L10" i="36"/>
  <c r="G10" i="36"/>
  <c r="M10" i="36"/>
  <c r="J10" i="36"/>
  <c r="I10" i="36"/>
  <c r="K10" i="36"/>
  <c r="O10" i="36"/>
  <c r="N10" i="36"/>
  <c r="E10" i="36"/>
  <c r="F10" i="36"/>
  <c r="G5" i="8"/>
  <c r="O5" i="8" s="1"/>
  <c r="G4" i="8"/>
  <c r="O4" i="8" s="1"/>
  <c r="G3" i="8"/>
  <c r="O3" i="8" s="1"/>
  <c r="G2" i="8"/>
  <c r="O2" i="8" s="1"/>
  <c r="G1" i="8"/>
  <c r="O1" i="8" s="1"/>
  <c r="P10" i="36" l="1" a="1"/>
  <c r="P10" i="36" s="1"/>
  <c r="AU11" i="36"/>
  <c r="AV11" i="36"/>
  <c r="AW10" i="36" a="1"/>
  <c r="AW10" i="36" s="1"/>
  <c r="AI11" i="36"/>
  <c r="AT11" i="36"/>
  <c r="AS11" i="36"/>
  <c r="AR11" i="36"/>
  <c r="AO10" i="36" a="1"/>
  <c r="AO10" i="36" s="1"/>
  <c r="X11" i="36"/>
  <c r="AJ11" i="36" s="1"/>
  <c r="AB11" i="36"/>
  <c r="AL11" i="36" s="1"/>
  <c r="AC11" i="36"/>
  <c r="Z11" i="36"/>
  <c r="AK11" i="36" s="1"/>
  <c r="AG11" i="36"/>
  <c r="Y11" i="36"/>
  <c r="AD11" i="36"/>
  <c r="AA11" i="36"/>
  <c r="AE11" i="36"/>
  <c r="AH11" i="36"/>
  <c r="AF11" i="36"/>
  <c r="AN11" i="36" s="1"/>
  <c r="E11" i="36"/>
  <c r="I11" i="36"/>
  <c r="M11" i="36"/>
  <c r="H11" i="36"/>
  <c r="N11" i="36"/>
  <c r="J11" i="36"/>
  <c r="D11" i="36"/>
  <c r="L11" i="36"/>
  <c r="F11" i="36"/>
  <c r="O11" i="36"/>
  <c r="G11" i="36"/>
  <c r="K11" i="36"/>
  <c r="A13" i="36"/>
  <c r="B13" i="36" s="1"/>
  <c r="C12" i="36"/>
  <c r="AY12" i="36" s="1"/>
  <c r="P11" i="36" l="1" a="1"/>
  <c r="P11" i="36" s="1"/>
  <c r="AU12" i="36"/>
  <c r="AW11" i="36" a="1"/>
  <c r="AW11" i="36" s="1"/>
  <c r="AV12" i="36"/>
  <c r="AI12" i="36"/>
  <c r="AT12" i="36"/>
  <c r="AS12" i="36"/>
  <c r="AR12" i="36"/>
  <c r="AF12" i="36"/>
  <c r="AN12" i="36" s="1"/>
  <c r="AD12" i="36"/>
  <c r="AM12" i="36" s="1"/>
  <c r="AM11" i="36"/>
  <c r="AB12" i="36"/>
  <c r="AL12" i="36" s="1"/>
  <c r="AC12" i="36"/>
  <c r="AH12" i="36"/>
  <c r="Y12" i="36"/>
  <c r="AE12" i="36"/>
  <c r="AG12" i="36"/>
  <c r="AA12" i="36"/>
  <c r="Z12" i="36"/>
  <c r="AK12" i="36" s="1"/>
  <c r="X12" i="36"/>
  <c r="AJ12" i="36" s="1"/>
  <c r="F12" i="36"/>
  <c r="J12" i="36"/>
  <c r="N12" i="36"/>
  <c r="D12" i="36"/>
  <c r="I12" i="36"/>
  <c r="O12" i="36"/>
  <c r="H12" i="36"/>
  <c r="G12" i="36"/>
  <c r="K12" i="36"/>
  <c r="E12" i="36"/>
  <c r="L12" i="36"/>
  <c r="M12" i="36"/>
  <c r="C13" i="36"/>
  <c r="AY13" i="36" s="1"/>
  <c r="A14" i="36"/>
  <c r="B14" i="36" s="1"/>
  <c r="G5" i="5"/>
  <c r="O5" i="5" s="1"/>
  <c r="G4" i="5"/>
  <c r="O4" i="5" s="1"/>
  <c r="G3" i="5"/>
  <c r="O3" i="5" s="1"/>
  <c r="G2" i="5"/>
  <c r="O2" i="5" s="1"/>
  <c r="AO11" i="36" l="1" a="1"/>
  <c r="AO11" i="36" s="1"/>
  <c r="P12" i="36" a="1"/>
  <c r="P12" i="36" s="1"/>
  <c r="AU13" i="36"/>
  <c r="AV13" i="36"/>
  <c r="AW12" i="36" a="1"/>
  <c r="AW12" i="36" s="1"/>
  <c r="AI13" i="36"/>
  <c r="AT13" i="36"/>
  <c r="AS13" i="36"/>
  <c r="AR13" i="36"/>
  <c r="AO12" i="36" a="1"/>
  <c r="AO12" i="36" s="1"/>
  <c r="AH13" i="36"/>
  <c r="X13" i="36"/>
  <c r="AJ13" i="36" s="1"/>
  <c r="Z13" i="36"/>
  <c r="AG13" i="36"/>
  <c r="AA13" i="36"/>
  <c r="AE13" i="36"/>
  <c r="AB13" i="36"/>
  <c r="AL13" i="36" s="1"/>
  <c r="AC13" i="36"/>
  <c r="AF13" i="36"/>
  <c r="AN13" i="36" s="1"/>
  <c r="Y13" i="36"/>
  <c r="AD13" i="36"/>
  <c r="AM13" i="36" s="1"/>
  <c r="G13" i="36"/>
  <c r="K13" i="36"/>
  <c r="O13" i="36"/>
  <c r="E13" i="36"/>
  <c r="J13" i="36"/>
  <c r="H13" i="36"/>
  <c r="N13" i="36"/>
  <c r="L13" i="36"/>
  <c r="D13" i="36"/>
  <c r="M13" i="36"/>
  <c r="I13" i="36"/>
  <c r="F13" i="36"/>
  <c r="A15" i="36"/>
  <c r="B15" i="36" s="1"/>
  <c r="C14" i="36"/>
  <c r="AY14" i="36" s="1"/>
  <c r="G1" i="5"/>
  <c r="O1" i="5" s="1"/>
  <c r="AU14" i="36" l="1"/>
  <c r="P13" i="36" a="1"/>
  <c r="P13" i="36" s="1"/>
  <c r="AW13" i="36" a="1"/>
  <c r="AW13" i="36" s="1"/>
  <c r="AV14" i="36"/>
  <c r="AI14" i="36"/>
  <c r="AT14" i="36"/>
  <c r="AS14" i="36"/>
  <c r="AR14" i="36"/>
  <c r="Y14" i="36"/>
  <c r="AA14" i="36"/>
  <c r="AD14" i="36"/>
  <c r="AM14" i="36" s="1"/>
  <c r="AG14" i="36"/>
  <c r="Z14" i="36"/>
  <c r="AK14" i="36" s="1"/>
  <c r="AK13" i="36"/>
  <c r="AB14" i="36"/>
  <c r="AL14" i="36" s="1"/>
  <c r="AC14" i="36"/>
  <c r="AF14" i="36"/>
  <c r="AN14" i="36" s="1"/>
  <c r="AE14" i="36"/>
  <c r="AH14" i="36"/>
  <c r="X14" i="36"/>
  <c r="AJ14" i="36" s="1"/>
  <c r="A16" i="36"/>
  <c r="B16" i="36" s="1"/>
  <c r="C15" i="36"/>
  <c r="AY15" i="36" s="1"/>
  <c r="D14" i="36"/>
  <c r="H14" i="36"/>
  <c r="L14" i="36"/>
  <c r="F14" i="36"/>
  <c r="K14" i="36"/>
  <c r="G14" i="36"/>
  <c r="N14" i="36"/>
  <c r="E14" i="36"/>
  <c r="O14" i="36"/>
  <c r="I14" i="36"/>
  <c r="M14" i="36"/>
  <c r="J14" i="36"/>
  <c r="Q5" i="5"/>
  <c r="Q3" i="5"/>
  <c r="Q1" i="5"/>
  <c r="Q4" i="5"/>
  <c r="Q2" i="5"/>
  <c r="AT15" i="36" l="1"/>
  <c r="P14" i="36" a="1"/>
  <c r="P14" i="36" s="1"/>
  <c r="AV15" i="36"/>
  <c r="AO13" i="36" a="1"/>
  <c r="AO13" i="36" s="1"/>
  <c r="AW14" i="36" a="1"/>
  <c r="AW14" i="36" s="1"/>
  <c r="AU15" i="36"/>
  <c r="AI15" i="36"/>
  <c r="AS15" i="36"/>
  <c r="AR15" i="36"/>
  <c r="AO14" i="36" a="1"/>
  <c r="AO14" i="36" s="1"/>
  <c r="Y15" i="36"/>
  <c r="AF15" i="36"/>
  <c r="AN15" i="36" s="1"/>
  <c r="X15" i="36"/>
  <c r="AJ15" i="36" s="1"/>
  <c r="AH15" i="36"/>
  <c r="AE15" i="36"/>
  <c r="AB15" i="36"/>
  <c r="AL15" i="36" s="1"/>
  <c r="AC15" i="36"/>
  <c r="AA15" i="36"/>
  <c r="Z15" i="36"/>
  <c r="AK15" i="36" s="1"/>
  <c r="AD15" i="36"/>
  <c r="AM15" i="36" s="1"/>
  <c r="AG15" i="36"/>
  <c r="C16" i="36"/>
  <c r="AY16" i="36" s="1"/>
  <c r="A17" i="36"/>
  <c r="B17" i="36" s="1"/>
  <c r="E15" i="36"/>
  <c r="I15" i="36"/>
  <c r="M15" i="36"/>
  <c r="G15" i="36"/>
  <c r="L15" i="36"/>
  <c r="F15" i="36"/>
  <c r="N15" i="36"/>
  <c r="J15" i="36"/>
  <c r="K15" i="36"/>
  <c r="D15" i="36"/>
  <c r="H15" i="36"/>
  <c r="O15" i="36"/>
  <c r="AT16" i="36" l="1"/>
  <c r="P15" i="36" a="1"/>
  <c r="P15" i="36" s="1"/>
  <c r="AW15" i="36" a="1"/>
  <c r="AW15" i="36" s="1"/>
  <c r="AV16" i="36"/>
  <c r="AU16" i="36"/>
  <c r="AI16" i="36"/>
  <c r="AS16" i="36"/>
  <c r="AR16" i="36"/>
  <c r="AO15" i="36" a="1"/>
  <c r="AO15" i="36" s="1"/>
  <c r="AG16" i="36"/>
  <c r="X16" i="36"/>
  <c r="AJ16" i="36" s="1"/>
  <c r="AH16" i="36"/>
  <c r="AD16" i="36"/>
  <c r="AM16" i="36" s="1"/>
  <c r="Y16" i="36"/>
  <c r="AF16" i="36"/>
  <c r="AN16" i="36" s="1"/>
  <c r="AB16" i="36"/>
  <c r="AL16" i="36" s="1"/>
  <c r="AC16" i="36"/>
  <c r="Z16" i="36"/>
  <c r="AK16" i="36" s="1"/>
  <c r="AA16" i="36"/>
  <c r="AE16" i="36"/>
  <c r="F16" i="36"/>
  <c r="J16" i="36"/>
  <c r="N16" i="36"/>
  <c r="H16" i="36"/>
  <c r="M16" i="36"/>
  <c r="E16" i="36"/>
  <c r="L16" i="36"/>
  <c r="D16" i="36"/>
  <c r="O16" i="36"/>
  <c r="G16" i="36"/>
  <c r="I16" i="36"/>
  <c r="K16" i="36"/>
  <c r="C17" i="36"/>
  <c r="AY17" i="36" s="1"/>
  <c r="A18" i="36"/>
  <c r="B18" i="36" s="1"/>
  <c r="AT17" i="36" l="1"/>
  <c r="P16" i="36" a="1"/>
  <c r="P16" i="36" s="1"/>
  <c r="AW16" i="36" a="1"/>
  <c r="AW16" i="36" s="1"/>
  <c r="AV17" i="36"/>
  <c r="AU17" i="36"/>
  <c r="AR17" i="36"/>
  <c r="AI17" i="36"/>
  <c r="AS17" i="36"/>
  <c r="AO16" i="36" a="1"/>
  <c r="AO16" i="36" s="1"/>
  <c r="AG17" i="36"/>
  <c r="AD17" i="36"/>
  <c r="AM17" i="36" s="1"/>
  <c r="AE17" i="36"/>
  <c r="AH17" i="36"/>
  <c r="AC17" i="36"/>
  <c r="AB17" i="36"/>
  <c r="AL17" i="36" s="1"/>
  <c r="Z17" i="36"/>
  <c r="AK17" i="36" s="1"/>
  <c r="AA17" i="36"/>
  <c r="AF17" i="36"/>
  <c r="AN17" i="36" s="1"/>
  <c r="Y17" i="36"/>
  <c r="X17" i="36"/>
  <c r="AJ17" i="36" s="1"/>
  <c r="G17" i="36"/>
  <c r="K17" i="36"/>
  <c r="O17" i="36"/>
  <c r="D17" i="36"/>
  <c r="I17" i="36"/>
  <c r="N17" i="36"/>
  <c r="E17" i="36"/>
  <c r="L17" i="36"/>
  <c r="H17" i="36"/>
  <c r="J17" i="36"/>
  <c r="F17" i="36"/>
  <c r="M17" i="36"/>
  <c r="C18" i="36"/>
  <c r="AY18" i="36" s="1"/>
  <c r="A19" i="36"/>
  <c r="B19" i="36" s="1"/>
  <c r="AT18" i="36" l="1"/>
  <c r="P17" i="36" a="1"/>
  <c r="P17" i="36" s="1"/>
  <c r="AW17" i="36" a="1"/>
  <c r="AW17" i="36" s="1"/>
  <c r="AV18" i="36"/>
  <c r="AU18" i="36"/>
  <c r="AI18" i="36"/>
  <c r="AS18" i="36"/>
  <c r="AR18" i="36"/>
  <c r="AO17" i="36" a="1"/>
  <c r="AO17" i="36" s="1"/>
  <c r="X18" i="36"/>
  <c r="AJ18" i="36" s="1"/>
  <c r="AE18" i="36"/>
  <c r="Y18" i="36"/>
  <c r="AD18" i="36"/>
  <c r="AM18" i="36" s="1"/>
  <c r="AB18" i="36"/>
  <c r="AL18" i="36" s="1"/>
  <c r="AC18" i="36"/>
  <c r="AH18" i="36"/>
  <c r="AA18" i="36"/>
  <c r="Z18" i="36"/>
  <c r="AK18" i="36" s="1"/>
  <c r="AF18" i="36"/>
  <c r="AN18" i="36" s="1"/>
  <c r="AG18" i="36"/>
  <c r="A20" i="36"/>
  <c r="B20" i="36" s="1"/>
  <c r="C19" i="36"/>
  <c r="AY19" i="36" s="1"/>
  <c r="D18" i="36"/>
  <c r="H18" i="36"/>
  <c r="L18" i="36"/>
  <c r="E18" i="36"/>
  <c r="J18" i="36"/>
  <c r="O18" i="36"/>
  <c r="K18" i="36"/>
  <c r="M18" i="36"/>
  <c r="F18" i="36"/>
  <c r="N18" i="36"/>
  <c r="I18" i="36"/>
  <c r="G18" i="36"/>
  <c r="AT19" i="36" l="1"/>
  <c r="P18" i="36" a="1"/>
  <c r="P18" i="36" s="1"/>
  <c r="AW18" i="36" a="1"/>
  <c r="AW18" i="36" s="1"/>
  <c r="AV19" i="36"/>
  <c r="AU19" i="36"/>
  <c r="AI19" i="36"/>
  <c r="AS19" i="36"/>
  <c r="AR19" i="36"/>
  <c r="AO18" i="36" a="1"/>
  <c r="AO18" i="36" s="1"/>
  <c r="AG19" i="36"/>
  <c r="AD19" i="36"/>
  <c r="AM19" i="36" s="1"/>
  <c r="AF19" i="36"/>
  <c r="AN19" i="36" s="1"/>
  <c r="Y19" i="36"/>
  <c r="AH19" i="36"/>
  <c r="AC19" i="36"/>
  <c r="AB19" i="36"/>
  <c r="AL19" i="36" s="1"/>
  <c r="Z19" i="36"/>
  <c r="AK19" i="36" s="1"/>
  <c r="AA19" i="36"/>
  <c r="AE19" i="36"/>
  <c r="X19" i="36"/>
  <c r="AJ19" i="36" s="1"/>
  <c r="E19" i="36"/>
  <c r="I19" i="36"/>
  <c r="M19" i="36"/>
  <c r="F19" i="36"/>
  <c r="K19" i="36"/>
  <c r="J19" i="36"/>
  <c r="G19" i="36"/>
  <c r="O19" i="36"/>
  <c r="H19" i="36"/>
  <c r="N19" i="36"/>
  <c r="L19" i="36"/>
  <c r="D19" i="36"/>
  <c r="A21" i="36"/>
  <c r="B21" i="36" s="1"/>
  <c r="C20" i="36"/>
  <c r="AY20" i="36" s="1"/>
  <c r="AT20" i="36" l="1"/>
  <c r="P19" i="36" a="1"/>
  <c r="P19" i="36" s="1"/>
  <c r="AW19" i="36" a="1"/>
  <c r="AW19" i="36" s="1"/>
  <c r="AV20" i="36"/>
  <c r="AU20" i="36"/>
  <c r="AI20" i="36"/>
  <c r="AS20" i="36"/>
  <c r="AR20" i="36"/>
  <c r="AO19" i="36" a="1"/>
  <c r="AO19" i="36" s="1"/>
  <c r="Y20" i="36"/>
  <c r="X20" i="36"/>
  <c r="AJ20" i="36" s="1"/>
  <c r="AH20" i="36"/>
  <c r="AB20" i="36"/>
  <c r="AL20" i="36" s="1"/>
  <c r="AC20" i="36"/>
  <c r="AA20" i="36"/>
  <c r="Z20" i="36"/>
  <c r="AK20" i="36" s="1"/>
  <c r="AE20" i="36"/>
  <c r="AF20" i="36"/>
  <c r="AN20" i="36" s="1"/>
  <c r="AD20" i="36"/>
  <c r="AM20" i="36" s="1"/>
  <c r="AG20" i="36"/>
  <c r="F20" i="36"/>
  <c r="J20" i="36"/>
  <c r="N20" i="36"/>
  <c r="G20" i="36"/>
  <c r="L20" i="36"/>
  <c r="I20" i="36"/>
  <c r="K20" i="36"/>
  <c r="D20" i="36"/>
  <c r="M20" i="36"/>
  <c r="E20" i="36"/>
  <c r="H20" i="36"/>
  <c r="O20" i="36"/>
  <c r="C21" i="36"/>
  <c r="AY21" i="36" s="1"/>
  <c r="A22" i="36"/>
  <c r="B22" i="36" s="1"/>
  <c r="AT21" i="36" l="1"/>
  <c r="P20" i="36" a="1"/>
  <c r="P20" i="36" s="1"/>
  <c r="AW20" i="36" a="1"/>
  <c r="AW20" i="36" s="1"/>
  <c r="AV21" i="36"/>
  <c r="AU21" i="36"/>
  <c r="AR21" i="36"/>
  <c r="AI21" i="36"/>
  <c r="AS21" i="36"/>
  <c r="X21" i="36"/>
  <c r="AJ21" i="36" s="1"/>
  <c r="AO20" i="36" a="1"/>
  <c r="AO20" i="36" s="1"/>
  <c r="AF21" i="36"/>
  <c r="AN21" i="36" s="1"/>
  <c r="AG21" i="36"/>
  <c r="AE21" i="36"/>
  <c r="AC21" i="36"/>
  <c r="AB21" i="36"/>
  <c r="AL21" i="36" s="1"/>
  <c r="AH21" i="36"/>
  <c r="Z21" i="36"/>
  <c r="AK21" i="36" s="1"/>
  <c r="AA21" i="36"/>
  <c r="AD21" i="36"/>
  <c r="AM21" i="36" s="1"/>
  <c r="Y21" i="36"/>
  <c r="G21" i="36"/>
  <c r="K21" i="36"/>
  <c r="O21" i="36"/>
  <c r="H21" i="36"/>
  <c r="M21" i="36"/>
  <c r="I21" i="36"/>
  <c r="E21" i="36"/>
  <c r="N21" i="36"/>
  <c r="F21" i="36"/>
  <c r="D21" i="36"/>
  <c r="J21" i="36"/>
  <c r="L21" i="36"/>
  <c r="C22" i="36"/>
  <c r="AY22" i="36" s="1"/>
  <c r="A23" i="36"/>
  <c r="B23" i="36" s="1"/>
  <c r="AT22" i="36" l="1"/>
  <c r="P21" i="36" a="1"/>
  <c r="P21" i="36" s="1"/>
  <c r="AW21" i="36" a="1"/>
  <c r="AW21" i="36" s="1"/>
  <c r="AV22" i="36"/>
  <c r="AU22" i="36"/>
  <c r="AI22" i="36"/>
  <c r="AS22" i="36"/>
  <c r="AR22" i="36"/>
  <c r="AO21" i="36" a="1"/>
  <c r="AO21" i="36" s="1"/>
  <c r="AF22" i="36"/>
  <c r="AN22" i="36" s="1"/>
  <c r="Y22" i="36"/>
  <c r="AD22" i="36"/>
  <c r="AM22" i="36" s="1"/>
  <c r="AB22" i="36"/>
  <c r="AL22" i="36" s="1"/>
  <c r="AC22" i="36"/>
  <c r="AH22" i="36"/>
  <c r="Z22" i="36"/>
  <c r="AK22" i="36" s="1"/>
  <c r="AA22" i="36"/>
  <c r="AG22" i="36"/>
  <c r="X22" i="36"/>
  <c r="AJ22" i="36" s="1"/>
  <c r="AE22" i="36"/>
  <c r="A24" i="36"/>
  <c r="B24" i="36" s="1"/>
  <c r="C23" i="36"/>
  <c r="AY23" i="36" s="1"/>
  <c r="D22" i="36"/>
  <c r="H22" i="36"/>
  <c r="L22" i="36"/>
  <c r="I22" i="36"/>
  <c r="N22" i="36"/>
  <c r="G22" i="36"/>
  <c r="O22" i="36"/>
  <c r="J22" i="36"/>
  <c r="K22" i="36"/>
  <c r="F22" i="36"/>
  <c r="E22" i="36"/>
  <c r="M22" i="36"/>
  <c r="AT23" i="36" l="1"/>
  <c r="P22" i="36" a="1"/>
  <c r="P22" i="36" s="1"/>
  <c r="AW22" i="36" a="1"/>
  <c r="AW22" i="36" s="1"/>
  <c r="AV23" i="36"/>
  <c r="AU23" i="36"/>
  <c r="AI23" i="36"/>
  <c r="AS23" i="36"/>
  <c r="AR23" i="36"/>
  <c r="AO22" i="36" a="1"/>
  <c r="AO22" i="36" s="1"/>
  <c r="AD23" i="36"/>
  <c r="AM23" i="36" s="1"/>
  <c r="AE23" i="36"/>
  <c r="AC23" i="36"/>
  <c r="AH23" i="36"/>
  <c r="AB23" i="36"/>
  <c r="AL23" i="36" s="1"/>
  <c r="Z23" i="36"/>
  <c r="AK23" i="36" s="1"/>
  <c r="AA23" i="36"/>
  <c r="X23" i="36"/>
  <c r="AJ23" i="36" s="1"/>
  <c r="AF23" i="36"/>
  <c r="AN23" i="36" s="1"/>
  <c r="AG23" i="36"/>
  <c r="Y23" i="36"/>
  <c r="E23" i="36"/>
  <c r="I23" i="36"/>
  <c r="M23" i="36"/>
  <c r="D23" i="36"/>
  <c r="J23" i="36"/>
  <c r="O23" i="36"/>
  <c r="G23" i="36"/>
  <c r="N23" i="36"/>
  <c r="L23" i="36"/>
  <c r="F23" i="36"/>
  <c r="K23" i="36"/>
  <c r="H23" i="36"/>
  <c r="A25" i="36"/>
  <c r="B25" i="36" s="1"/>
  <c r="C24" i="36"/>
  <c r="AY24" i="36" s="1"/>
  <c r="AT24" i="36" l="1"/>
  <c r="P23" i="36" a="1"/>
  <c r="P23" i="36" s="1"/>
  <c r="AW23" i="36" a="1"/>
  <c r="AW23" i="36" s="1"/>
  <c r="AV24" i="36"/>
  <c r="AU24" i="36"/>
  <c r="AI24" i="36"/>
  <c r="AS24" i="36"/>
  <c r="Y24" i="36"/>
  <c r="AR24" i="36"/>
  <c r="AO23" i="36" a="1"/>
  <c r="AO23" i="36" s="1"/>
  <c r="AB24" i="36"/>
  <c r="AL24" i="36" s="1"/>
  <c r="AC24" i="36"/>
  <c r="AH24" i="36"/>
  <c r="Z24" i="36"/>
  <c r="AK24" i="36" s="1"/>
  <c r="AA24" i="36"/>
  <c r="AG24" i="36"/>
  <c r="AF24" i="36"/>
  <c r="AN24" i="36" s="1"/>
  <c r="AE24" i="36"/>
  <c r="X24" i="36"/>
  <c r="AJ24" i="36" s="1"/>
  <c r="AD24" i="36"/>
  <c r="AM24" i="36" s="1"/>
  <c r="F24" i="36"/>
  <c r="J24" i="36"/>
  <c r="E24" i="36"/>
  <c r="K24" i="36"/>
  <c r="O24" i="36"/>
  <c r="G24" i="36"/>
  <c r="M24" i="36"/>
  <c r="H24" i="36"/>
  <c r="I24" i="36"/>
  <c r="N24" i="36"/>
  <c r="L24" i="36"/>
  <c r="D24" i="36"/>
  <c r="C25" i="36"/>
  <c r="AY25" i="36" s="1"/>
  <c r="A26" i="36"/>
  <c r="B26" i="36" s="1"/>
  <c r="P24" i="36" l="1" a="1"/>
  <c r="P24" i="36" s="1"/>
  <c r="AW24" i="36" a="1"/>
  <c r="AW24" i="36" s="1"/>
  <c r="AV25" i="36"/>
  <c r="AU25" i="36"/>
  <c r="AS25" i="36"/>
  <c r="AT25" i="36"/>
  <c r="AI25" i="36"/>
  <c r="AR25" i="36"/>
  <c r="AO24" i="36" a="1"/>
  <c r="AO24" i="36" s="1"/>
  <c r="X25" i="36"/>
  <c r="AJ25" i="36" s="1"/>
  <c r="Y25" i="36"/>
  <c r="AB25" i="36"/>
  <c r="AL25" i="36" s="1"/>
  <c r="AH25" i="36"/>
  <c r="AC25" i="36"/>
  <c r="AA25" i="36"/>
  <c r="Z25" i="36"/>
  <c r="AK25" i="36" s="1"/>
  <c r="AF25" i="36"/>
  <c r="AN25" i="36" s="1"/>
  <c r="AD25" i="36"/>
  <c r="AM25" i="36" s="1"/>
  <c r="AG25" i="36"/>
  <c r="AE25" i="36"/>
  <c r="A27" i="36"/>
  <c r="B27" i="36" s="1"/>
  <c r="C26" i="36"/>
  <c r="AY26" i="36" s="1"/>
  <c r="D25" i="36"/>
  <c r="H25" i="36"/>
  <c r="L25" i="36"/>
  <c r="I25" i="36"/>
  <c r="N25" i="36"/>
  <c r="G25" i="36"/>
  <c r="O25" i="36"/>
  <c r="J25" i="36"/>
  <c r="M25" i="36"/>
  <c r="E25" i="36"/>
  <c r="F25" i="36"/>
  <c r="K25" i="36"/>
  <c r="P25" i="36" l="1" a="1"/>
  <c r="P25" i="36" s="1"/>
  <c r="AW25" i="36" a="1"/>
  <c r="AW25" i="36" s="1"/>
  <c r="AV26" i="36"/>
  <c r="AU26" i="36"/>
  <c r="AS26" i="36"/>
  <c r="AT26" i="36"/>
  <c r="AI26" i="36"/>
  <c r="AR26" i="36"/>
  <c r="AO25" i="36" a="1"/>
  <c r="AO25" i="36" s="1"/>
  <c r="AE26" i="36"/>
  <c r="AG26" i="36"/>
  <c r="AF26" i="36"/>
  <c r="AN26" i="36" s="1"/>
  <c r="AB26" i="36"/>
  <c r="AL26" i="36" s="1"/>
  <c r="AC26" i="36"/>
  <c r="AH26" i="36"/>
  <c r="X26" i="36"/>
  <c r="AJ26" i="36" s="1"/>
  <c r="Y26" i="36"/>
  <c r="AA26" i="36"/>
  <c r="Z26" i="36"/>
  <c r="AK26" i="36" s="1"/>
  <c r="AD26" i="36"/>
  <c r="AM26" i="36" s="1"/>
  <c r="E26" i="36"/>
  <c r="I26" i="36"/>
  <c r="M26" i="36"/>
  <c r="D26" i="36"/>
  <c r="J26" i="36"/>
  <c r="O26" i="36"/>
  <c r="G26" i="36"/>
  <c r="N26" i="36"/>
  <c r="H26" i="36"/>
  <c r="L26" i="36"/>
  <c r="K26" i="36"/>
  <c r="F26" i="36"/>
  <c r="C27" i="36"/>
  <c r="AY27" i="36" s="1"/>
  <c r="A28" i="36"/>
  <c r="B28" i="36" s="1"/>
  <c r="P26" i="36" l="1" a="1"/>
  <c r="P26" i="36" s="1"/>
  <c r="AW26" i="36" a="1"/>
  <c r="AW26" i="36" s="1"/>
  <c r="AV27" i="36"/>
  <c r="AU27" i="36"/>
  <c r="AS27" i="36"/>
  <c r="AT27" i="36"/>
  <c r="AI27" i="36"/>
  <c r="AR27" i="36"/>
  <c r="AO26" i="36" a="1"/>
  <c r="AO26" i="36" s="1"/>
  <c r="AF27" i="36"/>
  <c r="AN27" i="36" s="1"/>
  <c r="AD27" i="36"/>
  <c r="AM27" i="36" s="1"/>
  <c r="AB27" i="36"/>
  <c r="AL27" i="36" s="1"/>
  <c r="AH27" i="36"/>
  <c r="Y27" i="36"/>
  <c r="X27" i="36"/>
  <c r="AJ27" i="36" s="1"/>
  <c r="AC27" i="36"/>
  <c r="Z27" i="36"/>
  <c r="AK27" i="36" s="1"/>
  <c r="AA27" i="36"/>
  <c r="AG27" i="36"/>
  <c r="AE27" i="36"/>
  <c r="C28" i="36"/>
  <c r="AY28" i="36" s="1"/>
  <c r="A29" i="36"/>
  <c r="B29" i="36" s="1"/>
  <c r="F27" i="36"/>
  <c r="J27" i="36"/>
  <c r="N27" i="36"/>
  <c r="E27" i="36"/>
  <c r="K27" i="36"/>
  <c r="G27" i="36"/>
  <c r="M27" i="36"/>
  <c r="H27" i="36"/>
  <c r="O27" i="36"/>
  <c r="L27" i="36"/>
  <c r="D27" i="36"/>
  <c r="I27" i="36"/>
  <c r="P27" i="36" l="1" a="1"/>
  <c r="P27" i="36" s="1"/>
  <c r="AW27" i="36" a="1"/>
  <c r="AW27" i="36" s="1"/>
  <c r="AV28" i="36"/>
  <c r="AU28" i="36"/>
  <c r="AS28" i="36"/>
  <c r="AT28" i="36"/>
  <c r="AI28" i="36"/>
  <c r="AR28" i="36"/>
  <c r="AO27" i="36" a="1"/>
  <c r="AO27" i="36" s="1"/>
  <c r="AE28" i="36"/>
  <c r="AG28" i="36"/>
  <c r="AH28" i="36"/>
  <c r="X28" i="36"/>
  <c r="AJ28" i="36" s="1"/>
  <c r="AC28" i="36"/>
  <c r="Y28" i="36"/>
  <c r="AB28" i="36"/>
  <c r="AL28" i="36" s="1"/>
  <c r="Z28" i="36"/>
  <c r="AK28" i="36" s="1"/>
  <c r="AA28" i="36"/>
  <c r="AD28" i="36"/>
  <c r="AM28" i="36" s="1"/>
  <c r="AF28" i="36"/>
  <c r="AN28" i="36" s="1"/>
  <c r="C29" i="36"/>
  <c r="AY29" i="36" s="1"/>
  <c r="A30" i="36"/>
  <c r="B30" i="36" s="1"/>
  <c r="G28" i="36"/>
  <c r="K28" i="36"/>
  <c r="O28" i="36"/>
  <c r="F28" i="36"/>
  <c r="L28" i="36"/>
  <c r="E28" i="36"/>
  <c r="M28" i="36"/>
  <c r="H28" i="36"/>
  <c r="N28" i="36"/>
  <c r="J28" i="36"/>
  <c r="I28" i="36"/>
  <c r="D28" i="36"/>
  <c r="P28" i="36" l="1" a="1"/>
  <c r="P28" i="36" s="1"/>
  <c r="AW28" i="36" a="1"/>
  <c r="AW28" i="36" s="1"/>
  <c r="AV29" i="36"/>
  <c r="AU29" i="36"/>
  <c r="AS29" i="36"/>
  <c r="AT29" i="36"/>
  <c r="AI29" i="36"/>
  <c r="AR29" i="36"/>
  <c r="AO28" i="36" a="1"/>
  <c r="AO28" i="36" s="1"/>
  <c r="AF29" i="36"/>
  <c r="AN29" i="36" s="1"/>
  <c r="AG29" i="36"/>
  <c r="AB29" i="36"/>
  <c r="AL29" i="36" s="1"/>
  <c r="AH29" i="36"/>
  <c r="AC29" i="36"/>
  <c r="Y29" i="36"/>
  <c r="X29" i="36"/>
  <c r="AJ29" i="36" s="1"/>
  <c r="Z29" i="36"/>
  <c r="AK29" i="36" s="1"/>
  <c r="AA29" i="36"/>
  <c r="AD29" i="36"/>
  <c r="AM29" i="36" s="1"/>
  <c r="AE29" i="36"/>
  <c r="A31" i="36"/>
  <c r="B31" i="36" s="1"/>
  <c r="C30" i="36"/>
  <c r="AY30" i="36" s="1"/>
  <c r="D29" i="36"/>
  <c r="H29" i="36"/>
  <c r="L29" i="36"/>
  <c r="G29" i="36"/>
  <c r="M29" i="36"/>
  <c r="E29" i="36"/>
  <c r="K29" i="36"/>
  <c r="F29" i="36"/>
  <c r="N29" i="36"/>
  <c r="J29" i="36"/>
  <c r="O29" i="36"/>
  <c r="I29" i="36"/>
  <c r="P29" i="36" l="1" a="1"/>
  <c r="P29" i="36" s="1"/>
  <c r="AW29" i="36" a="1"/>
  <c r="AW29" i="36" s="1"/>
  <c r="AV30" i="36"/>
  <c r="AU30" i="36"/>
  <c r="AS30" i="36"/>
  <c r="AT30" i="36"/>
  <c r="AI30" i="36"/>
  <c r="AR30" i="36"/>
  <c r="AO29" i="36" a="1"/>
  <c r="AO29" i="36" s="1"/>
  <c r="AF30" i="36"/>
  <c r="AN30" i="36" s="1"/>
  <c r="AE30" i="36"/>
  <c r="Y30" i="36"/>
  <c r="X30" i="36"/>
  <c r="AJ30" i="36" s="1"/>
  <c r="AB30" i="36"/>
  <c r="AL30" i="36" s="1"/>
  <c r="AC30" i="36"/>
  <c r="AH30" i="36"/>
  <c r="Z30" i="36"/>
  <c r="AK30" i="36" s="1"/>
  <c r="AA30" i="36"/>
  <c r="AD30" i="36"/>
  <c r="AM30" i="36" s="1"/>
  <c r="AG30" i="36"/>
  <c r="E30" i="36"/>
  <c r="I30" i="36"/>
  <c r="M30" i="36"/>
  <c r="H30" i="36"/>
  <c r="N30" i="36"/>
  <c r="D30" i="36"/>
  <c r="K30" i="36"/>
  <c r="F30" i="36"/>
  <c r="L30" i="36"/>
  <c r="J30" i="36"/>
  <c r="G30" i="36"/>
  <c r="O30" i="36"/>
  <c r="C31" i="36"/>
  <c r="AY31" i="36" s="1"/>
  <c r="A32" i="36"/>
  <c r="B32" i="36" s="1"/>
  <c r="P30" i="36" l="1" a="1"/>
  <c r="P30" i="36" s="1"/>
  <c r="AW30" i="36" a="1"/>
  <c r="AW30" i="36" s="1"/>
  <c r="AV31" i="36"/>
  <c r="AU31" i="36"/>
  <c r="AS31" i="36"/>
  <c r="AT31" i="36"/>
  <c r="AI31" i="36"/>
  <c r="AR31" i="36"/>
  <c r="AO30" i="36" a="1"/>
  <c r="AO30" i="36" s="1"/>
  <c r="AG31" i="36"/>
  <c r="X31" i="36"/>
  <c r="AJ31" i="36" s="1"/>
  <c r="AC31" i="36"/>
  <c r="AB31" i="36"/>
  <c r="AL31" i="36" s="1"/>
  <c r="Y31" i="36"/>
  <c r="AH31" i="36"/>
  <c r="AA31" i="36"/>
  <c r="Z31" i="36"/>
  <c r="AK31" i="36" s="1"/>
  <c r="AE31" i="36"/>
  <c r="AD31" i="36"/>
  <c r="AM31" i="36" s="1"/>
  <c r="AF31" i="36"/>
  <c r="AN31" i="36" s="1"/>
  <c r="C32" i="36"/>
  <c r="AY32" i="36" s="1"/>
  <c r="A33" i="36"/>
  <c r="B33" i="36" s="1"/>
  <c r="F31" i="36"/>
  <c r="J31" i="36"/>
  <c r="N31" i="36"/>
  <c r="D31" i="36"/>
  <c r="I31" i="36"/>
  <c r="O31" i="36"/>
  <c r="K31" i="36"/>
  <c r="E31" i="36"/>
  <c r="L31" i="36"/>
  <c r="H31" i="36"/>
  <c r="M31" i="36"/>
  <c r="G31" i="36"/>
  <c r="P31" i="36" l="1" a="1"/>
  <c r="P31" i="36" s="1"/>
  <c r="AW31" i="36" a="1"/>
  <c r="AW31" i="36" s="1"/>
  <c r="AV32" i="36"/>
  <c r="AU32" i="36"/>
  <c r="AS32" i="36"/>
  <c r="AT32" i="36"/>
  <c r="AI32" i="36"/>
  <c r="AR32" i="36"/>
  <c r="AO31" i="36" a="1"/>
  <c r="AO31" i="36" s="1"/>
  <c r="AF32" i="36"/>
  <c r="AN32" i="36" s="1"/>
  <c r="AE32" i="36"/>
  <c r="AD32" i="36"/>
  <c r="AM32" i="36" s="1"/>
  <c r="Y32" i="36"/>
  <c r="AB32" i="36"/>
  <c r="AL32" i="36" s="1"/>
  <c r="AC32" i="36"/>
  <c r="X32" i="36"/>
  <c r="AJ32" i="36" s="1"/>
  <c r="AH32" i="36"/>
  <c r="Z32" i="36"/>
  <c r="AK32" i="36" s="1"/>
  <c r="AA32" i="36"/>
  <c r="AG32" i="36"/>
  <c r="A34" i="36"/>
  <c r="B34" i="36" s="1"/>
  <c r="C33" i="36"/>
  <c r="AY33" i="36" s="1"/>
  <c r="D32" i="36"/>
  <c r="H32" i="36"/>
  <c r="L32" i="36"/>
  <c r="G32" i="36"/>
  <c r="M32" i="36"/>
  <c r="I32" i="36"/>
  <c r="N32" i="36"/>
  <c r="F32" i="36"/>
  <c r="E32" i="36"/>
  <c r="J32" i="36"/>
  <c r="K32" i="36"/>
  <c r="O32" i="36"/>
  <c r="P32" i="36" l="1" a="1"/>
  <c r="P32" i="36" s="1"/>
  <c r="AU33" i="36"/>
  <c r="AW32" i="36" a="1"/>
  <c r="AW32" i="36" s="1"/>
  <c r="AV33" i="36"/>
  <c r="AS33" i="36"/>
  <c r="AT33" i="36"/>
  <c r="AI33" i="36"/>
  <c r="AR33" i="36"/>
  <c r="AO32" i="36" a="1"/>
  <c r="AO32" i="36" s="1"/>
  <c r="AG33" i="36"/>
  <c r="X33" i="36"/>
  <c r="AJ33" i="36" s="1"/>
  <c r="Y33" i="36"/>
  <c r="AH33" i="36"/>
  <c r="AC33" i="36"/>
  <c r="AB33" i="36"/>
  <c r="AL33" i="36" s="1"/>
  <c r="AE33" i="36"/>
  <c r="AD33" i="36"/>
  <c r="AM33" i="36" s="1"/>
  <c r="Z33" i="36"/>
  <c r="AK33" i="36" s="1"/>
  <c r="AA33" i="36"/>
  <c r="AF33" i="36"/>
  <c r="AN33" i="36" s="1"/>
  <c r="E33" i="36"/>
  <c r="I33" i="36"/>
  <c r="M33" i="36"/>
  <c r="H33" i="36"/>
  <c r="N33" i="36"/>
  <c r="D33" i="36"/>
  <c r="J33" i="36"/>
  <c r="O33" i="36"/>
  <c r="L33" i="36"/>
  <c r="K33" i="36"/>
  <c r="F33" i="36"/>
  <c r="G33" i="36"/>
  <c r="A35" i="36"/>
  <c r="B35" i="36" s="1"/>
  <c r="C34" i="36"/>
  <c r="AY34" i="36" s="1"/>
  <c r="AU34" i="36" l="1"/>
  <c r="P33" i="36" a="1"/>
  <c r="P33" i="36" s="1"/>
  <c r="AW33" i="36" a="1"/>
  <c r="AW33" i="36" s="1"/>
  <c r="AV34" i="36"/>
  <c r="AS34" i="36"/>
  <c r="AT34" i="36"/>
  <c r="AI34" i="36"/>
  <c r="AR34" i="36"/>
  <c r="AO33" i="36" a="1"/>
  <c r="AO33" i="36" s="1"/>
  <c r="AF34" i="36"/>
  <c r="AN34" i="36" s="1"/>
  <c r="AB34" i="36"/>
  <c r="AL34" i="36" s="1"/>
  <c r="AC34" i="36"/>
  <c r="AH34" i="36"/>
  <c r="X34" i="36"/>
  <c r="AJ34" i="36" s="1"/>
  <c r="AE34" i="36"/>
  <c r="Y34" i="36"/>
  <c r="AD34" i="36"/>
  <c r="AM34" i="36" s="1"/>
  <c r="AA34" i="36"/>
  <c r="Z34" i="36"/>
  <c r="AK34" i="36" s="1"/>
  <c r="AG34" i="36"/>
  <c r="F34" i="36"/>
  <c r="J34" i="36"/>
  <c r="N34" i="36"/>
  <c r="D34" i="36"/>
  <c r="I34" i="36"/>
  <c r="O34" i="36"/>
  <c r="E34" i="36"/>
  <c r="K34" i="36"/>
  <c r="H34" i="36"/>
  <c r="L34" i="36"/>
  <c r="M34" i="36"/>
  <c r="G34" i="36"/>
  <c r="C35" i="36"/>
  <c r="AY35" i="36" s="1"/>
  <c r="A36" i="36"/>
  <c r="B36" i="36" s="1"/>
  <c r="AU35" i="36" l="1"/>
  <c r="P34" i="36" a="1"/>
  <c r="P34" i="36" s="1"/>
  <c r="AW34" i="36" a="1"/>
  <c r="AW34" i="36" s="1"/>
  <c r="AV35" i="36"/>
  <c r="AS35" i="36"/>
  <c r="AT35" i="36"/>
  <c r="AI35" i="36"/>
  <c r="AR35" i="36"/>
  <c r="AO34" i="36" a="1"/>
  <c r="AO34" i="36" s="1"/>
  <c r="AG35" i="36"/>
  <c r="Y35" i="36"/>
  <c r="AH35" i="36"/>
  <c r="X35" i="36"/>
  <c r="AJ35" i="36" s="1"/>
  <c r="AB35" i="36"/>
  <c r="AL35" i="36" s="1"/>
  <c r="AC35" i="36"/>
  <c r="AE35" i="36"/>
  <c r="AD35" i="36"/>
  <c r="AM35" i="36" s="1"/>
  <c r="Z35" i="36"/>
  <c r="AK35" i="36" s="1"/>
  <c r="AA35" i="36"/>
  <c r="AF35" i="36"/>
  <c r="AN35" i="36" s="1"/>
  <c r="A37" i="36"/>
  <c r="B37" i="36" s="1"/>
  <c r="C36" i="36"/>
  <c r="AY36" i="36" s="1"/>
  <c r="G35" i="36"/>
  <c r="K35" i="36"/>
  <c r="O35" i="36"/>
  <c r="E35" i="36"/>
  <c r="J35" i="36"/>
  <c r="F35" i="36"/>
  <c r="L35" i="36"/>
  <c r="D35" i="36"/>
  <c r="N35" i="36"/>
  <c r="M35" i="36"/>
  <c r="H35" i="36"/>
  <c r="I35" i="36"/>
  <c r="AU36" i="36" l="1"/>
  <c r="P35" i="36" a="1"/>
  <c r="P35" i="36" s="1"/>
  <c r="AW35" i="36" a="1"/>
  <c r="AW35" i="36" s="1"/>
  <c r="AV36" i="36"/>
  <c r="AS36" i="36"/>
  <c r="AT36" i="36"/>
  <c r="AI36" i="36"/>
  <c r="AR36" i="36"/>
  <c r="AO35" i="36" a="1"/>
  <c r="AO35" i="36" s="1"/>
  <c r="AF36" i="36"/>
  <c r="AN36" i="36" s="1"/>
  <c r="X36" i="36"/>
  <c r="AJ36" i="36" s="1"/>
  <c r="AH36" i="36"/>
  <c r="AC36" i="36"/>
  <c r="Y36" i="36"/>
  <c r="AE36" i="36"/>
  <c r="AD36" i="36"/>
  <c r="AM36" i="36" s="1"/>
  <c r="AB36" i="36"/>
  <c r="AL36" i="36" s="1"/>
  <c r="Z36" i="36"/>
  <c r="AK36" i="36" s="1"/>
  <c r="AA36" i="36"/>
  <c r="AG36" i="36"/>
  <c r="D36" i="36"/>
  <c r="H36" i="36"/>
  <c r="L36" i="36"/>
  <c r="F36" i="36"/>
  <c r="K36" i="36"/>
  <c r="G36" i="36"/>
  <c r="M36" i="36"/>
  <c r="J36" i="36"/>
  <c r="I36" i="36"/>
  <c r="N36" i="36"/>
  <c r="E36" i="36"/>
  <c r="O36" i="36"/>
  <c r="A38" i="36"/>
  <c r="B38" i="36" s="1"/>
  <c r="C37" i="36"/>
  <c r="AY37" i="36" s="1"/>
  <c r="AU37" i="36" l="1"/>
  <c r="P36" i="36" a="1"/>
  <c r="P36" i="36" s="1"/>
  <c r="AW36" i="36" a="1"/>
  <c r="AW36" i="36" s="1"/>
  <c r="AV37" i="36"/>
  <c r="AS37" i="36"/>
  <c r="AT37" i="36"/>
  <c r="AG37" i="36"/>
  <c r="AI37" i="36"/>
  <c r="AR37" i="36"/>
  <c r="AO36" i="36" a="1"/>
  <c r="AO36" i="36" s="1"/>
  <c r="AC37" i="36"/>
  <c r="AB37" i="36"/>
  <c r="AL37" i="36" s="1"/>
  <c r="AH37" i="36"/>
  <c r="AD37" i="36"/>
  <c r="AM37" i="36" s="1"/>
  <c r="X37" i="36"/>
  <c r="AJ37" i="36" s="1"/>
  <c r="Y37" i="36"/>
  <c r="AE37" i="36"/>
  <c r="Z37" i="36"/>
  <c r="AK37" i="36" s="1"/>
  <c r="AA37" i="36"/>
  <c r="AF37" i="36"/>
  <c r="AN37" i="36" s="1"/>
  <c r="E37" i="36"/>
  <c r="I37" i="36"/>
  <c r="M37" i="36"/>
  <c r="G37" i="36"/>
  <c r="L37" i="36"/>
  <c r="H37" i="36"/>
  <c r="N37" i="36"/>
  <c r="F37" i="36"/>
  <c r="D37" i="36"/>
  <c r="J37" i="36"/>
  <c r="K37" i="36"/>
  <c r="O37" i="36"/>
  <c r="C38" i="36"/>
  <c r="AY38" i="36" s="1"/>
  <c r="A39" i="36"/>
  <c r="B39" i="36" s="1"/>
  <c r="AU38" i="36" l="1"/>
  <c r="P37" i="36" a="1"/>
  <c r="P37" i="36" s="1"/>
  <c r="AW37" i="36" a="1"/>
  <c r="AW37" i="36" s="1"/>
  <c r="AV38" i="36"/>
  <c r="AS38" i="36"/>
  <c r="AT38" i="36"/>
  <c r="AI38" i="36"/>
  <c r="AR38" i="36"/>
  <c r="AO37" i="36" a="1"/>
  <c r="AO37" i="36" s="1"/>
  <c r="AF38" i="36"/>
  <c r="AN38" i="36" s="1"/>
  <c r="X38" i="36"/>
  <c r="AJ38" i="36" s="1"/>
  <c r="Y38" i="36"/>
  <c r="AD38" i="36"/>
  <c r="AM38" i="36" s="1"/>
  <c r="AB38" i="36"/>
  <c r="AL38" i="36" s="1"/>
  <c r="AC38" i="36"/>
  <c r="AH38" i="36"/>
  <c r="AE38" i="36"/>
  <c r="Z38" i="36"/>
  <c r="AK38" i="36" s="1"/>
  <c r="AA38" i="36"/>
  <c r="AG38" i="36"/>
  <c r="C39" i="36"/>
  <c r="AY39" i="36" s="1"/>
  <c r="A40" i="36"/>
  <c r="B40" i="36" s="1"/>
  <c r="F38" i="36"/>
  <c r="J38" i="36"/>
  <c r="N38" i="36"/>
  <c r="H38" i="36"/>
  <c r="M38" i="36"/>
  <c r="D38" i="36"/>
  <c r="I38" i="36"/>
  <c r="O38" i="36"/>
  <c r="L38" i="36"/>
  <c r="K38" i="36"/>
  <c r="E38" i="36"/>
  <c r="G38" i="36"/>
  <c r="P38" i="36" l="1" a="1"/>
  <c r="P38" i="36" s="1"/>
  <c r="AW38" i="36" a="1"/>
  <c r="AW38" i="36" s="1"/>
  <c r="AU39" i="36"/>
  <c r="AV39" i="36"/>
  <c r="AS39" i="36"/>
  <c r="AT39" i="36"/>
  <c r="AI39" i="36"/>
  <c r="AR39" i="36"/>
  <c r="AO38" i="36" a="1"/>
  <c r="AO38" i="36" s="1"/>
  <c r="X39" i="36"/>
  <c r="AJ39" i="36" s="1"/>
  <c r="AC39" i="36"/>
  <c r="AD39" i="36"/>
  <c r="AM39" i="36" s="1"/>
  <c r="AG39" i="36"/>
  <c r="AF39" i="36"/>
  <c r="AN39" i="36" s="1"/>
  <c r="Y39" i="36"/>
  <c r="AB39" i="36"/>
  <c r="AL39" i="36" s="1"/>
  <c r="AH39" i="36"/>
  <c r="AE39" i="36"/>
  <c r="Z39" i="36"/>
  <c r="AK39" i="36" s="1"/>
  <c r="AA39" i="36"/>
  <c r="A41" i="36"/>
  <c r="B41" i="36" s="1"/>
  <c r="C40" i="36"/>
  <c r="AY40" i="36" s="1"/>
  <c r="G39" i="36"/>
  <c r="K39" i="36"/>
  <c r="O39" i="36"/>
  <c r="D39" i="36"/>
  <c r="I39" i="36"/>
  <c r="N39" i="36"/>
  <c r="E39" i="36"/>
  <c r="J39" i="36"/>
  <c r="H39" i="36"/>
  <c r="L39" i="36"/>
  <c r="M39" i="36"/>
  <c r="F39" i="36"/>
  <c r="P39" i="36" l="1" a="1"/>
  <c r="P39" i="36" s="1"/>
  <c r="AW39" i="36" a="1"/>
  <c r="AW39" i="36" s="1"/>
  <c r="AU40" i="36"/>
  <c r="AV40" i="36"/>
  <c r="AS40" i="36"/>
  <c r="AT40" i="36"/>
  <c r="AI40" i="36"/>
  <c r="AR40" i="36"/>
  <c r="AO39" i="36" a="1"/>
  <c r="AO39" i="36" s="1"/>
  <c r="AB40" i="36"/>
  <c r="AL40" i="36" s="1"/>
  <c r="AC40" i="36"/>
  <c r="Y40" i="36"/>
  <c r="AG40" i="36"/>
  <c r="AD40" i="36"/>
  <c r="AM40" i="36" s="1"/>
  <c r="AE40" i="36"/>
  <c r="AH40" i="36"/>
  <c r="X40" i="36"/>
  <c r="AJ40" i="36" s="1"/>
  <c r="AF40" i="36"/>
  <c r="AN40" i="36" s="1"/>
  <c r="Z40" i="36"/>
  <c r="AK40" i="36" s="1"/>
  <c r="AA40" i="36"/>
  <c r="D40" i="36"/>
  <c r="H40" i="36"/>
  <c r="L40" i="36"/>
  <c r="E40" i="36"/>
  <c r="J40" i="36"/>
  <c r="O40" i="36"/>
  <c r="F40" i="36"/>
  <c r="K40" i="36"/>
  <c r="N40" i="36"/>
  <c r="M40" i="36"/>
  <c r="G40" i="36"/>
  <c r="I40" i="36"/>
  <c r="A42" i="36"/>
  <c r="B42" i="36" s="1"/>
  <c r="C41" i="36"/>
  <c r="AY41" i="36" s="1"/>
  <c r="P40" i="36" l="1" a="1"/>
  <c r="P40" i="36" s="1"/>
  <c r="AW40" i="36" a="1"/>
  <c r="AW40" i="36" s="1"/>
  <c r="AU41" i="36"/>
  <c r="AV41" i="36"/>
  <c r="AS41" i="36"/>
  <c r="AT41" i="36"/>
  <c r="AI41" i="36"/>
  <c r="AR41" i="36"/>
  <c r="AO40" i="36" a="1"/>
  <c r="AO40" i="36" s="1"/>
  <c r="Y41" i="36"/>
  <c r="X41" i="36"/>
  <c r="AJ41" i="36" s="1"/>
  <c r="AF41" i="36"/>
  <c r="AN41" i="36" s="1"/>
  <c r="AH41" i="36"/>
  <c r="AC41" i="36"/>
  <c r="AE41" i="36"/>
  <c r="AB41" i="36"/>
  <c r="AL41" i="36" s="1"/>
  <c r="AD41" i="36"/>
  <c r="AM41" i="36" s="1"/>
  <c r="AG41" i="36"/>
  <c r="AA41" i="36"/>
  <c r="Z41" i="36"/>
  <c r="AK41" i="36" s="1"/>
  <c r="E41" i="36"/>
  <c r="I41" i="36"/>
  <c r="M41" i="36"/>
  <c r="F41" i="36"/>
  <c r="K41" i="36"/>
  <c r="G41" i="36"/>
  <c r="L41" i="36"/>
  <c r="J41" i="36"/>
  <c r="N41" i="36"/>
  <c r="D41" i="36"/>
  <c r="O41" i="36"/>
  <c r="H41" i="36"/>
  <c r="A43" i="36"/>
  <c r="B43" i="36" s="1"/>
  <c r="C42" i="36"/>
  <c r="AY42" i="36" s="1"/>
  <c r="P41" i="36" l="1" a="1"/>
  <c r="P41" i="36" s="1"/>
  <c r="AW41" i="36" a="1"/>
  <c r="AW41" i="36" s="1"/>
  <c r="AU42" i="36"/>
  <c r="AV42" i="36"/>
  <c r="AS42" i="36"/>
  <c r="AT42" i="36"/>
  <c r="AI42" i="36"/>
  <c r="AR42" i="36"/>
  <c r="AO41" i="36" a="1"/>
  <c r="AO41" i="36" s="1"/>
  <c r="AB42" i="36"/>
  <c r="AL42" i="36" s="1"/>
  <c r="AC42" i="36"/>
  <c r="AH42" i="36"/>
  <c r="AE42" i="36"/>
  <c r="Y42" i="36"/>
  <c r="AD42" i="36"/>
  <c r="AM42" i="36" s="1"/>
  <c r="AF42" i="36"/>
  <c r="AN42" i="36" s="1"/>
  <c r="AG42" i="36"/>
  <c r="X42" i="36"/>
  <c r="AJ42" i="36" s="1"/>
  <c r="AA42" i="36"/>
  <c r="Z42" i="36"/>
  <c r="AK42" i="36" s="1"/>
  <c r="F42" i="36"/>
  <c r="J42" i="36"/>
  <c r="N42" i="36"/>
  <c r="G42" i="36"/>
  <c r="L42" i="36"/>
  <c r="H42" i="36"/>
  <c r="M42" i="36"/>
  <c r="E42" i="36"/>
  <c r="D42" i="36"/>
  <c r="I42" i="36"/>
  <c r="K42" i="36"/>
  <c r="O42" i="36"/>
  <c r="C43" i="36"/>
  <c r="AY43" i="36" s="1"/>
  <c r="A44" i="36"/>
  <c r="B44" i="36" s="1"/>
  <c r="P42" i="36" l="1" a="1"/>
  <c r="P42" i="36" s="1"/>
  <c r="AW42" i="36" a="1"/>
  <c r="AW42" i="36" s="1"/>
  <c r="AU43" i="36"/>
  <c r="AV43" i="36"/>
  <c r="AS43" i="36"/>
  <c r="AT43" i="36"/>
  <c r="AI43" i="36"/>
  <c r="AR43" i="36"/>
  <c r="AO42" i="36" a="1"/>
  <c r="AO42" i="36" s="1"/>
  <c r="AH43" i="36"/>
  <c r="AG43" i="36"/>
  <c r="AB43" i="36"/>
  <c r="AL43" i="36" s="1"/>
  <c r="Y43" i="36"/>
  <c r="AF43" i="36"/>
  <c r="AN43" i="36" s="1"/>
  <c r="AC43" i="36"/>
  <c r="AE43" i="36"/>
  <c r="AD43" i="36"/>
  <c r="AM43" i="36" s="1"/>
  <c r="X43" i="36"/>
  <c r="AJ43" i="36" s="1"/>
  <c r="Z43" i="36"/>
  <c r="AK43" i="36" s="1"/>
  <c r="AA43" i="36"/>
  <c r="C44" i="36"/>
  <c r="AY44" i="36" s="1"/>
  <c r="A45" i="36"/>
  <c r="B45" i="36" s="1"/>
  <c r="G43" i="36"/>
  <c r="K43" i="36"/>
  <c r="O43" i="36"/>
  <c r="H43" i="36"/>
  <c r="M43" i="36"/>
  <c r="D43" i="36"/>
  <c r="I43" i="36"/>
  <c r="N43" i="36"/>
  <c r="L43" i="36"/>
  <c r="J43" i="36"/>
  <c r="E43" i="36"/>
  <c r="F43" i="36"/>
  <c r="P43" i="36" l="1" a="1"/>
  <c r="P43" i="36" s="1"/>
  <c r="AW43" i="36" a="1"/>
  <c r="AW43" i="36" s="1"/>
  <c r="AU44" i="36"/>
  <c r="AV44" i="36"/>
  <c r="AS44" i="36"/>
  <c r="AT44" i="36"/>
  <c r="AI44" i="36"/>
  <c r="AR44" i="36"/>
  <c r="AO43" i="36" a="1"/>
  <c r="AO43" i="36" s="1"/>
  <c r="AH44" i="36"/>
  <c r="X44" i="36"/>
  <c r="AJ44" i="36" s="1"/>
  <c r="AG44" i="36"/>
  <c r="Y44" i="36"/>
  <c r="AD44" i="36"/>
  <c r="AM44" i="36" s="1"/>
  <c r="AB44" i="36"/>
  <c r="AL44" i="36" s="1"/>
  <c r="AF44" i="36"/>
  <c r="AN44" i="36" s="1"/>
  <c r="AC44" i="36"/>
  <c r="AE44" i="36"/>
  <c r="Z44" i="36"/>
  <c r="AK44" i="36" s="1"/>
  <c r="AA44" i="36"/>
  <c r="A46" i="36"/>
  <c r="B46" i="36" s="1"/>
  <c r="C45" i="36"/>
  <c r="AY45" i="36" s="1"/>
  <c r="D44" i="36"/>
  <c r="H44" i="36"/>
  <c r="L44" i="36"/>
  <c r="I44" i="36"/>
  <c r="N44" i="36"/>
  <c r="E44" i="36"/>
  <c r="J44" i="36"/>
  <c r="O44" i="36"/>
  <c r="G44" i="36"/>
  <c r="K44" i="36"/>
  <c r="M44" i="36"/>
  <c r="F44" i="36"/>
  <c r="P44" i="36" l="1" a="1"/>
  <c r="P44" i="36" s="1"/>
  <c r="AW44" i="36" a="1"/>
  <c r="AW44" i="36" s="1"/>
  <c r="AU45" i="36"/>
  <c r="AV45" i="36"/>
  <c r="AS45" i="36"/>
  <c r="AT45" i="36"/>
  <c r="AI45" i="36"/>
  <c r="AR45" i="36"/>
  <c r="AO44" i="36" a="1"/>
  <c r="AO44" i="36" s="1"/>
  <c r="AB45" i="36"/>
  <c r="AL45" i="36" s="1"/>
  <c r="AH45" i="36"/>
  <c r="AC45" i="36"/>
  <c r="AG45" i="36"/>
  <c r="AE45" i="36"/>
  <c r="Y45" i="36"/>
  <c r="AF45" i="36"/>
  <c r="AN45" i="36" s="1"/>
  <c r="AD45" i="36"/>
  <c r="AM45" i="36" s="1"/>
  <c r="X45" i="36"/>
  <c r="AJ45" i="36" s="1"/>
  <c r="Z45" i="36"/>
  <c r="AK45" i="36" s="1"/>
  <c r="AA45" i="36"/>
  <c r="E45" i="36"/>
  <c r="I45" i="36"/>
  <c r="M45" i="36"/>
  <c r="D45" i="36"/>
  <c r="J45" i="36"/>
  <c r="F45" i="36"/>
  <c r="K45" i="36"/>
  <c r="N45" i="36"/>
  <c r="G45" i="36"/>
  <c r="O45" i="36"/>
  <c r="H45" i="36"/>
  <c r="L45" i="36"/>
  <c r="A47" i="36"/>
  <c r="B47" i="36" s="1"/>
  <c r="C46" i="36"/>
  <c r="AY46" i="36" s="1"/>
  <c r="P45" i="36" l="1" a="1"/>
  <c r="P45" i="36" s="1"/>
  <c r="AW45" i="36" a="1"/>
  <c r="AW45" i="36" s="1"/>
  <c r="AU46" i="36"/>
  <c r="AV46" i="36"/>
  <c r="AS46" i="36"/>
  <c r="AT46" i="36"/>
  <c r="AI46" i="36"/>
  <c r="AR46" i="36"/>
  <c r="AO45" i="36" a="1"/>
  <c r="AO45" i="36" s="1"/>
  <c r="Y46" i="36"/>
  <c r="X46" i="36"/>
  <c r="AJ46" i="36" s="1"/>
  <c r="AF46" i="36"/>
  <c r="AN46" i="36" s="1"/>
  <c r="AB46" i="36"/>
  <c r="AL46" i="36" s="1"/>
  <c r="AC46" i="36"/>
  <c r="AH46" i="36"/>
  <c r="AG46" i="36"/>
  <c r="AE46" i="36"/>
  <c r="AD46" i="36"/>
  <c r="AM46" i="36" s="1"/>
  <c r="Z46" i="36"/>
  <c r="AK46" i="36" s="1"/>
  <c r="AA46" i="36"/>
  <c r="F46" i="36"/>
  <c r="J46" i="36"/>
  <c r="N46" i="36"/>
  <c r="G46" i="36"/>
  <c r="L46" i="36"/>
  <c r="E46" i="36"/>
  <c r="M46" i="36"/>
  <c r="D46" i="36"/>
  <c r="H46" i="36"/>
  <c r="O46" i="36"/>
  <c r="I46" i="36"/>
  <c r="K46" i="36"/>
  <c r="C47" i="36"/>
  <c r="AY47" i="36" s="1"/>
  <c r="A48" i="36"/>
  <c r="B48" i="36" s="1"/>
  <c r="P46" i="36" l="1" a="1"/>
  <c r="P46" i="36" s="1"/>
  <c r="AW46" i="36" a="1"/>
  <c r="AW46" i="36" s="1"/>
  <c r="AU47" i="36"/>
  <c r="AV47" i="36"/>
  <c r="AS47" i="36"/>
  <c r="AT47" i="36"/>
  <c r="AI47" i="36"/>
  <c r="AR47" i="36"/>
  <c r="AO46" i="36" a="1"/>
  <c r="AO46" i="36" s="1"/>
  <c r="AB47" i="36"/>
  <c r="AL47" i="36" s="1"/>
  <c r="X47" i="36"/>
  <c r="AJ47" i="36" s="1"/>
  <c r="AC47" i="36"/>
  <c r="AE47" i="36"/>
  <c r="Y47" i="36"/>
  <c r="AH47" i="36"/>
  <c r="AD47" i="36"/>
  <c r="AM47" i="36" s="1"/>
  <c r="AG47" i="36"/>
  <c r="AF47" i="36"/>
  <c r="AN47" i="36" s="1"/>
  <c r="AA47" i="36"/>
  <c r="Z47" i="36"/>
  <c r="AK47" i="36" s="1"/>
  <c r="C48" i="36"/>
  <c r="AY48" i="36" s="1"/>
  <c r="A49" i="36"/>
  <c r="B49" i="36" s="1"/>
  <c r="G47" i="36"/>
  <c r="K47" i="36"/>
  <c r="O47" i="36"/>
  <c r="H47" i="36"/>
  <c r="M47" i="36"/>
  <c r="E47" i="36"/>
  <c r="L47" i="36"/>
  <c r="D47" i="36"/>
  <c r="F47" i="36"/>
  <c r="N47" i="36"/>
  <c r="I47" i="36"/>
  <c r="J47" i="36"/>
  <c r="P47" i="36" l="1" a="1"/>
  <c r="P47" i="36" s="1"/>
  <c r="AW47" i="36" a="1"/>
  <c r="AW47" i="36" s="1"/>
  <c r="AU48" i="36"/>
  <c r="AV48" i="36"/>
  <c r="AS48" i="36"/>
  <c r="AT48" i="36"/>
  <c r="AI48" i="36"/>
  <c r="AR48" i="36"/>
  <c r="AO47" i="36" a="1"/>
  <c r="AO47" i="36" s="1"/>
  <c r="Y48" i="36"/>
  <c r="AB48" i="36"/>
  <c r="AL48" i="36" s="1"/>
  <c r="AC48" i="36"/>
  <c r="AF48" i="36"/>
  <c r="AN48" i="36" s="1"/>
  <c r="AE48" i="36"/>
  <c r="AH48" i="36"/>
  <c r="X48" i="36"/>
  <c r="AJ48" i="36" s="1"/>
  <c r="AG48" i="36"/>
  <c r="AD48" i="36"/>
  <c r="AM48" i="36" s="1"/>
  <c r="AA48" i="36"/>
  <c r="Z48" i="36"/>
  <c r="AK48" i="36" s="1"/>
  <c r="A50" i="36"/>
  <c r="B50" i="36" s="1"/>
  <c r="C49" i="36"/>
  <c r="AY49" i="36" s="1"/>
  <c r="D48" i="36"/>
  <c r="H48" i="36"/>
  <c r="L48" i="36"/>
  <c r="I48" i="36"/>
  <c r="N48" i="36"/>
  <c r="E48" i="36"/>
  <c r="K48" i="36"/>
  <c r="F48" i="36"/>
  <c r="M48" i="36"/>
  <c r="G48" i="36"/>
  <c r="O48" i="36"/>
  <c r="J48" i="36"/>
  <c r="P48" i="36" l="1" a="1"/>
  <c r="P48" i="36" s="1"/>
  <c r="AW48" i="36" a="1"/>
  <c r="AW48" i="36" s="1"/>
  <c r="AU49" i="36"/>
  <c r="AV49" i="36"/>
  <c r="AS49" i="36"/>
  <c r="AT49" i="36"/>
  <c r="AI49" i="36"/>
  <c r="AR49" i="36"/>
  <c r="AO48" i="36" a="1"/>
  <c r="AO48" i="36" s="1"/>
  <c r="Y49" i="36"/>
  <c r="AF49" i="36"/>
  <c r="AN49" i="36" s="1"/>
  <c r="X49" i="36"/>
  <c r="AJ49" i="36" s="1"/>
  <c r="AC49" i="36"/>
  <c r="AE49" i="36"/>
  <c r="AD49" i="36"/>
  <c r="AM49" i="36" s="1"/>
  <c r="AB49" i="36"/>
  <c r="AL49" i="36" s="1"/>
  <c r="AG49" i="36"/>
  <c r="AH49" i="36"/>
  <c r="Z49" i="36"/>
  <c r="AK49" i="36" s="1"/>
  <c r="AA49" i="36"/>
  <c r="E49" i="36"/>
  <c r="I49" i="36"/>
  <c r="M49" i="36"/>
  <c r="D49" i="36"/>
  <c r="J49" i="36"/>
  <c r="O49" i="36"/>
  <c r="K49" i="36"/>
  <c r="F49" i="36"/>
  <c r="L49" i="36"/>
  <c r="G49" i="36"/>
  <c r="N49" i="36"/>
  <c r="H49" i="36"/>
  <c r="C50" i="36"/>
  <c r="AY50" i="36" s="1"/>
  <c r="A51" i="36"/>
  <c r="B51" i="36" s="1"/>
  <c r="P49" i="36" l="1" a="1"/>
  <c r="P49" i="36" s="1"/>
  <c r="AW49" i="36" a="1"/>
  <c r="AW49" i="36" s="1"/>
  <c r="AU50" i="36"/>
  <c r="AV50" i="36"/>
  <c r="AS50" i="36"/>
  <c r="AT50" i="36"/>
  <c r="AI50" i="36"/>
  <c r="AR50" i="36"/>
  <c r="AO49" i="36" a="1"/>
  <c r="AO49" i="36" s="1"/>
  <c r="AB50" i="36"/>
  <c r="AL50" i="36" s="1"/>
  <c r="AC50" i="36"/>
  <c r="AH50" i="36"/>
  <c r="AG50" i="36"/>
  <c r="AE50" i="36"/>
  <c r="X50" i="36"/>
  <c r="AJ50" i="36" s="1"/>
  <c r="AD50" i="36"/>
  <c r="AM50" i="36" s="1"/>
  <c r="Y50" i="36"/>
  <c r="AF50" i="36"/>
  <c r="AN50" i="36" s="1"/>
  <c r="AA50" i="36"/>
  <c r="Z50" i="36"/>
  <c r="AK50" i="36" s="1"/>
  <c r="C51" i="36"/>
  <c r="AY51" i="36" s="1"/>
  <c r="A52" i="36"/>
  <c r="B52" i="36" s="1"/>
  <c r="F50" i="36"/>
  <c r="J50" i="36"/>
  <c r="N50" i="36"/>
  <c r="E50" i="36"/>
  <c r="K50" i="36"/>
  <c r="I50" i="36"/>
  <c r="D50" i="36"/>
  <c r="L50" i="36"/>
  <c r="G50" i="36"/>
  <c r="M50" i="36"/>
  <c r="H50" i="36"/>
  <c r="O50" i="36"/>
  <c r="P50" i="36" l="1" a="1"/>
  <c r="P50" i="36" s="1"/>
  <c r="AW50" i="36" a="1"/>
  <c r="AW50" i="36" s="1"/>
  <c r="AU51" i="36"/>
  <c r="AV51" i="36"/>
  <c r="AS51" i="36"/>
  <c r="AT51" i="36"/>
  <c r="AI51" i="36"/>
  <c r="AR51" i="36"/>
  <c r="AO50" i="36" a="1"/>
  <c r="AO50" i="36" s="1"/>
  <c r="Y51" i="36"/>
  <c r="AH51" i="36"/>
  <c r="AG51" i="36"/>
  <c r="AB51" i="36"/>
  <c r="AL51" i="36" s="1"/>
  <c r="AC51" i="36"/>
  <c r="AE51" i="36"/>
  <c r="AD51" i="36"/>
  <c r="AM51" i="36" s="1"/>
  <c r="X51" i="36"/>
  <c r="AJ51" i="36" s="1"/>
  <c r="AF51" i="36"/>
  <c r="AN51" i="36" s="1"/>
  <c r="Z51" i="36"/>
  <c r="AK51" i="36" s="1"/>
  <c r="AA51" i="36"/>
  <c r="C52" i="36"/>
  <c r="AY52" i="36" s="1"/>
  <c r="A53" i="36"/>
  <c r="B53" i="36" s="1"/>
  <c r="G51" i="36"/>
  <c r="K51" i="36"/>
  <c r="O51" i="36"/>
  <c r="F51" i="36"/>
  <c r="L51" i="36"/>
  <c r="I51" i="36"/>
  <c r="D51" i="36"/>
  <c r="J51" i="36"/>
  <c r="E51" i="36"/>
  <c r="M51" i="36"/>
  <c r="H51" i="36"/>
  <c r="N51" i="36"/>
  <c r="P51" i="36" l="1" a="1"/>
  <c r="P51" i="36" s="1"/>
  <c r="AW51" i="36" a="1"/>
  <c r="AW51" i="36" s="1"/>
  <c r="AU52" i="36"/>
  <c r="AV52" i="36"/>
  <c r="AS52" i="36"/>
  <c r="AT52" i="36"/>
  <c r="AI52" i="36"/>
  <c r="AR52" i="36"/>
  <c r="AO51" i="36" a="1"/>
  <c r="AO51" i="36" s="1"/>
  <c r="X52" i="36"/>
  <c r="AJ52" i="36" s="1"/>
  <c r="AH52" i="36"/>
  <c r="AB52" i="36"/>
  <c r="AL52" i="36" s="1"/>
  <c r="AF52" i="36"/>
  <c r="AN52" i="36" s="1"/>
  <c r="AC52" i="36"/>
  <c r="AG52" i="36"/>
  <c r="AE52" i="36"/>
  <c r="AD52" i="36"/>
  <c r="AM52" i="36" s="1"/>
  <c r="Y52" i="36"/>
  <c r="AA52" i="36"/>
  <c r="Z52" i="36"/>
  <c r="AK52" i="36" s="1"/>
  <c r="A54" i="36"/>
  <c r="B54" i="36" s="1"/>
  <c r="C53" i="36"/>
  <c r="AY53" i="36" s="1"/>
  <c r="D52" i="36"/>
  <c r="H52" i="36"/>
  <c r="L52" i="36"/>
  <c r="G52" i="36"/>
  <c r="M52" i="36"/>
  <c r="I52" i="36"/>
  <c r="O52" i="36"/>
  <c r="F52" i="36"/>
  <c r="J52" i="36"/>
  <c r="E52" i="36"/>
  <c r="K52" i="36"/>
  <c r="N52" i="36"/>
  <c r="P52" i="36" l="1" a="1"/>
  <c r="P52" i="36" s="1"/>
  <c r="AW52" i="36" a="1"/>
  <c r="AW52" i="36" s="1"/>
  <c r="AU53" i="36"/>
  <c r="AV53" i="36"/>
  <c r="AS53" i="36"/>
  <c r="AT53" i="36"/>
  <c r="AI53" i="36"/>
  <c r="AR53" i="36"/>
  <c r="AO52" i="36" a="1"/>
  <c r="AO52" i="36" s="1"/>
  <c r="AC53" i="36"/>
  <c r="AB53" i="36"/>
  <c r="AL53" i="36" s="1"/>
  <c r="AF53" i="36"/>
  <c r="AN53" i="36" s="1"/>
  <c r="AH53" i="36"/>
  <c r="AD53" i="36"/>
  <c r="AM53" i="36" s="1"/>
  <c r="X53" i="36"/>
  <c r="AJ53" i="36" s="1"/>
  <c r="AG53" i="36"/>
  <c r="Y53" i="36"/>
  <c r="AE53" i="36"/>
  <c r="Z53" i="36"/>
  <c r="AK53" i="36" s="1"/>
  <c r="AA53" i="36"/>
  <c r="E53" i="36"/>
  <c r="I53" i="36"/>
  <c r="M53" i="36"/>
  <c r="H53" i="36"/>
  <c r="N53" i="36"/>
  <c r="G53" i="36"/>
  <c r="O53" i="36"/>
  <c r="L53" i="36"/>
  <c r="J53" i="36"/>
  <c r="D53" i="36"/>
  <c r="K53" i="36"/>
  <c r="F53" i="36"/>
  <c r="C54" i="36"/>
  <c r="AY54" i="36" s="1"/>
  <c r="A55" i="36"/>
  <c r="B55" i="36" s="1"/>
  <c r="P53" i="36" l="1" a="1"/>
  <c r="P53" i="36" s="1"/>
  <c r="AW53" i="36" a="1"/>
  <c r="AW53" i="36" s="1"/>
  <c r="AU54" i="36"/>
  <c r="AV54" i="36"/>
  <c r="AS54" i="36"/>
  <c r="AT54" i="36"/>
  <c r="AI54" i="36"/>
  <c r="AR54" i="36"/>
  <c r="AO53" i="36" a="1"/>
  <c r="AO53" i="36" s="1"/>
  <c r="X54" i="36"/>
  <c r="AJ54" i="36" s="1"/>
  <c r="Y54" i="36"/>
  <c r="AG54" i="36"/>
  <c r="AF54" i="36"/>
  <c r="AN54" i="36" s="1"/>
  <c r="AB54" i="36"/>
  <c r="AL54" i="36" s="1"/>
  <c r="AC54" i="36"/>
  <c r="AH54" i="36"/>
  <c r="Z54" i="36"/>
  <c r="AK54" i="36" s="1"/>
  <c r="AA54" i="36"/>
  <c r="AE54" i="36"/>
  <c r="AD54" i="36"/>
  <c r="AM54" i="36" s="1"/>
  <c r="C55" i="36"/>
  <c r="AY55" i="36" s="1"/>
  <c r="A56" i="36"/>
  <c r="B56" i="36" s="1"/>
  <c r="F54" i="36"/>
  <c r="J54" i="36"/>
  <c r="N54" i="36"/>
  <c r="D54" i="36"/>
  <c r="I54" i="36"/>
  <c r="O54" i="36"/>
  <c r="G54" i="36"/>
  <c r="M54" i="36"/>
  <c r="L54" i="36"/>
  <c r="H54" i="36"/>
  <c r="K54" i="36"/>
  <c r="E54" i="36"/>
  <c r="P54" i="36" l="1" a="1"/>
  <c r="P54" i="36" s="1"/>
  <c r="AW54" i="36" a="1"/>
  <c r="AW54" i="36" s="1"/>
  <c r="AU55" i="36"/>
  <c r="AV55" i="36"/>
  <c r="AS55" i="36"/>
  <c r="AT55" i="36"/>
  <c r="AI55" i="36"/>
  <c r="AR55" i="36"/>
  <c r="AO54" i="36" a="1"/>
  <c r="AO54" i="36" s="1"/>
  <c r="X55" i="36"/>
  <c r="AJ55" i="36" s="1"/>
  <c r="AC55" i="36"/>
  <c r="AD55" i="36"/>
  <c r="AM55" i="36" s="1"/>
  <c r="AH55" i="36"/>
  <c r="AB55" i="36"/>
  <c r="AL55" i="36" s="1"/>
  <c r="AF55" i="36"/>
  <c r="AN55" i="36" s="1"/>
  <c r="AG55" i="36"/>
  <c r="Y55" i="36"/>
  <c r="AE55" i="36"/>
  <c r="Z55" i="36"/>
  <c r="AK55" i="36" s="1"/>
  <c r="AA55" i="36"/>
  <c r="A57" i="36"/>
  <c r="B57" i="36" s="1"/>
  <c r="C56" i="36"/>
  <c r="AY56" i="36" s="1"/>
  <c r="G55" i="36"/>
  <c r="K55" i="36"/>
  <c r="O55" i="36"/>
  <c r="E55" i="36"/>
  <c r="J55" i="36"/>
  <c r="F55" i="36"/>
  <c r="M55" i="36"/>
  <c r="L55" i="36"/>
  <c r="H55" i="36"/>
  <c r="N55" i="36"/>
  <c r="I55" i="36"/>
  <c r="D55" i="36"/>
  <c r="P55" i="36" l="1" a="1"/>
  <c r="P55" i="36" s="1"/>
  <c r="AW55" i="36" a="1"/>
  <c r="AW55" i="36" s="1"/>
  <c r="AU56" i="36"/>
  <c r="AV56" i="36"/>
  <c r="AS56" i="36"/>
  <c r="AT56" i="36"/>
  <c r="AI56" i="36"/>
  <c r="AR56" i="36"/>
  <c r="AO55" i="36" a="1"/>
  <c r="AO55" i="36" s="1"/>
  <c r="X56" i="36"/>
  <c r="AB56" i="36"/>
  <c r="AL56" i="36" s="1"/>
  <c r="AC56" i="36"/>
  <c r="AG56" i="36"/>
  <c r="Y56" i="36"/>
  <c r="AD56" i="36"/>
  <c r="AM56" i="36" s="1"/>
  <c r="AH56" i="36"/>
  <c r="AF56" i="36"/>
  <c r="AN56" i="36" s="1"/>
  <c r="AE56" i="36"/>
  <c r="AA56" i="36"/>
  <c r="Z56" i="36"/>
  <c r="AK56" i="36" s="1"/>
  <c r="D56" i="36"/>
  <c r="H56" i="36"/>
  <c r="L56" i="36"/>
  <c r="F56" i="36"/>
  <c r="K56" i="36"/>
  <c r="E56" i="36"/>
  <c r="M56" i="36"/>
  <c r="J56" i="36"/>
  <c r="G56" i="36"/>
  <c r="N56" i="36"/>
  <c r="I56" i="36"/>
  <c r="O56" i="36"/>
  <c r="A58" i="36"/>
  <c r="B58" i="36" s="1"/>
  <c r="C57" i="36"/>
  <c r="AY57" i="36" s="1"/>
  <c r="AJ56" i="36" l="1"/>
  <c r="AO56" i="36" s="1" a="1"/>
  <c r="AO56" i="36" s="1"/>
  <c r="P56" i="36" a="1"/>
  <c r="P56" i="36" s="1"/>
  <c r="AW56" i="36" a="1"/>
  <c r="AW56" i="36" s="1"/>
  <c r="AU57" i="36"/>
  <c r="AV57" i="36"/>
  <c r="AS57" i="36"/>
  <c r="AT57" i="36"/>
  <c r="AI57" i="36"/>
  <c r="AR57" i="36"/>
  <c r="X57" i="36"/>
  <c r="AJ57" i="36" s="1"/>
  <c r="Y57" i="36"/>
  <c r="AG57" i="36"/>
  <c r="AB57" i="36"/>
  <c r="AL57" i="36" s="1"/>
  <c r="AF57" i="36"/>
  <c r="AN57" i="36" s="1"/>
  <c r="AH57" i="36"/>
  <c r="AE57" i="36"/>
  <c r="AC57" i="36"/>
  <c r="AD57" i="36"/>
  <c r="AM57" i="36" s="1"/>
  <c r="AA57" i="36"/>
  <c r="Z57" i="36"/>
  <c r="AK57" i="36" s="1"/>
  <c r="E57" i="36"/>
  <c r="I57" i="36"/>
  <c r="M57" i="36"/>
  <c r="G57" i="36"/>
  <c r="L57" i="36"/>
  <c r="D57" i="36"/>
  <c r="K57" i="36"/>
  <c r="O57" i="36"/>
  <c r="F57" i="36"/>
  <c r="N57" i="36"/>
  <c r="H57" i="36"/>
  <c r="J57" i="36"/>
  <c r="C58" i="36"/>
  <c r="AY58" i="36" s="1"/>
  <c r="A59" i="36"/>
  <c r="B59" i="36" s="1"/>
  <c r="P57" i="36" l="1" a="1"/>
  <c r="P57" i="36" s="1"/>
  <c r="AW57" i="36" a="1"/>
  <c r="AW57" i="36" s="1"/>
  <c r="AU58" i="36"/>
  <c r="AV58" i="36"/>
  <c r="AS58" i="36"/>
  <c r="AT58" i="36"/>
  <c r="AI58" i="36"/>
  <c r="AR58" i="36"/>
  <c r="AO57" i="36" a="1"/>
  <c r="AO57" i="36" s="1"/>
  <c r="AB58" i="36"/>
  <c r="AL58" i="36" s="1"/>
  <c r="AC58" i="36"/>
  <c r="AH58" i="36"/>
  <c r="AD58" i="36"/>
  <c r="AM58" i="36" s="1"/>
  <c r="AE58" i="36"/>
  <c r="X58" i="36"/>
  <c r="AJ58" i="36" s="1"/>
  <c r="Y58" i="36"/>
  <c r="AF58" i="36"/>
  <c r="AN58" i="36" s="1"/>
  <c r="AG58" i="36"/>
  <c r="Z58" i="36"/>
  <c r="AK58" i="36" s="1"/>
  <c r="AA58" i="36"/>
  <c r="C59" i="36"/>
  <c r="AY59" i="36" s="1"/>
  <c r="A60" i="36"/>
  <c r="B60" i="36" s="1"/>
  <c r="F58" i="36"/>
  <c r="J58" i="36"/>
  <c r="N58" i="36"/>
  <c r="H58" i="36"/>
  <c r="M58" i="36"/>
  <c r="D58" i="36"/>
  <c r="K58" i="36"/>
  <c r="E58" i="36"/>
  <c r="L58" i="36"/>
  <c r="G58" i="36"/>
  <c r="O58" i="36"/>
  <c r="I58" i="36"/>
  <c r="P58" i="36" l="1" a="1"/>
  <c r="P58" i="36" s="1"/>
  <c r="AW58" i="36" a="1"/>
  <c r="AW58" i="36" s="1"/>
  <c r="AU59" i="36"/>
  <c r="AV59" i="36"/>
  <c r="AS59" i="36"/>
  <c r="AT59" i="36"/>
  <c r="AI59" i="36"/>
  <c r="AR59" i="36"/>
  <c r="AO58" i="36" a="1"/>
  <c r="AO58" i="36" s="1"/>
  <c r="AB59" i="36"/>
  <c r="AL59" i="36" s="1"/>
  <c r="AH59" i="36"/>
  <c r="AG59" i="36"/>
  <c r="Y59" i="36"/>
  <c r="AF59" i="36"/>
  <c r="AN59" i="36" s="1"/>
  <c r="X59" i="36"/>
  <c r="AJ59" i="36" s="1"/>
  <c r="AE59" i="36"/>
  <c r="AC59" i="36"/>
  <c r="AD59" i="36"/>
  <c r="AM59" i="36" s="1"/>
  <c r="Z59" i="36"/>
  <c r="AK59" i="36" s="1"/>
  <c r="AA59" i="36"/>
  <c r="A61" i="36"/>
  <c r="B61" i="36" s="1"/>
  <c r="C60" i="36"/>
  <c r="AY60" i="36" s="1"/>
  <c r="G59" i="36"/>
  <c r="K59" i="36"/>
  <c r="O59" i="36"/>
  <c r="D59" i="36"/>
  <c r="I59" i="36"/>
  <c r="N59" i="36"/>
  <c r="J59" i="36"/>
  <c r="M59" i="36"/>
  <c r="H59" i="36"/>
  <c r="E59" i="36"/>
  <c r="L59" i="36"/>
  <c r="F59" i="36"/>
  <c r="P59" i="36" l="1" a="1"/>
  <c r="P59" i="36" s="1"/>
  <c r="AW59" i="36" a="1"/>
  <c r="AW59" i="36" s="1"/>
  <c r="AU60" i="36"/>
  <c r="AV60" i="36"/>
  <c r="AS60" i="36"/>
  <c r="AT60" i="36"/>
  <c r="AI60" i="36"/>
  <c r="AR60" i="36"/>
  <c r="AO59" i="36" a="1"/>
  <c r="AO59" i="36" s="1"/>
  <c r="AH60" i="36"/>
  <c r="AE60" i="36"/>
  <c r="X60" i="36"/>
  <c r="AJ60" i="36" s="1"/>
  <c r="AC60" i="36"/>
  <c r="AD60" i="36"/>
  <c r="AM60" i="36" s="1"/>
  <c r="Y60" i="36"/>
  <c r="AG60" i="36"/>
  <c r="AB60" i="36"/>
  <c r="AL60" i="36" s="1"/>
  <c r="AF60" i="36"/>
  <c r="AN60" i="36" s="1"/>
  <c r="Z60" i="36"/>
  <c r="AK60" i="36" s="1"/>
  <c r="AA60" i="36"/>
  <c r="D60" i="36"/>
  <c r="H60" i="36"/>
  <c r="E60" i="36"/>
  <c r="J60" i="36"/>
  <c r="N60" i="36"/>
  <c r="I60" i="36"/>
  <c r="O60" i="36"/>
  <c r="K60" i="36"/>
  <c r="F60" i="36"/>
  <c r="L60" i="36"/>
  <c r="G60" i="36"/>
  <c r="M60" i="36"/>
  <c r="C61" i="36"/>
  <c r="AY61" i="36" s="1"/>
  <c r="A62" i="36"/>
  <c r="B62" i="36" s="1"/>
  <c r="P60" i="36" l="1" a="1"/>
  <c r="P60" i="36" s="1"/>
  <c r="AW60" i="36" a="1"/>
  <c r="AW60" i="36" s="1"/>
  <c r="AU61" i="36"/>
  <c r="AV61" i="36"/>
  <c r="AS61" i="36"/>
  <c r="AT61" i="36"/>
  <c r="AI61" i="36"/>
  <c r="AR61" i="36"/>
  <c r="AO60" i="36" a="1"/>
  <c r="AO60" i="36" s="1"/>
  <c r="AB61" i="36"/>
  <c r="AL61" i="36" s="1"/>
  <c r="AH61" i="36"/>
  <c r="AG61" i="36"/>
  <c r="AC61" i="36"/>
  <c r="AF61" i="36"/>
  <c r="AN61" i="36" s="1"/>
  <c r="AE61" i="36"/>
  <c r="X61" i="36"/>
  <c r="AJ61" i="36" s="1"/>
  <c r="Y61" i="36"/>
  <c r="AD61" i="36"/>
  <c r="AM61" i="36" s="1"/>
  <c r="Z61" i="36"/>
  <c r="AK61" i="36" s="1"/>
  <c r="AA61" i="36"/>
  <c r="A63" i="36"/>
  <c r="B63" i="36" s="1"/>
  <c r="C62" i="36"/>
  <c r="AY62" i="36" s="1"/>
  <c r="G61" i="36"/>
  <c r="K61" i="36"/>
  <c r="O61" i="36"/>
  <c r="E61" i="36"/>
  <c r="J61" i="36"/>
  <c r="M61" i="36"/>
  <c r="D61" i="36"/>
  <c r="N61" i="36"/>
  <c r="F61" i="36"/>
  <c r="L61" i="36"/>
  <c r="H61" i="36"/>
  <c r="I61" i="36"/>
  <c r="P61" i="36" l="1" a="1"/>
  <c r="P61" i="36" s="1"/>
  <c r="AW61" i="36" a="1"/>
  <c r="AW61" i="36" s="1"/>
  <c r="AU62" i="36"/>
  <c r="AV62" i="36"/>
  <c r="AS62" i="36"/>
  <c r="AT62" i="36"/>
  <c r="AI62" i="36"/>
  <c r="AR62" i="36"/>
  <c r="AO61" i="36" a="1"/>
  <c r="AO61" i="36" s="1"/>
  <c r="Y62" i="36"/>
  <c r="X62" i="36"/>
  <c r="AJ62" i="36" s="1"/>
  <c r="AE62" i="36"/>
  <c r="AF62" i="36"/>
  <c r="AN62" i="36" s="1"/>
  <c r="AD62" i="36"/>
  <c r="AM62" i="36" s="1"/>
  <c r="AG62" i="36"/>
  <c r="AB62" i="36"/>
  <c r="AL62" i="36" s="1"/>
  <c r="AC62" i="36"/>
  <c r="AH62" i="36"/>
  <c r="Z62" i="36"/>
  <c r="AK62" i="36" s="1"/>
  <c r="AA62" i="36"/>
  <c r="D62" i="36"/>
  <c r="H62" i="36"/>
  <c r="L62" i="36"/>
  <c r="F62" i="36"/>
  <c r="K62" i="36"/>
  <c r="I62" i="36"/>
  <c r="N62" i="36"/>
  <c r="J62" i="36"/>
  <c r="G62" i="36"/>
  <c r="M62" i="36"/>
  <c r="E62" i="36"/>
  <c r="O62" i="36"/>
  <c r="A64" i="36"/>
  <c r="B64" i="36" s="1"/>
  <c r="C63" i="36"/>
  <c r="AY63" i="36" s="1"/>
  <c r="P62" i="36" l="1" a="1"/>
  <c r="P62" i="36" s="1"/>
  <c r="AW62" i="36" a="1"/>
  <c r="AW62" i="36" s="1"/>
  <c r="AU63" i="36"/>
  <c r="AV63" i="36"/>
  <c r="AS63" i="36"/>
  <c r="AT63" i="36"/>
  <c r="AI63" i="36"/>
  <c r="AR63" i="36"/>
  <c r="AO62" i="36" a="1"/>
  <c r="AO62" i="36" s="1"/>
  <c r="X63" i="36"/>
  <c r="AJ63" i="36" s="1"/>
  <c r="AC63" i="36"/>
  <c r="AE63" i="36"/>
  <c r="AF63" i="36"/>
  <c r="AN63" i="36" s="1"/>
  <c r="AG63" i="36"/>
  <c r="Y63" i="36"/>
  <c r="AD63" i="36"/>
  <c r="AM63" i="36" s="1"/>
  <c r="AB63" i="36"/>
  <c r="AL63" i="36" s="1"/>
  <c r="AH63" i="36"/>
  <c r="AA63" i="36"/>
  <c r="Z63" i="36"/>
  <c r="AK63" i="36" s="1"/>
  <c r="E63" i="36"/>
  <c r="I63" i="36"/>
  <c r="M63" i="36"/>
  <c r="G63" i="36"/>
  <c r="L63" i="36"/>
  <c r="J63" i="36"/>
  <c r="F63" i="36"/>
  <c r="H63" i="36"/>
  <c r="N63" i="36"/>
  <c r="D63" i="36"/>
  <c r="O63" i="36"/>
  <c r="K63" i="36"/>
  <c r="C64" i="36"/>
  <c r="AY64" i="36" s="1"/>
  <c r="A65" i="36"/>
  <c r="B65" i="36" s="1"/>
  <c r="P63" i="36" l="1" a="1"/>
  <c r="P63" i="36" s="1"/>
  <c r="AW63" i="36" a="1"/>
  <c r="AW63" i="36" s="1"/>
  <c r="AU64" i="36"/>
  <c r="AV64" i="36"/>
  <c r="AS64" i="36"/>
  <c r="AT64" i="36"/>
  <c r="AI64" i="36"/>
  <c r="AR64" i="36"/>
  <c r="AO63" i="36" a="1"/>
  <c r="AO63" i="36" s="1"/>
  <c r="Y64" i="36"/>
  <c r="X64" i="36"/>
  <c r="AJ64" i="36" s="1"/>
  <c r="AB64" i="36"/>
  <c r="AL64" i="36" s="1"/>
  <c r="AF64" i="36"/>
  <c r="AN64" i="36" s="1"/>
  <c r="AE64" i="36"/>
  <c r="AC64" i="36"/>
  <c r="AD64" i="36"/>
  <c r="AM64" i="36" s="1"/>
  <c r="AG64" i="36"/>
  <c r="AH64" i="36"/>
  <c r="Z64" i="36"/>
  <c r="AK64" i="36" s="1"/>
  <c r="AA64" i="36"/>
  <c r="C65" i="36"/>
  <c r="AY65" i="36" s="1"/>
  <c r="A66" i="36"/>
  <c r="F64" i="36"/>
  <c r="J64" i="36"/>
  <c r="N64" i="36"/>
  <c r="H64" i="36"/>
  <c r="M64" i="36"/>
  <c r="E64" i="36"/>
  <c r="D64" i="36"/>
  <c r="I64" i="36"/>
  <c r="O64" i="36"/>
  <c r="K64" i="36"/>
  <c r="G64" i="36"/>
  <c r="L64" i="36"/>
  <c r="P64" i="36" l="1" a="1"/>
  <c r="P64" i="36" s="1"/>
  <c r="AW64" i="36" a="1"/>
  <c r="AW64" i="36" s="1"/>
  <c r="AU65" i="36"/>
  <c r="AV65" i="36"/>
  <c r="AS65" i="36"/>
  <c r="AT65" i="36"/>
  <c r="AI65" i="36"/>
  <c r="AR65" i="36"/>
  <c r="AO64" i="36" a="1"/>
  <c r="AO64" i="36" s="1"/>
  <c r="Y65" i="36"/>
  <c r="AE65" i="36"/>
  <c r="AC65" i="36"/>
  <c r="AD65" i="36"/>
  <c r="X65" i="36"/>
  <c r="AF65" i="36"/>
  <c r="AN65" i="36" s="1"/>
  <c r="AH65" i="36"/>
  <c r="AG65" i="36"/>
  <c r="AB65" i="36"/>
  <c r="AL65" i="36" s="1"/>
  <c r="Z65" i="36"/>
  <c r="AK65" i="36" s="1"/>
  <c r="AA65" i="36"/>
  <c r="B66" i="36"/>
  <c r="C66" i="36"/>
  <c r="AY66" i="36" s="1"/>
  <c r="B8" i="10" s="1"/>
  <c r="G65" i="36"/>
  <c r="K65" i="36"/>
  <c r="O65" i="36"/>
  <c r="D65" i="36"/>
  <c r="I65" i="36"/>
  <c r="N65" i="36"/>
  <c r="H65" i="36"/>
  <c r="E65" i="36"/>
  <c r="J65" i="36"/>
  <c r="F65" i="36"/>
  <c r="L65" i="36"/>
  <c r="M65" i="36"/>
  <c r="A8" i="10" l="1"/>
  <c r="AJ65" i="36"/>
  <c r="P65" i="36" a="1"/>
  <c r="P65" i="36" s="1"/>
  <c r="AU66" i="36"/>
  <c r="E4" i="10" s="1"/>
  <c r="G4" i="10" s="1"/>
  <c r="O4" i="10" s="1"/>
  <c r="AW65" i="36" a="1"/>
  <c r="AW65" i="36" s="1"/>
  <c r="AV66" i="36"/>
  <c r="F5" i="10" s="1"/>
  <c r="G5" i="10" s="1"/>
  <c r="O5" i="10" s="1"/>
  <c r="AS66" i="36"/>
  <c r="C2" i="10" s="1"/>
  <c r="G2" i="10" s="1"/>
  <c r="O2" i="10" s="1"/>
  <c r="AT66" i="36"/>
  <c r="D3" i="10" s="1"/>
  <c r="G3" i="10" s="1"/>
  <c r="O3" i="10" s="1"/>
  <c r="AI66" i="36"/>
  <c r="O6" i="7" s="1"/>
  <c r="AR66" i="36"/>
  <c r="AD66" i="36"/>
  <c r="AM65" i="36"/>
  <c r="AB66" i="36"/>
  <c r="AC66" i="36"/>
  <c r="AH66" i="36"/>
  <c r="X66" i="36"/>
  <c r="Y66" i="36"/>
  <c r="AA66" i="36"/>
  <c r="Z66" i="36"/>
  <c r="AK66" i="36" s="1"/>
  <c r="AF66" i="36"/>
  <c r="AN66" i="36" s="1"/>
  <c r="AE66" i="36"/>
  <c r="AG66" i="36"/>
  <c r="D66" i="36"/>
  <c r="B10" i="1" s="1"/>
  <c r="H66" i="36"/>
  <c r="F10" i="1" s="1"/>
  <c r="L66" i="36"/>
  <c r="D3" i="1" s="1"/>
  <c r="E66" i="36"/>
  <c r="J66" i="36"/>
  <c r="O66" i="36"/>
  <c r="M66" i="36"/>
  <c r="E4" i="1" s="1"/>
  <c r="N66" i="36"/>
  <c r="F66" i="36"/>
  <c r="K66" i="36"/>
  <c r="G66" i="36"/>
  <c r="I66" i="36"/>
  <c r="O10" i="1" s="1"/>
  <c r="AQ26" i="36" l="1" a="1"/>
  <c r="AQ26" i="36" s="1"/>
  <c r="AQ56" i="36" a="1"/>
  <c r="AQ56" i="36" s="1"/>
  <c r="AQ27" i="36" a="1"/>
  <c r="AQ27" i="36" s="1"/>
  <c r="AQ9" i="36" a="1"/>
  <c r="AQ9" i="36" s="1"/>
  <c r="AQ21" i="36" a="1"/>
  <c r="AQ21" i="36" s="1"/>
  <c r="AQ33" i="36" a="1"/>
  <c r="AQ33" i="36" s="1"/>
  <c r="AQ10" i="36" a="1"/>
  <c r="AQ10" i="36" s="1"/>
  <c r="AQ49" i="36" a="1"/>
  <c r="AQ49" i="36" s="1"/>
  <c r="AQ8" i="36" a="1"/>
  <c r="AQ8" i="36" s="1"/>
  <c r="AQ62" i="36" a="1"/>
  <c r="AQ62" i="36" s="1"/>
  <c r="AQ18" i="36" a="1"/>
  <c r="AQ18" i="36" s="1"/>
  <c r="AQ19" i="36" a="1"/>
  <c r="AQ19" i="36" s="1"/>
  <c r="AQ14" i="36" a="1"/>
  <c r="AQ14" i="36" s="1"/>
  <c r="AQ64" i="36" a="1"/>
  <c r="AQ64" i="36" s="1"/>
  <c r="AQ13" i="36" a="1"/>
  <c r="AQ13" i="36" s="1"/>
  <c r="AQ28" i="36" a="1"/>
  <c r="AQ28" i="36" s="1"/>
  <c r="AQ35" i="36" a="1"/>
  <c r="AQ35" i="36" s="1"/>
  <c r="AQ24" i="36" a="1"/>
  <c r="AQ24" i="36" s="1"/>
  <c r="AQ40" i="36" a="1"/>
  <c r="AQ40" i="36" s="1"/>
  <c r="AQ42" i="36" a="1"/>
  <c r="AQ42" i="36" s="1"/>
  <c r="AQ22" i="36" a="1"/>
  <c r="AQ22" i="36" s="1"/>
  <c r="AQ52" i="36" a="1"/>
  <c r="AQ52" i="36" s="1"/>
  <c r="AQ11" i="36" a="1"/>
  <c r="AQ11" i="36" s="1"/>
  <c r="AQ43" i="36" a="1"/>
  <c r="AQ43" i="36" s="1"/>
  <c r="AQ3" i="36" a="1"/>
  <c r="AQ3" i="36" s="1"/>
  <c r="AQ41" i="36" a="1"/>
  <c r="AQ41" i="36" s="1"/>
  <c r="AQ29" i="36" a="1"/>
  <c r="AQ29" i="36" s="1"/>
  <c r="AQ54" i="36" a="1"/>
  <c r="AQ54" i="36" s="1"/>
  <c r="AQ48" i="36" a="1"/>
  <c r="AQ48" i="36" s="1"/>
  <c r="AQ6" i="36" a="1"/>
  <c r="AQ6" i="36" s="1"/>
  <c r="AQ37" i="36" a="1"/>
  <c r="AQ37" i="36" s="1"/>
  <c r="AQ31" i="36" a="1"/>
  <c r="AQ31" i="36" s="1"/>
  <c r="AQ2" i="36" a="1"/>
  <c r="AQ2" i="36" s="1"/>
  <c r="AQ34" i="36" a="1"/>
  <c r="AQ34" i="36" s="1"/>
  <c r="AQ46" i="36" a="1"/>
  <c r="AQ46" i="36" s="1"/>
  <c r="AQ20" i="36" a="1"/>
  <c r="AQ20" i="36" s="1"/>
  <c r="AQ16" i="36" a="1"/>
  <c r="AQ16" i="36" s="1"/>
  <c r="AQ55" i="36" a="1"/>
  <c r="AQ55" i="36" s="1"/>
  <c r="AQ47" i="36" a="1"/>
  <c r="AQ47" i="36" s="1"/>
  <c r="AQ63" i="36" a="1"/>
  <c r="AQ63" i="36" s="1"/>
  <c r="AQ44" i="36" a="1"/>
  <c r="AQ44" i="36" s="1"/>
  <c r="AQ53" i="36" a="1"/>
  <c r="AQ53" i="36" s="1"/>
  <c r="AQ36" i="36" a="1"/>
  <c r="AQ36" i="36" s="1"/>
  <c r="AQ65" i="36" a="1"/>
  <c r="AQ65" i="36" s="1"/>
  <c r="AQ50" i="36" a="1"/>
  <c r="AQ50" i="36" s="1"/>
  <c r="AQ60" i="36" a="1"/>
  <c r="AQ60" i="36" s="1"/>
  <c r="AQ4" i="36" a="1"/>
  <c r="AQ4" i="36" s="1"/>
  <c r="AQ51" i="36" a="1"/>
  <c r="AQ51" i="36" s="1"/>
  <c r="AQ15" i="36" a="1"/>
  <c r="AQ15" i="36" s="1"/>
  <c r="AQ39" i="36" a="1"/>
  <c r="AQ39" i="36" s="1"/>
  <c r="AQ38" i="36" a="1"/>
  <c r="AQ38" i="36" s="1"/>
  <c r="AQ45" i="36" a="1"/>
  <c r="AQ45" i="36" s="1"/>
  <c r="AQ17" i="36" a="1"/>
  <c r="AQ17" i="36" s="1"/>
  <c r="AQ30" i="36" a="1"/>
  <c r="AQ30" i="36" s="1"/>
  <c r="AQ57" i="36" a="1"/>
  <c r="AQ57" i="36" s="1"/>
  <c r="AQ25" i="36" a="1"/>
  <c r="AQ25" i="36" s="1"/>
  <c r="AQ23" i="36" a="1"/>
  <c r="AQ23" i="36" s="1"/>
  <c r="AQ58" i="36" a="1"/>
  <c r="AQ58" i="36" s="1"/>
  <c r="AQ32" i="36" a="1"/>
  <c r="AQ32" i="36" s="1"/>
  <c r="AQ12" i="36" a="1"/>
  <c r="AQ12" i="36" s="1"/>
  <c r="AQ5" i="36" a="1"/>
  <c r="AQ5" i="36" s="1"/>
  <c r="AQ66" i="36" a="1"/>
  <c r="AQ66" i="36" s="1"/>
  <c r="AQ7" i="36" a="1"/>
  <c r="AQ7" i="36" s="1"/>
  <c r="AQ59" i="36" a="1"/>
  <c r="AQ59" i="36" s="1"/>
  <c r="AQ61" i="36" a="1"/>
  <c r="AQ61" i="36" s="1"/>
  <c r="P66" i="36" a="1"/>
  <c r="P66" i="36" s="1"/>
  <c r="B1" i="1"/>
  <c r="AX6" i="36" a="1"/>
  <c r="AX6" i="36" s="1"/>
  <c r="AX60" i="36" a="1"/>
  <c r="AX60" i="36" s="1"/>
  <c r="AX32" i="36" a="1"/>
  <c r="AX32" i="36" s="1"/>
  <c r="AX25" i="36" a="1"/>
  <c r="AX25" i="36" s="1"/>
  <c r="AX66" i="36" a="1"/>
  <c r="AX66" i="36" s="1"/>
  <c r="AX57" i="36" a="1"/>
  <c r="AX57" i="36" s="1"/>
  <c r="AX3" i="36" a="1"/>
  <c r="AX3" i="36" s="1"/>
  <c r="AX24" i="36" a="1"/>
  <c r="AX24" i="36" s="1"/>
  <c r="AX51" i="36" a="1"/>
  <c r="AX51" i="36" s="1"/>
  <c r="AX64" i="36" a="1"/>
  <c r="AX64" i="36" s="1"/>
  <c r="AX41" i="36" a="1"/>
  <c r="AX41" i="36" s="1"/>
  <c r="AX21" i="36" a="1"/>
  <c r="AX21" i="36" s="1"/>
  <c r="AX50" i="36" a="1"/>
  <c r="AX50" i="36" s="1"/>
  <c r="AX17" i="36" a="1"/>
  <c r="AX17" i="36" s="1"/>
  <c r="AX35" i="36" a="1"/>
  <c r="AX35" i="36" s="1"/>
  <c r="AX28" i="36" a="1"/>
  <c r="AX28" i="36" s="1"/>
  <c r="AX16" i="36" a="1"/>
  <c r="AX16" i="36" s="1"/>
  <c r="AX65" i="36" a="1"/>
  <c r="AX65" i="36" s="1"/>
  <c r="AX4" i="36" a="1"/>
  <c r="AX4" i="36" s="1"/>
  <c r="AX29" i="36" a="1"/>
  <c r="AX29" i="36" s="1"/>
  <c r="AX42" i="36" a="1"/>
  <c r="AX42" i="36" s="1"/>
  <c r="AX5" i="36" a="1"/>
  <c r="AX5" i="36" s="1"/>
  <c r="AX45" i="36" a="1"/>
  <c r="AX45" i="36" s="1"/>
  <c r="AX19" i="36" a="1"/>
  <c r="AX19" i="36" s="1"/>
  <c r="AX27" i="36" a="1"/>
  <c r="AX27" i="36" s="1"/>
  <c r="AX52" i="36" a="1"/>
  <c r="AX52" i="36" s="1"/>
  <c r="AX40" i="36" a="1"/>
  <c r="AX40" i="36" s="1"/>
  <c r="AX11" i="36" a="1"/>
  <c r="AX11" i="36" s="1"/>
  <c r="AX22" i="36" a="1"/>
  <c r="AX22" i="36" s="1"/>
  <c r="AX14" i="36" a="1"/>
  <c r="AX14" i="36" s="1"/>
  <c r="AX36" i="36" a="1"/>
  <c r="AX36" i="36" s="1"/>
  <c r="AX55" i="36" a="1"/>
  <c r="AX55" i="36" s="1"/>
  <c r="AX38" i="36" a="1"/>
  <c r="AX38" i="36" s="1"/>
  <c r="AX33" i="36" a="1"/>
  <c r="AX33" i="36" s="1"/>
  <c r="AX31" i="36" a="1"/>
  <c r="AX31" i="36" s="1"/>
  <c r="AX30" i="36" a="1"/>
  <c r="AX30" i="36" s="1"/>
  <c r="AX56" i="36" a="1"/>
  <c r="AX56" i="36" s="1"/>
  <c r="AX15" i="36" a="1"/>
  <c r="AX15" i="36" s="1"/>
  <c r="AX8" i="36" a="1"/>
  <c r="AX8" i="36" s="1"/>
  <c r="AX59" i="36" a="1"/>
  <c r="AX59" i="36" s="1"/>
  <c r="AX63" i="36" a="1"/>
  <c r="AX63" i="36" s="1"/>
  <c r="AX61" i="36" a="1"/>
  <c r="AX61" i="36" s="1"/>
  <c r="AX9" i="36" a="1"/>
  <c r="AX9" i="36" s="1"/>
  <c r="AX7" i="36" a="1"/>
  <c r="AX7" i="36" s="1"/>
  <c r="AX62" i="36" a="1"/>
  <c r="AX62" i="36" s="1"/>
  <c r="AX10" i="36" a="1"/>
  <c r="AX10" i="36" s="1"/>
  <c r="AX47" i="36" a="1"/>
  <c r="AX47" i="36" s="1"/>
  <c r="AX53" i="36" a="1"/>
  <c r="AX53" i="36" s="1"/>
  <c r="AX23" i="36" a="1"/>
  <c r="AX23" i="36" s="1"/>
  <c r="AX18" i="36" a="1"/>
  <c r="AX18" i="36" s="1"/>
  <c r="AX46" i="36" a="1"/>
  <c r="AX46" i="36" s="1"/>
  <c r="AX20" i="36" a="1"/>
  <c r="AX20" i="36" s="1"/>
  <c r="AX26" i="36" a="1"/>
  <c r="AX26" i="36" s="1"/>
  <c r="AX2" i="36" a="1"/>
  <c r="AX2" i="36" s="1"/>
  <c r="AX13" i="36" a="1"/>
  <c r="AX13" i="36" s="1"/>
  <c r="AX54" i="36" a="1"/>
  <c r="AX54" i="36" s="1"/>
  <c r="AX34" i="36" a="1"/>
  <c r="AX34" i="36" s="1"/>
  <c r="AX43" i="36" a="1"/>
  <c r="AX43" i="36" s="1"/>
  <c r="AX49" i="36" a="1"/>
  <c r="AX49" i="36" s="1"/>
  <c r="AX39" i="36" a="1"/>
  <c r="AX39" i="36" s="1"/>
  <c r="AX37" i="36" a="1"/>
  <c r="AX37" i="36" s="1"/>
  <c r="AX58" i="36" a="1"/>
  <c r="AX58" i="36" s="1"/>
  <c r="AX48" i="36" a="1"/>
  <c r="AX48" i="36" s="1"/>
  <c r="AX44" i="36" a="1"/>
  <c r="AX44" i="36" s="1"/>
  <c r="AX12" i="36" a="1"/>
  <c r="AX12" i="36" s="1"/>
  <c r="Q19" i="36" a="1"/>
  <c r="Q19" i="36" s="1"/>
  <c r="Q18" i="36" a="1"/>
  <c r="Q18" i="36" s="1"/>
  <c r="Q63" i="36" a="1"/>
  <c r="Q63" i="36" s="1"/>
  <c r="Q32" i="36" a="1"/>
  <c r="Q32" i="36" s="1"/>
  <c r="Q66" i="36" a="1"/>
  <c r="Q66" i="36" s="1"/>
  <c r="Q47" i="36" a="1"/>
  <c r="Q47" i="36" s="1"/>
  <c r="Q29" i="36" a="1"/>
  <c r="Q29" i="36" s="1"/>
  <c r="Q64" i="36" a="1"/>
  <c r="Q64" i="36" s="1"/>
  <c r="Q16" i="36" a="1"/>
  <c r="Q16" i="36" s="1"/>
  <c r="Q37" i="36" a="1"/>
  <c r="Q37" i="36" s="1"/>
  <c r="Q30" i="36" a="1"/>
  <c r="Q30" i="36" s="1"/>
  <c r="Q52" i="36" a="1"/>
  <c r="Q52" i="36" s="1"/>
  <c r="Q6" i="36" a="1"/>
  <c r="Q6" i="36" s="1"/>
  <c r="Q55" i="36" a="1"/>
  <c r="Q55" i="36" s="1"/>
  <c r="Q60" i="36" a="1"/>
  <c r="Q60" i="36" s="1"/>
  <c r="Q42" i="36" a="1"/>
  <c r="Q42" i="36" s="1"/>
  <c r="Q57" i="36" a="1"/>
  <c r="Q57" i="36" s="1"/>
  <c r="Q61" i="36" a="1"/>
  <c r="Q61" i="36" s="1"/>
  <c r="Q41" i="36" a="1"/>
  <c r="Q41" i="36" s="1"/>
  <c r="Q35" i="36" a="1"/>
  <c r="Q35" i="36" s="1"/>
  <c r="Q15" i="36" a="1"/>
  <c r="Q15" i="36" s="1"/>
  <c r="Q50" i="36" a="1"/>
  <c r="Q50" i="36" s="1"/>
  <c r="Q48" i="36" a="1"/>
  <c r="Q48" i="36" s="1"/>
  <c r="Q44" i="36" a="1"/>
  <c r="Q44" i="36" s="1"/>
  <c r="Q56" i="36" a="1"/>
  <c r="Q56" i="36" s="1"/>
  <c r="Q33" i="36" a="1"/>
  <c r="Q33" i="36" s="1"/>
  <c r="Q46" i="36" a="1"/>
  <c r="Q46" i="36" s="1"/>
  <c r="Q11" i="36" a="1"/>
  <c r="Q11" i="36" s="1"/>
  <c r="Q27" i="36" a="1"/>
  <c r="Q27" i="36" s="1"/>
  <c r="Q13" i="36" a="1"/>
  <c r="Q13" i="36" s="1"/>
  <c r="Q5" i="36" a="1"/>
  <c r="Q5" i="36" s="1"/>
  <c r="Q45" i="36" a="1"/>
  <c r="Q45" i="36" s="1"/>
  <c r="Q8" i="36" a="1"/>
  <c r="Q8" i="36" s="1"/>
  <c r="Q54" i="36" a="1"/>
  <c r="Q54" i="36" s="1"/>
  <c r="Q38" i="36" a="1"/>
  <c r="Q38" i="36" s="1"/>
  <c r="Q39" i="36" a="1"/>
  <c r="Q39" i="36" s="1"/>
  <c r="Q53" i="36" a="1"/>
  <c r="Q53" i="36" s="1"/>
  <c r="Q36" i="36" a="1"/>
  <c r="Q36" i="36" s="1"/>
  <c r="Q25" i="36" a="1"/>
  <c r="Q25" i="36" s="1"/>
  <c r="Q3" i="36" a="1"/>
  <c r="Q3" i="36" s="1"/>
  <c r="Q43" i="36" a="1"/>
  <c r="Q43" i="36" s="1"/>
  <c r="Q26" i="36" a="1"/>
  <c r="Q26" i="36" s="1"/>
  <c r="Q7" i="36" a="1"/>
  <c r="Q7" i="36" s="1"/>
  <c r="Q51" i="36" a="1"/>
  <c r="Q51" i="36" s="1"/>
  <c r="Q40" i="36" a="1"/>
  <c r="Q40" i="36" s="1"/>
  <c r="Q21" i="36" a="1"/>
  <c r="Q21" i="36" s="1"/>
  <c r="Q31" i="36" a="1"/>
  <c r="Q31" i="36" s="1"/>
  <c r="Q22" i="36" a="1"/>
  <c r="Q22" i="36" s="1"/>
  <c r="Q59" i="36" a="1"/>
  <c r="Q59" i="36" s="1"/>
  <c r="Q58" i="36" a="1"/>
  <c r="Q58" i="36" s="1"/>
  <c r="Q2" i="36" a="1"/>
  <c r="Q2" i="36" s="1"/>
  <c r="Q62" i="36" a="1"/>
  <c r="Q62" i="36" s="1"/>
  <c r="Q65" i="36" a="1"/>
  <c r="Q65" i="36" s="1"/>
  <c r="Q14" i="36" a="1"/>
  <c r="Q14" i="36" s="1"/>
  <c r="Q23" i="36" a="1"/>
  <c r="Q23" i="36" s="1"/>
  <c r="Q24" i="36" a="1"/>
  <c r="Q24" i="36" s="1"/>
  <c r="Q28" i="36" a="1"/>
  <c r="Q28" i="36" s="1"/>
  <c r="Q9" i="36" a="1"/>
  <c r="Q9" i="36" s="1"/>
  <c r="Q17" i="36" a="1"/>
  <c r="Q17" i="36" s="1"/>
  <c r="Q10" i="36" a="1"/>
  <c r="Q10" i="36" s="1"/>
  <c r="Q34" i="36" a="1"/>
  <c r="Q34" i="36" s="1"/>
  <c r="Q49" i="36" a="1"/>
  <c r="Q49" i="36" s="1"/>
  <c r="Q20" i="36" a="1"/>
  <c r="Q20" i="36" s="1"/>
  <c r="Q12" i="36" a="1"/>
  <c r="Q12" i="36" s="1"/>
  <c r="Q4" i="36" a="1"/>
  <c r="Q4" i="36" s="1"/>
  <c r="AO65" i="36" a="1"/>
  <c r="AO65" i="36" s="1"/>
  <c r="B1" i="10"/>
  <c r="AW66" i="36" a="1"/>
  <c r="AW66" i="36" s="1"/>
  <c r="AJ66" i="36"/>
  <c r="F5" i="7"/>
  <c r="G5" i="7" s="1"/>
  <c r="O5" i="7" s="1"/>
  <c r="E4" i="7"/>
  <c r="G4" i="7" s="1"/>
  <c r="O4" i="7" s="1"/>
  <c r="AM66" i="36"/>
  <c r="D3" i="7"/>
  <c r="G3" i="7" s="1"/>
  <c r="O3" i="7" s="1"/>
  <c r="AL66" i="36"/>
  <c r="B1" i="7"/>
  <c r="O6" i="1"/>
  <c r="C2" i="7"/>
  <c r="E10" i="1"/>
  <c r="D10" i="1"/>
  <c r="C10" i="1"/>
  <c r="F5" i="1"/>
  <c r="G5" i="1" s="1"/>
  <c r="O5" i="1" s="1"/>
  <c r="C2" i="1"/>
  <c r="G2" i="1" s="1"/>
  <c r="O2" i="1" s="1"/>
  <c r="G4" i="1"/>
  <c r="O4" i="1" s="1"/>
  <c r="G3" i="1"/>
  <c r="O3" i="1" s="1"/>
  <c r="AP50" i="36" l="1" a="1"/>
  <c r="AP50" i="36" s="1"/>
  <c r="AP10" i="36" a="1"/>
  <c r="AP10" i="36" s="1"/>
  <c r="AP34" i="36" a="1"/>
  <c r="AP34" i="36" s="1"/>
  <c r="AP55" i="36" a="1"/>
  <c r="AP55" i="36" s="1"/>
  <c r="AP64" i="36" a="1"/>
  <c r="AP64" i="36" s="1"/>
  <c r="AP6" i="36" a="1"/>
  <c r="AP6" i="36" s="1"/>
  <c r="AP66" i="36" a="1"/>
  <c r="AP66" i="36" s="1"/>
  <c r="AP44" i="36" a="1"/>
  <c r="AP44" i="36" s="1"/>
  <c r="AP15" i="36" a="1"/>
  <c r="AP15" i="36" s="1"/>
  <c r="AP17" i="36" a="1"/>
  <c r="AP17" i="36" s="1"/>
  <c r="AP43" i="36" a="1"/>
  <c r="AP43" i="36" s="1"/>
  <c r="AP52" i="36" a="1"/>
  <c r="AP52" i="36" s="1"/>
  <c r="AP5" i="36" a="1"/>
  <c r="AP5" i="36" s="1"/>
  <c r="AP33" i="36" a="1"/>
  <c r="AP33" i="36" s="1"/>
  <c r="AP30" i="36" a="1"/>
  <c r="AP30" i="36" s="1"/>
  <c r="AP63" i="36" a="1"/>
  <c r="AP63" i="36" s="1"/>
  <c r="AP8" i="36" a="1"/>
  <c r="AP8" i="36" s="1"/>
  <c r="AP48" i="36" a="1"/>
  <c r="AP48" i="36" s="1"/>
  <c r="AP3" i="36" a="1"/>
  <c r="AP3" i="36" s="1"/>
  <c r="AP40" i="36" a="1"/>
  <c r="AP40" i="36" s="1"/>
  <c r="AP39" i="36" a="1"/>
  <c r="AP39" i="36" s="1"/>
  <c r="AP61" i="36" a="1"/>
  <c r="AP61" i="36" s="1"/>
  <c r="AP7" i="36" a="1"/>
  <c r="AP7" i="36" s="1"/>
  <c r="AP27" i="36" a="1"/>
  <c r="AP27" i="36" s="1"/>
  <c r="AP26" i="36" a="1"/>
  <c r="AP26" i="36" s="1"/>
  <c r="AP62" i="36" a="1"/>
  <c r="AP62" i="36" s="1"/>
  <c r="AP57" i="36" a="1"/>
  <c r="AP57" i="36" s="1"/>
  <c r="AP49" i="36" a="1"/>
  <c r="AP49" i="36" s="1"/>
  <c r="AP20" i="36" a="1"/>
  <c r="AP20" i="36" s="1"/>
  <c r="AP54" i="36" a="1"/>
  <c r="AP54" i="36" s="1"/>
  <c r="AP13" i="36" a="1"/>
  <c r="AP13" i="36" s="1"/>
  <c r="AP24" i="36" a="1"/>
  <c r="AP24" i="36" s="1"/>
  <c r="AP56" i="36" a="1"/>
  <c r="AP56" i="36" s="1"/>
  <c r="AP45" i="36" a="1"/>
  <c r="AP45" i="36" s="1"/>
  <c r="AP51" i="36" a="1"/>
  <c r="AP51" i="36" s="1"/>
  <c r="AP22" i="36" a="1"/>
  <c r="AP22" i="36" s="1"/>
  <c r="AP53" i="36" a="1"/>
  <c r="AP53" i="36" s="1"/>
  <c r="AP9" i="36" a="1"/>
  <c r="AP9" i="36" s="1"/>
  <c r="AP65" i="36" a="1"/>
  <c r="AP65" i="36" s="1"/>
  <c r="AP12" i="36" a="1"/>
  <c r="AP12" i="36" s="1"/>
  <c r="AP36" i="36" a="1"/>
  <c r="AP36" i="36" s="1"/>
  <c r="AP14" i="36" a="1"/>
  <c r="AP14" i="36" s="1"/>
  <c r="AP11" i="36" a="1"/>
  <c r="AP11" i="36" s="1"/>
  <c r="AP38" i="36" a="1"/>
  <c r="AP38" i="36" s="1"/>
  <c r="AP18" i="36" a="1"/>
  <c r="AP18" i="36" s="1"/>
  <c r="AP37" i="36" a="1"/>
  <c r="AP37" i="36" s="1"/>
  <c r="AP42" i="36" a="1"/>
  <c r="AP42" i="36" s="1"/>
  <c r="AP60" i="36" a="1"/>
  <c r="AP60" i="36" s="1"/>
  <c r="AP25" i="36" a="1"/>
  <c r="AP25" i="36" s="1"/>
  <c r="AP29" i="36" a="1"/>
  <c r="AP29" i="36" s="1"/>
  <c r="AP21" i="36" a="1"/>
  <c r="AP21" i="36" s="1"/>
  <c r="AP41" i="36" a="1"/>
  <c r="AP41" i="36" s="1"/>
  <c r="AP2" i="36" a="1"/>
  <c r="AP2" i="36" s="1"/>
  <c r="AP28" i="36" a="1"/>
  <c r="AP28" i="36" s="1"/>
  <c r="AP59" i="36" a="1"/>
  <c r="AP59" i="36" s="1"/>
  <c r="AP23" i="36" a="1"/>
  <c r="AP23" i="36" s="1"/>
  <c r="AP31" i="36" a="1"/>
  <c r="AP31" i="36" s="1"/>
  <c r="AP16" i="36" a="1"/>
  <c r="AP16" i="36" s="1"/>
  <c r="AP32" i="36" a="1"/>
  <c r="AP32" i="36" s="1"/>
  <c r="AP4" i="36" a="1"/>
  <c r="AP4" i="36" s="1"/>
  <c r="AP58" i="36" a="1"/>
  <c r="AP58" i="36" s="1"/>
  <c r="AP46" i="36" a="1"/>
  <c r="AP46" i="36" s="1"/>
  <c r="AP19" i="36" a="1"/>
  <c r="AP19" i="36" s="1"/>
  <c r="AP47" i="36" a="1"/>
  <c r="AP47" i="36" s="1"/>
  <c r="AP35" i="36" a="1"/>
  <c r="AP35" i="36" s="1"/>
  <c r="G1" i="7"/>
  <c r="O1" i="7" s="1"/>
  <c r="R3" i="1"/>
  <c r="R4" i="1"/>
  <c r="R5" i="1"/>
  <c r="R2" i="1"/>
  <c r="R6" i="1"/>
  <c r="G1" i="1"/>
  <c r="O1" i="1" s="1"/>
  <c r="R1" i="1"/>
  <c r="G1" i="10"/>
  <c r="O1" i="10" s="1"/>
  <c r="AO66" i="36" a="1"/>
  <c r="AO66" i="36" s="1"/>
  <c r="Q6" i="7" a="1"/>
  <c r="Q6" i="7" s="1"/>
  <c r="R6" i="7" s="1"/>
  <c r="Q4" i="1"/>
  <c r="Q6" i="1"/>
  <c r="Q3" i="1"/>
  <c r="Q5" i="1"/>
  <c r="Q2" i="1"/>
  <c r="Q1" i="1"/>
  <c r="Q1" i="7" a="1"/>
  <c r="Q5" i="7" s="1"/>
  <c r="R5" i="7" s="1"/>
  <c r="A8" i="7"/>
  <c r="G2" i="7"/>
  <c r="O2" i="7" s="1"/>
  <c r="A8" i="1"/>
  <c r="Q5" i="10" l="1"/>
  <c r="Q2" i="10"/>
  <c r="Q3" i="10"/>
  <c r="Q1" i="10"/>
  <c r="Q4" i="10"/>
  <c r="Q1" i="7"/>
  <c r="R1" i="7" s="1"/>
  <c r="Q3" i="7"/>
  <c r="R3" i="7" s="1"/>
  <c r="Q4" i="7"/>
  <c r="R4" i="7" s="1"/>
  <c r="Q2" i="7"/>
  <c r="R2" i="7" s="1"/>
</calcChain>
</file>

<file path=xl/sharedStrings.xml><?xml version="1.0" encoding="utf-8"?>
<sst xmlns="http://schemas.openxmlformats.org/spreadsheetml/2006/main" count="437" uniqueCount="160">
  <si>
    <t>Coles</t>
  </si>
  <si>
    <t/>
  </si>
  <si>
    <t xml:space="preserve">Defects Density </t>
  </si>
  <si>
    <t>Reopened</t>
  </si>
  <si>
    <t xml:space="preserve">Regression </t>
  </si>
  <si>
    <t>Escaping Defect - Core</t>
  </si>
  <si>
    <t>Top priority Projects</t>
  </si>
  <si>
    <t>R10 Dev KPI Report</t>
  </si>
  <si>
    <t>Median Defects Aging</t>
  </si>
  <si>
    <t>KPI trend</t>
  </si>
  <si>
    <t>Median Aging</t>
  </si>
  <si>
    <t>Escaping Core</t>
  </si>
  <si>
    <t>Median Age</t>
  </si>
  <si>
    <t>Core project</t>
  </si>
  <si>
    <t>SSL</t>
  </si>
  <si>
    <t>Date</t>
  </si>
  <si>
    <t>Week-Year</t>
  </si>
  <si>
    <t>TDM_US</t>
  </si>
  <si>
    <t>Coles_US</t>
  </si>
  <si>
    <t>WOW_US</t>
  </si>
  <si>
    <t>SSL_US</t>
  </si>
  <si>
    <t>WFM_US</t>
  </si>
  <si>
    <t>R10_US</t>
  </si>
  <si>
    <t>TDM_DD</t>
  </si>
  <si>
    <t>Coles_DD</t>
  </si>
  <si>
    <t>WOW_DD</t>
  </si>
  <si>
    <t>SSL_DD</t>
  </si>
  <si>
    <t>WFM_DD</t>
  </si>
  <si>
    <t>R10_DD</t>
  </si>
  <si>
    <t>DD</t>
  </si>
  <si>
    <t>US Done</t>
  </si>
  <si>
    <t>Defect Density</t>
  </si>
  <si>
    <t>Cumulative done story points</t>
  </si>
  <si>
    <t>Week starting</t>
  </si>
  <si>
    <t>TDM</t>
  </si>
  <si>
    <t>WOW</t>
  </si>
  <si>
    <t>WFM</t>
  </si>
  <si>
    <t>R10</t>
  </si>
  <si>
    <t>Week</t>
  </si>
  <si>
    <t>TDM_Plan</t>
  </si>
  <si>
    <t>Coles_Plan</t>
  </si>
  <si>
    <t>WOW_Plan</t>
  </si>
  <si>
    <t>SSL_Plan</t>
  </si>
  <si>
    <t>WFM_Plan</t>
  </si>
  <si>
    <t>R10_Plan</t>
  </si>
  <si>
    <t>Max</t>
  </si>
  <si>
    <t>Max_DD</t>
  </si>
  <si>
    <t>Average_DD</t>
  </si>
  <si>
    <t>Ext Regression %</t>
  </si>
  <si>
    <t>Core Regression %</t>
  </si>
  <si>
    <t>Ext Reg</t>
  </si>
  <si>
    <t>Core Reg</t>
  </si>
  <si>
    <t>Coles_Ext_Reg</t>
  </si>
  <si>
    <t>Coles_Core_Reg</t>
  </si>
  <si>
    <t>TDM_Ext_Reg</t>
  </si>
  <si>
    <t>TDM_Core_Reg</t>
  </si>
  <si>
    <t xml:space="preserve"> </t>
  </si>
  <si>
    <t>WOW_Ext_Reg</t>
  </si>
  <si>
    <t>WOW_Core_Reg</t>
  </si>
  <si>
    <t>SSL_Ext_Reg</t>
  </si>
  <si>
    <t>SSL_Core_Reg</t>
  </si>
  <si>
    <t>WFM_Ext_Reg</t>
  </si>
  <si>
    <t>WFM_Core_Reg</t>
  </si>
  <si>
    <t>R10_Ext_Reg</t>
  </si>
  <si>
    <t>R10_Core_Reg</t>
  </si>
  <si>
    <t>TDM_Avg</t>
  </si>
  <si>
    <t>Core_Avg</t>
  </si>
  <si>
    <t>WOW_Avg</t>
  </si>
  <si>
    <t>SSL_Avg</t>
  </si>
  <si>
    <t>WFM_Avg</t>
  </si>
  <si>
    <t>Avg_Ext</t>
  </si>
  <si>
    <t>Age in weeks</t>
  </si>
  <si>
    <t>TDM_Med</t>
  </si>
  <si>
    <t>Coles_Med</t>
  </si>
  <si>
    <t>WOW_Med</t>
  </si>
  <si>
    <t>SSL_Med</t>
  </si>
  <si>
    <t>WFM_Med</t>
  </si>
  <si>
    <t>R10_Med</t>
  </si>
  <si>
    <t>Ext</t>
  </si>
  <si>
    <t>Core</t>
  </si>
  <si>
    <t>DDP</t>
  </si>
  <si>
    <t>tmp</t>
  </si>
  <si>
    <t>TDM_DDP</t>
  </si>
  <si>
    <t>Coles_DDP</t>
  </si>
  <si>
    <t>WOW_DDP</t>
  </si>
  <si>
    <t>SSL_DDP</t>
  </si>
  <si>
    <t>WFM_DDP</t>
  </si>
  <si>
    <t>Avg_DDP</t>
  </si>
  <si>
    <t>Avg_Med</t>
  </si>
  <si>
    <t>Max_Ext</t>
  </si>
  <si>
    <t>Max_Med</t>
  </si>
  <si>
    <t>Max_DDP</t>
  </si>
  <si>
    <t>Average Top 5</t>
  </si>
  <si>
    <t>Top 5 Projects  Defects Density</t>
  </si>
  <si>
    <t>Project Trend</t>
  </si>
  <si>
    <t>Regression</t>
  </si>
  <si>
    <t>TDM_ED</t>
  </si>
  <si>
    <t>TDM_ER</t>
  </si>
  <si>
    <t>TDM_CD</t>
  </si>
  <si>
    <t>TDM_CR</t>
  </si>
  <si>
    <t>TDM_E</t>
  </si>
  <si>
    <t>TDM_C</t>
  </si>
  <si>
    <t>Coles_ED</t>
  </si>
  <si>
    <t>Coles_ER</t>
  </si>
  <si>
    <t>Coles_CD</t>
  </si>
  <si>
    <t>Coles_CR</t>
  </si>
  <si>
    <t>Coels_E</t>
  </si>
  <si>
    <t>Coles_C</t>
  </si>
  <si>
    <t>WOW_ED</t>
  </si>
  <si>
    <t>WOW_ER</t>
  </si>
  <si>
    <t>WOW_CD</t>
  </si>
  <si>
    <t>WOW_CR</t>
  </si>
  <si>
    <t>WOW_E</t>
  </si>
  <si>
    <t>WOW_C</t>
  </si>
  <si>
    <t>WFM_ED</t>
  </si>
  <si>
    <t>WFM_ER</t>
  </si>
  <si>
    <t>WFM_CD</t>
  </si>
  <si>
    <t>WFM_CR</t>
  </si>
  <si>
    <t>WFM_E</t>
  </si>
  <si>
    <t>WFM_C</t>
  </si>
  <si>
    <t>SSL_ED</t>
  </si>
  <si>
    <t>SSL_ER</t>
  </si>
  <si>
    <t>SSL_CD</t>
  </si>
  <si>
    <t>SSL_CR</t>
  </si>
  <si>
    <t>SSL_E</t>
  </si>
  <si>
    <t>SSL_C</t>
  </si>
  <si>
    <t>Avg Core</t>
  </si>
  <si>
    <t>Avg Ext</t>
  </si>
  <si>
    <t>&lt; 5%</t>
  </si>
  <si>
    <t>5% - 10%</t>
  </si>
  <si>
    <t>&gt; 10%</t>
  </si>
  <si>
    <t>&lt; 0.5</t>
  </si>
  <si>
    <t>0.5 - 1.0</t>
  </si>
  <si>
    <t>&gt; 1.0</t>
  </si>
  <si>
    <t>&lt; 10%</t>
  </si>
  <si>
    <t>10% - 20%</t>
  </si>
  <si>
    <t>&gt; 20%</t>
  </si>
  <si>
    <t>&gt;20%</t>
  </si>
  <si>
    <t>&lt; 2 Weeks</t>
  </si>
  <si>
    <t>2 - 3 Weeks</t>
  </si>
  <si>
    <t>&gt;3 Weeks</t>
  </si>
  <si>
    <t>Target</t>
  </si>
  <si>
    <t>Woolworths </t>
  </si>
  <si>
    <t>Sainsbury's</t>
  </si>
  <si>
    <t>Whole Foods</t>
  </si>
  <si>
    <t>Top 5 Projects Reopened</t>
  </si>
  <si>
    <t>Top 5 Projects Regression</t>
  </si>
  <si>
    <t>Top 5 Projects Median Aging</t>
  </si>
  <si>
    <t>Projects Average</t>
  </si>
  <si>
    <t>Max_Chart</t>
  </si>
  <si>
    <t>Core KPI</t>
  </si>
  <si>
    <t>Escaping Defects</t>
  </si>
  <si>
    <t>Core_DDP</t>
  </si>
  <si>
    <t>Core DDP</t>
  </si>
  <si>
    <t>Pilot_ED</t>
  </si>
  <si>
    <t>Pilot_ER</t>
  </si>
  <si>
    <t>Pilot_CD</t>
  </si>
  <si>
    <t>Pilot_CR</t>
  </si>
  <si>
    <t>Pilot_E</t>
  </si>
  <si>
    <t>Pilot_C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</si>
</sst>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m/d/yy"/>
  </numFmts>
  <fonts count="54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rgb="FF54B948"/>
      <name val="Calibri"/>
      <family val="2"/>
      <charset val="177"/>
      <scheme val="minor"/>
    </font>
    <font>
      <b/>
      <sz val="12"/>
      <name val="Arial"/>
      <family val="2"/>
    </font>
    <font>
      <b/>
      <sz val="2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3" tint="0.39997558519241921"/>
      <name val="Arial"/>
      <family val="2"/>
    </font>
    <font>
      <sz val="10"/>
      <color theme="9" tint="-0.249977111117893"/>
      <name val="Arial"/>
      <family val="2"/>
    </font>
    <font>
      <sz val="11"/>
      <color theme="3" tint="0.39997558519241921"/>
      <name val="Calibri"/>
      <family val="2"/>
      <charset val="177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charset val="177"/>
      <scheme val="minor"/>
    </font>
    <font>
      <sz val="10"/>
      <color rgb="FF00B05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charset val="177"/>
      <scheme val="minor"/>
    </font>
    <font>
      <sz val="11"/>
      <color theme="0" tint="-0.499984740745262"/>
      <name val="Calibri"/>
      <family val="2"/>
      <charset val="177"/>
      <scheme val="minor"/>
    </font>
    <font>
      <sz val="11"/>
      <color rgb="FF00B0F0"/>
      <name val="Calibri"/>
      <family val="2"/>
      <charset val="177"/>
      <scheme val="minor"/>
    </font>
    <font>
      <sz val="11"/>
      <color rgb="FF00B0F0"/>
      <name val="Calibri"/>
      <family val="2"/>
      <scheme val="minor"/>
    </font>
    <font>
      <sz val="8"/>
      <name val="Arial"/>
      <family val="2"/>
    </font>
    <font>
      <b/>
      <sz val="14"/>
      <color rgb="FF000000"/>
      <name val="Calibri"/>
      <family val="2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</font>
    <font>
      <sz val="10"/>
      <color theme="3" tint="0.39997558519241921"/>
      <name val="Arial"/>
    </font>
    <font>
      <sz val="11"/>
      <color rgb="FF00B0F0"/>
      <name val="Calibri"/>
      <scheme val="minor"/>
    </font>
    <font>
      <sz val="10"/>
      <color theme="9" tint="-0.249977111117893"/>
      <name val="Arial"/>
    </font>
    <font>
      <sz val="10"/>
      <color rgb="FF00B050"/>
      <name val="Arial"/>
    </font>
    <font>
      <b/>
      <sz val="10"/>
      <color rgb="FF00B050"/>
      <name val="Arial"/>
      <family val="2"/>
    </font>
    <font>
      <b/>
      <sz val="11"/>
      <color rgb="FF00B0F0"/>
      <name val="Calibri"/>
      <family val="2"/>
      <charset val="177"/>
      <scheme val="minor"/>
    </font>
    <font>
      <b/>
      <sz val="12"/>
      <color theme="0" tint="-0.499984740745262"/>
      <name val="Calibri"/>
      <family val="2"/>
      <charset val="177"/>
      <scheme val="minor"/>
    </font>
    <font>
      <b/>
      <sz val="12"/>
      <color theme="3" tint="0.39997558519241921"/>
      <name val="Calibri"/>
      <family val="2"/>
      <charset val="177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charset val="177"/>
      <scheme val="minor"/>
    </font>
    <font>
      <b/>
      <sz val="12"/>
      <color rgb="FF00B05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54B948"/>
        <bgColor indexed="64"/>
      </patternFill>
    </fill>
    <fill>
      <patternFill patternType="solid">
        <fgColor theme="0" tint="-0.1499679555650502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54B948"/>
      </bottom>
      <diagonal/>
    </border>
    <border>
      <left/>
      <right/>
      <top/>
      <bottom style="thin">
        <color theme="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rgb="FF54B948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rgb="FF54B948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/>
      <top style="thin">
        <color theme="0" tint="-0.24994659260841701"/>
      </top>
      <bottom style="medium">
        <color rgb="FF54B948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rgb="FF54B948"/>
      </bottom>
      <diagonal/>
    </border>
    <border>
      <left/>
      <right/>
      <top style="medium">
        <color rgb="FF54B948"/>
      </top>
      <bottom/>
      <diagonal/>
    </border>
    <border>
      <left/>
      <right style="thin">
        <color theme="0" tint="-0.24994659260841701"/>
      </right>
      <top style="medium">
        <color rgb="FF54B948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1" fillId="0" borderId="0"/>
    <xf numFmtId="0" fontId="7" fillId="0" borderId="0"/>
    <xf numFmtId="9" fontId="1" fillId="0" borderId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8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31" fillId="9" borderId="0" applyNumberFormat="0" applyBorder="0" applyAlignment="0" applyProtection="0"/>
    <xf numFmtId="0" fontId="35" fillId="12" borderId="20" applyNumberFormat="0" applyAlignment="0" applyProtection="0"/>
    <xf numFmtId="0" fontId="20" fillId="13" borderId="23" applyNumberForma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0" fillId="8" borderId="0" applyNumberFormat="0" applyBorder="0" applyAlignment="0" applyProtection="0"/>
    <xf numFmtId="0" fontId="27" fillId="0" borderId="17" applyNumberFormat="0" applyFill="0" applyAlignment="0" applyProtection="0"/>
    <xf numFmtId="0" fontId="28" fillId="0" borderId="18" applyNumberFormat="0" applyFill="0" applyAlignment="0" applyProtection="0"/>
    <xf numFmtId="0" fontId="29" fillId="0" borderId="19" applyNumberFormat="0" applyFill="0" applyAlignment="0" applyProtection="0"/>
    <xf numFmtId="0" fontId="29" fillId="0" borderId="0" applyNumberFormat="0" applyFill="0" applyBorder="0" applyAlignment="0" applyProtection="0"/>
    <xf numFmtId="0" fontId="33" fillId="11" borderId="20" applyNumberFormat="0" applyAlignment="0" applyProtection="0"/>
    <xf numFmtId="0" fontId="36" fillId="0" borderId="22" applyNumberFormat="0" applyFill="0" applyAlignment="0" applyProtection="0"/>
    <xf numFmtId="0" fontId="32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24" applyNumberFormat="0" applyFont="0" applyAlignment="0" applyProtection="0"/>
    <xf numFmtId="0" fontId="34" fillId="12" borderId="21" applyNumberForma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39" fillId="0" borderId="25" applyNumberFormat="0" applyFill="0" applyAlignment="0" applyProtection="0"/>
    <xf numFmtId="0" fontId="37" fillId="0" borderId="0" applyNumberFormat="0" applyFill="0" applyBorder="0" applyAlignment="0" applyProtection="0"/>
    <xf numFmtId="0" fontId="41" fillId="0" borderId="0"/>
  </cellStyleXfs>
  <cellXfs count="112">
    <xf numFmtId="0" fontId="0" fillId="0" borderId="0" xfId="0"/>
    <xf numFmtId="9" fontId="0" fillId="0" borderId="0" xfId="0" applyNumberFormat="1"/>
    <xf numFmtId="0" fontId="3" fillId="2" borderId="0" xfId="1" applyFont="1" applyFill="1" applyBorder="1" applyProtection="1">
      <protection hidden="1"/>
    </xf>
    <xf numFmtId="0" fontId="3" fillId="2" borderId="0" xfId="1" applyFont="1" applyFill="1" applyBorder="1" applyAlignment="1" applyProtection="1">
      <alignment horizontal="center"/>
      <protection hidden="1"/>
    </xf>
    <xf numFmtId="0" fontId="1" fillId="0" borderId="0" xfId="1" applyProtection="1">
      <protection hidden="1"/>
    </xf>
    <xf numFmtId="0" fontId="1" fillId="0" borderId="0" xfId="1" applyFill="1" applyBorder="1"/>
    <xf numFmtId="0" fontId="5" fillId="2" borderId="0" xfId="1" applyFont="1" applyFill="1" applyBorder="1" applyAlignment="1" applyProtection="1">
      <alignment horizontal="left"/>
      <protection hidden="1"/>
    </xf>
    <xf numFmtId="0" fontId="6" fillId="2" borderId="1" xfId="1" applyFont="1" applyFill="1" applyBorder="1" applyAlignment="1" applyProtection="1">
      <alignment horizontal="left"/>
      <protection hidden="1"/>
    </xf>
    <xf numFmtId="0" fontId="3" fillId="2" borderId="1" xfId="1" applyFont="1" applyFill="1" applyBorder="1" applyAlignment="1" applyProtection="1">
      <alignment horizontal="center"/>
      <protection hidden="1"/>
    </xf>
    <xf numFmtId="0" fontId="8" fillId="0" borderId="0" xfId="2" applyFont="1" applyProtection="1">
      <protection hidden="1"/>
    </xf>
    <xf numFmtId="0" fontId="8" fillId="0" borderId="0" xfId="2" applyFont="1" applyFill="1" applyProtection="1">
      <protection hidden="1"/>
    </xf>
    <xf numFmtId="0" fontId="8" fillId="0" borderId="0" xfId="2" applyFont="1"/>
    <xf numFmtId="0" fontId="1" fillId="3" borderId="2" xfId="1" applyFill="1" applyBorder="1" applyProtection="1">
      <protection hidden="1"/>
    </xf>
    <xf numFmtId="0" fontId="1" fillId="3" borderId="2" xfId="1" applyFill="1" applyBorder="1" applyAlignment="1" applyProtection="1">
      <alignment horizontal="center"/>
      <protection hidden="1"/>
    </xf>
    <xf numFmtId="0" fontId="2" fillId="3" borderId="2" xfId="1" applyFont="1" applyFill="1" applyBorder="1" applyAlignment="1" applyProtection="1">
      <alignment horizontal="center"/>
      <protection hidden="1"/>
    </xf>
    <xf numFmtId="0" fontId="1" fillId="0" borderId="0" xfId="1"/>
    <xf numFmtId="0" fontId="9" fillId="0" borderId="0" xfId="0" applyFont="1"/>
    <xf numFmtId="0" fontId="10" fillId="0" borderId="0" xfId="1" applyFont="1" applyFill="1" applyBorder="1" applyAlignment="1" applyProtection="1">
      <alignment horizontal="left" vertical="center"/>
      <protection hidden="1"/>
    </xf>
    <xf numFmtId="0" fontId="4" fillId="4" borderId="3" xfId="1" applyNumberFormat="1" applyFont="1" applyFill="1" applyBorder="1" applyAlignment="1" applyProtection="1">
      <alignment horizontal="left" vertical="center"/>
      <protection hidden="1"/>
    </xf>
    <xf numFmtId="0" fontId="7" fillId="0" borderId="4" xfId="1" applyNumberFormat="1" applyFont="1" applyBorder="1" applyAlignment="1" applyProtection="1">
      <alignment horizontal="left" vertical="center"/>
      <protection hidden="1"/>
    </xf>
    <xf numFmtId="0" fontId="7" fillId="0" borderId="5" xfId="1" applyNumberFormat="1" applyFont="1" applyBorder="1" applyAlignment="1" applyProtection="1">
      <alignment horizontal="left" vertical="center"/>
      <protection hidden="1"/>
    </xf>
    <xf numFmtId="0" fontId="7" fillId="0" borderId="6" xfId="1" applyNumberFormat="1" applyFont="1" applyBorder="1" applyAlignment="1" applyProtection="1">
      <alignment horizontal="left" vertical="center"/>
      <protection hidden="1"/>
    </xf>
    <xf numFmtId="0" fontId="4" fillId="4" borderId="7" xfId="1" applyNumberFormat="1" applyFont="1" applyFill="1" applyBorder="1" applyAlignment="1" applyProtection="1">
      <alignment horizontal="left" vertical="center"/>
      <protection hidden="1"/>
    </xf>
    <xf numFmtId="0" fontId="4" fillId="4" borderId="8" xfId="1" applyNumberFormat="1" applyFont="1" applyFill="1" applyBorder="1" applyAlignment="1" applyProtection="1">
      <alignment horizontal="left" vertical="center"/>
      <protection hidden="1"/>
    </xf>
    <xf numFmtId="0" fontId="7" fillId="0" borderId="9" xfId="1" applyNumberFormat="1" applyFont="1" applyBorder="1" applyAlignment="1" applyProtection="1">
      <alignment horizontal="left" vertical="center"/>
      <protection hidden="1"/>
    </xf>
    <xf numFmtId="0" fontId="7" fillId="0" borderId="10" xfId="1" applyNumberFormat="1" applyFont="1" applyBorder="1" applyAlignment="1" applyProtection="1">
      <alignment horizontal="left" vertical="center"/>
      <protection hidden="1"/>
    </xf>
    <xf numFmtId="0" fontId="7" fillId="0" borderId="0" xfId="1" applyNumberFormat="1" applyFont="1" applyBorder="1" applyAlignment="1" applyProtection="1">
      <alignment horizontal="left" vertical="center"/>
      <protection hidden="1"/>
    </xf>
    <xf numFmtId="0" fontId="7" fillId="0" borderId="11" xfId="1" applyNumberFormat="1" applyFont="1" applyBorder="1" applyAlignment="1" applyProtection="1">
      <alignment horizontal="left" vertical="center"/>
      <protection hidden="1"/>
    </xf>
    <xf numFmtId="0" fontId="7" fillId="0" borderId="12" xfId="1" applyNumberFormat="1" applyFont="1" applyBorder="1" applyAlignment="1" applyProtection="1">
      <alignment horizontal="left" vertical="center"/>
      <protection hidden="1"/>
    </xf>
    <xf numFmtId="0" fontId="7" fillId="0" borderId="13" xfId="1" applyNumberFormat="1" applyFont="1" applyBorder="1" applyAlignment="1" applyProtection="1">
      <alignment horizontal="left" vertical="center"/>
      <protection hidden="1"/>
    </xf>
    <xf numFmtId="0" fontId="0" fillId="0" borderId="0" xfId="0" applyNumberFormat="1"/>
    <xf numFmtId="0" fontId="4" fillId="0" borderId="0" xfId="1" applyNumberFormat="1" applyFont="1" applyFill="1" applyBorder="1" applyAlignment="1" applyProtection="1">
      <alignment horizontal="left" vertical="center"/>
      <protection hidden="1"/>
    </xf>
    <xf numFmtId="0" fontId="0" fillId="0" borderId="0" xfId="0" applyFill="1" applyBorder="1"/>
    <xf numFmtId="0" fontId="7" fillId="0" borderId="0" xfId="1" applyNumberFormat="1" applyFont="1" applyFill="1" applyBorder="1" applyAlignment="1" applyProtection="1">
      <alignment horizontal="left" vertical="center"/>
      <protection hidden="1"/>
    </xf>
    <xf numFmtId="0" fontId="8" fillId="0" borderId="0" xfId="2" applyFont="1" applyFill="1" applyBorder="1" applyProtection="1">
      <protection hidden="1"/>
    </xf>
    <xf numFmtId="0" fontId="0" fillId="0" borderId="0" xfId="0" applyFill="1"/>
    <xf numFmtId="0" fontId="0" fillId="0" borderId="0" xfId="0" applyBorder="1"/>
    <xf numFmtId="0" fontId="4" fillId="0" borderId="14" xfId="1" applyNumberFormat="1" applyFont="1" applyFill="1" applyBorder="1" applyAlignment="1" applyProtection="1">
      <alignment horizontal="left" vertical="center"/>
      <protection hidden="1"/>
    </xf>
    <xf numFmtId="0" fontId="7" fillId="0" borderId="14" xfId="1" applyNumberFormat="1" applyFont="1" applyFill="1" applyBorder="1" applyAlignment="1" applyProtection="1">
      <alignment horizontal="left" vertical="center"/>
      <protection hidden="1"/>
    </xf>
    <xf numFmtId="0" fontId="4" fillId="0" borderId="0" xfId="1" applyNumberFormat="1" applyFont="1" applyBorder="1" applyAlignment="1" applyProtection="1">
      <alignment horizontal="center" vertical="center"/>
      <protection hidden="1"/>
    </xf>
    <xf numFmtId="0" fontId="4" fillId="0" borderId="11" xfId="1" applyNumberFormat="1" applyFont="1" applyBorder="1" applyAlignment="1" applyProtection="1">
      <alignment horizontal="center" vertical="center"/>
      <protection hidden="1"/>
    </xf>
    <xf numFmtId="0" fontId="4" fillId="4" borderId="7" xfId="1" applyNumberFormat="1" applyFont="1" applyFill="1" applyBorder="1" applyAlignment="1" applyProtection="1">
      <alignment horizontal="center" vertical="center"/>
      <protection hidden="1"/>
    </xf>
    <xf numFmtId="0" fontId="4" fillId="4" borderId="8" xfId="1" applyNumberFormat="1" applyFont="1" applyFill="1" applyBorder="1" applyAlignment="1" applyProtection="1">
      <alignment horizontal="center" vertical="center"/>
      <protection hidden="1"/>
    </xf>
    <xf numFmtId="9" fontId="0" fillId="5" borderId="0" xfId="0" applyNumberFormat="1" applyFill="1"/>
    <xf numFmtId="4" fontId="0" fillId="0" borderId="0" xfId="0" applyNumberFormat="1"/>
    <xf numFmtId="2" fontId="0" fillId="0" borderId="0" xfId="0" applyNumberFormat="1"/>
    <xf numFmtId="2" fontId="0" fillId="5" borderId="0" xfId="0" applyNumberFormat="1" applyFill="1"/>
    <xf numFmtId="14" fontId="0" fillId="0" borderId="0" xfId="0" applyNumberFormat="1"/>
    <xf numFmtId="0" fontId="13" fillId="0" borderId="0" xfId="5" applyNumberFormat="1" applyFont="1" applyFill="1" applyAlignment="1"/>
    <xf numFmtId="0" fontId="7" fillId="0" borderId="0" xfId="5" applyNumberFormat="1" applyFont="1" applyFill="1" applyBorder="1" applyAlignment="1"/>
    <xf numFmtId="164" fontId="7" fillId="0" borderId="0" xfId="5" applyNumberFormat="1" applyFont="1" applyFill="1" applyBorder="1" applyAlignment="1"/>
    <xf numFmtId="0" fontId="13" fillId="0" borderId="0" xfId="5" applyNumberFormat="1" applyFont="1" applyFill="1" applyBorder="1" applyAlignment="1"/>
    <xf numFmtId="0" fontId="7" fillId="0" borderId="0" xfId="5" applyNumberFormat="1" applyFont="1" applyFill="1" applyAlignment="1"/>
    <xf numFmtId="0" fontId="13" fillId="0" borderId="0" xfId="5" applyFont="1" applyFill="1" applyAlignment="1"/>
    <xf numFmtId="11" fontId="7" fillId="0" borderId="0" xfId="5" applyNumberFormat="1" applyFont="1" applyFill="1" applyBorder="1" applyAlignment="1"/>
    <xf numFmtId="0" fontId="12" fillId="0" borderId="0" xfId="5" applyNumberFormat="1" applyFont="1" applyFill="1" applyAlignment="1"/>
    <xf numFmtId="0" fontId="14" fillId="0" borderId="0" xfId="5" applyNumberFormat="1" applyFont="1" applyFill="1" applyAlignment="1"/>
    <xf numFmtId="0" fontId="15" fillId="0" borderId="0" xfId="0" applyNumberFormat="1" applyFont="1"/>
    <xf numFmtId="0" fontId="15" fillId="0" borderId="0" xfId="0" applyFont="1"/>
    <xf numFmtId="0" fontId="16" fillId="0" borderId="0" xfId="0" applyNumberFormat="1" applyFont="1"/>
    <xf numFmtId="9" fontId="0" fillId="0" borderId="0" xfId="3" applyFont="1"/>
    <xf numFmtId="0" fontId="7" fillId="0" borderId="0" xfId="5" quotePrefix="1" applyNumberFormat="1" applyFont="1" applyFill="1" applyBorder="1" applyAlignment="1"/>
    <xf numFmtId="0" fontId="17" fillId="0" borderId="0" xfId="0" applyNumberFormat="1" applyFont="1"/>
    <xf numFmtId="0" fontId="12" fillId="0" borderId="0" xfId="4" applyNumberFormat="1" applyFont="1" applyFill="1" applyBorder="1" applyAlignment="1"/>
    <xf numFmtId="0" fontId="12" fillId="0" borderId="0" xfId="5" applyNumberFormat="1" applyFont="1" applyFill="1" applyBorder="1" applyAlignment="1"/>
    <xf numFmtId="0" fontId="18" fillId="0" borderId="0" xfId="5" applyFont="1" applyFill="1" applyAlignment="1"/>
    <xf numFmtId="0" fontId="11" fillId="0" borderId="0" xfId="1" applyNumberFormat="1" applyFont="1" applyBorder="1" applyAlignment="1" applyProtection="1">
      <alignment horizontal="left" vertical="center"/>
      <protection hidden="1"/>
    </xf>
    <xf numFmtId="0" fontId="20" fillId="6" borderId="15" xfId="0" applyFont="1" applyFill="1" applyBorder="1"/>
    <xf numFmtId="0" fontId="20" fillId="6" borderId="16" xfId="0" applyFont="1" applyFill="1" applyBorder="1"/>
    <xf numFmtId="14" fontId="21" fillId="0" borderId="0" xfId="0" applyNumberFormat="1" applyFont="1"/>
    <xf numFmtId="0" fontId="21" fillId="0" borderId="0" xfId="0" applyNumberFormat="1" applyFont="1"/>
    <xf numFmtId="0" fontId="22" fillId="0" borderId="0" xfId="0" applyFont="1"/>
    <xf numFmtId="0" fontId="22" fillId="7" borderId="15" xfId="0" applyFont="1" applyFill="1" applyBorder="1"/>
    <xf numFmtId="0" fontId="22" fillId="7" borderId="16" xfId="0" applyFont="1" applyFill="1" applyBorder="1"/>
    <xf numFmtId="0" fontId="23" fillId="0" borderId="0" xfId="0" applyNumberFormat="1" applyFont="1"/>
    <xf numFmtId="0" fontId="24" fillId="0" borderId="11" xfId="1" applyNumberFormat="1" applyFont="1" applyBorder="1" applyAlignment="1" applyProtection="1">
      <alignment horizontal="left" vertical="center"/>
      <protection hidden="1"/>
    </xf>
    <xf numFmtId="0" fontId="24" fillId="0" borderId="13" xfId="1" applyNumberFormat="1" applyFont="1" applyBorder="1" applyAlignment="1" applyProtection="1">
      <alignment horizontal="left" vertical="center"/>
      <protection hidden="1"/>
    </xf>
    <xf numFmtId="0" fontId="4" fillId="0" borderId="0" xfId="1" applyNumberFormat="1" applyFont="1" applyBorder="1" applyAlignment="1" applyProtection="1">
      <alignment horizontal="center" vertical="center"/>
      <protection hidden="1"/>
    </xf>
    <xf numFmtId="0" fontId="25" fillId="0" borderId="0" xfId="0" applyFont="1" applyAlignment="1">
      <alignment horizontal="left" vertical="center"/>
    </xf>
    <xf numFmtId="0" fontId="4" fillId="0" borderId="0" xfId="1" applyNumberFormat="1" applyFont="1" applyBorder="1" applyAlignment="1" applyProtection="1">
      <alignment horizontal="center" vertical="center"/>
      <protection hidden="1"/>
    </xf>
    <xf numFmtId="0" fontId="0" fillId="0" borderId="6" xfId="0" applyBorder="1"/>
    <xf numFmtId="0" fontId="0" fillId="0" borderId="14" xfId="0" applyBorder="1"/>
    <xf numFmtId="0" fontId="4" fillId="0" borderId="0" xfId="1" applyNumberFormat="1" applyFont="1" applyBorder="1" applyAlignment="1" applyProtection="1">
      <alignment horizontal="center" vertical="center"/>
      <protection hidden="1"/>
    </xf>
    <xf numFmtId="164" fontId="42" fillId="0" borderId="0" xfId="5" applyNumberFormat="1" applyFont="1" applyFill="1" applyAlignment="1"/>
    <xf numFmtId="0" fontId="42" fillId="0" borderId="0" xfId="5" applyNumberFormat="1" applyFont="1" applyFill="1" applyAlignment="1"/>
    <xf numFmtId="0" fontId="43" fillId="0" borderId="0" xfId="5" applyNumberFormat="1" applyFont="1" applyFill="1" applyAlignment="1"/>
    <xf numFmtId="0" fontId="44" fillId="0" borderId="0" xfId="0" applyNumberFormat="1" applyFont="1"/>
    <xf numFmtId="0" fontId="45" fillId="0" borderId="0" xfId="5" applyNumberFormat="1" applyFont="1" applyFill="1" applyAlignment="1"/>
    <xf numFmtId="0" fontId="46" fillId="0" borderId="0" xfId="5" applyNumberFormat="1" applyFont="1" applyFill="1" applyAlignment="1"/>
    <xf numFmtId="0" fontId="47" fillId="0" borderId="0" xfId="5" applyFont="1" applyFill="1" applyAlignment="1"/>
    <xf numFmtId="0" fontId="39" fillId="0" borderId="0" xfId="0" applyFont="1"/>
    <xf numFmtId="0" fontId="48" fillId="0" borderId="0" xfId="0" applyFont="1"/>
    <xf numFmtId="0" fontId="39" fillId="0" borderId="0" xfId="0" applyNumberFormat="1" applyFont="1"/>
    <xf numFmtId="14" fontId="49" fillId="0" borderId="0" xfId="0" applyNumberFormat="1" applyFont="1" applyAlignment="1">
      <alignment vertical="center"/>
    </xf>
    <xf numFmtId="0" fontId="49" fillId="0" borderId="0" xfId="0" applyNumberFormat="1" applyFont="1" applyAlignment="1">
      <alignment vertical="center"/>
    </xf>
    <xf numFmtId="0" fontId="50" fillId="0" borderId="0" xfId="0" applyNumberFormat="1" applyFont="1" applyAlignment="1">
      <alignment vertical="center"/>
    </xf>
    <xf numFmtId="0" fontId="50" fillId="0" borderId="0" xfId="0" applyFont="1" applyAlignment="1">
      <alignment vertical="center"/>
    </xf>
    <xf numFmtId="0" fontId="51" fillId="0" borderId="0" xfId="0" applyNumberFormat="1" applyFont="1" applyAlignment="1">
      <alignment vertical="center"/>
    </xf>
    <xf numFmtId="0" fontId="52" fillId="0" borderId="0" xfId="0" applyNumberFormat="1" applyFont="1" applyAlignment="1">
      <alignment vertical="center"/>
    </xf>
    <xf numFmtId="0" fontId="53" fillId="0" borderId="0" xfId="5" applyFont="1" applyFill="1" applyAlignment="1">
      <alignment vertical="center"/>
    </xf>
    <xf numFmtId="0" fontId="18" fillId="0" borderId="0" xfId="5" applyNumberFormat="1" applyFont="1" applyFill="1" applyAlignment="1"/>
    <xf numFmtId="14" fontId="4" fillId="2" borderId="0" xfId="1" applyNumberFormat="1" applyFont="1" applyFill="1" applyBorder="1" applyAlignment="1" applyProtection="1">
      <alignment horizontal="right" vertical="top"/>
      <protection hidden="1"/>
    </xf>
    <xf numFmtId="0" fontId="19" fillId="0" borderId="0" xfId="0" applyFont="1" applyFill="1" applyBorder="1" applyAlignment="1">
      <alignment horizontal="left" vertical="center"/>
    </xf>
    <xf numFmtId="0" fontId="9" fillId="0" borderId="0" xfId="1" applyNumberFormat="1" applyFont="1" applyBorder="1" applyAlignment="1" applyProtection="1">
      <alignment horizontal="center" vertical="center"/>
      <protection hidden="1"/>
    </xf>
    <xf numFmtId="0" fontId="9" fillId="0" borderId="11" xfId="1" applyNumberFormat="1" applyFont="1" applyBorder="1" applyAlignment="1" applyProtection="1">
      <alignment horizontal="center" vertical="center"/>
      <protection hidden="1"/>
    </xf>
    <xf numFmtId="0" fontId="4" fillId="0" borderId="0" xfId="1" applyNumberFormat="1" applyFont="1" applyBorder="1" applyAlignment="1" applyProtection="1">
      <alignment horizontal="center" vertical="center"/>
      <protection hidden="1"/>
    </xf>
    <xf numFmtId="0" fontId="4" fillId="0" borderId="11" xfId="1" applyNumberFormat="1" applyFont="1" applyBorder="1" applyAlignment="1" applyProtection="1">
      <alignment horizontal="center" vertical="center"/>
      <protection hidden="1"/>
    </xf>
    <xf numFmtId="0" fontId="19" fillId="0" borderId="0" xfId="0" applyFont="1" applyFill="1" applyAlignment="1">
      <alignment horizontal="left" vertical="center"/>
    </xf>
    <xf numFmtId="0" fontId="19" fillId="0" borderId="12" xfId="0" applyFont="1" applyFill="1" applyBorder="1" applyAlignment="1">
      <alignment horizontal="left" vertical="center"/>
    </xf>
    <xf numFmtId="0" fontId="11" fillId="0" borderId="6" xfId="1" applyNumberFormat="1" applyFont="1" applyBorder="1" applyAlignment="1" applyProtection="1">
      <alignment horizontal="center" vertical="center"/>
      <protection hidden="1"/>
    </xf>
    <xf numFmtId="0" fontId="11" fillId="0" borderId="0" xfId="1" applyNumberFormat="1" applyFont="1" applyBorder="1" applyAlignment="1" applyProtection="1">
      <alignment horizontal="center" vertical="center"/>
      <protection hidden="1"/>
    </xf>
    <xf numFmtId="0" fontId="11" fillId="0" borderId="11" xfId="1" applyNumberFormat="1" applyFont="1" applyBorder="1" applyAlignment="1" applyProtection="1">
      <alignment horizontal="center" vertical="center"/>
      <protection hidden="1"/>
    </xf>
  </cellXfs>
  <cellStyles count="74">
    <cellStyle name="20% - Accent1 2" xfId="6"/>
    <cellStyle name="20% - Accent2 2" xfId="7"/>
    <cellStyle name="20% - Accent3 2" xfId="8"/>
    <cellStyle name="20% - Accent4 2" xfId="9"/>
    <cellStyle name="20% - Accent5 2" xfId="10"/>
    <cellStyle name="20% - Accent6 2" xfId="11"/>
    <cellStyle name="40% - Accent1 2" xfId="12"/>
    <cellStyle name="40% - Accent2 2" xfId="13"/>
    <cellStyle name="40% - Accent3 2" xfId="14"/>
    <cellStyle name="40% - Accent4 2" xfId="15"/>
    <cellStyle name="40% - Accent5 2" xfId="16"/>
    <cellStyle name="40% - Accent6 2" xfId="17"/>
    <cellStyle name="60% - Accent1 2" xfId="18"/>
    <cellStyle name="60% - Accent2 2" xfId="19"/>
    <cellStyle name="60% - Accent3 2" xfId="20"/>
    <cellStyle name="60% - Accent4 2" xfId="21"/>
    <cellStyle name="60% - Accent5 2" xfId="22"/>
    <cellStyle name="60% - Accent6 2" xfId="23"/>
    <cellStyle name="Accent1 2" xfId="24"/>
    <cellStyle name="Accent2 2" xfId="25"/>
    <cellStyle name="Accent3 2" xfId="26"/>
    <cellStyle name="Accent4 2" xfId="27"/>
    <cellStyle name="Accent5 2" xfId="28"/>
    <cellStyle name="Accent6 2" xfId="29"/>
    <cellStyle name="Bad 2" xfId="30"/>
    <cellStyle name="Calculation 2" xfId="31"/>
    <cellStyle name="Check Cell 2" xfId="32"/>
    <cellStyle name="Comma 2" xfId="33"/>
    <cellStyle name="Comma 3" xfId="34"/>
    <cellStyle name="Explanatory Text 2" xfId="35"/>
    <cellStyle name="Good 2" xfId="36"/>
    <cellStyle name="Heading 1 2" xfId="37"/>
    <cellStyle name="Heading 2 2" xfId="38"/>
    <cellStyle name="Heading 3 2" xfId="39"/>
    <cellStyle name="Heading 4 2" xfId="40"/>
    <cellStyle name="Input 2" xfId="41"/>
    <cellStyle name="Linked Cell 2" xfId="42"/>
    <cellStyle name="Neutral 2" xfId="43"/>
    <cellStyle name="Normal" xfId="0" builtinId="0"/>
    <cellStyle name="Normal 10" xfId="44"/>
    <cellStyle name="Normal 11" xfId="45"/>
    <cellStyle name="Normal 12" xfId="46"/>
    <cellStyle name="Normal 13" xfId="47"/>
    <cellStyle name="Normal 14" xfId="48"/>
    <cellStyle name="Normal 15" xfId="49"/>
    <cellStyle name="Normal 15 2" xfId="50"/>
    <cellStyle name="Normal 16" xfId="51"/>
    <cellStyle name="Normal 17" xfId="52"/>
    <cellStyle name="Normal 18" xfId="53"/>
    <cellStyle name="Normal 19" xfId="54"/>
    <cellStyle name="Normal 2" xfId="4"/>
    <cellStyle name="Normal 2 2" xfId="55"/>
    <cellStyle name="Normal 2 2 2" xfId="2"/>
    <cellStyle name="Normal 2 3" xfId="1"/>
    <cellStyle name="Normal 20" xfId="56"/>
    <cellStyle name="Normal 21" xfId="57"/>
    <cellStyle name="Normal 22" xfId="58"/>
    <cellStyle name="Normal 23" xfId="59"/>
    <cellStyle name="Normal 3" xfId="5"/>
    <cellStyle name="Normal 4" xfId="60"/>
    <cellStyle name="Normal 5" xfId="61"/>
    <cellStyle name="Normal 6" xfId="62"/>
    <cellStyle name="Normal 7" xfId="63"/>
    <cellStyle name="Normal 8" xfId="64"/>
    <cellStyle name="Normal 9" xfId="65"/>
    <cellStyle name="Note 2" xfId="66"/>
    <cellStyle name="Output 2" xfId="67"/>
    <cellStyle name="Percent" xfId="3" builtinId="5"/>
    <cellStyle name="Percent 2" xfId="68"/>
    <cellStyle name="Percent 3" xfId="69"/>
    <cellStyle name="Title 2" xfId="70"/>
    <cellStyle name="Total 2" xfId="71"/>
    <cellStyle name="Warning Text 2" xfId="72"/>
    <cellStyle name="Обычный_CSS defects" xfId="73"/>
  </cellStyles>
  <dxfs count="1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Arial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Arial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rgb="FF00B0F0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00B0F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B0F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B0F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B0F0"/>
        <name val="Calibri"/>
        <scheme val="minor"/>
      </font>
      <numFmt numFmtId="0" formatCode="General"/>
    </dxf>
    <dxf>
      <font>
        <sz val="10"/>
        <color rgb="FF00B05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z val="10"/>
        <color rgb="FF00B05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z val="10"/>
        <color rgb="FF00B05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z val="10"/>
        <color rgb="FF00B05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theme="9" tint="-0.249977111117893"/>
      </font>
      <numFmt numFmtId="0" formatCode="General"/>
    </dxf>
    <dxf>
      <font>
        <color theme="9" tint="-0.249977111117893"/>
      </font>
      <numFmt numFmtId="0" formatCode="General"/>
    </dxf>
    <dxf>
      <font>
        <color theme="9" tint="-0.249977111117893"/>
      </font>
      <numFmt numFmtId="0" formatCode="General"/>
    </dxf>
    <dxf>
      <font>
        <color theme="9" tint="-0.249977111117893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numFmt numFmtId="0" formatCode="General"/>
    </dxf>
    <dxf>
      <font>
        <color theme="9" tint="-0.249977111117893"/>
      </font>
      <numFmt numFmtId="0" formatCode="General"/>
    </dxf>
    <dxf>
      <font>
        <color theme="9" tint="-0.249977111117893"/>
      </font>
      <numFmt numFmtId="0" formatCode="General"/>
    </dxf>
    <dxf>
      <font>
        <color theme="9" tint="-0.249977111117893"/>
      </font>
      <numFmt numFmtId="0" formatCode="General"/>
    </dxf>
    <dxf>
      <font>
        <color theme="9" tint="-0.249977111117893"/>
      </font>
      <numFmt numFmtId="0" formatCode="General"/>
    </dxf>
    <dxf>
      <font>
        <color theme="9" tint="-0.249977111117893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numFmt numFmtId="0" formatCode="General"/>
    </dxf>
    <dxf>
      <font>
        <color theme="9" tint="-0.249977111117893"/>
      </font>
      <numFmt numFmtId="0" formatCode="General"/>
    </dxf>
    <dxf>
      <font>
        <color theme="9" tint="-0.249977111117893"/>
      </font>
      <numFmt numFmtId="0" formatCode="General"/>
    </dxf>
    <dxf>
      <font>
        <color theme="9" tint="-0.249977111117893"/>
      </font>
      <numFmt numFmtId="0" formatCode="General"/>
    </dxf>
    <dxf>
      <font>
        <color theme="9" tint="-0.249977111117893"/>
      </font>
      <numFmt numFmtId="0" formatCode="General"/>
    </dxf>
    <dxf>
      <font>
        <color theme="9" tint="-0.249977111117893"/>
      </font>
      <numFmt numFmtId="0" formatCode="General"/>
    </dxf>
    <dxf>
      <font>
        <color theme="9" tint="-0.249977111117893"/>
      </font>
      <numFmt numFmtId="0" formatCode="General"/>
    </dxf>
    <dxf>
      <font>
        <color theme="9" tint="-0.249977111117893"/>
      </font>
      <numFmt numFmtId="0" formatCode="General"/>
    </dxf>
    <dxf>
      <font>
        <color theme="9" tint="-0.249977111117893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0.3999755851924192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9" formatCode="dd/mm/yyyy"/>
    </dxf>
  </dxfs>
  <tableStyles count="0" defaultTableStyle="TableStyleMedium2" defaultPivotStyle="PivotStyleLight16"/>
  <colors>
    <mruColors>
      <color rgb="FF54B948"/>
      <color rgb="FFF0A010"/>
      <color rgb="FFF96F07"/>
      <color rgb="FFBF720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16716604244694E-2"/>
          <c:y val="0.11832997650218194"/>
          <c:w val="0.92539213483146066"/>
          <c:h val="0.5711555891238671"/>
        </c:manualLayout>
      </c:layout>
      <c:lineChart>
        <c:grouping val="standard"/>
        <c:varyColors val="0"/>
        <c:ser>
          <c:idx val="2"/>
          <c:order val="0"/>
          <c:tx>
            <c:v>Trend Core</c:v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rgbClr val="00B0F0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Data!$DY$2:$DY$6</c:f>
              <c:numCache>
                <c:formatCode>General</c:formatCode>
                <c:ptCount val="5"/>
                <c:pt idx="0">
                  <c:v>0.24030432362219337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ser>
          <c:idx val="3"/>
          <c:order val="1"/>
          <c:tx>
            <c:v>Trend  Extension</c:v>
          </c:tx>
          <c:spPr>
            <a:ln w="2540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6">
                    <a:lumMod val="75000"/>
                  </a:schemeClr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Data!$DX$2:$DX$6</c:f>
              <c:numCache>
                <c:formatCode>General</c:formatCode>
                <c:ptCount val="5"/>
                <c:pt idx="0">
                  <c:v>0.23950667418618332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625280"/>
        <c:axId val="128631168"/>
      </c:lineChart>
      <c:dateAx>
        <c:axId val="128625280"/>
        <c:scaling>
          <c:orientation val="minMax"/>
        </c:scaling>
        <c:delete val="0"/>
        <c:axPos val="b"/>
        <c:numFmt formatCode="dd/mm" sourceLinked="0"/>
        <c:majorTickMark val="out"/>
        <c:minorTickMark val="none"/>
        <c:tickLblPos val="nextTo"/>
        <c:crossAx val="128631168"/>
        <c:crosses val="autoZero"/>
        <c:auto val="0"/>
        <c:lblOffset val="100"/>
        <c:baseTimeUnit val="days"/>
        <c:majorUnit val="7"/>
        <c:majorTimeUnit val="days"/>
      </c:dateAx>
      <c:valAx>
        <c:axId val="12863116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1286252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8360549313358304E-2"/>
          <c:y val="0.87130748573346761"/>
          <c:w val="0.90317382768098875"/>
          <c:h val="7.262214211175410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16716604244694E-2"/>
          <c:y val="0.11832997650218194"/>
          <c:w val="0.92539213483146066"/>
          <c:h val="0.5711555891238671"/>
        </c:manualLayout>
      </c:layout>
      <c:lineChart>
        <c:grouping val="standard"/>
        <c:varyColors val="0"/>
        <c:ser>
          <c:idx val="2"/>
          <c:order val="0"/>
          <c:tx>
            <c:v>Trend Core</c:v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rgbClr val="00B0F0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Data!$BC$2:$BC$12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Data!$BQ$2:$BQ$116</c:f>
              <c:numCache>
                <c:formatCode>General</c:formatCode>
                <c:ptCount val="115"/>
                <c:pt idx="0">
                  <c:v>15.5</c:v>
                </c:pt>
              </c:numCache>
            </c:numRef>
          </c:val>
          <c:smooth val="0"/>
        </c:ser>
        <c:ser>
          <c:idx val="3"/>
          <c:order val="1"/>
          <c:tx>
            <c:v>Trend  Extension</c:v>
          </c:tx>
          <c:spPr>
            <a:ln w="2540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 w="25400">
                <a:solidFill>
                  <a:schemeClr val="accent6">
                    <a:lumMod val="75000"/>
                  </a:schemeClr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Data!$BC$2:$BC$12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Data!$BO$2:$BO$116</c:f>
              <c:numCache>
                <c:formatCode>General</c:formatCode>
                <c:ptCount val="115"/>
                <c:pt idx="0">
                  <c:v>3.705977011494253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853504"/>
        <c:axId val="128855040"/>
      </c:lineChart>
      <c:dateAx>
        <c:axId val="128853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8855040"/>
        <c:crosses val="autoZero"/>
        <c:auto val="0"/>
        <c:lblOffset val="100"/>
        <c:baseTimeUnit val="days"/>
      </c:dateAx>
      <c:valAx>
        <c:axId val="12885504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12885350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8360549313358304E-2"/>
          <c:y val="0.87130748573346761"/>
          <c:w val="0.90317382768098875"/>
          <c:h val="7.262214211175410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758529345122967E-2"/>
          <c:y val="6.2112109865873365E-2"/>
          <c:w val="0.87662062401364715"/>
          <c:h val="0.87577578026825331"/>
        </c:manualLayout>
      </c:layout>
      <c:barChart>
        <c:barDir val="col"/>
        <c:grouping val="stacked"/>
        <c:varyColors val="0"/>
        <c:ser>
          <c:idx val="5"/>
          <c:order val="0"/>
          <c:spPr>
            <a:solidFill>
              <a:schemeClr val="bg1">
                <a:lumMod val="65000"/>
              </a:schemeClr>
            </a:solidFill>
            <a:ln w="25400" cap="rnd">
              <a:solidFill>
                <a:schemeClr val="bg1">
                  <a:lumMod val="65000"/>
                </a:schemeClr>
              </a:solidFill>
            </a:ln>
          </c:spPr>
          <c:invertIfNegative val="0"/>
          <c:dLbls>
            <c:numFmt formatCode="General" sourceLinked="0"/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DDD!$I$1:$I$5</c:f>
              <c:strCache>
                <c:ptCount val="5"/>
                <c:pt idx="0">
                  <c:v>TDM</c:v>
                </c:pt>
                <c:pt idx="1">
                  <c:v>Coles</c:v>
                </c:pt>
                <c:pt idx="2">
                  <c:v>WOW</c:v>
                </c:pt>
                <c:pt idx="3">
                  <c:v>SSL</c:v>
                </c:pt>
                <c:pt idx="4">
                  <c:v>WFM</c:v>
                </c:pt>
              </c:strCache>
            </c:strRef>
          </c:cat>
          <c:val>
            <c:numRef>
              <c:f>DDD!$O$1:$O$5</c:f>
              <c:numCache>
                <c:formatCode>General</c:formatCode>
                <c:ptCount val="5"/>
                <c:pt idx="0">
                  <c:v>5.73</c:v>
                </c:pt>
                <c:pt idx="1">
                  <c:v>0.52</c:v>
                </c:pt>
                <c:pt idx="2">
                  <c:v>0.59</c:v>
                </c:pt>
                <c:pt idx="3">
                  <c:v>3.51</c:v>
                </c:pt>
                <c:pt idx="4">
                  <c:v>1.54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29255296"/>
        <c:axId val="129256832"/>
      </c:barChart>
      <c:barChart>
        <c:barDir val="col"/>
        <c:grouping val="stacked"/>
        <c:varyColors val="0"/>
        <c:ser>
          <c:idx val="6"/>
          <c:order val="1"/>
          <c:spPr>
            <a:solidFill>
              <a:schemeClr val="accent1">
                <a:lumMod val="60000"/>
                <a:lumOff val="40000"/>
                <a:alpha val="20000"/>
              </a:schemeClr>
            </a:solidFill>
          </c:spPr>
          <c:invertIfNegative val="0"/>
          <c:val>
            <c:numRef>
              <c:f>DDD!$Q$1:$Q$5</c:f>
              <c:numCache>
                <c:formatCode>0.00</c:formatCode>
                <c:ptCount val="5"/>
                <c:pt idx="0">
                  <c:v>2.3849732995033266</c:v>
                </c:pt>
                <c:pt idx="1">
                  <c:v>2.3849732995033266</c:v>
                </c:pt>
                <c:pt idx="2">
                  <c:v>2.3849732995033266</c:v>
                </c:pt>
                <c:pt idx="3">
                  <c:v>2.3849732995033266</c:v>
                </c:pt>
                <c:pt idx="4">
                  <c:v>2.3849732995033266</c:v>
                </c:pt>
              </c:numCache>
            </c:numRef>
          </c:val>
        </c:ser>
        <c:ser>
          <c:idx val="0"/>
          <c:order val="2"/>
          <c:spPr>
            <a:noFill/>
            <a:ln>
              <a:noFill/>
            </a:ln>
          </c:spPr>
          <c:invertIfNegative val="0"/>
          <c:val>
            <c:numRef>
              <c:f>DDD!$R$1:$R$5</c:f>
              <c:numCache>
                <c:formatCode>0.00</c:formatCode>
                <c:ptCount val="5"/>
                <c:pt idx="0">
                  <c:v>5.736842155456543</c:v>
                </c:pt>
                <c:pt idx="1">
                  <c:v>5.736842155456543</c:v>
                </c:pt>
                <c:pt idx="2">
                  <c:v>5.736842155456543</c:v>
                </c:pt>
                <c:pt idx="3">
                  <c:v>5.736842155456543</c:v>
                </c:pt>
                <c:pt idx="4">
                  <c:v>5.736842155456543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9260160"/>
        <c:axId val="129258624"/>
      </c:barChart>
      <c:catAx>
        <c:axId val="129255296"/>
        <c:scaling>
          <c:orientation val="minMax"/>
        </c:scaling>
        <c:delete val="1"/>
        <c:axPos val="b"/>
        <c:majorTickMark val="out"/>
        <c:minorTickMark val="none"/>
        <c:tickLblPos val="nextTo"/>
        <c:crossAx val="129256832"/>
        <c:crosses val="autoZero"/>
        <c:auto val="1"/>
        <c:lblAlgn val="ctr"/>
        <c:lblOffset val="100"/>
        <c:noMultiLvlLbl val="0"/>
      </c:catAx>
      <c:valAx>
        <c:axId val="129256832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129255296"/>
        <c:crosses val="autoZero"/>
        <c:crossBetween val="between"/>
      </c:valAx>
      <c:valAx>
        <c:axId val="129258624"/>
        <c:scaling>
          <c:orientation val="minMax"/>
          <c:max val="1"/>
          <c:min val="-0.25"/>
        </c:scaling>
        <c:delete val="1"/>
        <c:axPos val="r"/>
        <c:numFmt formatCode="0.00" sourceLinked="1"/>
        <c:majorTickMark val="out"/>
        <c:minorTickMark val="none"/>
        <c:tickLblPos val="nextTo"/>
        <c:crossAx val="129260160"/>
        <c:crosses val="max"/>
        <c:crossBetween val="between"/>
        <c:majorUnit val="0.25"/>
      </c:valAx>
      <c:catAx>
        <c:axId val="129260160"/>
        <c:scaling>
          <c:orientation val="minMax"/>
        </c:scaling>
        <c:delete val="1"/>
        <c:axPos val="b"/>
        <c:majorTickMark val="out"/>
        <c:minorTickMark val="none"/>
        <c:tickLblPos val="nextTo"/>
        <c:crossAx val="129258624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375874015748032"/>
          <c:y val="6.2112109865873365E-2"/>
          <c:w val="0.644620472440945"/>
          <c:h val="0.87577578026825331"/>
        </c:manualLayout>
      </c:layout>
      <c:barChart>
        <c:barDir val="col"/>
        <c:grouping val="stacked"/>
        <c:varyColors val="0"/>
        <c:ser>
          <c:idx val="5"/>
          <c:order val="0"/>
          <c:spPr>
            <a:solidFill>
              <a:schemeClr val="bg1">
                <a:lumMod val="65000"/>
              </a:schemeClr>
            </a:solidFill>
            <a:ln w="25400" cap="rnd">
              <a:solidFill>
                <a:schemeClr val="bg1">
                  <a:lumMod val="65000"/>
                </a:schemeClr>
              </a:solidFill>
            </a:ln>
          </c:spPr>
          <c:invertIfNegative val="0"/>
          <c:dLbls>
            <c:numFmt formatCode="#,##0.00" sourceLinked="0"/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DDD!$I$1:$I$5</c:f>
              <c:strCache>
                <c:ptCount val="5"/>
                <c:pt idx="0">
                  <c:v>TDM</c:v>
                </c:pt>
                <c:pt idx="1">
                  <c:v>Coles</c:v>
                </c:pt>
                <c:pt idx="2">
                  <c:v>WOW</c:v>
                </c:pt>
                <c:pt idx="3">
                  <c:v>SSL</c:v>
                </c:pt>
                <c:pt idx="4">
                  <c:v>WFM</c:v>
                </c:pt>
              </c:strCache>
            </c:strRef>
          </c:cat>
          <c:val>
            <c:numRef>
              <c:f>DDD!$O$6</c:f>
              <c:numCache>
                <c:formatCode>0.00</c:formatCode>
                <c:ptCount val="1"/>
                <c:pt idx="0">
                  <c:v>1.3211848735809326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9299584"/>
        <c:axId val="129301120"/>
      </c:barChart>
      <c:barChart>
        <c:barDir val="col"/>
        <c:grouping val="stacked"/>
        <c:varyColors val="0"/>
        <c:ser>
          <c:idx val="6"/>
          <c:order val="1"/>
          <c:spPr>
            <a:solidFill>
              <a:schemeClr val="accent1">
                <a:lumMod val="60000"/>
                <a:lumOff val="40000"/>
                <a:alpha val="20000"/>
              </a:schemeClr>
            </a:solidFill>
          </c:spPr>
          <c:invertIfNegative val="0"/>
          <c:val>
            <c:numRef>
              <c:f>DDD!$Q$6</c:f>
              <c:numCache>
                <c:formatCode>0.00</c:formatCode>
                <c:ptCount val="1"/>
                <c:pt idx="0">
                  <c:v>2.3849732995033266</c:v>
                </c:pt>
              </c:numCache>
            </c:numRef>
          </c:val>
        </c:ser>
        <c:ser>
          <c:idx val="0"/>
          <c:order val="2"/>
          <c:spPr>
            <a:noFill/>
            <a:ln>
              <a:noFill/>
            </a:ln>
          </c:spPr>
          <c:invertIfNegative val="0"/>
          <c:val>
            <c:numRef>
              <c:f>DDD!$R$1</c:f>
              <c:numCache>
                <c:formatCode>0.00</c:formatCode>
                <c:ptCount val="1"/>
                <c:pt idx="0">
                  <c:v>5.736842155456543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9116032"/>
        <c:axId val="129114496"/>
      </c:barChart>
      <c:catAx>
        <c:axId val="129299584"/>
        <c:scaling>
          <c:orientation val="minMax"/>
        </c:scaling>
        <c:delete val="1"/>
        <c:axPos val="b"/>
        <c:majorTickMark val="out"/>
        <c:minorTickMark val="none"/>
        <c:tickLblPos val="nextTo"/>
        <c:crossAx val="129301120"/>
        <c:crosses val="autoZero"/>
        <c:auto val="1"/>
        <c:lblAlgn val="ctr"/>
        <c:lblOffset val="100"/>
        <c:noMultiLvlLbl val="0"/>
      </c:catAx>
      <c:valAx>
        <c:axId val="129301120"/>
        <c:scaling>
          <c:orientation val="minMax"/>
        </c:scaling>
        <c:delete val="1"/>
        <c:axPos val="l"/>
        <c:numFmt formatCode="0.0;;0;" sourceLinked="0"/>
        <c:majorTickMark val="out"/>
        <c:minorTickMark val="none"/>
        <c:tickLblPos val="nextTo"/>
        <c:crossAx val="129299584"/>
        <c:crosses val="autoZero"/>
        <c:crossBetween val="between"/>
      </c:valAx>
      <c:valAx>
        <c:axId val="129114496"/>
        <c:scaling>
          <c:orientation val="minMax"/>
          <c:max val="1"/>
          <c:min val="-0.25"/>
        </c:scaling>
        <c:delete val="1"/>
        <c:axPos val="r"/>
        <c:numFmt formatCode="0.00" sourceLinked="1"/>
        <c:majorTickMark val="out"/>
        <c:minorTickMark val="none"/>
        <c:tickLblPos val="nextTo"/>
        <c:crossAx val="129116032"/>
        <c:crosses val="max"/>
        <c:crossBetween val="between"/>
        <c:majorUnit val="0.25"/>
      </c:valAx>
      <c:catAx>
        <c:axId val="129116032"/>
        <c:scaling>
          <c:orientation val="minMax"/>
        </c:scaling>
        <c:delete val="1"/>
        <c:axPos val="b"/>
        <c:majorTickMark val="out"/>
        <c:minorTickMark val="none"/>
        <c:tickLblPos val="nextTo"/>
        <c:crossAx val="129114496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375874015748032"/>
          <c:y val="6.2112109865873365E-2"/>
          <c:w val="0.644620472440945"/>
          <c:h val="0.87577578026825331"/>
        </c:manualLayout>
      </c:layout>
      <c:barChart>
        <c:barDir val="col"/>
        <c:grouping val="stacked"/>
        <c:varyColors val="0"/>
        <c:ser>
          <c:idx val="5"/>
          <c:order val="0"/>
          <c:spPr>
            <a:solidFill>
              <a:schemeClr val="bg1">
                <a:lumMod val="65000"/>
              </a:schemeClr>
            </a:solidFill>
            <a:ln w="25400" cap="rnd">
              <a:solidFill>
                <a:schemeClr val="bg1">
                  <a:lumMod val="65000"/>
                </a:schemeClr>
              </a:solidFill>
            </a:ln>
          </c:spPr>
          <c:invertIfNegative val="0"/>
          <c:dLbls>
            <c:numFmt formatCode="0%" sourceLinked="0"/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Regression!$I$1:$I$5</c:f>
              <c:strCache>
                <c:ptCount val="5"/>
                <c:pt idx="0">
                  <c:v>TDM</c:v>
                </c:pt>
                <c:pt idx="1">
                  <c:v>Coles</c:v>
                </c:pt>
                <c:pt idx="2">
                  <c:v>WOW</c:v>
                </c:pt>
                <c:pt idx="3">
                  <c:v>SSL</c:v>
                </c:pt>
                <c:pt idx="4">
                  <c:v>WFM</c:v>
                </c:pt>
              </c:strCache>
            </c:strRef>
          </c:cat>
          <c:val>
            <c:numRef>
              <c:f>Regression!$O$6</c:f>
              <c:numCache>
                <c:formatCode>General</c:formatCode>
                <c:ptCount val="1"/>
                <c:pt idx="0">
                  <c:v>0.36503337860107421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9140992"/>
        <c:axId val="129142784"/>
      </c:barChart>
      <c:barChart>
        <c:barDir val="col"/>
        <c:grouping val="stacked"/>
        <c:varyColors val="0"/>
        <c:ser>
          <c:idx val="6"/>
          <c:order val="1"/>
          <c:spPr>
            <a:solidFill>
              <a:schemeClr val="accent1">
                <a:lumMod val="60000"/>
                <a:lumOff val="40000"/>
                <a:alpha val="20000"/>
              </a:schemeClr>
            </a:solidFill>
          </c:spPr>
          <c:invertIfNegative val="0"/>
          <c:val>
            <c:numRef>
              <c:f>Regression!$Q$1</c:f>
              <c:numCache>
                <c:formatCode>0.00</c:formatCode>
                <c:ptCount val="1"/>
                <c:pt idx="0">
                  <c:v>0.19472784805297852</c:v>
                </c:pt>
              </c:numCache>
            </c:numRef>
          </c:val>
        </c:ser>
        <c:ser>
          <c:idx val="0"/>
          <c:order val="2"/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</c:spPr>
          </c:dPt>
          <c:val>
            <c:numRef>
              <c:f>Regression!$R$1</c:f>
              <c:numCache>
                <c:formatCode>General</c:formatCode>
                <c:ptCount val="1"/>
                <c:pt idx="0">
                  <c:v>0.22690877151489255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9145856"/>
        <c:axId val="129144320"/>
      </c:barChart>
      <c:catAx>
        <c:axId val="129140992"/>
        <c:scaling>
          <c:orientation val="minMax"/>
        </c:scaling>
        <c:delete val="1"/>
        <c:axPos val="b"/>
        <c:majorTickMark val="out"/>
        <c:minorTickMark val="none"/>
        <c:tickLblPos val="nextTo"/>
        <c:crossAx val="129142784"/>
        <c:crosses val="autoZero"/>
        <c:auto val="1"/>
        <c:lblAlgn val="ctr"/>
        <c:lblOffset val="100"/>
        <c:noMultiLvlLbl val="0"/>
      </c:catAx>
      <c:valAx>
        <c:axId val="129142784"/>
        <c:scaling>
          <c:orientation val="minMax"/>
        </c:scaling>
        <c:delete val="1"/>
        <c:axPos val="l"/>
        <c:numFmt formatCode="0%" sourceLinked="0"/>
        <c:majorTickMark val="out"/>
        <c:minorTickMark val="none"/>
        <c:tickLblPos val="nextTo"/>
        <c:crossAx val="129140992"/>
        <c:crosses val="autoZero"/>
        <c:crossBetween val="between"/>
      </c:valAx>
      <c:valAx>
        <c:axId val="129144320"/>
        <c:scaling>
          <c:orientation val="minMax"/>
          <c:max val="1"/>
          <c:min val="-0.25"/>
        </c:scaling>
        <c:delete val="1"/>
        <c:axPos val="r"/>
        <c:numFmt formatCode="0.00" sourceLinked="1"/>
        <c:majorTickMark val="out"/>
        <c:minorTickMark val="none"/>
        <c:tickLblPos val="nextTo"/>
        <c:crossAx val="129145856"/>
        <c:crosses val="max"/>
        <c:crossBetween val="between"/>
        <c:majorUnit val="0.25"/>
      </c:valAx>
      <c:catAx>
        <c:axId val="129145856"/>
        <c:scaling>
          <c:orientation val="minMax"/>
        </c:scaling>
        <c:delete val="1"/>
        <c:axPos val="b"/>
        <c:majorTickMark val="out"/>
        <c:minorTickMark val="none"/>
        <c:tickLblPos val="nextTo"/>
        <c:crossAx val="12914432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16716604244694E-2"/>
          <c:y val="0.11832997650218194"/>
          <c:w val="0.92539213483146066"/>
          <c:h val="0.53112777002089628"/>
        </c:manualLayout>
      </c:layout>
      <c:lineChart>
        <c:grouping val="standard"/>
        <c:varyColors val="0"/>
        <c:ser>
          <c:idx val="2"/>
          <c:order val="0"/>
          <c:tx>
            <c:v>Trend Core</c:v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Data!$O$2:$O$29</c:f>
              <c:numCache>
                <c:formatCode>General</c:formatCode>
                <c:ptCount val="28"/>
                <c:pt idx="0">
                  <c:v>0.95887237787246704</c:v>
                </c:pt>
                <c:pt idx="1">
                  <c:v>0.96870851516723633</c:v>
                </c:pt>
                <c:pt idx="2">
                  <c:v>1.0100972652435303</c:v>
                </c:pt>
                <c:pt idx="3">
                  <c:v>1.024700403213501</c:v>
                </c:pt>
                <c:pt idx="4">
                  <c:v>1.0431839227676392</c:v>
                </c:pt>
                <c:pt idx="5">
                  <c:v>1.064130425453186</c:v>
                </c:pt>
                <c:pt idx="6">
                  <c:v>1.0874189138412476</c:v>
                </c:pt>
                <c:pt idx="7">
                  <c:v>1.1050465106964111</c:v>
                </c:pt>
                <c:pt idx="8">
                  <c:v>1.131513237953186</c:v>
                </c:pt>
                <c:pt idx="9">
                  <c:v>1.1590099334716797</c:v>
                </c:pt>
                <c:pt idx="10">
                  <c:v>1.1679536104202271</c:v>
                </c:pt>
                <c:pt idx="11">
                  <c:v>1.188807487487793</c:v>
                </c:pt>
                <c:pt idx="12">
                  <c:v>1.192596435546875</c:v>
                </c:pt>
                <c:pt idx="13">
                  <c:v>1.2083120346069336</c:v>
                </c:pt>
                <c:pt idx="14">
                  <c:v>1.2196198701858521</c:v>
                </c:pt>
                <c:pt idx="15">
                  <c:v>1.2405105829238892</c:v>
                </c:pt>
                <c:pt idx="16">
                  <c:v>1.251967191696167</c:v>
                </c:pt>
                <c:pt idx="17">
                  <c:v>1.2831416130065918</c:v>
                </c:pt>
                <c:pt idx="18">
                  <c:v>1.2940882444381714</c:v>
                </c:pt>
                <c:pt idx="19">
                  <c:v>1.2983857393264771</c:v>
                </c:pt>
                <c:pt idx="20">
                  <c:v>1.3038774728775024</c:v>
                </c:pt>
                <c:pt idx="21">
                  <c:v>1.3077051639556885</c:v>
                </c:pt>
                <c:pt idx="22">
                  <c:v>1.3120319843292236</c:v>
                </c:pt>
                <c:pt idx="23">
                  <c:v>1.3150274753570557</c:v>
                </c:pt>
                <c:pt idx="24">
                  <c:v>1.3173573017120361</c:v>
                </c:pt>
                <c:pt idx="25">
                  <c:v>1.3211848735809326</c:v>
                </c:pt>
                <c:pt idx="26">
                  <c:v>1.3211848735809326</c:v>
                </c:pt>
                <c:pt idx="27">
                  <c:v>1.3211848735809326</c:v>
                </c:pt>
              </c:numCache>
            </c:numRef>
          </c:val>
          <c:smooth val="0"/>
        </c:ser>
        <c:ser>
          <c:idx val="3"/>
          <c:order val="1"/>
          <c:tx>
            <c:v>Trend  Extension</c:v>
          </c:tx>
          <c:spPr>
            <a:ln w="2540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Data!$P$2:$P$29</c:f>
              <c:numCache>
                <c:formatCode>General</c:formatCode>
                <c:ptCount val="28"/>
                <c:pt idx="0">
                  <c:v>0.27319392561912537</c:v>
                </c:pt>
                <c:pt idx="1">
                  <c:v>0.28262384732564289</c:v>
                </c:pt>
                <c:pt idx="2">
                  <c:v>0.28415051102638245</c:v>
                </c:pt>
                <c:pt idx="3">
                  <c:v>0.22244143486022949</c:v>
                </c:pt>
                <c:pt idx="4">
                  <c:v>0.30397988855838776</c:v>
                </c:pt>
                <c:pt idx="5">
                  <c:v>0.34202203154563904</c:v>
                </c:pt>
                <c:pt idx="6">
                  <c:v>0.32983635365962982</c:v>
                </c:pt>
                <c:pt idx="7">
                  <c:v>0.34008447080850601</c:v>
                </c:pt>
                <c:pt idx="8">
                  <c:v>0.3722660169005394</c:v>
                </c:pt>
                <c:pt idx="9">
                  <c:v>0.41590543836355209</c:v>
                </c:pt>
                <c:pt idx="10">
                  <c:v>0.40604843944311142</c:v>
                </c:pt>
                <c:pt idx="11">
                  <c:v>0.36282038688659668</c:v>
                </c:pt>
                <c:pt idx="12">
                  <c:v>0.37641220539808273</c:v>
                </c:pt>
                <c:pt idx="13">
                  <c:v>4.2485610246658325</c:v>
                </c:pt>
                <c:pt idx="14">
                  <c:v>3.9307001084089279</c:v>
                </c:pt>
                <c:pt idx="15">
                  <c:v>2.1441614925861359</c:v>
                </c:pt>
                <c:pt idx="16">
                  <c:v>2.0719412744045256</c:v>
                </c:pt>
                <c:pt idx="17">
                  <c:v>2.2466725230216982</c:v>
                </c:pt>
                <c:pt idx="18">
                  <c:v>2.4298653066158296</c:v>
                </c:pt>
                <c:pt idx="19">
                  <c:v>1.7985231459140778</c:v>
                </c:pt>
                <c:pt idx="20">
                  <c:v>1.7842957735061646</c:v>
                </c:pt>
                <c:pt idx="21">
                  <c:v>1.6877025604248046</c:v>
                </c:pt>
                <c:pt idx="22">
                  <c:v>1.7775804162025453</c:v>
                </c:pt>
                <c:pt idx="23">
                  <c:v>1.8204718708992005</c:v>
                </c:pt>
                <c:pt idx="24">
                  <c:v>1.9125743627548217</c:v>
                </c:pt>
                <c:pt idx="25">
                  <c:v>2.1459187269210815</c:v>
                </c:pt>
                <c:pt idx="26">
                  <c:v>2.3849732995033266</c:v>
                </c:pt>
                <c:pt idx="27">
                  <c:v>2.3849732995033266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156608"/>
        <c:axId val="129158144"/>
      </c:lineChart>
      <c:dateAx>
        <c:axId val="1291566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29158144"/>
        <c:crosses val="autoZero"/>
        <c:auto val="0"/>
        <c:lblOffset val="100"/>
        <c:baseTimeUnit val="days"/>
      </c:dateAx>
      <c:valAx>
        <c:axId val="12915814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12915660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6786704524569654E-2"/>
          <c:y val="0.88456919891200547"/>
          <c:w val="0.90317382768098875"/>
          <c:h val="0.11265014293323584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16716604244694E-2"/>
          <c:y val="0.11832997650218194"/>
          <c:w val="0.92539213483146066"/>
          <c:h val="0.53112777002089628"/>
        </c:manualLayout>
      </c:layout>
      <c:lineChart>
        <c:grouping val="standard"/>
        <c:varyColors val="0"/>
        <c:ser>
          <c:idx val="2"/>
          <c:order val="0"/>
          <c:tx>
            <c:v>Trend Core</c:v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Data!$AI$2:$AI$28</c:f>
              <c:numCache>
                <c:formatCode>General</c:formatCode>
                <c:ptCount val="27"/>
                <c:pt idx="0">
                  <c:v>0.43858234405517577</c:v>
                </c:pt>
                <c:pt idx="1">
                  <c:v>0.43852779388427732</c:v>
                </c:pt>
                <c:pt idx="2">
                  <c:v>0.42947055816650392</c:v>
                </c:pt>
                <c:pt idx="3">
                  <c:v>0.424716682434082</c:v>
                </c:pt>
                <c:pt idx="4">
                  <c:v>0.41869846343994138</c:v>
                </c:pt>
                <c:pt idx="5">
                  <c:v>0.41215526580810546</c:v>
                </c:pt>
                <c:pt idx="6">
                  <c:v>0.40593402862548827</c:v>
                </c:pt>
                <c:pt idx="7">
                  <c:v>0.40080970764160156</c:v>
                </c:pt>
                <c:pt idx="8">
                  <c:v>0.39772907257080076</c:v>
                </c:pt>
                <c:pt idx="9">
                  <c:v>0.39360885620117186</c:v>
                </c:pt>
                <c:pt idx="10">
                  <c:v>0.38858001708984374</c:v>
                </c:pt>
                <c:pt idx="11">
                  <c:v>0.38524711608886719</c:v>
                </c:pt>
                <c:pt idx="12">
                  <c:v>0.38249176025390624</c:v>
                </c:pt>
                <c:pt idx="13">
                  <c:v>0.38130813598632812</c:v>
                </c:pt>
                <c:pt idx="14">
                  <c:v>0.38060115814208983</c:v>
                </c:pt>
                <c:pt idx="15">
                  <c:v>0.37882480621337888</c:v>
                </c:pt>
                <c:pt idx="16">
                  <c:v>0.37790851593017577</c:v>
                </c:pt>
                <c:pt idx="17">
                  <c:v>0.3729694366455078</c:v>
                </c:pt>
                <c:pt idx="18">
                  <c:v>0.37099472045898435</c:v>
                </c:pt>
                <c:pt idx="19">
                  <c:v>0.36977699279785159</c:v>
                </c:pt>
                <c:pt idx="20">
                  <c:v>0.36860240936279298</c:v>
                </c:pt>
                <c:pt idx="21">
                  <c:v>0.36815982818603515</c:v>
                </c:pt>
                <c:pt idx="22">
                  <c:v>0.36745307922363279</c:v>
                </c:pt>
                <c:pt idx="23">
                  <c:v>0.36661605834960936</c:v>
                </c:pt>
                <c:pt idx="24">
                  <c:v>0.36609397888183592</c:v>
                </c:pt>
                <c:pt idx="25">
                  <c:v>0.36503337860107421</c:v>
                </c:pt>
                <c:pt idx="26">
                  <c:v>0.36503337860107421</c:v>
                </c:pt>
              </c:numCache>
            </c:numRef>
          </c:val>
          <c:smooth val="0"/>
        </c:ser>
        <c:ser>
          <c:idx val="3"/>
          <c:order val="1"/>
          <c:tx>
            <c:v>Trend  Extension</c:v>
          </c:tx>
          <c:spPr>
            <a:ln w="2540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Data!$AO$2:$AO$28</c:f>
              <c:numCache>
                <c:formatCode>General</c:formatCode>
                <c:ptCount val="27"/>
                <c:pt idx="0">
                  <c:v>0.10780253092447917</c:v>
                </c:pt>
                <c:pt idx="1">
                  <c:v>0.11390554904937744</c:v>
                </c:pt>
                <c:pt idx="2">
                  <c:v>0.11849905014038085</c:v>
                </c:pt>
                <c:pt idx="3">
                  <c:v>0.15760724425315856</c:v>
                </c:pt>
                <c:pt idx="4">
                  <c:v>0.13562239170074464</c:v>
                </c:pt>
                <c:pt idx="5">
                  <c:v>0.11602180361747742</c:v>
                </c:pt>
                <c:pt idx="6">
                  <c:v>0.12344941854476929</c:v>
                </c:pt>
                <c:pt idx="7">
                  <c:v>0.12297253489494324</c:v>
                </c:pt>
                <c:pt idx="8">
                  <c:v>0.12675199270248413</c:v>
                </c:pt>
                <c:pt idx="9">
                  <c:v>0.12869856119155884</c:v>
                </c:pt>
                <c:pt idx="10">
                  <c:v>0.12797492384910583</c:v>
                </c:pt>
                <c:pt idx="11">
                  <c:v>0.12625876665115357</c:v>
                </c:pt>
                <c:pt idx="12">
                  <c:v>0.12830921649932861</c:v>
                </c:pt>
                <c:pt idx="13">
                  <c:v>0.13083372376859187</c:v>
                </c:pt>
                <c:pt idx="14">
                  <c:v>0.13135564476251602</c:v>
                </c:pt>
                <c:pt idx="15">
                  <c:v>0.13360537886619567</c:v>
                </c:pt>
                <c:pt idx="16">
                  <c:v>0.11193492317199707</c:v>
                </c:pt>
                <c:pt idx="17">
                  <c:v>0.14134543585777284</c:v>
                </c:pt>
                <c:pt idx="18">
                  <c:v>0.14794749975204469</c:v>
                </c:pt>
                <c:pt idx="19">
                  <c:v>0.16969271135330199</c:v>
                </c:pt>
                <c:pt idx="20">
                  <c:v>0.17091523456573487</c:v>
                </c:pt>
                <c:pt idx="21">
                  <c:v>0.17322429513931276</c:v>
                </c:pt>
                <c:pt idx="22">
                  <c:v>0.18072885036468506</c:v>
                </c:pt>
                <c:pt idx="23">
                  <c:v>0.19194351482391359</c:v>
                </c:pt>
                <c:pt idx="24">
                  <c:v>0.19660851192474366</c:v>
                </c:pt>
                <c:pt idx="25">
                  <c:v>0.20078795242309572</c:v>
                </c:pt>
                <c:pt idx="26">
                  <c:v>0.19472784805297852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11776"/>
        <c:axId val="129213568"/>
      </c:lineChart>
      <c:dateAx>
        <c:axId val="1292117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29213568"/>
        <c:crosses val="autoZero"/>
        <c:auto val="0"/>
        <c:lblOffset val="100"/>
        <c:baseTimeUnit val="days"/>
      </c:dateAx>
      <c:valAx>
        <c:axId val="12921356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12921177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6786704524569654E-2"/>
          <c:y val="0.88456919891200547"/>
          <c:w val="0.90317382768098875"/>
          <c:h val="0.11265014293323584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6716604244694E-2"/>
          <c:y val="0.11832997650218194"/>
          <c:w val="0.92539213483146066"/>
          <c:h val="0.49036412879155056"/>
        </c:manualLayout>
      </c:layout>
      <c:lineChart>
        <c:grouping val="standard"/>
        <c:varyColors val="0"/>
        <c:ser>
          <c:idx val="3"/>
          <c:order val="0"/>
          <c:spPr>
            <a:ln w="2540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Data!$AY$2:$AY$28</c:f>
              <c:numCache>
                <c:formatCode>General</c:formatCode>
                <c:ptCount val="27"/>
                <c:pt idx="0">
                  <c:v>0.15445026397705078</c:v>
                </c:pt>
                <c:pt idx="1">
                  <c:v>0.15583398818969726</c:v>
                </c:pt>
                <c:pt idx="2">
                  <c:v>0.15623844146728516</c:v>
                </c:pt>
                <c:pt idx="3">
                  <c:v>0.16010074615478515</c:v>
                </c:pt>
                <c:pt idx="4">
                  <c:v>0.16260305404663086</c:v>
                </c:pt>
                <c:pt idx="5">
                  <c:v>0.16666667938232421</c:v>
                </c:pt>
                <c:pt idx="6">
                  <c:v>0.1722194480895996</c:v>
                </c:pt>
                <c:pt idx="7">
                  <c:v>0.17587045669555665</c:v>
                </c:pt>
                <c:pt idx="8">
                  <c:v>0.18262104034423829</c:v>
                </c:pt>
                <c:pt idx="9">
                  <c:v>0.18512828826904296</c:v>
                </c:pt>
                <c:pt idx="10">
                  <c:v>0.18677686691284179</c:v>
                </c:pt>
                <c:pt idx="11">
                  <c:v>0.18844404220581054</c:v>
                </c:pt>
                <c:pt idx="12">
                  <c:v>0.19138893127441406</c:v>
                </c:pt>
                <c:pt idx="13">
                  <c:v>0.19509445190429686</c:v>
                </c:pt>
                <c:pt idx="14">
                  <c:v>0.19691066741943358</c:v>
                </c:pt>
                <c:pt idx="15">
                  <c:v>0.19861900329589843</c:v>
                </c:pt>
                <c:pt idx="16">
                  <c:v>0.20098957061767578</c:v>
                </c:pt>
                <c:pt idx="17">
                  <c:v>0.20948667526245118</c:v>
                </c:pt>
                <c:pt idx="18">
                  <c:v>0.21541629791259764</c:v>
                </c:pt>
                <c:pt idx="19">
                  <c:v>0.2171238136291504</c:v>
                </c:pt>
                <c:pt idx="20">
                  <c:v>0.21901723861694336</c:v>
                </c:pt>
                <c:pt idx="21">
                  <c:v>0.22092134475708008</c:v>
                </c:pt>
                <c:pt idx="22">
                  <c:v>0.22272958755493164</c:v>
                </c:pt>
                <c:pt idx="23">
                  <c:v>0.22399393081665039</c:v>
                </c:pt>
                <c:pt idx="24">
                  <c:v>0.22473470687866212</c:v>
                </c:pt>
                <c:pt idx="25">
                  <c:v>0.22496536254882812</c:v>
                </c:pt>
                <c:pt idx="26">
                  <c:v>0.22496536254882812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377024"/>
        <c:axId val="129378560"/>
      </c:lineChart>
      <c:catAx>
        <c:axId val="129377024"/>
        <c:scaling>
          <c:orientation val="minMax"/>
        </c:scaling>
        <c:delete val="0"/>
        <c:axPos val="b"/>
        <c:numFmt formatCode="dd/mm/yy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29378560"/>
        <c:crosses val="autoZero"/>
        <c:auto val="0"/>
        <c:lblAlgn val="ctr"/>
        <c:lblOffset val="100"/>
        <c:noMultiLvlLbl val="1"/>
      </c:catAx>
      <c:valAx>
        <c:axId val="12937856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12937702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758529345122967E-2"/>
          <c:y val="6.2112109865873365E-2"/>
          <c:w val="0.87662062401364715"/>
          <c:h val="0.87577578026825331"/>
        </c:manualLayout>
      </c:layout>
      <c:barChart>
        <c:barDir val="col"/>
        <c:grouping val="stacked"/>
        <c:varyColors val="0"/>
        <c:ser>
          <c:idx val="5"/>
          <c:order val="0"/>
          <c:spPr>
            <a:solidFill>
              <a:schemeClr val="bg1">
                <a:lumMod val="65000"/>
              </a:schemeClr>
            </a:solidFill>
            <a:ln w="25400" cap="rnd">
              <a:solidFill>
                <a:schemeClr val="bg1">
                  <a:lumMod val="65000"/>
                </a:schemeClr>
              </a:solidFill>
            </a:ln>
          </c:spPr>
          <c:invertIfNegative val="0"/>
          <c:dLbls>
            <c:numFmt formatCode="0%" sourceLinked="0"/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DDD!$I$1:$I$5</c:f>
              <c:strCache>
                <c:ptCount val="5"/>
                <c:pt idx="0">
                  <c:v>TDM</c:v>
                </c:pt>
                <c:pt idx="1">
                  <c:v>Coles</c:v>
                </c:pt>
                <c:pt idx="2">
                  <c:v>WOW</c:v>
                </c:pt>
                <c:pt idx="3">
                  <c:v>SSL</c:v>
                </c:pt>
                <c:pt idx="4">
                  <c:v>WFM</c:v>
                </c:pt>
              </c:strCache>
            </c:strRef>
          </c:cat>
          <c:val>
            <c:numRef>
              <c:f>Regression!$O$1:$O$5</c:f>
              <c:numCache>
                <c:formatCode>General</c:formatCode>
                <c:ptCount val="5"/>
                <c:pt idx="0">
                  <c:v>0.18</c:v>
                </c:pt>
                <c:pt idx="1">
                  <c:v>0.04</c:v>
                </c:pt>
                <c:pt idx="2">
                  <c:v>0.12</c:v>
                </c:pt>
                <c:pt idx="3">
                  <c:v>0.42</c:v>
                </c:pt>
                <c:pt idx="4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29475328"/>
        <c:axId val="129476864"/>
      </c:barChart>
      <c:barChart>
        <c:barDir val="col"/>
        <c:grouping val="stacked"/>
        <c:varyColors val="0"/>
        <c:ser>
          <c:idx val="6"/>
          <c:order val="1"/>
          <c:spPr>
            <a:solidFill>
              <a:schemeClr val="accent1">
                <a:lumMod val="60000"/>
                <a:lumOff val="40000"/>
                <a:alpha val="20000"/>
              </a:schemeClr>
            </a:solidFill>
          </c:spPr>
          <c:invertIfNegative val="0"/>
          <c:val>
            <c:numRef>
              <c:f>Regression!$Q$1:$Q$5</c:f>
              <c:numCache>
                <c:formatCode>0.00</c:formatCode>
                <c:ptCount val="5"/>
                <c:pt idx="0">
                  <c:v>0.19472784805297852</c:v>
                </c:pt>
                <c:pt idx="1">
                  <c:v>0.19472784805297852</c:v>
                </c:pt>
                <c:pt idx="2">
                  <c:v>0.19472784805297852</c:v>
                </c:pt>
                <c:pt idx="3">
                  <c:v>0.19472784805297852</c:v>
                </c:pt>
                <c:pt idx="4">
                  <c:v>0.19472784805297852</c:v>
                </c:pt>
              </c:numCache>
            </c:numRef>
          </c:val>
        </c:ser>
        <c:ser>
          <c:idx val="0"/>
          <c:order val="2"/>
          <c:spPr>
            <a:noFill/>
            <a:ln>
              <a:noFill/>
            </a:ln>
          </c:spPr>
          <c:invertIfNegative val="0"/>
          <c:val>
            <c:numRef>
              <c:f>Regression!$R$1:$R$5</c:f>
              <c:numCache>
                <c:formatCode>General</c:formatCode>
                <c:ptCount val="5"/>
                <c:pt idx="0">
                  <c:v>0.22690877151489255</c:v>
                </c:pt>
                <c:pt idx="1">
                  <c:v>0.22690877151489255</c:v>
                </c:pt>
                <c:pt idx="2">
                  <c:v>0.22690877151489255</c:v>
                </c:pt>
                <c:pt idx="3">
                  <c:v>0.22690877151489255</c:v>
                </c:pt>
                <c:pt idx="4">
                  <c:v>0.22690877151489255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9488384"/>
        <c:axId val="129486848"/>
      </c:barChart>
      <c:catAx>
        <c:axId val="129475328"/>
        <c:scaling>
          <c:orientation val="minMax"/>
        </c:scaling>
        <c:delete val="1"/>
        <c:axPos val="b"/>
        <c:majorTickMark val="out"/>
        <c:minorTickMark val="none"/>
        <c:tickLblPos val="nextTo"/>
        <c:crossAx val="129476864"/>
        <c:crosses val="autoZero"/>
        <c:auto val="1"/>
        <c:lblAlgn val="ctr"/>
        <c:lblOffset val="100"/>
        <c:noMultiLvlLbl val="0"/>
      </c:catAx>
      <c:valAx>
        <c:axId val="129476864"/>
        <c:scaling>
          <c:orientation val="minMax"/>
        </c:scaling>
        <c:delete val="0"/>
        <c:axPos val="l"/>
        <c:numFmt formatCode="0%;;0%;" sourceLinked="0"/>
        <c:majorTickMark val="none"/>
        <c:minorTickMark val="none"/>
        <c:tickLblPos val="nextTo"/>
        <c:crossAx val="129475328"/>
        <c:crosses val="autoZero"/>
        <c:crossBetween val="between"/>
      </c:valAx>
      <c:valAx>
        <c:axId val="129486848"/>
        <c:scaling>
          <c:orientation val="minMax"/>
          <c:max val="1"/>
          <c:min val="-0.25"/>
        </c:scaling>
        <c:delete val="1"/>
        <c:axPos val="r"/>
        <c:numFmt formatCode="0.00" sourceLinked="1"/>
        <c:majorTickMark val="out"/>
        <c:minorTickMark val="none"/>
        <c:tickLblPos val="nextTo"/>
        <c:crossAx val="129488384"/>
        <c:crosses val="max"/>
        <c:crossBetween val="between"/>
        <c:majorUnit val="0.25"/>
      </c:valAx>
      <c:catAx>
        <c:axId val="129488384"/>
        <c:scaling>
          <c:orientation val="minMax"/>
        </c:scaling>
        <c:delete val="1"/>
        <c:axPos val="b"/>
        <c:majorTickMark val="out"/>
        <c:minorTickMark val="none"/>
        <c:tickLblPos val="nextTo"/>
        <c:crossAx val="129486848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758529345122967E-2"/>
          <c:y val="6.2112109865873365E-2"/>
          <c:w val="0.87662062401364715"/>
          <c:h val="0.87577578026825331"/>
        </c:manualLayout>
      </c:layout>
      <c:barChart>
        <c:barDir val="col"/>
        <c:grouping val="stacked"/>
        <c:varyColors val="0"/>
        <c:ser>
          <c:idx val="5"/>
          <c:order val="0"/>
          <c:spPr>
            <a:solidFill>
              <a:schemeClr val="bg1">
                <a:lumMod val="65000"/>
              </a:schemeClr>
            </a:solidFill>
            <a:ln w="25400" cap="rnd">
              <a:solidFill>
                <a:schemeClr val="bg1">
                  <a:lumMod val="65000"/>
                </a:schemeClr>
              </a:solidFill>
            </a:ln>
          </c:spPr>
          <c:invertIfNegative val="0"/>
          <c:dLbls>
            <c:numFmt formatCode="General" sourceLinked="0"/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Median!$I$1:$I$5</c:f>
              <c:strCache>
                <c:ptCount val="5"/>
                <c:pt idx="0">
                  <c:v>TDM</c:v>
                </c:pt>
                <c:pt idx="1">
                  <c:v>Coles</c:v>
                </c:pt>
                <c:pt idx="2">
                  <c:v>WOW</c:v>
                </c:pt>
                <c:pt idx="3">
                  <c:v>SSL</c:v>
                </c:pt>
                <c:pt idx="4">
                  <c:v>WFM</c:v>
                </c:pt>
              </c:strCache>
            </c:strRef>
          </c:cat>
          <c:val>
            <c:numRef>
              <c:f>Median!$O$1:$O$5</c:f>
              <c:numCache>
                <c:formatCode>General</c:formatCode>
                <c:ptCount val="5"/>
                <c:pt idx="0">
                  <c:v>3.8</c:v>
                </c:pt>
                <c:pt idx="1">
                  <c:v>7.33</c:v>
                </c:pt>
                <c:pt idx="2">
                  <c:v>4.5</c:v>
                </c:pt>
                <c:pt idx="3">
                  <c:v>1.89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29794048"/>
        <c:axId val="129795584"/>
      </c:barChart>
      <c:barChart>
        <c:barDir val="col"/>
        <c:grouping val="stacked"/>
        <c:varyColors val="0"/>
        <c:ser>
          <c:idx val="6"/>
          <c:order val="1"/>
          <c:spPr>
            <a:solidFill>
              <a:schemeClr val="accent1">
                <a:lumMod val="60000"/>
                <a:lumOff val="40000"/>
                <a:alpha val="20000"/>
              </a:schemeClr>
            </a:solidFill>
          </c:spPr>
          <c:invertIfNegative val="0"/>
          <c:val>
            <c:numRef>
              <c:f>Median!$Q$1:$Q$5</c:f>
              <c:numCache>
                <c:formatCode>0.00</c:formatCode>
                <c:ptCount val="5"/>
                <c:pt idx="0">
                  <c:v>3.705977011494253</c:v>
                </c:pt>
                <c:pt idx="1">
                  <c:v>3.705977011494253</c:v>
                </c:pt>
                <c:pt idx="2">
                  <c:v>3.705977011494253</c:v>
                </c:pt>
                <c:pt idx="3">
                  <c:v>3.705977011494253</c:v>
                </c:pt>
                <c:pt idx="4">
                  <c:v>3.705977011494253</c:v>
                </c:pt>
              </c:numCache>
            </c:numRef>
          </c:val>
        </c:ser>
        <c:ser>
          <c:idx val="0"/>
          <c:order val="2"/>
          <c:spPr>
            <a:noFill/>
            <a:ln>
              <a:noFill/>
            </a:ln>
          </c:spPr>
          <c:invertIfNegative val="0"/>
          <c:val>
            <c:numRef>
              <c:f>Median!$R$1:$R$5</c:f>
              <c:numCache>
                <c:formatCode>0.00</c:formatCode>
                <c:ptCount val="5"/>
                <c:pt idx="0">
                  <c:v>11.794022988505747</c:v>
                </c:pt>
                <c:pt idx="1">
                  <c:v>11.794022988505747</c:v>
                </c:pt>
                <c:pt idx="2">
                  <c:v>11.794022988505747</c:v>
                </c:pt>
                <c:pt idx="3">
                  <c:v>11.794022988505747</c:v>
                </c:pt>
                <c:pt idx="4">
                  <c:v>11.794022988505747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9807104"/>
        <c:axId val="129797120"/>
      </c:barChart>
      <c:catAx>
        <c:axId val="129794048"/>
        <c:scaling>
          <c:orientation val="minMax"/>
        </c:scaling>
        <c:delete val="1"/>
        <c:axPos val="b"/>
        <c:majorTickMark val="out"/>
        <c:minorTickMark val="none"/>
        <c:tickLblPos val="nextTo"/>
        <c:crossAx val="129795584"/>
        <c:crosses val="autoZero"/>
        <c:auto val="1"/>
        <c:lblAlgn val="ctr"/>
        <c:lblOffset val="100"/>
        <c:noMultiLvlLbl val="0"/>
      </c:catAx>
      <c:valAx>
        <c:axId val="12979558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129794048"/>
        <c:crosses val="autoZero"/>
        <c:crossBetween val="between"/>
      </c:valAx>
      <c:valAx>
        <c:axId val="129797120"/>
        <c:scaling>
          <c:orientation val="minMax"/>
          <c:max val="1"/>
          <c:min val="-0.25"/>
        </c:scaling>
        <c:delete val="1"/>
        <c:axPos val="r"/>
        <c:numFmt formatCode="0.00" sourceLinked="1"/>
        <c:majorTickMark val="out"/>
        <c:minorTickMark val="none"/>
        <c:tickLblPos val="nextTo"/>
        <c:crossAx val="129807104"/>
        <c:crosses val="max"/>
        <c:crossBetween val="between"/>
        <c:majorUnit val="0.25"/>
      </c:valAx>
      <c:catAx>
        <c:axId val="129807104"/>
        <c:scaling>
          <c:orientation val="minMax"/>
        </c:scaling>
        <c:delete val="1"/>
        <c:axPos val="b"/>
        <c:majorTickMark val="out"/>
        <c:minorTickMark val="none"/>
        <c:tickLblPos val="nextTo"/>
        <c:crossAx val="12979712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375874015748032"/>
          <c:y val="6.2112109865873365E-2"/>
          <c:w val="0.644620472440945"/>
          <c:h val="0.87577578026825331"/>
        </c:manualLayout>
      </c:layout>
      <c:barChart>
        <c:barDir val="col"/>
        <c:grouping val="stacked"/>
        <c:varyColors val="0"/>
        <c:ser>
          <c:idx val="5"/>
          <c:order val="0"/>
          <c:spPr>
            <a:solidFill>
              <a:schemeClr val="bg1">
                <a:lumMod val="65000"/>
              </a:schemeClr>
            </a:solidFill>
            <a:ln w="25400" cap="rnd">
              <a:solidFill>
                <a:schemeClr val="bg1">
                  <a:lumMod val="65000"/>
                </a:schemeClr>
              </a:solidFill>
            </a:ln>
          </c:spPr>
          <c:invertIfNegative val="0"/>
          <c:dLbls>
            <c:numFmt formatCode="General" sourceLinked="0"/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DDD!$I$1:$I$5</c:f>
              <c:strCache>
                <c:ptCount val="5"/>
                <c:pt idx="0">
                  <c:v>TDM</c:v>
                </c:pt>
                <c:pt idx="1">
                  <c:v>Coles</c:v>
                </c:pt>
                <c:pt idx="2">
                  <c:v>WOW</c:v>
                </c:pt>
                <c:pt idx="3">
                  <c:v>SSL</c:v>
                </c:pt>
                <c:pt idx="4">
                  <c:v>WFM</c:v>
                </c:pt>
              </c:strCache>
            </c:strRef>
          </c:cat>
          <c:val>
            <c:numRef>
              <c:f>Median!$O$6</c:f>
              <c:numCache>
                <c:formatCode>0.00</c:formatCode>
                <c:ptCount val="1"/>
                <c:pt idx="0">
                  <c:v>15.5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9842176"/>
        <c:axId val="129852160"/>
      </c:barChart>
      <c:barChart>
        <c:barDir val="col"/>
        <c:grouping val="stacked"/>
        <c:varyColors val="0"/>
        <c:ser>
          <c:idx val="6"/>
          <c:order val="1"/>
          <c:spPr>
            <a:solidFill>
              <a:schemeClr val="accent1">
                <a:lumMod val="60000"/>
                <a:lumOff val="40000"/>
                <a:alpha val="20000"/>
              </a:schemeClr>
            </a:solidFill>
          </c:spPr>
          <c:invertIfNegative val="0"/>
          <c:val>
            <c:numRef>
              <c:f>Median!$Q$6</c:f>
              <c:numCache>
                <c:formatCode>0.00</c:formatCode>
                <c:ptCount val="1"/>
                <c:pt idx="0">
                  <c:v>3.705977011494253</c:v>
                </c:pt>
              </c:numCache>
            </c:numRef>
          </c:val>
        </c:ser>
        <c:ser>
          <c:idx val="0"/>
          <c:order val="2"/>
          <c:spPr>
            <a:noFill/>
            <a:ln>
              <a:noFill/>
            </a:ln>
          </c:spPr>
          <c:invertIfNegative val="0"/>
          <c:val>
            <c:numRef>
              <c:f>DDD!$R$1</c:f>
              <c:numCache>
                <c:formatCode>0.00</c:formatCode>
                <c:ptCount val="1"/>
                <c:pt idx="0">
                  <c:v>5.736842155456543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9863680"/>
        <c:axId val="129853696"/>
      </c:barChart>
      <c:catAx>
        <c:axId val="129842176"/>
        <c:scaling>
          <c:orientation val="minMax"/>
        </c:scaling>
        <c:delete val="1"/>
        <c:axPos val="b"/>
        <c:majorTickMark val="out"/>
        <c:minorTickMark val="none"/>
        <c:tickLblPos val="nextTo"/>
        <c:crossAx val="129852160"/>
        <c:crosses val="autoZero"/>
        <c:auto val="1"/>
        <c:lblAlgn val="ctr"/>
        <c:lblOffset val="100"/>
        <c:noMultiLvlLbl val="0"/>
      </c:catAx>
      <c:valAx>
        <c:axId val="129852160"/>
        <c:scaling>
          <c:orientation val="minMax"/>
        </c:scaling>
        <c:delete val="1"/>
        <c:axPos val="l"/>
        <c:numFmt formatCode="0.0;;0;" sourceLinked="0"/>
        <c:majorTickMark val="out"/>
        <c:minorTickMark val="none"/>
        <c:tickLblPos val="nextTo"/>
        <c:crossAx val="129842176"/>
        <c:crosses val="autoZero"/>
        <c:crossBetween val="between"/>
      </c:valAx>
      <c:valAx>
        <c:axId val="129853696"/>
        <c:scaling>
          <c:orientation val="minMax"/>
          <c:max val="1"/>
          <c:min val="-0.25"/>
        </c:scaling>
        <c:delete val="1"/>
        <c:axPos val="r"/>
        <c:numFmt formatCode="0.00" sourceLinked="1"/>
        <c:majorTickMark val="out"/>
        <c:minorTickMark val="none"/>
        <c:tickLblPos val="nextTo"/>
        <c:crossAx val="129863680"/>
        <c:crosses val="max"/>
        <c:crossBetween val="between"/>
        <c:majorUnit val="0.25"/>
      </c:valAx>
      <c:catAx>
        <c:axId val="129863680"/>
        <c:scaling>
          <c:orientation val="minMax"/>
        </c:scaling>
        <c:delete val="1"/>
        <c:axPos val="b"/>
        <c:majorTickMark val="out"/>
        <c:minorTickMark val="none"/>
        <c:tickLblPos val="nextTo"/>
        <c:crossAx val="129853696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375874015748032"/>
          <c:y val="6.2112109865873365E-2"/>
          <c:w val="0.644620472440945"/>
          <c:h val="0.87577578026825331"/>
        </c:manualLayout>
      </c:layout>
      <c:barChart>
        <c:barDir val="col"/>
        <c:grouping val="stacked"/>
        <c:varyColors val="0"/>
        <c:ser>
          <c:idx val="5"/>
          <c:order val="0"/>
          <c:spPr>
            <a:solidFill>
              <a:schemeClr val="bg1">
                <a:lumMod val="65000"/>
              </a:schemeClr>
            </a:solidFill>
            <a:ln w="25400" cap="rnd">
              <a:solidFill>
                <a:schemeClr val="bg1">
                  <a:lumMod val="65000"/>
                </a:schemeClr>
              </a:solidFill>
            </a:ln>
          </c:spPr>
          <c:invertIfNegative val="0"/>
          <c:dLbls>
            <c:numFmt formatCode="0%" sourceLinked="0"/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Regression!$I$1:$I$5</c:f>
              <c:strCache>
                <c:ptCount val="5"/>
                <c:pt idx="0">
                  <c:v>TDM</c:v>
                </c:pt>
                <c:pt idx="1">
                  <c:v>Coles</c:v>
                </c:pt>
                <c:pt idx="2">
                  <c:v>WOW</c:v>
                </c:pt>
                <c:pt idx="3">
                  <c:v>SSL</c:v>
                </c:pt>
                <c:pt idx="4">
                  <c:v>WFM</c:v>
                </c:pt>
              </c:strCache>
            </c:strRef>
          </c:cat>
          <c:val>
            <c:numRef>
              <c:f>Reopened!$O$6</c:f>
              <c:numCache>
                <c:formatCode>0.00</c:formatCode>
                <c:ptCount val="1"/>
                <c:pt idx="0">
                  <c:v>0.26889863951736531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9985152"/>
        <c:axId val="129991040"/>
      </c:barChart>
      <c:barChart>
        <c:barDir val="col"/>
        <c:grouping val="stacked"/>
        <c:varyColors val="0"/>
        <c:ser>
          <c:idx val="6"/>
          <c:order val="1"/>
          <c:spPr>
            <a:solidFill>
              <a:schemeClr val="accent1">
                <a:lumMod val="60000"/>
                <a:lumOff val="40000"/>
                <a:alpha val="20000"/>
              </a:schemeClr>
            </a:solidFill>
          </c:spPr>
          <c:invertIfNegative val="0"/>
          <c:val>
            <c:numRef>
              <c:f>Reopened!$Q$1</c:f>
              <c:numCache>
                <c:formatCode>0%</c:formatCode>
                <c:ptCount val="1"/>
                <c:pt idx="0">
                  <c:v>0.23950667418618332</c:v>
                </c:pt>
              </c:numCache>
            </c:numRef>
          </c:val>
        </c:ser>
        <c:ser>
          <c:idx val="0"/>
          <c:order val="2"/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</c:spPr>
          </c:dPt>
          <c:val>
            <c:numRef>
              <c:f>Reopened!$R$1</c:f>
              <c:numCache>
                <c:formatCode>0%</c:formatCode>
                <c:ptCount val="1"/>
                <c:pt idx="0">
                  <c:v>0.14117343414965777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9994112"/>
        <c:axId val="129992576"/>
      </c:barChart>
      <c:catAx>
        <c:axId val="129985152"/>
        <c:scaling>
          <c:orientation val="minMax"/>
        </c:scaling>
        <c:delete val="1"/>
        <c:axPos val="b"/>
        <c:majorTickMark val="out"/>
        <c:minorTickMark val="none"/>
        <c:tickLblPos val="nextTo"/>
        <c:crossAx val="129991040"/>
        <c:crosses val="autoZero"/>
        <c:auto val="1"/>
        <c:lblAlgn val="ctr"/>
        <c:lblOffset val="100"/>
        <c:noMultiLvlLbl val="0"/>
      </c:catAx>
      <c:valAx>
        <c:axId val="129991040"/>
        <c:scaling>
          <c:orientation val="minMax"/>
        </c:scaling>
        <c:delete val="1"/>
        <c:axPos val="l"/>
        <c:numFmt formatCode="0%" sourceLinked="0"/>
        <c:majorTickMark val="out"/>
        <c:minorTickMark val="none"/>
        <c:tickLblPos val="nextTo"/>
        <c:crossAx val="129985152"/>
        <c:crosses val="autoZero"/>
        <c:crossBetween val="between"/>
      </c:valAx>
      <c:valAx>
        <c:axId val="129992576"/>
        <c:scaling>
          <c:orientation val="minMax"/>
          <c:max val="1"/>
          <c:min val="-0.25"/>
        </c:scaling>
        <c:delete val="1"/>
        <c:axPos val="r"/>
        <c:numFmt formatCode="0%" sourceLinked="1"/>
        <c:majorTickMark val="out"/>
        <c:minorTickMark val="none"/>
        <c:tickLblPos val="nextTo"/>
        <c:crossAx val="129994112"/>
        <c:crosses val="max"/>
        <c:crossBetween val="between"/>
        <c:majorUnit val="0.25"/>
      </c:valAx>
      <c:catAx>
        <c:axId val="129994112"/>
        <c:scaling>
          <c:orientation val="minMax"/>
        </c:scaling>
        <c:delete val="1"/>
        <c:axPos val="b"/>
        <c:majorTickMark val="out"/>
        <c:minorTickMark val="none"/>
        <c:tickLblPos val="nextTo"/>
        <c:crossAx val="129992576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758529345122967E-2"/>
          <c:y val="6.2112109865873365E-2"/>
          <c:w val="0.87662062401364715"/>
          <c:h val="0.87577578026825331"/>
        </c:manualLayout>
      </c:layout>
      <c:barChart>
        <c:barDir val="col"/>
        <c:grouping val="stacked"/>
        <c:varyColors val="0"/>
        <c:ser>
          <c:idx val="5"/>
          <c:order val="0"/>
          <c:spPr>
            <a:solidFill>
              <a:schemeClr val="bg1">
                <a:lumMod val="65000"/>
              </a:schemeClr>
            </a:solidFill>
            <a:ln w="25400" cap="rnd">
              <a:solidFill>
                <a:schemeClr val="bg1">
                  <a:lumMod val="65000"/>
                </a:schemeClr>
              </a:solidFill>
            </a:ln>
          </c:spPr>
          <c:invertIfNegative val="0"/>
          <c:dLbls>
            <c:numFmt formatCode="0%" sourceLinked="0"/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Reopened!$I$1:$I$5</c:f>
              <c:strCache>
                <c:ptCount val="5"/>
                <c:pt idx="0">
                  <c:v>TDM</c:v>
                </c:pt>
                <c:pt idx="1">
                  <c:v>Coles</c:v>
                </c:pt>
                <c:pt idx="2">
                  <c:v>WOW</c:v>
                </c:pt>
                <c:pt idx="3">
                  <c:v>SSL</c:v>
                </c:pt>
                <c:pt idx="4">
                  <c:v>WFM</c:v>
                </c:pt>
              </c:strCache>
            </c:strRef>
          </c:cat>
          <c:val>
            <c:numRef>
              <c:f>Reopened!$O$1:$O$5</c:f>
              <c:numCache>
                <c:formatCode>General</c:formatCode>
                <c:ptCount val="5"/>
                <c:pt idx="0">
                  <c:v>0.22</c:v>
                </c:pt>
                <c:pt idx="1">
                  <c:v>0.17</c:v>
                </c:pt>
                <c:pt idx="2">
                  <c:v>0.38</c:v>
                </c:pt>
                <c:pt idx="3">
                  <c:v>0.15</c:v>
                </c:pt>
                <c:pt idx="4">
                  <c:v>0.26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30021248"/>
        <c:axId val="130022784"/>
      </c:barChart>
      <c:barChart>
        <c:barDir val="col"/>
        <c:grouping val="stacked"/>
        <c:varyColors val="0"/>
        <c:ser>
          <c:idx val="6"/>
          <c:order val="1"/>
          <c:spPr>
            <a:solidFill>
              <a:schemeClr val="accent1">
                <a:lumMod val="60000"/>
                <a:lumOff val="40000"/>
                <a:alpha val="20000"/>
              </a:schemeClr>
            </a:solidFill>
          </c:spPr>
          <c:invertIfNegative val="0"/>
          <c:val>
            <c:numRef>
              <c:f>Reopened!$Q$1:$Q$5</c:f>
              <c:numCache>
                <c:formatCode>0%</c:formatCode>
                <c:ptCount val="5"/>
                <c:pt idx="0">
                  <c:v>0.23950667418618332</c:v>
                </c:pt>
                <c:pt idx="1">
                  <c:v>0.23950667418618332</c:v>
                </c:pt>
                <c:pt idx="2">
                  <c:v>0.23950667418618332</c:v>
                </c:pt>
                <c:pt idx="3">
                  <c:v>0.23950667418618332</c:v>
                </c:pt>
                <c:pt idx="4">
                  <c:v>0.23950667418618332</c:v>
                </c:pt>
              </c:numCache>
            </c:numRef>
          </c:val>
        </c:ser>
        <c:ser>
          <c:idx val="0"/>
          <c:order val="2"/>
          <c:spPr>
            <a:noFill/>
            <a:ln>
              <a:noFill/>
            </a:ln>
          </c:spPr>
          <c:invertIfNegative val="0"/>
          <c:val>
            <c:numRef>
              <c:f>Reopened!$R$1:$R$5</c:f>
              <c:numCache>
                <c:formatCode>0%</c:formatCode>
                <c:ptCount val="5"/>
                <c:pt idx="0">
                  <c:v>0.14117343414965777</c:v>
                </c:pt>
                <c:pt idx="1">
                  <c:v>0.14117343414965777</c:v>
                </c:pt>
                <c:pt idx="2">
                  <c:v>0.14117343414965777</c:v>
                </c:pt>
                <c:pt idx="3">
                  <c:v>0.14117343414965777</c:v>
                </c:pt>
                <c:pt idx="4">
                  <c:v>0.14117343414965777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30034304"/>
        <c:axId val="130032768"/>
      </c:barChart>
      <c:catAx>
        <c:axId val="130021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30022784"/>
        <c:crosses val="autoZero"/>
        <c:auto val="1"/>
        <c:lblAlgn val="ctr"/>
        <c:lblOffset val="100"/>
        <c:noMultiLvlLbl val="0"/>
      </c:catAx>
      <c:valAx>
        <c:axId val="130022784"/>
        <c:scaling>
          <c:orientation val="minMax"/>
        </c:scaling>
        <c:delete val="0"/>
        <c:axPos val="l"/>
        <c:numFmt formatCode="0%;;0%;" sourceLinked="0"/>
        <c:majorTickMark val="none"/>
        <c:minorTickMark val="none"/>
        <c:tickLblPos val="nextTo"/>
        <c:crossAx val="130021248"/>
        <c:crosses val="autoZero"/>
        <c:crossBetween val="between"/>
      </c:valAx>
      <c:valAx>
        <c:axId val="130032768"/>
        <c:scaling>
          <c:orientation val="minMax"/>
          <c:max val="1"/>
          <c:min val="-0.25"/>
        </c:scaling>
        <c:delete val="1"/>
        <c:axPos val="r"/>
        <c:numFmt formatCode="0%" sourceLinked="1"/>
        <c:majorTickMark val="out"/>
        <c:minorTickMark val="none"/>
        <c:tickLblPos val="nextTo"/>
        <c:crossAx val="130034304"/>
        <c:crosses val="max"/>
        <c:crossBetween val="between"/>
        <c:majorUnit val="0.25"/>
      </c:valAx>
      <c:catAx>
        <c:axId val="130034304"/>
        <c:scaling>
          <c:orientation val="minMax"/>
        </c:scaling>
        <c:delete val="1"/>
        <c:axPos val="b"/>
        <c:majorTickMark val="out"/>
        <c:minorTickMark val="none"/>
        <c:tickLblPos val="nextTo"/>
        <c:crossAx val="130032768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294651404567945E-2"/>
          <c:y val="7.1412364596986744E-2"/>
          <c:w val="1.2749958615760726E-2"/>
          <c:h val="5.9063265392944715E-2"/>
        </c:manualLayout>
      </c:layout>
      <c:areaChart>
        <c:grouping val="stacked"/>
        <c:varyColors val="0"/>
        <c:ser>
          <c:idx val="2"/>
          <c:order val="2"/>
          <c:tx>
            <c:v>Done User Stories</c:v>
          </c:tx>
          <c:spPr>
            <a:solidFill>
              <a:schemeClr val="accent6">
                <a:lumMod val="60000"/>
                <a:lumOff val="40000"/>
              </a:schemeClr>
            </a:solidFill>
          </c:spPr>
          <c:cat>
            <c:numRef>
              <c:f>Data!$A$2:$A$66</c:f>
              <c:numCache>
                <c:formatCode>m/d/yyyy</c:formatCode>
                <c:ptCount val="65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  <c:pt idx="27">
                  <c:v>41836</c:v>
                </c:pt>
                <c:pt idx="28">
                  <c:v>41843</c:v>
                </c:pt>
                <c:pt idx="29">
                  <c:v>41850</c:v>
                </c:pt>
                <c:pt idx="30">
                  <c:v>41857</c:v>
                </c:pt>
                <c:pt idx="31">
                  <c:v>41864</c:v>
                </c:pt>
                <c:pt idx="32">
                  <c:v>41871</c:v>
                </c:pt>
                <c:pt idx="33">
                  <c:v>41878</c:v>
                </c:pt>
                <c:pt idx="34">
                  <c:v>41885</c:v>
                </c:pt>
                <c:pt idx="35">
                  <c:v>41892</c:v>
                </c:pt>
                <c:pt idx="36">
                  <c:v>41899</c:v>
                </c:pt>
                <c:pt idx="37">
                  <c:v>41906</c:v>
                </c:pt>
                <c:pt idx="38">
                  <c:v>41913</c:v>
                </c:pt>
                <c:pt idx="39">
                  <c:v>41920</c:v>
                </c:pt>
                <c:pt idx="40">
                  <c:v>41927</c:v>
                </c:pt>
                <c:pt idx="41">
                  <c:v>41934</c:v>
                </c:pt>
                <c:pt idx="42">
                  <c:v>41941</c:v>
                </c:pt>
                <c:pt idx="43">
                  <c:v>41948</c:v>
                </c:pt>
                <c:pt idx="44">
                  <c:v>41955</c:v>
                </c:pt>
                <c:pt idx="45">
                  <c:v>41962</c:v>
                </c:pt>
                <c:pt idx="46">
                  <c:v>41969</c:v>
                </c:pt>
                <c:pt idx="47">
                  <c:v>41976</c:v>
                </c:pt>
                <c:pt idx="48">
                  <c:v>41983</c:v>
                </c:pt>
                <c:pt idx="49">
                  <c:v>41990</c:v>
                </c:pt>
                <c:pt idx="50">
                  <c:v>41997</c:v>
                </c:pt>
                <c:pt idx="51">
                  <c:v>42004</c:v>
                </c:pt>
                <c:pt idx="52">
                  <c:v>42011</c:v>
                </c:pt>
                <c:pt idx="53">
                  <c:v>42018</c:v>
                </c:pt>
                <c:pt idx="54">
                  <c:v>42025</c:v>
                </c:pt>
                <c:pt idx="55">
                  <c:v>42032</c:v>
                </c:pt>
                <c:pt idx="56">
                  <c:v>42039</c:v>
                </c:pt>
                <c:pt idx="57">
                  <c:v>42046</c:v>
                </c:pt>
                <c:pt idx="58">
                  <c:v>42053</c:v>
                </c:pt>
                <c:pt idx="59">
                  <c:v>42060</c:v>
                </c:pt>
                <c:pt idx="60">
                  <c:v>42067</c:v>
                </c:pt>
                <c:pt idx="61">
                  <c:v>42074</c:v>
                </c:pt>
                <c:pt idx="62">
                  <c:v>42081</c:v>
                </c:pt>
                <c:pt idx="63">
                  <c:v>42088</c:v>
                </c:pt>
                <c:pt idx="64">
                  <c:v>42095</c:v>
                </c:pt>
              </c:numCache>
            </c:numRef>
          </c:cat>
          <c:val>
            <c:numRef>
              <c:f>Data!$H$37:$H$66</c:f>
              <c:numCache>
                <c:formatCode>General</c:formatCode>
                <c:ptCount val="30"/>
                <c:pt idx="0">
                  <c:v>171</c:v>
                </c:pt>
                <c:pt idx="1">
                  <c:v>171</c:v>
                </c:pt>
                <c:pt idx="2">
                  <c:v>171</c:v>
                </c:pt>
                <c:pt idx="3">
                  <c:v>171</c:v>
                </c:pt>
                <c:pt idx="4">
                  <c:v>171</c:v>
                </c:pt>
                <c:pt idx="5">
                  <c:v>171</c:v>
                </c:pt>
                <c:pt idx="6">
                  <c:v>171</c:v>
                </c:pt>
                <c:pt idx="7">
                  <c:v>171</c:v>
                </c:pt>
                <c:pt idx="8">
                  <c:v>171</c:v>
                </c:pt>
                <c:pt idx="9">
                  <c:v>171</c:v>
                </c:pt>
                <c:pt idx="10">
                  <c:v>171</c:v>
                </c:pt>
                <c:pt idx="11">
                  <c:v>171</c:v>
                </c:pt>
                <c:pt idx="12">
                  <c:v>171</c:v>
                </c:pt>
                <c:pt idx="13">
                  <c:v>171</c:v>
                </c:pt>
                <c:pt idx="14">
                  <c:v>171</c:v>
                </c:pt>
                <c:pt idx="15">
                  <c:v>171</c:v>
                </c:pt>
                <c:pt idx="16">
                  <c:v>171</c:v>
                </c:pt>
                <c:pt idx="17">
                  <c:v>171</c:v>
                </c:pt>
                <c:pt idx="18">
                  <c:v>171</c:v>
                </c:pt>
                <c:pt idx="19">
                  <c:v>171</c:v>
                </c:pt>
                <c:pt idx="20">
                  <c:v>171</c:v>
                </c:pt>
                <c:pt idx="21">
                  <c:v>171</c:v>
                </c:pt>
                <c:pt idx="22">
                  <c:v>171</c:v>
                </c:pt>
                <c:pt idx="23">
                  <c:v>171</c:v>
                </c:pt>
                <c:pt idx="24">
                  <c:v>171</c:v>
                </c:pt>
                <c:pt idx="25">
                  <c:v>171</c:v>
                </c:pt>
                <c:pt idx="26">
                  <c:v>171</c:v>
                </c:pt>
                <c:pt idx="27">
                  <c:v>171</c:v>
                </c:pt>
                <c:pt idx="28">
                  <c:v>171</c:v>
                </c:pt>
                <c:pt idx="29">
                  <c:v>171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28032"/>
        <c:axId val="127622144"/>
      </c:areaChart>
      <c:lineChart>
        <c:grouping val="standard"/>
        <c:varyColors val="0"/>
        <c:ser>
          <c:idx val="0"/>
          <c:order val="0"/>
          <c:tx>
            <c:v>Defect Density</c:v>
          </c:tx>
          <c:marker>
            <c:symbol val="none"/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Data!$N$37:$N$66</c:f>
              <c:numCache>
                <c:formatCode>General</c:formatCode>
                <c:ptCount val="30"/>
                <c:pt idx="0">
                  <c:v>1.5497076511383057</c:v>
                </c:pt>
                <c:pt idx="1">
                  <c:v>1.5497076511383057</c:v>
                </c:pt>
                <c:pt idx="2">
                  <c:v>1.5497076511383057</c:v>
                </c:pt>
                <c:pt idx="3">
                  <c:v>1.5497076511383057</c:v>
                </c:pt>
                <c:pt idx="4">
                  <c:v>1.5497076511383057</c:v>
                </c:pt>
                <c:pt idx="5">
                  <c:v>1.5497076511383057</c:v>
                </c:pt>
                <c:pt idx="6">
                  <c:v>1.5497076511383057</c:v>
                </c:pt>
                <c:pt idx="7">
                  <c:v>1.5497076511383057</c:v>
                </c:pt>
                <c:pt idx="8">
                  <c:v>1.5497076511383057</c:v>
                </c:pt>
                <c:pt idx="9">
                  <c:v>1.5497076511383057</c:v>
                </c:pt>
                <c:pt idx="10">
                  <c:v>1.5497076511383057</c:v>
                </c:pt>
                <c:pt idx="11">
                  <c:v>1.5497076511383057</c:v>
                </c:pt>
                <c:pt idx="12">
                  <c:v>1.5497076511383057</c:v>
                </c:pt>
                <c:pt idx="13">
                  <c:v>1.5497076511383057</c:v>
                </c:pt>
                <c:pt idx="14">
                  <c:v>1.5497076511383057</c:v>
                </c:pt>
                <c:pt idx="15">
                  <c:v>1.5497076511383057</c:v>
                </c:pt>
                <c:pt idx="16">
                  <c:v>1.5497076511383057</c:v>
                </c:pt>
                <c:pt idx="17">
                  <c:v>1.5497076511383057</c:v>
                </c:pt>
                <c:pt idx="18">
                  <c:v>1.5497076511383057</c:v>
                </c:pt>
                <c:pt idx="19">
                  <c:v>1.5497076511383057</c:v>
                </c:pt>
                <c:pt idx="20">
                  <c:v>1.5497076511383057</c:v>
                </c:pt>
                <c:pt idx="21">
                  <c:v>1.5497076511383057</c:v>
                </c:pt>
                <c:pt idx="22">
                  <c:v>1.5497076511383057</c:v>
                </c:pt>
                <c:pt idx="23">
                  <c:v>1.5497076511383057</c:v>
                </c:pt>
                <c:pt idx="24">
                  <c:v>1.5497076511383057</c:v>
                </c:pt>
                <c:pt idx="25">
                  <c:v>1.5497076511383057</c:v>
                </c:pt>
                <c:pt idx="26">
                  <c:v>1.5497076511383057</c:v>
                </c:pt>
                <c:pt idx="27">
                  <c:v>1.5497076511383057</c:v>
                </c:pt>
                <c:pt idx="28">
                  <c:v>1.5497076511383057</c:v>
                </c:pt>
                <c:pt idx="29">
                  <c:v>1.5497076511383057</c:v>
                </c:pt>
              </c:numCache>
            </c:numRef>
          </c:val>
          <c:smooth val="0"/>
        </c:ser>
        <c:ser>
          <c:idx val="1"/>
          <c:order val="1"/>
          <c:tx>
            <c:v>Target Density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Data!$V$37:$V$66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619072"/>
        <c:axId val="127620608"/>
      </c:lineChart>
      <c:dateAx>
        <c:axId val="127619072"/>
        <c:scaling>
          <c:orientation val="minMax"/>
        </c:scaling>
        <c:delete val="1"/>
        <c:axPos val="b"/>
        <c:numFmt formatCode="dd/mm" sourceLinked="0"/>
        <c:majorTickMark val="none"/>
        <c:minorTickMark val="none"/>
        <c:tickLblPos val="low"/>
        <c:crossAx val="127620608"/>
        <c:crosses val="autoZero"/>
        <c:auto val="0"/>
        <c:lblOffset val="100"/>
        <c:baseTimeUnit val="days"/>
      </c:dateAx>
      <c:valAx>
        <c:axId val="127620608"/>
        <c:scaling>
          <c:orientation val="minMax"/>
          <c:min val="-0.5"/>
        </c:scaling>
        <c:delete val="1"/>
        <c:axPos val="l"/>
        <c:majorGridlines/>
        <c:numFmt formatCode="0.0;;0;" sourceLinked="0"/>
        <c:majorTickMark val="out"/>
        <c:minorTickMark val="none"/>
        <c:tickLblPos val="nextTo"/>
        <c:crossAx val="127619072"/>
        <c:crosses val="autoZero"/>
        <c:crossBetween val="between"/>
      </c:valAx>
      <c:valAx>
        <c:axId val="127622144"/>
        <c:scaling>
          <c:orientation val="minMax"/>
        </c:scaling>
        <c:delete val="0"/>
        <c:axPos val="r"/>
        <c:numFmt formatCode="\ " sourceLinked="0"/>
        <c:majorTickMark val="none"/>
        <c:minorTickMark val="none"/>
        <c:tickLblPos val="nextTo"/>
        <c:crossAx val="127628032"/>
        <c:crosses val="max"/>
        <c:crossBetween val="between"/>
      </c:valAx>
      <c:dateAx>
        <c:axId val="1276280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27622144"/>
        <c:crosses val="autoZero"/>
        <c:auto val="1"/>
        <c:lblOffset val="100"/>
        <c:baseTimeUnit val="days"/>
      </c:dateAx>
    </c:plotArea>
    <c:legend>
      <c:legendPos val="b"/>
      <c:layout>
        <c:manualLayout>
          <c:xMode val="edge"/>
          <c:yMode val="edge"/>
          <c:x val="0"/>
          <c:y val="4.8873726497554427E-4"/>
          <c:w val="0.68024796781367691"/>
          <c:h val="0.94480560428347038"/>
        </c:manualLayout>
      </c:layout>
      <c:overlay val="0"/>
      <c:spPr>
        <a:solidFill>
          <a:sysClr val="window" lastClr="FFFFFF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681881664777115E-2"/>
          <c:y val="4.1408004905457471E-2"/>
          <c:w val="0.9239190943297021"/>
          <c:h val="0.43005348927827208"/>
        </c:manualLayout>
      </c:layout>
      <c:lineChart>
        <c:grouping val="standard"/>
        <c:varyColors val="0"/>
        <c:ser>
          <c:idx val="0"/>
          <c:order val="0"/>
          <c:tx>
            <c:v>Defect Density</c:v>
          </c:tx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Data!$J$2:$J$28</c:f>
              <c:numCache>
                <c:formatCode>General</c:formatCode>
                <c:ptCount val="2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2.5999999046325684</c:v>
                </c:pt>
                <c:pt idx="17">
                  <c:v>3.7999999523162842</c:v>
                </c:pt>
                <c:pt idx="18">
                  <c:v>5.1999998092651367</c:v>
                </c:pt>
                <c:pt idx="19">
                  <c:v>2.125</c:v>
                </c:pt>
                <c:pt idx="20">
                  <c:v>2.2105262279510498</c:v>
                </c:pt>
                <c:pt idx="21">
                  <c:v>2.263157844543457</c:v>
                </c:pt>
                <c:pt idx="22">
                  <c:v>2.736842155456543</c:v>
                </c:pt>
                <c:pt idx="23">
                  <c:v>3.2105262279510498</c:v>
                </c:pt>
                <c:pt idx="24">
                  <c:v>3.736842155456543</c:v>
                </c:pt>
                <c:pt idx="25">
                  <c:v>4.6842103004455566</c:v>
                </c:pt>
                <c:pt idx="26">
                  <c:v>5.736842155456543</c:v>
                </c:pt>
              </c:numCache>
            </c:numRef>
          </c:val>
          <c:smooth val="0"/>
        </c:ser>
        <c:ser>
          <c:idx val="1"/>
          <c:order val="1"/>
          <c:tx>
            <c:v>Target Density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Data!$R$2:$R$28</c:f>
              <c:numCache>
                <c:formatCode>General</c:formatCode>
                <c:ptCount val="27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657088"/>
        <c:axId val="127658624"/>
      </c:lineChart>
      <c:catAx>
        <c:axId val="127657088"/>
        <c:scaling>
          <c:orientation val="minMax"/>
        </c:scaling>
        <c:delete val="1"/>
        <c:axPos val="b"/>
        <c:numFmt formatCode="dd/mm" sourceLinked="0"/>
        <c:majorTickMark val="none"/>
        <c:minorTickMark val="none"/>
        <c:tickLblPos val="low"/>
        <c:crossAx val="127658624"/>
        <c:crosses val="autoZero"/>
        <c:auto val="0"/>
        <c:lblAlgn val="ctr"/>
        <c:lblOffset val="100"/>
        <c:noMultiLvlLbl val="0"/>
      </c:catAx>
      <c:valAx>
        <c:axId val="12765862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crossAx val="1276570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34678474994934E-2"/>
          <c:y val="0.116104924425824"/>
          <c:w val="0.9232541912445299"/>
          <c:h val="0.26384695151732418"/>
        </c:manualLayout>
      </c:layout>
      <c:areaChart>
        <c:grouping val="stacked"/>
        <c:varyColors val="0"/>
        <c:ser>
          <c:idx val="2"/>
          <c:order val="0"/>
          <c:tx>
            <c:v>Done User Stories</c:v>
          </c:tx>
          <c:cat>
            <c:numRef>
              <c:f>Data!$A$2:$A$66</c:f>
              <c:numCache>
                <c:formatCode>m/d/yyyy</c:formatCode>
                <c:ptCount val="65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  <c:pt idx="27">
                  <c:v>41836</c:v>
                </c:pt>
                <c:pt idx="28">
                  <c:v>41843</c:v>
                </c:pt>
                <c:pt idx="29">
                  <c:v>41850</c:v>
                </c:pt>
                <c:pt idx="30">
                  <c:v>41857</c:v>
                </c:pt>
                <c:pt idx="31">
                  <c:v>41864</c:v>
                </c:pt>
                <c:pt idx="32">
                  <c:v>41871</c:v>
                </c:pt>
                <c:pt idx="33">
                  <c:v>41878</c:v>
                </c:pt>
                <c:pt idx="34">
                  <c:v>41885</c:v>
                </c:pt>
                <c:pt idx="35">
                  <c:v>41892</c:v>
                </c:pt>
                <c:pt idx="36">
                  <c:v>41899</c:v>
                </c:pt>
                <c:pt idx="37">
                  <c:v>41906</c:v>
                </c:pt>
                <c:pt idx="38">
                  <c:v>41913</c:v>
                </c:pt>
                <c:pt idx="39">
                  <c:v>41920</c:v>
                </c:pt>
                <c:pt idx="40">
                  <c:v>41927</c:v>
                </c:pt>
                <c:pt idx="41">
                  <c:v>41934</c:v>
                </c:pt>
                <c:pt idx="42">
                  <c:v>41941</c:v>
                </c:pt>
                <c:pt idx="43">
                  <c:v>41948</c:v>
                </c:pt>
                <c:pt idx="44">
                  <c:v>41955</c:v>
                </c:pt>
                <c:pt idx="45">
                  <c:v>41962</c:v>
                </c:pt>
                <c:pt idx="46">
                  <c:v>41969</c:v>
                </c:pt>
                <c:pt idx="47">
                  <c:v>41976</c:v>
                </c:pt>
                <c:pt idx="48">
                  <c:v>41983</c:v>
                </c:pt>
                <c:pt idx="49">
                  <c:v>41990</c:v>
                </c:pt>
                <c:pt idx="50">
                  <c:v>41997</c:v>
                </c:pt>
                <c:pt idx="51">
                  <c:v>42004</c:v>
                </c:pt>
                <c:pt idx="52">
                  <c:v>42011</c:v>
                </c:pt>
                <c:pt idx="53">
                  <c:v>42018</c:v>
                </c:pt>
                <c:pt idx="54">
                  <c:v>42025</c:v>
                </c:pt>
                <c:pt idx="55">
                  <c:v>42032</c:v>
                </c:pt>
                <c:pt idx="56">
                  <c:v>42039</c:v>
                </c:pt>
                <c:pt idx="57">
                  <c:v>42046</c:v>
                </c:pt>
                <c:pt idx="58">
                  <c:v>42053</c:v>
                </c:pt>
                <c:pt idx="59">
                  <c:v>42060</c:v>
                </c:pt>
                <c:pt idx="60">
                  <c:v>42067</c:v>
                </c:pt>
                <c:pt idx="61">
                  <c:v>42074</c:v>
                </c:pt>
                <c:pt idx="62">
                  <c:v>42081</c:v>
                </c:pt>
                <c:pt idx="63">
                  <c:v>42088</c:v>
                </c:pt>
                <c:pt idx="64">
                  <c:v>42095</c:v>
                </c:pt>
              </c:numCache>
            </c:numRef>
          </c:cat>
          <c:val>
            <c:numRef>
              <c:f>Data!$D$2:$D$28</c:f>
              <c:numCache>
                <c:formatCode>General</c:formatCode>
                <c:ptCount val="2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16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2912"/>
        <c:axId val="130264448"/>
      </c:areaChart>
      <c:catAx>
        <c:axId val="130262912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spPr>
          <a:ln>
            <a:solidFill>
              <a:schemeClr val="accent6">
                <a:lumMod val="75000"/>
              </a:schemeClr>
            </a:solidFill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130264448"/>
        <c:crosses val="autoZero"/>
        <c:auto val="0"/>
        <c:lblAlgn val="ctr"/>
        <c:lblOffset val="100"/>
        <c:noMultiLvlLbl val="0"/>
      </c:catAx>
      <c:valAx>
        <c:axId val="130264448"/>
        <c:scaling>
          <c:orientation val="minMax"/>
        </c:scaling>
        <c:delete val="0"/>
        <c:axPos val="l"/>
        <c:majorGridlines>
          <c:spPr>
            <a:ln>
              <a:solidFill>
                <a:schemeClr val="accent6">
                  <a:lumMod val="75000"/>
                </a:schemeClr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chemeClr val="accent6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accent6">
                    <a:lumMod val="75000"/>
                  </a:schemeClr>
                </a:solidFill>
              </a:defRPr>
            </a:pPr>
            <a:endParaRPr lang="en-US"/>
          </a:p>
        </c:txPr>
        <c:crossAx val="130262912"/>
        <c:crosses val="autoZero"/>
        <c:crossBetween val="between"/>
      </c:valAx>
      <c:spPr>
        <a:noFill/>
        <a:ln>
          <a:solidFill>
            <a:schemeClr val="bg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681881664777115E-2"/>
          <c:y val="4.1408004905457471E-2"/>
          <c:w val="0.9239190943297021"/>
          <c:h val="0.43005348927827208"/>
        </c:manualLayout>
      </c:layout>
      <c:lineChart>
        <c:grouping val="standard"/>
        <c:varyColors val="0"/>
        <c:ser>
          <c:idx val="0"/>
          <c:order val="0"/>
          <c:tx>
            <c:v>Defect Density</c:v>
          </c:tx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Data!$K$2:$K$28</c:f>
              <c:numCache>
                <c:formatCode>General</c:formatCode>
                <c:ptCount val="27"/>
                <c:pt idx="0">
                  <c:v>0.41837644577026367</c:v>
                </c:pt>
                <c:pt idx="1">
                  <c:v>0.44336283206939697</c:v>
                </c:pt>
                <c:pt idx="2">
                  <c:v>0.44176706671714783</c:v>
                </c:pt>
                <c:pt idx="3">
                  <c:v>0.47105473279953003</c:v>
                </c:pt>
                <c:pt idx="4">
                  <c:v>0.44144144654273987</c:v>
                </c:pt>
                <c:pt idx="5">
                  <c:v>0.46588560938835144</c:v>
                </c:pt>
                <c:pt idx="6">
                  <c:v>0.46056991815567017</c:v>
                </c:pt>
                <c:pt idx="7">
                  <c:v>0.46389070153236389</c:v>
                </c:pt>
                <c:pt idx="8">
                  <c:v>0.44688645005226135</c:v>
                </c:pt>
                <c:pt idx="9">
                  <c:v>0.45209580659866333</c:v>
                </c:pt>
                <c:pt idx="10">
                  <c:v>0.42574256658554077</c:v>
                </c:pt>
                <c:pt idx="11">
                  <c:v>0.43111830949783325</c:v>
                </c:pt>
                <c:pt idx="12">
                  <c:v>0.43207940459251404</c:v>
                </c:pt>
                <c:pt idx="13">
                  <c:v>0.44784638285636902</c:v>
                </c:pt>
                <c:pt idx="14">
                  <c:v>0.44846940040588379</c:v>
                </c:pt>
                <c:pt idx="15">
                  <c:v>0.45250853896141052</c:v>
                </c:pt>
                <c:pt idx="16">
                  <c:v>0.47044572234153748</c:v>
                </c:pt>
                <c:pt idx="17">
                  <c:v>0.45753425359725952</c:v>
                </c:pt>
                <c:pt idx="18">
                  <c:v>0.47423622012138367</c:v>
                </c:pt>
                <c:pt idx="19">
                  <c:v>0.49205628037452698</c:v>
                </c:pt>
                <c:pt idx="20">
                  <c:v>0.49886518716812134</c:v>
                </c:pt>
                <c:pt idx="21">
                  <c:v>0.50249660015106201</c:v>
                </c:pt>
                <c:pt idx="22">
                  <c:v>0.51293689012527466</c:v>
                </c:pt>
                <c:pt idx="23">
                  <c:v>0.51929187774658203</c:v>
                </c:pt>
                <c:pt idx="24">
                  <c:v>0.52246934175491333</c:v>
                </c:pt>
                <c:pt idx="25">
                  <c:v>0.52562355995178223</c:v>
                </c:pt>
                <c:pt idx="26">
                  <c:v>0.52698415517807007</c:v>
                </c:pt>
              </c:numCache>
            </c:numRef>
          </c:val>
          <c:smooth val="0"/>
        </c:ser>
        <c:ser>
          <c:idx val="1"/>
          <c:order val="1"/>
          <c:tx>
            <c:v>Target Density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Data!$S$2:$S$28</c:f>
              <c:numCache>
                <c:formatCode>General</c:formatCode>
                <c:ptCount val="27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563456"/>
        <c:axId val="130581632"/>
      </c:lineChart>
      <c:catAx>
        <c:axId val="130563456"/>
        <c:scaling>
          <c:orientation val="minMax"/>
        </c:scaling>
        <c:delete val="1"/>
        <c:axPos val="b"/>
        <c:numFmt formatCode="dd/mm" sourceLinked="0"/>
        <c:majorTickMark val="none"/>
        <c:minorTickMark val="none"/>
        <c:tickLblPos val="low"/>
        <c:crossAx val="130581632"/>
        <c:crosses val="autoZero"/>
        <c:auto val="0"/>
        <c:lblAlgn val="ctr"/>
        <c:lblOffset val="100"/>
        <c:noMultiLvlLbl val="0"/>
      </c:catAx>
      <c:valAx>
        <c:axId val="13058163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crossAx val="13056345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34678474994934E-2"/>
          <c:y val="0.116104924425824"/>
          <c:w val="0.9232541912445299"/>
          <c:h val="0.26384695151732418"/>
        </c:manualLayout>
      </c:layout>
      <c:areaChart>
        <c:grouping val="stacked"/>
        <c:varyColors val="0"/>
        <c:ser>
          <c:idx val="2"/>
          <c:order val="0"/>
          <c:tx>
            <c:v>Done User Stories</c:v>
          </c:tx>
          <c:cat>
            <c:numRef>
              <c:f>Data!$A$2:$A$66</c:f>
              <c:numCache>
                <c:formatCode>m/d/yyyy</c:formatCode>
                <c:ptCount val="65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  <c:pt idx="27">
                  <c:v>41836</c:v>
                </c:pt>
                <c:pt idx="28">
                  <c:v>41843</c:v>
                </c:pt>
                <c:pt idx="29">
                  <c:v>41850</c:v>
                </c:pt>
                <c:pt idx="30">
                  <c:v>41857</c:v>
                </c:pt>
                <c:pt idx="31">
                  <c:v>41864</c:v>
                </c:pt>
                <c:pt idx="32">
                  <c:v>41871</c:v>
                </c:pt>
                <c:pt idx="33">
                  <c:v>41878</c:v>
                </c:pt>
                <c:pt idx="34">
                  <c:v>41885</c:v>
                </c:pt>
                <c:pt idx="35">
                  <c:v>41892</c:v>
                </c:pt>
                <c:pt idx="36">
                  <c:v>41899</c:v>
                </c:pt>
                <c:pt idx="37">
                  <c:v>41906</c:v>
                </c:pt>
                <c:pt idx="38">
                  <c:v>41913</c:v>
                </c:pt>
                <c:pt idx="39">
                  <c:v>41920</c:v>
                </c:pt>
                <c:pt idx="40">
                  <c:v>41927</c:v>
                </c:pt>
                <c:pt idx="41">
                  <c:v>41934</c:v>
                </c:pt>
                <c:pt idx="42">
                  <c:v>41941</c:v>
                </c:pt>
                <c:pt idx="43">
                  <c:v>41948</c:v>
                </c:pt>
                <c:pt idx="44">
                  <c:v>41955</c:v>
                </c:pt>
                <c:pt idx="45">
                  <c:v>41962</c:v>
                </c:pt>
                <c:pt idx="46">
                  <c:v>41969</c:v>
                </c:pt>
                <c:pt idx="47">
                  <c:v>41976</c:v>
                </c:pt>
                <c:pt idx="48">
                  <c:v>41983</c:v>
                </c:pt>
                <c:pt idx="49">
                  <c:v>41990</c:v>
                </c:pt>
                <c:pt idx="50">
                  <c:v>41997</c:v>
                </c:pt>
                <c:pt idx="51">
                  <c:v>42004</c:v>
                </c:pt>
                <c:pt idx="52">
                  <c:v>42011</c:v>
                </c:pt>
                <c:pt idx="53">
                  <c:v>42018</c:v>
                </c:pt>
                <c:pt idx="54">
                  <c:v>42025</c:v>
                </c:pt>
                <c:pt idx="55">
                  <c:v>42032</c:v>
                </c:pt>
                <c:pt idx="56">
                  <c:v>42039</c:v>
                </c:pt>
                <c:pt idx="57">
                  <c:v>42046</c:v>
                </c:pt>
                <c:pt idx="58">
                  <c:v>42053</c:v>
                </c:pt>
                <c:pt idx="59">
                  <c:v>42060</c:v>
                </c:pt>
                <c:pt idx="60">
                  <c:v>42067</c:v>
                </c:pt>
                <c:pt idx="61">
                  <c:v>42074</c:v>
                </c:pt>
                <c:pt idx="62">
                  <c:v>42081</c:v>
                </c:pt>
                <c:pt idx="63">
                  <c:v>42088</c:v>
                </c:pt>
                <c:pt idx="64">
                  <c:v>42095</c:v>
                </c:pt>
              </c:numCache>
            </c:numRef>
          </c:cat>
          <c:val>
            <c:numRef>
              <c:f>Data!$E$2:$E$28</c:f>
              <c:numCache>
                <c:formatCode>General</c:formatCode>
                <c:ptCount val="27"/>
                <c:pt idx="0">
                  <c:v>1121</c:v>
                </c:pt>
                <c:pt idx="1">
                  <c:v>1130</c:v>
                </c:pt>
                <c:pt idx="2">
                  <c:v>1245</c:v>
                </c:pt>
                <c:pt idx="3">
                  <c:v>1261</c:v>
                </c:pt>
                <c:pt idx="4">
                  <c:v>1443</c:v>
                </c:pt>
                <c:pt idx="5">
                  <c:v>1451</c:v>
                </c:pt>
                <c:pt idx="6">
                  <c:v>1509</c:v>
                </c:pt>
                <c:pt idx="7">
                  <c:v>1537</c:v>
                </c:pt>
                <c:pt idx="8">
                  <c:v>1638</c:v>
                </c:pt>
                <c:pt idx="9">
                  <c:v>1670</c:v>
                </c:pt>
                <c:pt idx="10">
                  <c:v>1818</c:v>
                </c:pt>
                <c:pt idx="11">
                  <c:v>1851</c:v>
                </c:pt>
                <c:pt idx="12">
                  <c:v>1914</c:v>
                </c:pt>
                <c:pt idx="13">
                  <c:v>1927</c:v>
                </c:pt>
                <c:pt idx="14">
                  <c:v>1960</c:v>
                </c:pt>
                <c:pt idx="15">
                  <c:v>2053</c:v>
                </c:pt>
                <c:pt idx="16">
                  <c:v>2064</c:v>
                </c:pt>
                <c:pt idx="17">
                  <c:v>2190</c:v>
                </c:pt>
                <c:pt idx="18">
                  <c:v>2193</c:v>
                </c:pt>
                <c:pt idx="19">
                  <c:v>2203</c:v>
                </c:pt>
                <c:pt idx="20">
                  <c:v>2203</c:v>
                </c:pt>
                <c:pt idx="21">
                  <c:v>2203</c:v>
                </c:pt>
                <c:pt idx="22">
                  <c:v>2203</c:v>
                </c:pt>
                <c:pt idx="23">
                  <c:v>2203</c:v>
                </c:pt>
                <c:pt idx="24">
                  <c:v>2203</c:v>
                </c:pt>
                <c:pt idx="25">
                  <c:v>2205</c:v>
                </c:pt>
                <c:pt idx="26">
                  <c:v>2205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01344"/>
        <c:axId val="130602880"/>
      </c:areaChart>
      <c:catAx>
        <c:axId val="130601344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spPr>
          <a:ln>
            <a:solidFill>
              <a:schemeClr val="accent6">
                <a:lumMod val="75000"/>
              </a:schemeClr>
            </a:solidFill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130602880"/>
        <c:crosses val="autoZero"/>
        <c:auto val="0"/>
        <c:lblAlgn val="ctr"/>
        <c:lblOffset val="100"/>
        <c:noMultiLvlLbl val="0"/>
      </c:catAx>
      <c:valAx>
        <c:axId val="130602880"/>
        <c:scaling>
          <c:orientation val="minMax"/>
        </c:scaling>
        <c:delete val="0"/>
        <c:axPos val="l"/>
        <c:majorGridlines>
          <c:spPr>
            <a:ln>
              <a:solidFill>
                <a:schemeClr val="accent6">
                  <a:lumMod val="75000"/>
                </a:schemeClr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chemeClr val="accent6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accent6">
                    <a:lumMod val="75000"/>
                  </a:schemeClr>
                </a:solidFill>
              </a:defRPr>
            </a:pPr>
            <a:endParaRPr lang="en-US"/>
          </a:p>
        </c:txPr>
        <c:crossAx val="130601344"/>
        <c:crosses val="autoZero"/>
        <c:crossBetween val="between"/>
      </c:valAx>
      <c:spPr>
        <a:noFill/>
        <a:ln>
          <a:solidFill>
            <a:schemeClr val="bg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681881664777115E-2"/>
          <c:y val="4.1408004905457471E-2"/>
          <c:w val="0.9239190943297021"/>
          <c:h val="0.43005348927827208"/>
        </c:manualLayout>
      </c:layout>
      <c:lineChart>
        <c:grouping val="standard"/>
        <c:varyColors val="0"/>
        <c:ser>
          <c:idx val="0"/>
          <c:order val="0"/>
          <c:tx>
            <c:v>Defect Density</c:v>
          </c:tx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Data!$L$2:$L$28</c:f>
              <c:numCache>
                <c:formatCode>General</c:formatCode>
                <c:ptCount val="27"/>
                <c:pt idx="0">
                  <c:v>0.40120533108711243</c:v>
                </c:pt>
                <c:pt idx="1">
                  <c:v>0.40450870990753174</c:v>
                </c:pt>
                <c:pt idx="2">
                  <c:v>0.41068446636199951</c:v>
                </c:pt>
                <c:pt idx="3">
                  <c:v>0.41871100664138794</c:v>
                </c:pt>
                <c:pt idx="4">
                  <c:v>0.42447811365127563</c:v>
                </c:pt>
                <c:pt idx="5">
                  <c:v>0.43553584814071655</c:v>
                </c:pt>
                <c:pt idx="6">
                  <c:v>0.43877550959587097</c:v>
                </c:pt>
                <c:pt idx="7">
                  <c:v>0.43644717335700989</c:v>
                </c:pt>
                <c:pt idx="8">
                  <c:v>0.43106651306152344</c:v>
                </c:pt>
                <c:pt idx="9">
                  <c:v>0.43374815583229065</c:v>
                </c:pt>
                <c:pt idx="10">
                  <c:v>0.44038668274879456</c:v>
                </c:pt>
                <c:pt idx="11">
                  <c:v>0.45198142528533936</c:v>
                </c:pt>
                <c:pt idx="12">
                  <c:v>0.46066617965698242</c:v>
                </c:pt>
                <c:pt idx="13">
                  <c:v>0.47306874394416809</c:v>
                </c:pt>
                <c:pt idx="14">
                  <c:v>0.47909283638000488</c:v>
                </c:pt>
                <c:pt idx="15">
                  <c:v>0.49610206484794617</c:v>
                </c:pt>
                <c:pt idx="16">
                  <c:v>0.50744152069091797</c:v>
                </c:pt>
                <c:pt idx="17">
                  <c:v>0.51771795749664307</c:v>
                </c:pt>
                <c:pt idx="18">
                  <c:v>0.52834868431091309</c:v>
                </c:pt>
                <c:pt idx="19">
                  <c:v>0.53472715616226196</c:v>
                </c:pt>
                <c:pt idx="20">
                  <c:v>0.54394048452377319</c:v>
                </c:pt>
                <c:pt idx="21">
                  <c:v>0.5499645471572876</c:v>
                </c:pt>
                <c:pt idx="22">
                  <c:v>0.55917787551879883</c:v>
                </c:pt>
                <c:pt idx="23">
                  <c:v>0.57051736116409302</c:v>
                </c:pt>
                <c:pt idx="24">
                  <c:v>0.57725018262863159</c:v>
                </c:pt>
                <c:pt idx="25">
                  <c:v>0.59000706672668457</c:v>
                </c:pt>
                <c:pt idx="26">
                  <c:v>0.59425938129425049</c:v>
                </c:pt>
              </c:numCache>
            </c:numRef>
          </c:val>
          <c:smooth val="0"/>
        </c:ser>
        <c:ser>
          <c:idx val="1"/>
          <c:order val="1"/>
          <c:tx>
            <c:v>Target Density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Data!$T$2:$T$28</c:f>
              <c:numCache>
                <c:formatCode>General</c:formatCode>
                <c:ptCount val="27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97088"/>
        <c:axId val="130698624"/>
      </c:lineChart>
      <c:catAx>
        <c:axId val="130697088"/>
        <c:scaling>
          <c:orientation val="minMax"/>
        </c:scaling>
        <c:delete val="1"/>
        <c:axPos val="b"/>
        <c:numFmt formatCode="dd/mm" sourceLinked="0"/>
        <c:majorTickMark val="none"/>
        <c:minorTickMark val="none"/>
        <c:tickLblPos val="low"/>
        <c:crossAx val="130698624"/>
        <c:crosses val="autoZero"/>
        <c:auto val="0"/>
        <c:lblAlgn val="ctr"/>
        <c:lblOffset val="100"/>
        <c:noMultiLvlLbl val="0"/>
      </c:catAx>
      <c:valAx>
        <c:axId val="13069862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crossAx val="1306970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34678474994934E-2"/>
          <c:y val="0.116104924425824"/>
          <c:w val="0.9232541912445299"/>
          <c:h val="0.26384695151732418"/>
        </c:manualLayout>
      </c:layout>
      <c:areaChart>
        <c:grouping val="stacked"/>
        <c:varyColors val="0"/>
        <c:ser>
          <c:idx val="2"/>
          <c:order val="0"/>
          <c:tx>
            <c:v>Done User Stories</c:v>
          </c:tx>
          <c:cat>
            <c:numRef>
              <c:f>Data!$A$2:$A$66</c:f>
              <c:numCache>
                <c:formatCode>m/d/yyyy</c:formatCode>
                <c:ptCount val="65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  <c:pt idx="27">
                  <c:v>41836</c:v>
                </c:pt>
                <c:pt idx="28">
                  <c:v>41843</c:v>
                </c:pt>
                <c:pt idx="29">
                  <c:v>41850</c:v>
                </c:pt>
                <c:pt idx="30">
                  <c:v>41857</c:v>
                </c:pt>
                <c:pt idx="31">
                  <c:v>41864</c:v>
                </c:pt>
                <c:pt idx="32">
                  <c:v>41871</c:v>
                </c:pt>
                <c:pt idx="33">
                  <c:v>41878</c:v>
                </c:pt>
                <c:pt idx="34">
                  <c:v>41885</c:v>
                </c:pt>
                <c:pt idx="35">
                  <c:v>41892</c:v>
                </c:pt>
                <c:pt idx="36">
                  <c:v>41899</c:v>
                </c:pt>
                <c:pt idx="37">
                  <c:v>41906</c:v>
                </c:pt>
                <c:pt idx="38">
                  <c:v>41913</c:v>
                </c:pt>
                <c:pt idx="39">
                  <c:v>41920</c:v>
                </c:pt>
                <c:pt idx="40">
                  <c:v>41927</c:v>
                </c:pt>
                <c:pt idx="41">
                  <c:v>41934</c:v>
                </c:pt>
                <c:pt idx="42">
                  <c:v>41941</c:v>
                </c:pt>
                <c:pt idx="43">
                  <c:v>41948</c:v>
                </c:pt>
                <c:pt idx="44">
                  <c:v>41955</c:v>
                </c:pt>
                <c:pt idx="45">
                  <c:v>41962</c:v>
                </c:pt>
                <c:pt idx="46">
                  <c:v>41969</c:v>
                </c:pt>
                <c:pt idx="47">
                  <c:v>41976</c:v>
                </c:pt>
                <c:pt idx="48">
                  <c:v>41983</c:v>
                </c:pt>
                <c:pt idx="49">
                  <c:v>41990</c:v>
                </c:pt>
                <c:pt idx="50">
                  <c:v>41997</c:v>
                </c:pt>
                <c:pt idx="51">
                  <c:v>42004</c:v>
                </c:pt>
                <c:pt idx="52">
                  <c:v>42011</c:v>
                </c:pt>
                <c:pt idx="53">
                  <c:v>42018</c:v>
                </c:pt>
                <c:pt idx="54">
                  <c:v>42025</c:v>
                </c:pt>
                <c:pt idx="55">
                  <c:v>42032</c:v>
                </c:pt>
                <c:pt idx="56">
                  <c:v>42039</c:v>
                </c:pt>
                <c:pt idx="57">
                  <c:v>42046</c:v>
                </c:pt>
                <c:pt idx="58">
                  <c:v>42053</c:v>
                </c:pt>
                <c:pt idx="59">
                  <c:v>42060</c:v>
                </c:pt>
                <c:pt idx="60">
                  <c:v>42067</c:v>
                </c:pt>
                <c:pt idx="61">
                  <c:v>42074</c:v>
                </c:pt>
                <c:pt idx="62">
                  <c:v>42081</c:v>
                </c:pt>
                <c:pt idx="63">
                  <c:v>42088</c:v>
                </c:pt>
                <c:pt idx="64">
                  <c:v>42095</c:v>
                </c:pt>
              </c:numCache>
            </c:numRef>
          </c:cat>
          <c:val>
            <c:numRef>
              <c:f>Data!$F$2:$F$28</c:f>
              <c:numCache>
                <c:formatCode>General</c:formatCode>
                <c:ptCount val="27"/>
                <c:pt idx="0">
                  <c:v>2323</c:v>
                </c:pt>
                <c:pt idx="1">
                  <c:v>2351</c:v>
                </c:pt>
                <c:pt idx="2">
                  <c:v>2396</c:v>
                </c:pt>
                <c:pt idx="3">
                  <c:v>2405</c:v>
                </c:pt>
                <c:pt idx="4">
                  <c:v>2443</c:v>
                </c:pt>
                <c:pt idx="5">
                  <c:v>2482</c:v>
                </c:pt>
                <c:pt idx="6">
                  <c:v>2548</c:v>
                </c:pt>
                <c:pt idx="7">
                  <c:v>2612</c:v>
                </c:pt>
                <c:pt idx="8">
                  <c:v>2691</c:v>
                </c:pt>
                <c:pt idx="9">
                  <c:v>2732</c:v>
                </c:pt>
                <c:pt idx="10">
                  <c:v>2793</c:v>
                </c:pt>
                <c:pt idx="11">
                  <c:v>2801</c:v>
                </c:pt>
                <c:pt idx="12">
                  <c:v>2822</c:v>
                </c:pt>
                <c:pt idx="13">
                  <c:v>2822</c:v>
                </c:pt>
                <c:pt idx="14">
                  <c:v>2822</c:v>
                </c:pt>
                <c:pt idx="15">
                  <c:v>2822</c:v>
                </c:pt>
                <c:pt idx="16">
                  <c:v>2822</c:v>
                </c:pt>
                <c:pt idx="17">
                  <c:v>2822</c:v>
                </c:pt>
                <c:pt idx="18">
                  <c:v>2822</c:v>
                </c:pt>
                <c:pt idx="19">
                  <c:v>2822</c:v>
                </c:pt>
                <c:pt idx="20">
                  <c:v>2822</c:v>
                </c:pt>
                <c:pt idx="21">
                  <c:v>2822</c:v>
                </c:pt>
                <c:pt idx="22">
                  <c:v>2822</c:v>
                </c:pt>
                <c:pt idx="23">
                  <c:v>2822</c:v>
                </c:pt>
                <c:pt idx="24">
                  <c:v>2822</c:v>
                </c:pt>
                <c:pt idx="25">
                  <c:v>2822</c:v>
                </c:pt>
                <c:pt idx="26">
                  <c:v>2822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14240"/>
        <c:axId val="130720128"/>
      </c:areaChart>
      <c:catAx>
        <c:axId val="130714240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spPr>
          <a:ln>
            <a:solidFill>
              <a:schemeClr val="accent6">
                <a:lumMod val="75000"/>
              </a:schemeClr>
            </a:solidFill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130720128"/>
        <c:crosses val="autoZero"/>
        <c:auto val="0"/>
        <c:lblAlgn val="ctr"/>
        <c:lblOffset val="100"/>
        <c:noMultiLvlLbl val="0"/>
      </c:catAx>
      <c:valAx>
        <c:axId val="130720128"/>
        <c:scaling>
          <c:orientation val="minMax"/>
        </c:scaling>
        <c:delete val="0"/>
        <c:axPos val="l"/>
        <c:majorGridlines>
          <c:spPr>
            <a:ln>
              <a:solidFill>
                <a:schemeClr val="accent6">
                  <a:lumMod val="75000"/>
                </a:schemeClr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chemeClr val="accent6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accent6">
                    <a:lumMod val="75000"/>
                  </a:schemeClr>
                </a:solidFill>
              </a:defRPr>
            </a:pPr>
            <a:endParaRPr lang="en-US"/>
          </a:p>
        </c:txPr>
        <c:crossAx val="130714240"/>
        <c:crosses val="autoZero"/>
        <c:crossBetween val="between"/>
      </c:valAx>
      <c:spPr>
        <a:noFill/>
        <a:ln>
          <a:solidFill>
            <a:schemeClr val="bg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681881664777115E-2"/>
          <c:y val="4.1408004905457471E-2"/>
          <c:w val="0.9239190943297021"/>
          <c:h val="0.43005348927827208"/>
        </c:manualLayout>
      </c:layout>
      <c:lineChart>
        <c:grouping val="standard"/>
        <c:varyColors val="0"/>
        <c:ser>
          <c:idx val="0"/>
          <c:order val="0"/>
          <c:tx>
            <c:v>Defect Density</c:v>
          </c:tx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Data!$M$2:$M$28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15.403225898742676</c:v>
                </c:pt>
                <c:pt idx="14">
                  <c:v>14.128571510314941</c:v>
                </c:pt>
                <c:pt idx="15">
                  <c:v>6.7947020530700684</c:v>
                </c:pt>
                <c:pt idx="16">
                  <c:v>5.9392266273498535</c:v>
                </c:pt>
                <c:pt idx="17">
                  <c:v>5.5757575035095215</c:v>
                </c:pt>
                <c:pt idx="18">
                  <c:v>4.8991227149963379</c:v>
                </c:pt>
                <c:pt idx="19">
                  <c:v>4.8540773391723633</c:v>
                </c:pt>
                <c:pt idx="20">
                  <c:v>4.6549019813537598</c:v>
                </c:pt>
                <c:pt idx="21">
                  <c:v>4.0709457397460937</c:v>
                </c:pt>
                <c:pt idx="22">
                  <c:v>3.873816967010498</c:v>
                </c:pt>
                <c:pt idx="23">
                  <c:v>3.5505619049072266</c:v>
                </c:pt>
                <c:pt idx="24">
                  <c:v>3.3169534206390381</c:v>
                </c:pt>
                <c:pt idx="25">
                  <c:v>3.461916446685791</c:v>
                </c:pt>
                <c:pt idx="26">
                  <c:v>3.5170731544494629</c:v>
                </c:pt>
              </c:numCache>
            </c:numRef>
          </c:val>
          <c:smooth val="0"/>
        </c:ser>
        <c:ser>
          <c:idx val="1"/>
          <c:order val="1"/>
          <c:tx>
            <c:v>Target Density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Data!$U$2:$U$28</c:f>
              <c:numCache>
                <c:formatCode>General</c:formatCode>
                <c:ptCount val="27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010944"/>
        <c:axId val="131012480"/>
      </c:lineChart>
      <c:catAx>
        <c:axId val="131010944"/>
        <c:scaling>
          <c:orientation val="minMax"/>
        </c:scaling>
        <c:delete val="1"/>
        <c:axPos val="b"/>
        <c:numFmt formatCode="dd/mm" sourceLinked="0"/>
        <c:majorTickMark val="none"/>
        <c:minorTickMark val="none"/>
        <c:tickLblPos val="low"/>
        <c:crossAx val="131012480"/>
        <c:crosses val="autoZero"/>
        <c:auto val="0"/>
        <c:lblAlgn val="ctr"/>
        <c:lblOffset val="100"/>
        <c:noMultiLvlLbl val="0"/>
      </c:catAx>
      <c:valAx>
        <c:axId val="13101248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crossAx val="131010944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34678474994934E-2"/>
          <c:y val="0.116104924425824"/>
          <c:w val="0.9232541912445299"/>
          <c:h val="0.26384695151732418"/>
        </c:manualLayout>
      </c:layout>
      <c:areaChart>
        <c:grouping val="stacked"/>
        <c:varyColors val="0"/>
        <c:ser>
          <c:idx val="2"/>
          <c:order val="0"/>
          <c:tx>
            <c:v>Done User Stories</c:v>
          </c:tx>
          <c:cat>
            <c:numRef>
              <c:f>Data!$A$2:$A$66</c:f>
              <c:numCache>
                <c:formatCode>m/d/yyyy</c:formatCode>
                <c:ptCount val="65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  <c:pt idx="27">
                  <c:v>41836</c:v>
                </c:pt>
                <c:pt idx="28">
                  <c:v>41843</c:v>
                </c:pt>
                <c:pt idx="29">
                  <c:v>41850</c:v>
                </c:pt>
                <c:pt idx="30">
                  <c:v>41857</c:v>
                </c:pt>
                <c:pt idx="31">
                  <c:v>41864</c:v>
                </c:pt>
                <c:pt idx="32">
                  <c:v>41871</c:v>
                </c:pt>
                <c:pt idx="33">
                  <c:v>41878</c:v>
                </c:pt>
                <c:pt idx="34">
                  <c:v>41885</c:v>
                </c:pt>
                <c:pt idx="35">
                  <c:v>41892</c:v>
                </c:pt>
                <c:pt idx="36">
                  <c:v>41899</c:v>
                </c:pt>
                <c:pt idx="37">
                  <c:v>41906</c:v>
                </c:pt>
                <c:pt idx="38">
                  <c:v>41913</c:v>
                </c:pt>
                <c:pt idx="39">
                  <c:v>41920</c:v>
                </c:pt>
                <c:pt idx="40">
                  <c:v>41927</c:v>
                </c:pt>
                <c:pt idx="41">
                  <c:v>41934</c:v>
                </c:pt>
                <c:pt idx="42">
                  <c:v>41941</c:v>
                </c:pt>
                <c:pt idx="43">
                  <c:v>41948</c:v>
                </c:pt>
                <c:pt idx="44">
                  <c:v>41955</c:v>
                </c:pt>
                <c:pt idx="45">
                  <c:v>41962</c:v>
                </c:pt>
                <c:pt idx="46">
                  <c:v>41969</c:v>
                </c:pt>
                <c:pt idx="47">
                  <c:v>41976</c:v>
                </c:pt>
                <c:pt idx="48">
                  <c:v>41983</c:v>
                </c:pt>
                <c:pt idx="49">
                  <c:v>41990</c:v>
                </c:pt>
                <c:pt idx="50">
                  <c:v>41997</c:v>
                </c:pt>
                <c:pt idx="51">
                  <c:v>42004</c:v>
                </c:pt>
                <c:pt idx="52">
                  <c:v>42011</c:v>
                </c:pt>
                <c:pt idx="53">
                  <c:v>42018</c:v>
                </c:pt>
                <c:pt idx="54">
                  <c:v>42025</c:v>
                </c:pt>
                <c:pt idx="55">
                  <c:v>42032</c:v>
                </c:pt>
                <c:pt idx="56">
                  <c:v>42039</c:v>
                </c:pt>
                <c:pt idx="57">
                  <c:v>42046</c:v>
                </c:pt>
                <c:pt idx="58">
                  <c:v>42053</c:v>
                </c:pt>
                <c:pt idx="59">
                  <c:v>42060</c:v>
                </c:pt>
                <c:pt idx="60">
                  <c:v>42067</c:v>
                </c:pt>
                <c:pt idx="61">
                  <c:v>42074</c:v>
                </c:pt>
                <c:pt idx="62">
                  <c:v>42081</c:v>
                </c:pt>
                <c:pt idx="63">
                  <c:v>42088</c:v>
                </c:pt>
                <c:pt idx="64">
                  <c:v>42095</c:v>
                </c:pt>
              </c:numCache>
            </c:numRef>
          </c:cat>
          <c:val>
            <c:numRef>
              <c:f>Data!$G$2:$G$28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36</c:v>
                </c:pt>
                <c:pt idx="13">
                  <c:v>62</c:v>
                </c:pt>
                <c:pt idx="14">
                  <c:v>70</c:v>
                </c:pt>
                <c:pt idx="15">
                  <c:v>151</c:v>
                </c:pt>
                <c:pt idx="16">
                  <c:v>181</c:v>
                </c:pt>
                <c:pt idx="17">
                  <c:v>198</c:v>
                </c:pt>
                <c:pt idx="18">
                  <c:v>228</c:v>
                </c:pt>
                <c:pt idx="19">
                  <c:v>233</c:v>
                </c:pt>
                <c:pt idx="20">
                  <c:v>255</c:v>
                </c:pt>
                <c:pt idx="21">
                  <c:v>296</c:v>
                </c:pt>
                <c:pt idx="22">
                  <c:v>317</c:v>
                </c:pt>
                <c:pt idx="23">
                  <c:v>356</c:v>
                </c:pt>
                <c:pt idx="24">
                  <c:v>407</c:v>
                </c:pt>
                <c:pt idx="25">
                  <c:v>407</c:v>
                </c:pt>
                <c:pt idx="26">
                  <c:v>410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48960"/>
        <c:axId val="131050496"/>
      </c:areaChart>
      <c:catAx>
        <c:axId val="131048960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spPr>
          <a:ln>
            <a:solidFill>
              <a:schemeClr val="accent6">
                <a:lumMod val="75000"/>
              </a:schemeClr>
            </a:solidFill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131050496"/>
        <c:crosses val="autoZero"/>
        <c:auto val="0"/>
        <c:lblAlgn val="ctr"/>
        <c:lblOffset val="100"/>
        <c:noMultiLvlLbl val="0"/>
      </c:catAx>
      <c:valAx>
        <c:axId val="131050496"/>
        <c:scaling>
          <c:orientation val="minMax"/>
        </c:scaling>
        <c:delete val="0"/>
        <c:axPos val="l"/>
        <c:majorGridlines>
          <c:spPr>
            <a:ln>
              <a:solidFill>
                <a:schemeClr val="accent6">
                  <a:lumMod val="75000"/>
                </a:schemeClr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chemeClr val="accent6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accent6">
                    <a:lumMod val="75000"/>
                  </a:schemeClr>
                </a:solidFill>
              </a:defRPr>
            </a:pPr>
            <a:endParaRPr lang="en-US"/>
          </a:p>
        </c:txPr>
        <c:crossAx val="131048960"/>
        <c:crosses val="autoZero"/>
        <c:crossBetween val="between"/>
      </c:valAx>
      <c:spPr>
        <a:noFill/>
        <a:ln>
          <a:solidFill>
            <a:schemeClr val="bg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681881664777115E-2"/>
          <c:y val="4.1408004905457471E-2"/>
          <c:w val="0.9239190943297021"/>
          <c:h val="0.43005348927827208"/>
        </c:manualLayout>
      </c:layout>
      <c:lineChart>
        <c:grouping val="standard"/>
        <c:varyColors val="0"/>
        <c:ser>
          <c:idx val="0"/>
          <c:order val="0"/>
          <c:tx>
            <c:v>Defect Density</c:v>
          </c:tx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Data!$N$2:$N$28</c:f>
              <c:numCache>
                <c:formatCode>General</c:formatCode>
                <c:ptCount val="2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0.34999999403953552</c:v>
                </c:pt>
                <c:pt idx="5">
                  <c:v>0.46666666865348816</c:v>
                </c:pt>
                <c:pt idx="6">
                  <c:v>0.41999998688697815</c:v>
                </c:pt>
                <c:pt idx="7">
                  <c:v>0.46000000834465027</c:v>
                </c:pt>
                <c:pt idx="8">
                  <c:v>0.6111111044883728</c:v>
                </c:pt>
                <c:pt idx="9">
                  <c:v>0.77777779102325439</c:v>
                </c:pt>
                <c:pt idx="10">
                  <c:v>0.75806450843811035</c:v>
                </c:pt>
                <c:pt idx="11">
                  <c:v>0.56818181276321411</c:v>
                </c:pt>
                <c:pt idx="12">
                  <c:v>0.61290323734283447</c:v>
                </c:pt>
                <c:pt idx="13">
                  <c:v>0.67010307312011719</c:v>
                </c:pt>
                <c:pt idx="14">
                  <c:v>0.66666668653488159</c:v>
                </c:pt>
                <c:pt idx="15">
                  <c:v>0.83333331346511841</c:v>
                </c:pt>
                <c:pt idx="16">
                  <c:v>0.84259259700775146</c:v>
                </c:pt>
                <c:pt idx="17">
                  <c:v>0.88235294818878174</c:v>
                </c:pt>
                <c:pt idx="18">
                  <c:v>1.047619104385376</c:v>
                </c:pt>
                <c:pt idx="19">
                  <c:v>0.98675495386123657</c:v>
                </c:pt>
                <c:pt idx="20">
                  <c:v>1.0132449865341187</c:v>
                </c:pt>
                <c:pt idx="21">
                  <c:v>1.051948070526123</c:v>
                </c:pt>
                <c:pt idx="22">
                  <c:v>1.2051281929016113</c:v>
                </c:pt>
                <c:pt idx="23">
                  <c:v>1.2514619827270508</c:v>
                </c:pt>
                <c:pt idx="24">
                  <c:v>1.4093567132949829</c:v>
                </c:pt>
                <c:pt idx="25">
                  <c:v>1.4678362607955933</c:v>
                </c:pt>
                <c:pt idx="26">
                  <c:v>1.5497076511383057</c:v>
                </c:pt>
              </c:numCache>
            </c:numRef>
          </c:val>
          <c:smooth val="0"/>
        </c:ser>
        <c:ser>
          <c:idx val="1"/>
          <c:order val="1"/>
          <c:tx>
            <c:v>Target Density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Data!$V$2:$V$28</c:f>
              <c:numCache>
                <c:formatCode>General</c:formatCode>
                <c:ptCount val="27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070976"/>
        <c:axId val="130822912"/>
      </c:lineChart>
      <c:catAx>
        <c:axId val="131070976"/>
        <c:scaling>
          <c:orientation val="minMax"/>
        </c:scaling>
        <c:delete val="1"/>
        <c:axPos val="b"/>
        <c:numFmt formatCode="dd/mm" sourceLinked="0"/>
        <c:majorTickMark val="none"/>
        <c:minorTickMark val="none"/>
        <c:tickLblPos val="low"/>
        <c:crossAx val="130822912"/>
        <c:crosses val="autoZero"/>
        <c:auto val="0"/>
        <c:lblAlgn val="ctr"/>
        <c:lblOffset val="100"/>
        <c:noMultiLvlLbl val="0"/>
      </c:catAx>
      <c:valAx>
        <c:axId val="13082291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crossAx val="13107097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34678474994934E-2"/>
          <c:y val="0.116104924425824"/>
          <c:w val="0.9232541912445299"/>
          <c:h val="0.26384695151732418"/>
        </c:manualLayout>
      </c:layout>
      <c:areaChart>
        <c:grouping val="stacked"/>
        <c:varyColors val="0"/>
        <c:ser>
          <c:idx val="2"/>
          <c:order val="0"/>
          <c:tx>
            <c:v>Done User Stories</c:v>
          </c:tx>
          <c:cat>
            <c:numRef>
              <c:f>Data!$A$2:$A$66</c:f>
              <c:numCache>
                <c:formatCode>m/d/yyyy</c:formatCode>
                <c:ptCount val="65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  <c:pt idx="27">
                  <c:v>41836</c:v>
                </c:pt>
                <c:pt idx="28">
                  <c:v>41843</c:v>
                </c:pt>
                <c:pt idx="29">
                  <c:v>41850</c:v>
                </c:pt>
                <c:pt idx="30">
                  <c:v>41857</c:v>
                </c:pt>
                <c:pt idx="31">
                  <c:v>41864</c:v>
                </c:pt>
                <c:pt idx="32">
                  <c:v>41871</c:v>
                </c:pt>
                <c:pt idx="33">
                  <c:v>41878</c:v>
                </c:pt>
                <c:pt idx="34">
                  <c:v>41885</c:v>
                </c:pt>
                <c:pt idx="35">
                  <c:v>41892</c:v>
                </c:pt>
                <c:pt idx="36">
                  <c:v>41899</c:v>
                </c:pt>
                <c:pt idx="37">
                  <c:v>41906</c:v>
                </c:pt>
                <c:pt idx="38">
                  <c:v>41913</c:v>
                </c:pt>
                <c:pt idx="39">
                  <c:v>41920</c:v>
                </c:pt>
                <c:pt idx="40">
                  <c:v>41927</c:v>
                </c:pt>
                <c:pt idx="41">
                  <c:v>41934</c:v>
                </c:pt>
                <c:pt idx="42">
                  <c:v>41941</c:v>
                </c:pt>
                <c:pt idx="43">
                  <c:v>41948</c:v>
                </c:pt>
                <c:pt idx="44">
                  <c:v>41955</c:v>
                </c:pt>
                <c:pt idx="45">
                  <c:v>41962</c:v>
                </c:pt>
                <c:pt idx="46">
                  <c:v>41969</c:v>
                </c:pt>
                <c:pt idx="47">
                  <c:v>41976</c:v>
                </c:pt>
                <c:pt idx="48">
                  <c:v>41983</c:v>
                </c:pt>
                <c:pt idx="49">
                  <c:v>41990</c:v>
                </c:pt>
                <c:pt idx="50">
                  <c:v>41997</c:v>
                </c:pt>
                <c:pt idx="51">
                  <c:v>42004</c:v>
                </c:pt>
                <c:pt idx="52">
                  <c:v>42011</c:v>
                </c:pt>
                <c:pt idx="53">
                  <c:v>42018</c:v>
                </c:pt>
                <c:pt idx="54">
                  <c:v>42025</c:v>
                </c:pt>
                <c:pt idx="55">
                  <c:v>42032</c:v>
                </c:pt>
                <c:pt idx="56">
                  <c:v>42039</c:v>
                </c:pt>
                <c:pt idx="57">
                  <c:v>42046</c:v>
                </c:pt>
                <c:pt idx="58">
                  <c:v>42053</c:v>
                </c:pt>
                <c:pt idx="59">
                  <c:v>42060</c:v>
                </c:pt>
                <c:pt idx="60">
                  <c:v>42067</c:v>
                </c:pt>
                <c:pt idx="61">
                  <c:v>42074</c:v>
                </c:pt>
                <c:pt idx="62">
                  <c:v>42081</c:v>
                </c:pt>
                <c:pt idx="63">
                  <c:v>42088</c:v>
                </c:pt>
                <c:pt idx="64">
                  <c:v>42095</c:v>
                </c:pt>
              </c:numCache>
            </c:numRef>
          </c:cat>
          <c:val>
            <c:numRef>
              <c:f>Data!$H$2:$H$28</c:f>
              <c:numCache>
                <c:formatCode>General</c:formatCode>
                <c:ptCount val="2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20</c:v>
                </c:pt>
                <c:pt idx="5">
                  <c:v>30</c:v>
                </c:pt>
                <c:pt idx="6">
                  <c:v>50</c:v>
                </c:pt>
                <c:pt idx="7">
                  <c:v>50</c:v>
                </c:pt>
                <c:pt idx="8">
                  <c:v>54</c:v>
                </c:pt>
                <c:pt idx="9">
                  <c:v>54</c:v>
                </c:pt>
                <c:pt idx="10">
                  <c:v>62</c:v>
                </c:pt>
                <c:pt idx="11">
                  <c:v>88</c:v>
                </c:pt>
                <c:pt idx="12">
                  <c:v>93</c:v>
                </c:pt>
                <c:pt idx="13">
                  <c:v>97</c:v>
                </c:pt>
                <c:pt idx="14">
                  <c:v>102</c:v>
                </c:pt>
                <c:pt idx="15">
                  <c:v>102</c:v>
                </c:pt>
                <c:pt idx="16">
                  <c:v>108</c:v>
                </c:pt>
                <c:pt idx="17">
                  <c:v>119</c:v>
                </c:pt>
                <c:pt idx="18">
                  <c:v>126</c:v>
                </c:pt>
                <c:pt idx="19">
                  <c:v>151</c:v>
                </c:pt>
                <c:pt idx="20">
                  <c:v>151</c:v>
                </c:pt>
                <c:pt idx="21">
                  <c:v>154</c:v>
                </c:pt>
                <c:pt idx="22">
                  <c:v>156</c:v>
                </c:pt>
                <c:pt idx="23">
                  <c:v>171</c:v>
                </c:pt>
                <c:pt idx="24">
                  <c:v>171</c:v>
                </c:pt>
                <c:pt idx="25">
                  <c:v>171</c:v>
                </c:pt>
                <c:pt idx="26">
                  <c:v>171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54912"/>
        <c:axId val="130856448"/>
      </c:areaChart>
      <c:catAx>
        <c:axId val="130854912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spPr>
          <a:ln>
            <a:solidFill>
              <a:schemeClr val="accent6">
                <a:lumMod val="75000"/>
              </a:schemeClr>
            </a:solidFill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130856448"/>
        <c:crosses val="autoZero"/>
        <c:auto val="0"/>
        <c:lblAlgn val="ctr"/>
        <c:lblOffset val="100"/>
        <c:noMultiLvlLbl val="0"/>
      </c:catAx>
      <c:valAx>
        <c:axId val="130856448"/>
        <c:scaling>
          <c:orientation val="minMax"/>
        </c:scaling>
        <c:delete val="0"/>
        <c:axPos val="l"/>
        <c:majorGridlines>
          <c:spPr>
            <a:ln>
              <a:solidFill>
                <a:schemeClr val="accent6">
                  <a:lumMod val="75000"/>
                </a:schemeClr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chemeClr val="accent6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accent6">
                    <a:lumMod val="75000"/>
                  </a:schemeClr>
                </a:solidFill>
              </a:defRPr>
            </a:pPr>
            <a:endParaRPr lang="en-US"/>
          </a:p>
        </c:txPr>
        <c:crossAx val="130854912"/>
        <c:crosses val="autoZero"/>
        <c:crossBetween val="between"/>
      </c:valAx>
      <c:spPr>
        <a:noFill/>
        <a:ln>
          <a:solidFill>
            <a:schemeClr val="bg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16716604244694E-2"/>
          <c:y val="0.11832997650218194"/>
          <c:w val="0.92539213483146066"/>
          <c:h val="0.5711555891238671"/>
        </c:manualLayout>
      </c:layout>
      <c:lineChart>
        <c:grouping val="standard"/>
        <c:varyColors val="0"/>
        <c:ser>
          <c:idx val="2"/>
          <c:order val="0"/>
          <c:tx>
            <c:v>Trend Core</c:v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rgbClr val="00B0F0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Data!$DO$2:$DO$6</c:f>
              <c:numCache>
                <c:formatCode>General</c:formatCode>
                <c:ptCount val="5"/>
                <c:pt idx="0">
                  <c:v>0.22424242424242424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ser>
          <c:idx val="3"/>
          <c:order val="1"/>
          <c:tx>
            <c:v>Trend  Extension</c:v>
          </c:tx>
          <c:spPr>
            <a:ln w="2540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6">
                    <a:lumMod val="75000"/>
                  </a:schemeClr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Data!$DN$2:$DN$6</c:f>
              <c:numCache>
                <c:formatCode>General</c:formatCode>
                <c:ptCount val="5"/>
                <c:pt idx="0">
                  <c:v>0.18095238095238095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347200"/>
        <c:axId val="131348736"/>
      </c:lineChart>
      <c:dateAx>
        <c:axId val="131347200"/>
        <c:scaling>
          <c:orientation val="minMax"/>
        </c:scaling>
        <c:delete val="0"/>
        <c:axPos val="b"/>
        <c:numFmt formatCode="dd/mm" sourceLinked="0"/>
        <c:majorTickMark val="out"/>
        <c:minorTickMark val="none"/>
        <c:tickLblPos val="nextTo"/>
        <c:crossAx val="131348736"/>
        <c:crosses val="autoZero"/>
        <c:auto val="0"/>
        <c:lblOffset val="100"/>
        <c:baseTimeUnit val="days"/>
        <c:majorUnit val="7"/>
        <c:majorTimeUnit val="days"/>
      </c:dateAx>
      <c:valAx>
        <c:axId val="13134873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134720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8360549313358304E-2"/>
          <c:y val="0.87130748573346761"/>
          <c:w val="0.90317382768098875"/>
          <c:h val="7.262214211175410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16716604244694E-2"/>
          <c:y val="0.11832997650218194"/>
          <c:w val="0.92539213483146066"/>
          <c:h val="0.5711555891238671"/>
        </c:manualLayout>
      </c:layout>
      <c:lineChart>
        <c:grouping val="standard"/>
        <c:varyColors val="0"/>
        <c:ser>
          <c:idx val="2"/>
          <c:order val="0"/>
          <c:tx>
            <c:v>Trend Core</c:v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rgbClr val="00B0F0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Data!$DQ$2:$DQ$6</c:f>
              <c:numCache>
                <c:formatCode>General</c:formatCode>
                <c:ptCount val="5"/>
                <c:pt idx="0">
                  <c:v>0.21232876712328766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ser>
          <c:idx val="3"/>
          <c:order val="1"/>
          <c:tx>
            <c:v>Trend  Extension</c:v>
          </c:tx>
          <c:spPr>
            <a:ln w="2540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6">
                    <a:lumMod val="75000"/>
                  </a:schemeClr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Data!$DP$2:$DP$6</c:f>
              <c:numCache>
                <c:formatCode>General</c:formatCode>
                <c:ptCount val="5"/>
                <c:pt idx="0">
                  <c:v>0.1473951715374841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075456"/>
        <c:axId val="131081344"/>
      </c:lineChart>
      <c:dateAx>
        <c:axId val="131075456"/>
        <c:scaling>
          <c:orientation val="minMax"/>
        </c:scaling>
        <c:delete val="0"/>
        <c:axPos val="b"/>
        <c:numFmt formatCode="dd/mm" sourceLinked="0"/>
        <c:majorTickMark val="out"/>
        <c:minorTickMark val="none"/>
        <c:tickLblPos val="nextTo"/>
        <c:crossAx val="131081344"/>
        <c:crosses val="autoZero"/>
        <c:auto val="0"/>
        <c:lblOffset val="100"/>
        <c:baseTimeUnit val="days"/>
        <c:majorUnit val="7"/>
        <c:majorTimeUnit val="days"/>
      </c:dateAx>
      <c:valAx>
        <c:axId val="131081344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107545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8360549313358304E-2"/>
          <c:y val="0.87130748573346761"/>
          <c:w val="0.90317382768098875"/>
          <c:h val="7.262214211175410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16716604244694E-2"/>
          <c:y val="0.11832997650218194"/>
          <c:w val="0.92539213483146066"/>
          <c:h val="0.5711555891238671"/>
        </c:manualLayout>
      </c:layout>
      <c:lineChart>
        <c:grouping val="standard"/>
        <c:varyColors val="0"/>
        <c:ser>
          <c:idx val="2"/>
          <c:order val="0"/>
          <c:tx>
            <c:v>Trend Core</c:v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rgbClr val="00B0F0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Data!$DS$2:$DS$6</c:f>
              <c:numCache>
                <c:formatCode>General</c:formatCode>
                <c:ptCount val="5"/>
                <c:pt idx="0">
                  <c:v>0.28433268858800775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ser>
          <c:idx val="3"/>
          <c:order val="1"/>
          <c:tx>
            <c:v>Trend  Extension</c:v>
          </c:tx>
          <c:spPr>
            <a:ln w="2540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6">
                    <a:lumMod val="75000"/>
                  </a:schemeClr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Data!$DR$2:$DR$6</c:f>
              <c:numCache>
                <c:formatCode>General</c:formatCode>
                <c:ptCount val="5"/>
                <c:pt idx="0">
                  <c:v>0.27571926765475152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111168"/>
        <c:axId val="131125248"/>
      </c:lineChart>
      <c:dateAx>
        <c:axId val="131111168"/>
        <c:scaling>
          <c:orientation val="minMax"/>
        </c:scaling>
        <c:delete val="0"/>
        <c:axPos val="b"/>
        <c:numFmt formatCode="dd/mm" sourceLinked="0"/>
        <c:majorTickMark val="out"/>
        <c:minorTickMark val="none"/>
        <c:tickLblPos val="nextTo"/>
        <c:crossAx val="131125248"/>
        <c:crosses val="autoZero"/>
        <c:auto val="0"/>
        <c:lblOffset val="100"/>
        <c:baseTimeUnit val="days"/>
        <c:majorUnit val="7"/>
        <c:majorTimeUnit val="days"/>
      </c:dateAx>
      <c:valAx>
        <c:axId val="131125248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111116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8360549313358304E-2"/>
          <c:y val="0.87130748573346761"/>
          <c:w val="0.90317382768098875"/>
          <c:h val="7.262214211175410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16716604244694E-2"/>
          <c:y val="0.11832997650218194"/>
          <c:w val="0.92539213483146066"/>
          <c:h val="0.5711555891238671"/>
        </c:manualLayout>
      </c:layout>
      <c:lineChart>
        <c:grouping val="standard"/>
        <c:varyColors val="0"/>
        <c:ser>
          <c:idx val="2"/>
          <c:order val="0"/>
          <c:tx>
            <c:v>Trend Core</c:v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rgbClr val="00B0F0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Data!$DU$2:$DU$6</c:f>
              <c:numCache>
                <c:formatCode>General</c:formatCode>
                <c:ptCount val="5"/>
                <c:pt idx="0">
                  <c:v>0.1935151827071539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ser>
          <c:idx val="3"/>
          <c:order val="1"/>
          <c:tx>
            <c:v>Trend  Extension</c:v>
          </c:tx>
          <c:spPr>
            <a:ln w="2540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6">
                    <a:lumMod val="75000"/>
                  </a:schemeClr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Data!$DT$2:$DT$6</c:f>
              <c:numCache>
                <c:formatCode>General</c:formatCode>
                <c:ptCount val="5"/>
                <c:pt idx="0">
                  <c:v>0.13751199232491207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146880"/>
        <c:axId val="131148416"/>
      </c:lineChart>
      <c:dateAx>
        <c:axId val="131146880"/>
        <c:scaling>
          <c:orientation val="minMax"/>
        </c:scaling>
        <c:delete val="0"/>
        <c:axPos val="b"/>
        <c:numFmt formatCode="dd/mm" sourceLinked="0"/>
        <c:majorTickMark val="out"/>
        <c:minorTickMark val="none"/>
        <c:tickLblPos val="nextTo"/>
        <c:crossAx val="131148416"/>
        <c:crosses val="autoZero"/>
        <c:auto val="0"/>
        <c:lblOffset val="100"/>
        <c:baseTimeUnit val="days"/>
        <c:majorUnit val="7"/>
        <c:majorTimeUnit val="days"/>
      </c:dateAx>
      <c:valAx>
        <c:axId val="13114841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1146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8360549313358304E-2"/>
          <c:y val="0.87130748573346761"/>
          <c:w val="0.90317382768098875"/>
          <c:h val="7.262214211175410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16716604244694E-2"/>
          <c:y val="0.11832997650218194"/>
          <c:w val="0.92539213483146066"/>
          <c:h val="0.5711555891238671"/>
        </c:manualLayout>
      </c:layout>
      <c:lineChart>
        <c:grouping val="standard"/>
        <c:varyColors val="0"/>
        <c:ser>
          <c:idx val="2"/>
          <c:order val="0"/>
          <c:tx>
            <c:v>Trend Core</c:v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rgbClr val="00B0F0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Data!$DW$2:$DW$6</c:f>
              <c:numCache>
                <c:formatCode>General</c:formatCode>
                <c:ptCount val="5"/>
                <c:pt idx="0">
                  <c:v>0.20535714285714285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ser>
          <c:idx val="3"/>
          <c:order val="1"/>
          <c:tx>
            <c:v>Trend  Extension</c:v>
          </c:tx>
          <c:spPr>
            <a:ln w="2540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6">
                    <a:lumMod val="75000"/>
                  </a:schemeClr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Data!$DV$2:$DV$6</c:f>
              <c:numCache>
                <c:formatCode>General</c:formatCode>
                <c:ptCount val="5"/>
                <c:pt idx="0">
                  <c:v>0.20861678004535147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187072"/>
        <c:axId val="131188608"/>
      </c:lineChart>
      <c:dateAx>
        <c:axId val="131187072"/>
        <c:scaling>
          <c:orientation val="minMax"/>
        </c:scaling>
        <c:delete val="0"/>
        <c:axPos val="b"/>
        <c:numFmt formatCode="dd/mm" sourceLinked="0"/>
        <c:majorTickMark val="out"/>
        <c:minorTickMark val="none"/>
        <c:tickLblPos val="nextTo"/>
        <c:crossAx val="131188608"/>
        <c:crosses val="autoZero"/>
        <c:auto val="0"/>
        <c:lblOffset val="100"/>
        <c:baseTimeUnit val="days"/>
        <c:majorUnit val="7"/>
        <c:majorTimeUnit val="days"/>
      </c:dateAx>
      <c:valAx>
        <c:axId val="131188608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118707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8360549313358304E-2"/>
          <c:y val="0.87130748573346761"/>
          <c:w val="0.90317382768098875"/>
          <c:h val="7.262214211175410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Core Regression %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Data!$Y$2:$Y$28</c:f>
              <c:numCache>
                <c:formatCode>General</c:formatCode>
                <c:ptCount val="2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60.000003814697266</c:v>
                </c:pt>
                <c:pt idx="20">
                  <c:v>40</c:v>
                </c:pt>
                <c:pt idx="21">
                  <c:v>40</c:v>
                </c:pt>
                <c:pt idx="22">
                  <c:v>28.571430206298828</c:v>
                </c:pt>
                <c:pt idx="23">
                  <c:v>27.777778625488281</c:v>
                </c:pt>
                <c:pt idx="24">
                  <c:v>30.000001907348633</c:v>
                </c:pt>
                <c:pt idx="25">
                  <c:v>33.333335876464844</c:v>
                </c:pt>
                <c:pt idx="26">
                  <c:v>36.842105865478516</c:v>
                </c:pt>
              </c:numCache>
            </c:numRef>
          </c:val>
          <c:smooth val="0"/>
        </c:ser>
        <c:ser>
          <c:idx val="0"/>
          <c:order val="1"/>
          <c:tx>
            <c:v>Extention Regression %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Data!$X$2:$X$28</c:f>
              <c:numCache>
                <c:formatCode>General</c:formatCode>
                <c:ptCount val="2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</c:v>
                </c:pt>
                <c:pt idx="17">
                  <c:v>10.526315689086914</c:v>
                </c:pt>
                <c:pt idx="18">
                  <c:v>11.538461685180664</c:v>
                </c:pt>
                <c:pt idx="19">
                  <c:v>20.588235855102539</c:v>
                </c:pt>
                <c:pt idx="20">
                  <c:v>19.047618865966797</c:v>
                </c:pt>
                <c:pt idx="21">
                  <c:v>18.604650497436523</c:v>
                </c:pt>
                <c:pt idx="22">
                  <c:v>19.230770111083984</c:v>
                </c:pt>
                <c:pt idx="23">
                  <c:v>19.672130584716797</c:v>
                </c:pt>
                <c:pt idx="24">
                  <c:v>18.309858322143555</c:v>
                </c:pt>
                <c:pt idx="25">
                  <c:v>20.22471809387207</c:v>
                </c:pt>
                <c:pt idx="26">
                  <c:v>18.348623275756836</c:v>
                </c:pt>
              </c:numCache>
            </c:numRef>
          </c:val>
          <c:smooth val="0"/>
        </c:ser>
        <c:ser>
          <c:idx val="2"/>
          <c:order val="2"/>
          <c:tx>
            <c:v>Max Regression</c:v>
          </c:tx>
          <c:spPr>
            <a:ln>
              <a:noFill/>
            </a:ln>
          </c:spPr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Data!$AQ$2:$AQ$28</c:f>
              <c:numCache>
                <c:formatCode>General</c:formatCode>
                <c:ptCount val="27"/>
                <c:pt idx="0">
                  <c:v>61.538463592529297</c:v>
                </c:pt>
                <c:pt idx="1">
                  <c:v>61.538463592529297</c:v>
                </c:pt>
                <c:pt idx="2">
                  <c:v>61.538463592529297</c:v>
                </c:pt>
                <c:pt idx="3">
                  <c:v>61.538463592529297</c:v>
                </c:pt>
                <c:pt idx="4">
                  <c:v>61.538463592529297</c:v>
                </c:pt>
                <c:pt idx="5">
                  <c:v>61.538463592529297</c:v>
                </c:pt>
                <c:pt idx="6">
                  <c:v>61.538463592529297</c:v>
                </c:pt>
                <c:pt idx="7">
                  <c:v>61.538463592529297</c:v>
                </c:pt>
                <c:pt idx="8">
                  <c:v>61.538463592529297</c:v>
                </c:pt>
                <c:pt idx="9">
                  <c:v>61.538463592529297</c:v>
                </c:pt>
                <c:pt idx="10">
                  <c:v>61.538463592529297</c:v>
                </c:pt>
                <c:pt idx="11">
                  <c:v>61.538463592529297</c:v>
                </c:pt>
                <c:pt idx="12">
                  <c:v>61.538463592529297</c:v>
                </c:pt>
                <c:pt idx="13">
                  <c:v>61.538463592529297</c:v>
                </c:pt>
                <c:pt idx="14">
                  <c:v>61.538463592529297</c:v>
                </c:pt>
                <c:pt idx="15">
                  <c:v>61.538463592529297</c:v>
                </c:pt>
                <c:pt idx="16">
                  <c:v>61.538463592529297</c:v>
                </c:pt>
                <c:pt idx="17">
                  <c:v>61.538463592529297</c:v>
                </c:pt>
                <c:pt idx="18">
                  <c:v>61.538463592529297</c:v>
                </c:pt>
                <c:pt idx="19">
                  <c:v>61.538463592529297</c:v>
                </c:pt>
                <c:pt idx="20">
                  <c:v>61.538463592529297</c:v>
                </c:pt>
                <c:pt idx="21">
                  <c:v>61.538463592529297</c:v>
                </c:pt>
                <c:pt idx="22">
                  <c:v>61.538463592529297</c:v>
                </c:pt>
                <c:pt idx="23">
                  <c:v>61.538463592529297</c:v>
                </c:pt>
                <c:pt idx="24">
                  <c:v>61.538463592529297</c:v>
                </c:pt>
                <c:pt idx="25">
                  <c:v>61.538463592529297</c:v>
                </c:pt>
                <c:pt idx="26">
                  <c:v>61.538463592529297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450944"/>
        <c:axId val="130452480"/>
      </c:lineChart>
      <c:catAx>
        <c:axId val="130450944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130452480"/>
        <c:crosses val="autoZero"/>
        <c:auto val="0"/>
        <c:lblAlgn val="ctr"/>
        <c:lblOffset val="100"/>
        <c:noMultiLvlLbl val="1"/>
      </c:catAx>
      <c:valAx>
        <c:axId val="13045248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crossAx val="13045094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Core Regression %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Data!$AA$2:$AA$28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0.47393366694450378</c:v>
                </c:pt>
                <c:pt idx="12">
                  <c:v>0.45871558785438538</c:v>
                </c:pt>
                <c:pt idx="13">
                  <c:v>1.7316017150878906</c:v>
                </c:pt>
                <c:pt idx="14">
                  <c:v>2.1186442375183105</c:v>
                </c:pt>
                <c:pt idx="15">
                  <c:v>3.6290321350097656</c:v>
                </c:pt>
                <c:pt idx="16">
                  <c:v>3.8759689331054687</c:v>
                </c:pt>
                <c:pt idx="17">
                  <c:v>3.7593982219696045</c:v>
                </c:pt>
                <c:pt idx="18">
                  <c:v>3.6764707565307617</c:v>
                </c:pt>
                <c:pt idx="19">
                  <c:v>3.9426524639129639</c:v>
                </c:pt>
                <c:pt idx="20">
                  <c:v>3.9007093906402588</c:v>
                </c:pt>
                <c:pt idx="21">
                  <c:v>4.9122805595397949</c:v>
                </c:pt>
                <c:pt idx="22">
                  <c:v>6.1855669021606445</c:v>
                </c:pt>
                <c:pt idx="23">
                  <c:v>6.5068492889404297</c:v>
                </c:pt>
                <c:pt idx="24">
                  <c:v>6.5068492889404297</c:v>
                </c:pt>
                <c:pt idx="25">
                  <c:v>6.5068492889404297</c:v>
                </c:pt>
                <c:pt idx="26">
                  <c:v>6.5068492889404297</c:v>
                </c:pt>
              </c:numCache>
            </c:numRef>
          </c:val>
          <c:smooth val="0"/>
        </c:ser>
        <c:ser>
          <c:idx val="0"/>
          <c:order val="1"/>
          <c:tx>
            <c:v>Extention Regression %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Data!$Z$2:$Z$28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0.46349939703941345</c:v>
                </c:pt>
                <c:pt idx="14">
                  <c:v>0.56882822513580322</c:v>
                </c:pt>
                <c:pt idx="15">
                  <c:v>0.86114096641540527</c:v>
                </c:pt>
                <c:pt idx="16">
                  <c:v>1.1328527927398682</c:v>
                </c:pt>
                <c:pt idx="17">
                  <c:v>1.5968064069747925</c:v>
                </c:pt>
                <c:pt idx="18">
                  <c:v>1.826923131942749</c:v>
                </c:pt>
                <c:pt idx="19">
                  <c:v>1.9372694492340088</c:v>
                </c:pt>
                <c:pt idx="20">
                  <c:v>1.9108281135559082</c:v>
                </c:pt>
                <c:pt idx="21">
                  <c:v>2.4390242099761963</c:v>
                </c:pt>
                <c:pt idx="22">
                  <c:v>4.0707964897155762</c:v>
                </c:pt>
                <c:pt idx="23">
                  <c:v>4.1958041191101074</c:v>
                </c:pt>
                <c:pt idx="24">
                  <c:v>4.1702866554260254</c:v>
                </c:pt>
                <c:pt idx="25">
                  <c:v>4.1415014266967773</c:v>
                </c:pt>
                <c:pt idx="26">
                  <c:v>4.1308088302612305</c:v>
                </c:pt>
              </c:numCache>
            </c:numRef>
          </c:val>
          <c:smooth val="0"/>
        </c:ser>
        <c:ser>
          <c:idx val="2"/>
          <c:order val="2"/>
          <c:tx>
            <c:v>Max Regression</c:v>
          </c:tx>
          <c:spPr>
            <a:ln>
              <a:noFill/>
            </a:ln>
          </c:spPr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Data!$AQ$2:$AQ$28</c:f>
              <c:numCache>
                <c:formatCode>General</c:formatCode>
                <c:ptCount val="27"/>
                <c:pt idx="0">
                  <c:v>61.538463592529297</c:v>
                </c:pt>
                <c:pt idx="1">
                  <c:v>61.538463592529297</c:v>
                </c:pt>
                <c:pt idx="2">
                  <c:v>61.538463592529297</c:v>
                </c:pt>
                <c:pt idx="3">
                  <c:v>61.538463592529297</c:v>
                </c:pt>
                <c:pt idx="4">
                  <c:v>61.538463592529297</c:v>
                </c:pt>
                <c:pt idx="5">
                  <c:v>61.538463592529297</c:v>
                </c:pt>
                <c:pt idx="6">
                  <c:v>61.538463592529297</c:v>
                </c:pt>
                <c:pt idx="7">
                  <c:v>61.538463592529297</c:v>
                </c:pt>
                <c:pt idx="8">
                  <c:v>61.538463592529297</c:v>
                </c:pt>
                <c:pt idx="9">
                  <c:v>61.538463592529297</c:v>
                </c:pt>
                <c:pt idx="10">
                  <c:v>61.538463592529297</c:v>
                </c:pt>
                <c:pt idx="11">
                  <c:v>61.538463592529297</c:v>
                </c:pt>
                <c:pt idx="12">
                  <c:v>61.538463592529297</c:v>
                </c:pt>
                <c:pt idx="13">
                  <c:v>61.538463592529297</c:v>
                </c:pt>
                <c:pt idx="14">
                  <c:v>61.538463592529297</c:v>
                </c:pt>
                <c:pt idx="15">
                  <c:v>61.538463592529297</c:v>
                </c:pt>
                <c:pt idx="16">
                  <c:v>61.538463592529297</c:v>
                </c:pt>
                <c:pt idx="17">
                  <c:v>61.538463592529297</c:v>
                </c:pt>
                <c:pt idx="18">
                  <c:v>61.538463592529297</c:v>
                </c:pt>
                <c:pt idx="19">
                  <c:v>61.538463592529297</c:v>
                </c:pt>
                <c:pt idx="20">
                  <c:v>61.538463592529297</c:v>
                </c:pt>
                <c:pt idx="21">
                  <c:v>61.538463592529297</c:v>
                </c:pt>
                <c:pt idx="22">
                  <c:v>61.538463592529297</c:v>
                </c:pt>
                <c:pt idx="23">
                  <c:v>61.538463592529297</c:v>
                </c:pt>
                <c:pt idx="24">
                  <c:v>61.538463592529297</c:v>
                </c:pt>
                <c:pt idx="25">
                  <c:v>61.538463592529297</c:v>
                </c:pt>
                <c:pt idx="26">
                  <c:v>61.538463592529297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239936"/>
        <c:axId val="131241472"/>
      </c:lineChart>
      <c:catAx>
        <c:axId val="131239936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131241472"/>
        <c:crosses val="autoZero"/>
        <c:auto val="0"/>
        <c:lblAlgn val="ctr"/>
        <c:lblOffset val="100"/>
        <c:noMultiLvlLbl val="1"/>
      </c:catAx>
      <c:valAx>
        <c:axId val="13124147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crossAx val="1312399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Core Regression %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Data!$AC$2:$AC$28</c:f>
              <c:numCache>
                <c:formatCode>General</c:formatCode>
                <c:ptCount val="27"/>
                <c:pt idx="0">
                  <c:v>10.161290168762207</c:v>
                </c:pt>
                <c:pt idx="1">
                  <c:v>9.9369087219238281</c:v>
                </c:pt>
                <c:pt idx="2">
                  <c:v>10</c:v>
                </c:pt>
                <c:pt idx="3">
                  <c:v>10.42296028137207</c:v>
                </c:pt>
                <c:pt idx="4">
                  <c:v>10.911808967590332</c:v>
                </c:pt>
                <c:pt idx="5">
                  <c:v>10.740203857421875</c:v>
                </c:pt>
                <c:pt idx="6">
                  <c:v>11.379800796508789</c:v>
                </c:pt>
                <c:pt idx="7">
                  <c:v>11.83843994140625</c:v>
                </c:pt>
                <c:pt idx="8">
                  <c:v>12.021858215332031</c:v>
                </c:pt>
                <c:pt idx="9">
                  <c:v>12.550607681274414</c:v>
                </c:pt>
                <c:pt idx="10">
                  <c:v>12.317880630493164</c:v>
                </c:pt>
                <c:pt idx="11">
                  <c:v>12.195121765136719</c:v>
                </c:pt>
                <c:pt idx="12">
                  <c:v>12.155387878417969</c:v>
                </c:pt>
                <c:pt idx="13">
                  <c:v>12.054121017456055</c:v>
                </c:pt>
                <c:pt idx="14">
                  <c:v>12.07317066192627</c:v>
                </c:pt>
                <c:pt idx="15">
                  <c:v>12.183353424072266</c:v>
                </c:pt>
                <c:pt idx="16">
                  <c:v>12.440757751464844</c:v>
                </c:pt>
                <c:pt idx="17">
                  <c:v>12.52900218963623</c:v>
                </c:pt>
                <c:pt idx="18">
                  <c:v>12.585033416748047</c:v>
                </c:pt>
                <c:pt idx="19">
                  <c:v>12.696629524230957</c:v>
                </c:pt>
                <c:pt idx="20">
                  <c:v>13.259668350219727</c:v>
                </c:pt>
                <c:pt idx="21">
                  <c:v>13.427947044372559</c:v>
                </c:pt>
                <c:pt idx="22">
                  <c:v>13.818565368652344</c:v>
                </c:pt>
                <c:pt idx="23">
                  <c:v>14.181439399719238</c:v>
                </c:pt>
                <c:pt idx="24">
                  <c:v>14.211618423461914</c:v>
                </c:pt>
                <c:pt idx="25">
                  <c:v>14.169214248657227</c:v>
                </c:pt>
                <c:pt idx="26">
                  <c:v>14.126016616821289</c:v>
                </c:pt>
              </c:numCache>
            </c:numRef>
          </c:val>
          <c:smooth val="0"/>
        </c:ser>
        <c:ser>
          <c:idx val="0"/>
          <c:order val="1"/>
          <c:tx>
            <c:v>Extention Regression %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Data!$AB$2:$AB$28</c:f>
              <c:numCache>
                <c:formatCode>General</c:formatCode>
                <c:ptCount val="27"/>
                <c:pt idx="0">
                  <c:v>5.6866950988769531</c:v>
                </c:pt>
                <c:pt idx="1">
                  <c:v>5.7833857536315918</c:v>
                </c:pt>
                <c:pt idx="2">
                  <c:v>5.6910572052001953</c:v>
                </c:pt>
                <c:pt idx="3">
                  <c:v>5.8589873313903809</c:v>
                </c:pt>
                <c:pt idx="4">
                  <c:v>6.3645133972167969</c:v>
                </c:pt>
                <c:pt idx="5">
                  <c:v>6.3829789161682129</c:v>
                </c:pt>
                <c:pt idx="6">
                  <c:v>6.618962287902832</c:v>
                </c:pt>
                <c:pt idx="7">
                  <c:v>6.9298243522644043</c:v>
                </c:pt>
                <c:pt idx="8">
                  <c:v>6.9827585220336914</c:v>
                </c:pt>
                <c:pt idx="9">
                  <c:v>7.3417720794677734</c:v>
                </c:pt>
                <c:pt idx="10">
                  <c:v>7.47967529296875</c:v>
                </c:pt>
                <c:pt idx="11">
                  <c:v>7.8199052810668945</c:v>
                </c:pt>
                <c:pt idx="12">
                  <c:v>8.0769233703613281</c:v>
                </c:pt>
                <c:pt idx="13">
                  <c:v>8.1647939682006836</c:v>
                </c:pt>
                <c:pt idx="14">
                  <c:v>8.2840232849121094</c:v>
                </c:pt>
                <c:pt idx="15">
                  <c:v>9</c:v>
                </c:pt>
                <c:pt idx="16">
                  <c:v>9.5670394897460937</c:v>
                </c:pt>
                <c:pt idx="17">
                  <c:v>9.7193698883056641</c:v>
                </c:pt>
                <c:pt idx="18">
                  <c:v>10.060362815856934</c:v>
                </c:pt>
                <c:pt idx="19">
                  <c:v>10.536779403686523</c:v>
                </c:pt>
                <c:pt idx="20">
                  <c:v>11.14006519317627</c:v>
                </c:pt>
                <c:pt idx="21">
                  <c:v>11.340206146240234</c:v>
                </c:pt>
                <c:pt idx="22">
                  <c:v>11.343472480773926</c:v>
                </c:pt>
                <c:pt idx="23">
                  <c:v>12.236024856567383</c:v>
                </c:pt>
                <c:pt idx="24">
                  <c:v>12.277470588684082</c:v>
                </c:pt>
                <c:pt idx="25">
                  <c:v>12.372372627258301</c:v>
                </c:pt>
                <c:pt idx="26">
                  <c:v>12.343470573425293</c:v>
                </c:pt>
              </c:numCache>
            </c:numRef>
          </c:val>
          <c:smooth val="0"/>
        </c:ser>
        <c:ser>
          <c:idx val="2"/>
          <c:order val="2"/>
          <c:tx>
            <c:v>Max Regression</c:v>
          </c:tx>
          <c:spPr>
            <a:ln>
              <a:noFill/>
            </a:ln>
          </c:spPr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Data!$AQ$2:$AQ$28</c:f>
              <c:numCache>
                <c:formatCode>General</c:formatCode>
                <c:ptCount val="27"/>
                <c:pt idx="0">
                  <c:v>61.538463592529297</c:v>
                </c:pt>
                <c:pt idx="1">
                  <c:v>61.538463592529297</c:v>
                </c:pt>
                <c:pt idx="2">
                  <c:v>61.538463592529297</c:v>
                </c:pt>
                <c:pt idx="3">
                  <c:v>61.538463592529297</c:v>
                </c:pt>
                <c:pt idx="4">
                  <c:v>61.538463592529297</c:v>
                </c:pt>
                <c:pt idx="5">
                  <c:v>61.538463592529297</c:v>
                </c:pt>
                <c:pt idx="6">
                  <c:v>61.538463592529297</c:v>
                </c:pt>
                <c:pt idx="7">
                  <c:v>61.538463592529297</c:v>
                </c:pt>
                <c:pt idx="8">
                  <c:v>61.538463592529297</c:v>
                </c:pt>
                <c:pt idx="9">
                  <c:v>61.538463592529297</c:v>
                </c:pt>
                <c:pt idx="10">
                  <c:v>61.538463592529297</c:v>
                </c:pt>
                <c:pt idx="11">
                  <c:v>61.538463592529297</c:v>
                </c:pt>
                <c:pt idx="12">
                  <c:v>61.538463592529297</c:v>
                </c:pt>
                <c:pt idx="13">
                  <c:v>61.538463592529297</c:v>
                </c:pt>
                <c:pt idx="14">
                  <c:v>61.538463592529297</c:v>
                </c:pt>
                <c:pt idx="15">
                  <c:v>61.538463592529297</c:v>
                </c:pt>
                <c:pt idx="16">
                  <c:v>61.538463592529297</c:v>
                </c:pt>
                <c:pt idx="17">
                  <c:v>61.538463592529297</c:v>
                </c:pt>
                <c:pt idx="18">
                  <c:v>61.538463592529297</c:v>
                </c:pt>
                <c:pt idx="19">
                  <c:v>61.538463592529297</c:v>
                </c:pt>
                <c:pt idx="20">
                  <c:v>61.538463592529297</c:v>
                </c:pt>
                <c:pt idx="21">
                  <c:v>61.538463592529297</c:v>
                </c:pt>
                <c:pt idx="22">
                  <c:v>61.538463592529297</c:v>
                </c:pt>
                <c:pt idx="23">
                  <c:v>61.538463592529297</c:v>
                </c:pt>
                <c:pt idx="24">
                  <c:v>61.538463592529297</c:v>
                </c:pt>
                <c:pt idx="25">
                  <c:v>61.538463592529297</c:v>
                </c:pt>
                <c:pt idx="26">
                  <c:v>61.538463592529297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488192"/>
        <c:axId val="130489728"/>
      </c:lineChart>
      <c:catAx>
        <c:axId val="130488192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130489728"/>
        <c:crosses val="autoZero"/>
        <c:auto val="0"/>
        <c:lblAlgn val="ctr"/>
        <c:lblOffset val="100"/>
        <c:noMultiLvlLbl val="1"/>
      </c:catAx>
      <c:valAx>
        <c:axId val="13048972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crossAx val="13048819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Core Regression %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Data!$AE$2:$AE$28</c:f>
              <c:numCache>
                <c:formatCode>General</c:formatCode>
                <c:ptCount val="27"/>
                <c:pt idx="0">
                  <c:v>41.825096130371094</c:v>
                </c:pt>
                <c:pt idx="1">
                  <c:v>43.971630096435547</c:v>
                </c:pt>
                <c:pt idx="2">
                  <c:v>44.32989501953125</c:v>
                </c:pt>
                <c:pt idx="3">
                  <c:v>46.913578033447266</c:v>
                </c:pt>
                <c:pt idx="4">
                  <c:v>48.520709991455078</c:v>
                </c:pt>
                <c:pt idx="5">
                  <c:v>48.459384918212891</c:v>
                </c:pt>
                <c:pt idx="6">
                  <c:v>48.767124176025391</c:v>
                </c:pt>
                <c:pt idx="7">
                  <c:v>48.812664031982422</c:v>
                </c:pt>
                <c:pt idx="8">
                  <c:v>52.582157135009766</c:v>
                </c:pt>
                <c:pt idx="9">
                  <c:v>53.947372436523437</c:v>
                </c:pt>
                <c:pt idx="10">
                  <c:v>53.930133819580078</c:v>
                </c:pt>
                <c:pt idx="11">
                  <c:v>53.319053649902344</c:v>
                </c:pt>
                <c:pt idx="12">
                  <c:v>53.144012451171875</c:v>
                </c:pt>
                <c:pt idx="13">
                  <c:v>53.937004089355469</c:v>
                </c:pt>
                <c:pt idx="14">
                  <c:v>54.406131744384766</c:v>
                </c:pt>
                <c:pt idx="15">
                  <c:v>53.676467895507813</c:v>
                </c:pt>
                <c:pt idx="16">
                  <c:v>55.148338317871094</c:v>
                </c:pt>
                <c:pt idx="17">
                  <c:v>54.974704742431641</c:v>
                </c:pt>
                <c:pt idx="18">
                  <c:v>55.610561370849609</c:v>
                </c:pt>
                <c:pt idx="19">
                  <c:v>56.038646697998047</c:v>
                </c:pt>
                <c:pt idx="20">
                  <c:v>57.361961364746094</c:v>
                </c:pt>
                <c:pt idx="21">
                  <c:v>58.050220489501953</c:v>
                </c:pt>
                <c:pt idx="22">
                  <c:v>57.764877319335938</c:v>
                </c:pt>
                <c:pt idx="23">
                  <c:v>57.122707366943359</c:v>
                </c:pt>
                <c:pt idx="24">
                  <c:v>57.347202301025391</c:v>
                </c:pt>
                <c:pt idx="25">
                  <c:v>56.410259246826172</c:v>
                </c:pt>
                <c:pt idx="26">
                  <c:v>55.369926452636719</c:v>
                </c:pt>
              </c:numCache>
            </c:numRef>
          </c:val>
          <c:smooth val="0"/>
        </c:ser>
        <c:ser>
          <c:idx val="0"/>
          <c:order val="1"/>
          <c:tx>
            <c:v>Extention Regression %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Data!$AD$2:$AD$28</c:f>
              <c:numCache>
                <c:formatCode>General</c:formatCode>
                <c:ptCount val="27"/>
                <c:pt idx="0">
                  <c:v>26.654064178466797</c:v>
                </c:pt>
                <c:pt idx="1">
                  <c:v>28.388278961181641</c:v>
                </c:pt>
                <c:pt idx="2">
                  <c:v>29.858657836914063</c:v>
                </c:pt>
                <c:pt idx="3">
                  <c:v>32.183910369873047</c:v>
                </c:pt>
                <c:pt idx="4">
                  <c:v>33.598728179931641</c:v>
                </c:pt>
                <c:pt idx="5">
                  <c:v>32.882884979248047</c:v>
                </c:pt>
                <c:pt idx="6">
                  <c:v>33.236995697021484</c:v>
                </c:pt>
                <c:pt idx="7">
                  <c:v>33.56353759765625</c:v>
                </c:pt>
                <c:pt idx="8">
                  <c:v>37.657432556152344</c:v>
                </c:pt>
                <c:pt idx="9">
                  <c:v>39.375747680664062</c:v>
                </c:pt>
                <c:pt idx="10">
                  <c:v>39.454975128173828</c:v>
                </c:pt>
                <c:pt idx="11">
                  <c:v>38.683601379394531</c:v>
                </c:pt>
                <c:pt idx="12">
                  <c:v>39.737991333007812</c:v>
                </c:pt>
                <c:pt idx="13">
                  <c:v>40.628273010253906</c:v>
                </c:pt>
                <c:pt idx="14">
                  <c:v>40.74822998046875</c:v>
                </c:pt>
                <c:pt idx="15">
                  <c:v>41.228069305419922</c:v>
                </c:pt>
                <c:pt idx="16">
                  <c:v>43.069766998291016</c:v>
                </c:pt>
                <c:pt idx="17">
                  <c:v>43.115940093994141</c:v>
                </c:pt>
                <c:pt idx="18">
                  <c:v>42.972244262695312</c:v>
                </c:pt>
                <c:pt idx="19">
                  <c:v>43.059238433837891</c:v>
                </c:pt>
                <c:pt idx="20">
                  <c:v>43.555183410644531</c:v>
                </c:pt>
                <c:pt idx="21">
                  <c:v>43.734439849853516</c:v>
                </c:pt>
                <c:pt idx="22">
                  <c:v>43.485343933105469</c:v>
                </c:pt>
                <c:pt idx="23">
                  <c:v>43.512657165527344</c:v>
                </c:pt>
                <c:pt idx="24">
                  <c:v>43.629627227783203</c:v>
                </c:pt>
                <c:pt idx="25">
                  <c:v>42.938251495361328</c:v>
                </c:pt>
                <c:pt idx="26">
                  <c:v>42.163661956787109</c:v>
                </c:pt>
              </c:numCache>
            </c:numRef>
          </c:val>
          <c:smooth val="0"/>
        </c:ser>
        <c:ser>
          <c:idx val="2"/>
          <c:order val="2"/>
          <c:tx>
            <c:v>Max Regression</c:v>
          </c:tx>
          <c:spPr>
            <a:ln>
              <a:noFill/>
            </a:ln>
          </c:spPr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Data!$AQ$2:$AQ$28</c:f>
              <c:numCache>
                <c:formatCode>General</c:formatCode>
                <c:ptCount val="27"/>
                <c:pt idx="0">
                  <c:v>61.538463592529297</c:v>
                </c:pt>
                <c:pt idx="1">
                  <c:v>61.538463592529297</c:v>
                </c:pt>
                <c:pt idx="2">
                  <c:v>61.538463592529297</c:v>
                </c:pt>
                <c:pt idx="3">
                  <c:v>61.538463592529297</c:v>
                </c:pt>
                <c:pt idx="4">
                  <c:v>61.538463592529297</c:v>
                </c:pt>
                <c:pt idx="5">
                  <c:v>61.538463592529297</c:v>
                </c:pt>
                <c:pt idx="6">
                  <c:v>61.538463592529297</c:v>
                </c:pt>
                <c:pt idx="7">
                  <c:v>61.538463592529297</c:v>
                </c:pt>
                <c:pt idx="8">
                  <c:v>61.538463592529297</c:v>
                </c:pt>
                <c:pt idx="9">
                  <c:v>61.538463592529297</c:v>
                </c:pt>
                <c:pt idx="10">
                  <c:v>61.538463592529297</c:v>
                </c:pt>
                <c:pt idx="11">
                  <c:v>61.538463592529297</c:v>
                </c:pt>
                <c:pt idx="12">
                  <c:v>61.538463592529297</c:v>
                </c:pt>
                <c:pt idx="13">
                  <c:v>61.538463592529297</c:v>
                </c:pt>
                <c:pt idx="14">
                  <c:v>61.538463592529297</c:v>
                </c:pt>
                <c:pt idx="15">
                  <c:v>61.538463592529297</c:v>
                </c:pt>
                <c:pt idx="16">
                  <c:v>61.538463592529297</c:v>
                </c:pt>
                <c:pt idx="17">
                  <c:v>61.538463592529297</c:v>
                </c:pt>
                <c:pt idx="18">
                  <c:v>61.538463592529297</c:v>
                </c:pt>
                <c:pt idx="19">
                  <c:v>61.538463592529297</c:v>
                </c:pt>
                <c:pt idx="20">
                  <c:v>61.538463592529297</c:v>
                </c:pt>
                <c:pt idx="21">
                  <c:v>61.538463592529297</c:v>
                </c:pt>
                <c:pt idx="22">
                  <c:v>61.538463592529297</c:v>
                </c:pt>
                <c:pt idx="23">
                  <c:v>61.538463592529297</c:v>
                </c:pt>
                <c:pt idx="24">
                  <c:v>61.538463592529297</c:v>
                </c:pt>
                <c:pt idx="25">
                  <c:v>61.538463592529297</c:v>
                </c:pt>
                <c:pt idx="26">
                  <c:v>61.538463592529297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527232"/>
        <c:axId val="130528768"/>
      </c:lineChart>
      <c:catAx>
        <c:axId val="130527232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130528768"/>
        <c:crosses val="autoZero"/>
        <c:auto val="0"/>
        <c:lblAlgn val="ctr"/>
        <c:lblOffset val="100"/>
        <c:noMultiLvlLbl val="1"/>
      </c:catAx>
      <c:valAx>
        <c:axId val="13052876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crossAx val="1305272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Core Regression %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Data!$AG$2:$AG$28</c:f>
              <c:numCache>
                <c:formatCode>General</c:formatCode>
                <c:ptCount val="2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61.538463592529297</c:v>
                </c:pt>
                <c:pt idx="4">
                  <c:v>47.058822631835937</c:v>
                </c:pt>
                <c:pt idx="5">
                  <c:v>52.380954742431641</c:v>
                </c:pt>
                <c:pt idx="6">
                  <c:v>46.153846740722656</c:v>
                </c:pt>
                <c:pt idx="7">
                  <c:v>42.857143402099609</c:v>
                </c:pt>
                <c:pt idx="8">
                  <c:v>40</c:v>
                </c:pt>
                <c:pt idx="9">
                  <c:v>38.709674835205078</c:v>
                </c:pt>
                <c:pt idx="10">
                  <c:v>38.235294342041016</c:v>
                </c:pt>
                <c:pt idx="11">
                  <c:v>38.235294342041016</c:v>
                </c:pt>
                <c:pt idx="12">
                  <c:v>31.707317352294922</c:v>
                </c:pt>
                <c:pt idx="13">
                  <c:v>31.818181991577148</c:v>
                </c:pt>
                <c:pt idx="14">
                  <c:v>29.787233352661133</c:v>
                </c:pt>
                <c:pt idx="15">
                  <c:v>28</c:v>
                </c:pt>
                <c:pt idx="16">
                  <c:v>25.925926208496094</c:v>
                </c:pt>
                <c:pt idx="17">
                  <c:v>22.95081901550293</c:v>
                </c:pt>
                <c:pt idx="18">
                  <c:v>24.242424011230469</c:v>
                </c:pt>
                <c:pt idx="19">
                  <c:v>23.28767204284668</c:v>
                </c:pt>
                <c:pt idx="20">
                  <c:v>23.684211730957031</c:v>
                </c:pt>
                <c:pt idx="21">
                  <c:v>23.75</c:v>
                </c:pt>
                <c:pt idx="22">
                  <c:v>26.744186401367188</c:v>
                </c:pt>
                <c:pt idx="23">
                  <c:v>25.555557250976563</c:v>
                </c:pt>
                <c:pt idx="24">
                  <c:v>25.263156890869141</c:v>
                </c:pt>
                <c:pt idx="25">
                  <c:v>24.242424011230469</c:v>
                </c:pt>
                <c:pt idx="26">
                  <c:v>24.242424011230469</c:v>
                </c:pt>
              </c:numCache>
            </c:numRef>
          </c:val>
          <c:smooth val="0"/>
        </c:ser>
        <c:ser>
          <c:idx val="0"/>
          <c:order val="1"/>
          <c:tx>
            <c:v>Extention Regression %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Data!$AF$2:$AF$28</c:f>
              <c:numCache>
                <c:formatCode>General</c:formatCode>
                <c:ptCount val="2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25</c:v>
                </c:pt>
                <c:pt idx="4">
                  <c:v>14.285715103149414</c:v>
                </c:pt>
                <c:pt idx="5">
                  <c:v>7.142857551574707</c:v>
                </c:pt>
                <c:pt idx="6">
                  <c:v>9.5238094329833984</c:v>
                </c:pt>
                <c:pt idx="7">
                  <c:v>8.6956520080566406</c:v>
                </c:pt>
                <c:pt idx="8">
                  <c:v>6.0606060028076172</c:v>
                </c:pt>
                <c:pt idx="9">
                  <c:v>4.7619047164916992</c:v>
                </c:pt>
                <c:pt idx="10">
                  <c:v>4.2553191184997559</c:v>
                </c:pt>
                <c:pt idx="11">
                  <c:v>4</c:v>
                </c:pt>
                <c:pt idx="12">
                  <c:v>3.5087718963623047</c:v>
                </c:pt>
                <c:pt idx="13">
                  <c:v>3.076923131942749</c:v>
                </c:pt>
                <c:pt idx="14">
                  <c:v>2.9411764144897461</c:v>
                </c:pt>
                <c:pt idx="15">
                  <c:v>2.3529412746429443</c:v>
                </c:pt>
                <c:pt idx="16">
                  <c:v>2.1978023052215576</c:v>
                </c:pt>
                <c:pt idx="17">
                  <c:v>5.7142858505249023</c:v>
                </c:pt>
                <c:pt idx="18">
                  <c:v>7.5757579803466797</c:v>
                </c:pt>
                <c:pt idx="19">
                  <c:v>8.7248325347900391</c:v>
                </c:pt>
                <c:pt idx="20">
                  <c:v>9.8039216995239258</c:v>
                </c:pt>
                <c:pt idx="21">
                  <c:v>10.493826866149902</c:v>
                </c:pt>
                <c:pt idx="22">
                  <c:v>12.234042167663574</c:v>
                </c:pt>
                <c:pt idx="23">
                  <c:v>16.355140686035156</c:v>
                </c:pt>
                <c:pt idx="24">
                  <c:v>19.917013168334961</c:v>
                </c:pt>
                <c:pt idx="25">
                  <c:v>20.717132568359375</c:v>
                </c:pt>
                <c:pt idx="26">
                  <c:v>20.377359390258789</c:v>
                </c:pt>
              </c:numCache>
            </c:numRef>
          </c:val>
          <c:smooth val="0"/>
        </c:ser>
        <c:ser>
          <c:idx val="2"/>
          <c:order val="2"/>
          <c:tx>
            <c:v>Max Regression</c:v>
          </c:tx>
          <c:spPr>
            <a:ln>
              <a:noFill/>
            </a:ln>
          </c:spPr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Data!$AQ$2:$AQ$28</c:f>
              <c:numCache>
                <c:formatCode>General</c:formatCode>
                <c:ptCount val="27"/>
                <c:pt idx="0">
                  <c:v>61.538463592529297</c:v>
                </c:pt>
                <c:pt idx="1">
                  <c:v>61.538463592529297</c:v>
                </c:pt>
                <c:pt idx="2">
                  <c:v>61.538463592529297</c:v>
                </c:pt>
                <c:pt idx="3">
                  <c:v>61.538463592529297</c:v>
                </c:pt>
                <c:pt idx="4">
                  <c:v>61.538463592529297</c:v>
                </c:pt>
                <c:pt idx="5">
                  <c:v>61.538463592529297</c:v>
                </c:pt>
                <c:pt idx="6">
                  <c:v>61.538463592529297</c:v>
                </c:pt>
                <c:pt idx="7">
                  <c:v>61.538463592529297</c:v>
                </c:pt>
                <c:pt idx="8">
                  <c:v>61.538463592529297</c:v>
                </c:pt>
                <c:pt idx="9">
                  <c:v>61.538463592529297</c:v>
                </c:pt>
                <c:pt idx="10">
                  <c:v>61.538463592529297</c:v>
                </c:pt>
                <c:pt idx="11">
                  <c:v>61.538463592529297</c:v>
                </c:pt>
                <c:pt idx="12">
                  <c:v>61.538463592529297</c:v>
                </c:pt>
                <c:pt idx="13">
                  <c:v>61.538463592529297</c:v>
                </c:pt>
                <c:pt idx="14">
                  <c:v>61.538463592529297</c:v>
                </c:pt>
                <c:pt idx="15">
                  <c:v>61.538463592529297</c:v>
                </c:pt>
                <c:pt idx="16">
                  <c:v>61.538463592529297</c:v>
                </c:pt>
                <c:pt idx="17">
                  <c:v>61.538463592529297</c:v>
                </c:pt>
                <c:pt idx="18">
                  <c:v>61.538463592529297</c:v>
                </c:pt>
                <c:pt idx="19">
                  <c:v>61.538463592529297</c:v>
                </c:pt>
                <c:pt idx="20">
                  <c:v>61.538463592529297</c:v>
                </c:pt>
                <c:pt idx="21">
                  <c:v>61.538463592529297</c:v>
                </c:pt>
                <c:pt idx="22">
                  <c:v>61.538463592529297</c:v>
                </c:pt>
                <c:pt idx="23">
                  <c:v>61.538463592529297</c:v>
                </c:pt>
                <c:pt idx="24">
                  <c:v>61.538463592529297</c:v>
                </c:pt>
                <c:pt idx="25">
                  <c:v>61.538463592529297</c:v>
                </c:pt>
                <c:pt idx="26">
                  <c:v>61.538463592529297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38368"/>
        <c:axId val="136548352"/>
      </c:lineChart>
      <c:catAx>
        <c:axId val="136538368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136548352"/>
        <c:crosses val="autoZero"/>
        <c:auto val="0"/>
        <c:lblAlgn val="ctr"/>
        <c:lblOffset val="100"/>
        <c:noMultiLvlLbl val="1"/>
      </c:catAx>
      <c:valAx>
        <c:axId val="136548352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3653836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666700842297863E-2"/>
          <c:y val="0.42973772568344887"/>
          <c:w val="2.0737394445295047E-2"/>
          <c:h val="7.423846960167714E-2"/>
        </c:manualLayout>
      </c:layout>
      <c:lineChart>
        <c:grouping val="standard"/>
        <c:varyColors val="0"/>
        <c:ser>
          <c:idx val="1"/>
          <c:order val="0"/>
          <c:tx>
            <c:v>Core Regression %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Data!$AG$37</c:f>
              <c:numCache>
                <c:formatCode>General</c:formatCode>
                <c:ptCount val="1"/>
                <c:pt idx="0">
                  <c:v>24.242424011230469</c:v>
                </c:pt>
              </c:numCache>
            </c:numRef>
          </c:val>
          <c:smooth val="0"/>
        </c:ser>
        <c:ser>
          <c:idx val="0"/>
          <c:order val="1"/>
          <c:tx>
            <c:v>Extention Regression %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Data!$AF$37</c:f>
              <c:numCache>
                <c:formatCode>General</c:formatCode>
                <c:ptCount val="1"/>
                <c:pt idx="0">
                  <c:v>20.377359390258789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77024"/>
        <c:axId val="136578944"/>
      </c:lineChart>
      <c:dateAx>
        <c:axId val="136577024"/>
        <c:scaling>
          <c:orientation val="minMax"/>
        </c:scaling>
        <c:delete val="1"/>
        <c:axPos val="b"/>
        <c:numFmt formatCode="dd/mm" sourceLinked="0"/>
        <c:majorTickMark val="none"/>
        <c:minorTickMark val="none"/>
        <c:tickLblPos val="low"/>
        <c:crossAx val="136578944"/>
        <c:crosses val="autoZero"/>
        <c:auto val="0"/>
        <c:lblOffset val="100"/>
        <c:baseTimeUnit val="days"/>
      </c:dateAx>
      <c:valAx>
        <c:axId val="136578944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13657702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6693481392683261E-2"/>
          <c:y val="0"/>
          <c:w val="0.44322858064222143"/>
          <c:h val="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Number of open bugs</c:v>
          </c:tx>
          <c:invertIfNegative val="0"/>
          <c:cat>
            <c:numRef>
              <c:f>Data!$BC$2:$BC$28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Data!$BD$2:$BD$27</c:f>
              <c:numCache>
                <c:formatCode>General</c:formatCode>
                <c:ptCount val="26"/>
                <c:pt idx="0">
                  <c:v>15</c:v>
                </c:pt>
                <c:pt idx="1">
                  <c:v>10</c:v>
                </c:pt>
                <c:pt idx="2">
                  <c:v>7</c:v>
                </c:pt>
                <c:pt idx="3">
                  <c:v>5</c:v>
                </c:pt>
                <c:pt idx="4">
                  <c:v>7</c:v>
                </c:pt>
                <c:pt idx="5">
                  <c:v>0</c:v>
                </c:pt>
                <c:pt idx="6">
                  <c:v>6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279168"/>
        <c:axId val="136280704"/>
      </c:barChart>
      <c:lineChart>
        <c:grouping val="standard"/>
        <c:varyColors val="0"/>
        <c:ser>
          <c:idx val="1"/>
          <c:order val="1"/>
          <c:tx>
            <c:v>Max</c:v>
          </c:tx>
          <c:marker>
            <c:symbol val="none"/>
          </c:marker>
          <c:val>
            <c:numRef>
              <c:f>Data!$BP$2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279168"/>
        <c:axId val="136280704"/>
      </c:lineChart>
      <c:catAx>
        <c:axId val="13627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280704"/>
        <c:crosses val="autoZero"/>
        <c:auto val="1"/>
        <c:lblAlgn val="ctr"/>
        <c:lblOffset val="100"/>
        <c:noMultiLvlLbl val="0"/>
      </c:catAx>
      <c:valAx>
        <c:axId val="136280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279168"/>
        <c:crosses val="autoZero"/>
        <c:crossBetween val="between"/>
      </c:valAx>
      <c:spPr>
        <a:noFill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5494371928341178E-2"/>
          <c:y val="0.88850503062117236"/>
          <c:w val="0.26611707546926167"/>
          <c:h val="9.1002139800285306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Number of open bugs</c:v>
          </c:tx>
          <c:invertIfNegative val="0"/>
          <c:cat>
            <c:numRef>
              <c:f>Data!$BC$2:$BC$28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Data!$BE$2:$BE$27</c:f>
              <c:numCache>
                <c:formatCode>General</c:formatCode>
                <c:ptCount val="26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6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310784"/>
        <c:axId val="136312320"/>
      </c:barChart>
      <c:lineChart>
        <c:grouping val="standard"/>
        <c:varyColors val="0"/>
        <c:ser>
          <c:idx val="1"/>
          <c:order val="1"/>
          <c:tx>
            <c:v>Max</c:v>
          </c:tx>
          <c:marker>
            <c:symbol val="none"/>
          </c:marker>
          <c:val>
            <c:numRef>
              <c:f>Data!$BP$2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10784"/>
        <c:axId val="136312320"/>
      </c:lineChart>
      <c:catAx>
        <c:axId val="13631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312320"/>
        <c:crosses val="autoZero"/>
        <c:auto val="1"/>
        <c:lblAlgn val="ctr"/>
        <c:lblOffset val="100"/>
        <c:noMultiLvlLbl val="0"/>
      </c:catAx>
      <c:valAx>
        <c:axId val="13631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310784"/>
        <c:crosses val="autoZero"/>
        <c:crossBetween val="between"/>
      </c:valAx>
      <c:spPr>
        <a:noFill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5494371928341178E-2"/>
          <c:y val="0.88850503062117236"/>
          <c:w val="0.26611707546926167"/>
          <c:h val="9.1002139800285306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Number of open bugs</c:v>
          </c:tx>
          <c:invertIfNegative val="0"/>
          <c:cat>
            <c:numRef>
              <c:f>Data!$BC$2:$BC$28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Data!$BH$2:$BH$27</c:f>
              <c:numCache>
                <c:formatCode>General</c:formatCode>
                <c:ptCount val="26"/>
                <c:pt idx="0">
                  <c:v>8</c:v>
                </c:pt>
                <c:pt idx="1">
                  <c:v>2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088192"/>
        <c:axId val="136089984"/>
      </c:barChart>
      <c:lineChart>
        <c:grouping val="standard"/>
        <c:varyColors val="0"/>
        <c:ser>
          <c:idx val="1"/>
          <c:order val="1"/>
          <c:tx>
            <c:v>Max</c:v>
          </c:tx>
          <c:marker>
            <c:symbol val="none"/>
          </c:marker>
          <c:val>
            <c:numRef>
              <c:f>Data!$BP$2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088192"/>
        <c:axId val="136089984"/>
      </c:lineChart>
      <c:catAx>
        <c:axId val="13608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089984"/>
        <c:crosses val="autoZero"/>
        <c:auto val="1"/>
        <c:lblAlgn val="ctr"/>
        <c:lblOffset val="100"/>
        <c:noMultiLvlLbl val="0"/>
      </c:catAx>
      <c:valAx>
        <c:axId val="136089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088192"/>
        <c:crosses val="autoZero"/>
        <c:crossBetween val="between"/>
      </c:valAx>
      <c:spPr>
        <a:noFill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5494371928341178E-2"/>
          <c:y val="0.88850503062117236"/>
          <c:w val="0.26611707546926167"/>
          <c:h val="9.1002139800285306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Number of open bugs</c:v>
          </c:tx>
          <c:invertIfNegative val="0"/>
          <c:cat>
            <c:numRef>
              <c:f>Data!$BC$2:$BC$28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Data!$BG$2:$BG$27</c:f>
              <c:numCache>
                <c:formatCode>General</c:formatCode>
                <c:ptCount val="26"/>
                <c:pt idx="0">
                  <c:v>28</c:v>
                </c:pt>
                <c:pt idx="1">
                  <c:v>29</c:v>
                </c:pt>
                <c:pt idx="2">
                  <c:v>15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111616"/>
        <c:axId val="136113152"/>
      </c:barChart>
      <c:lineChart>
        <c:grouping val="standard"/>
        <c:varyColors val="0"/>
        <c:ser>
          <c:idx val="1"/>
          <c:order val="1"/>
          <c:tx>
            <c:v>Max</c:v>
          </c:tx>
          <c:marker>
            <c:symbol val="none"/>
          </c:marker>
          <c:val>
            <c:numRef>
              <c:f>Data!$BP$2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111616"/>
        <c:axId val="136113152"/>
      </c:lineChart>
      <c:catAx>
        <c:axId val="136111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113152"/>
        <c:crosses val="autoZero"/>
        <c:auto val="1"/>
        <c:lblAlgn val="ctr"/>
        <c:lblOffset val="100"/>
        <c:noMultiLvlLbl val="0"/>
      </c:catAx>
      <c:valAx>
        <c:axId val="13611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111616"/>
        <c:crosses val="autoZero"/>
        <c:crossBetween val="between"/>
      </c:valAx>
      <c:spPr>
        <a:noFill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5494371928341178E-2"/>
          <c:y val="0.88850503062117236"/>
          <c:w val="0.26611707546926167"/>
          <c:h val="9.1002139800285306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Number of open bugs</c:v>
          </c:tx>
          <c:invertIfNegative val="0"/>
          <c:cat>
            <c:numRef>
              <c:f>Data!$BC$2:$BC$28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Data!$BF$2:$BF$27</c:f>
              <c:numCache>
                <c:formatCode>General</c:formatCode>
                <c:ptCount val="26"/>
                <c:pt idx="0">
                  <c:v>9</c:v>
                </c:pt>
                <c:pt idx="1">
                  <c:v>8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212864"/>
        <c:axId val="136214400"/>
      </c:barChart>
      <c:lineChart>
        <c:grouping val="standard"/>
        <c:varyColors val="0"/>
        <c:ser>
          <c:idx val="1"/>
          <c:order val="1"/>
          <c:tx>
            <c:v>Max</c:v>
          </c:tx>
          <c:marker>
            <c:symbol val="none"/>
          </c:marker>
          <c:val>
            <c:numRef>
              <c:f>Data!$BP$2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212864"/>
        <c:axId val="136214400"/>
      </c:lineChart>
      <c:catAx>
        <c:axId val="13621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214400"/>
        <c:crosses val="autoZero"/>
        <c:auto val="1"/>
        <c:lblAlgn val="ctr"/>
        <c:lblOffset val="100"/>
        <c:noMultiLvlLbl val="0"/>
      </c:catAx>
      <c:valAx>
        <c:axId val="136214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212864"/>
        <c:crosses val="autoZero"/>
        <c:crossBetween val="between"/>
      </c:valAx>
      <c:spPr>
        <a:noFill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5494371928341178E-2"/>
          <c:y val="0.88850503062117236"/>
          <c:w val="0.26611707546926167"/>
          <c:h val="9.1002139800285306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Escaping Core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Data!$AR$37:$AR$66</c:f>
              <c:numCache>
                <c:formatCode>General</c:formatCode>
                <c:ptCount val="30"/>
                <c:pt idx="0">
                  <c:v>0.24516129032258063</c:v>
                </c:pt>
                <c:pt idx="1">
                  <c:v>0.24516129032258063</c:v>
                </c:pt>
                <c:pt idx="2">
                  <c:v>0.24516129032258063</c:v>
                </c:pt>
                <c:pt idx="3">
                  <c:v>0.24516129032258063</c:v>
                </c:pt>
                <c:pt idx="4">
                  <c:v>0.24516129032258063</c:v>
                </c:pt>
                <c:pt idx="5">
                  <c:v>0.24516129032258063</c:v>
                </c:pt>
                <c:pt idx="6">
                  <c:v>0.24516129032258063</c:v>
                </c:pt>
                <c:pt idx="7">
                  <c:v>0.24516129032258063</c:v>
                </c:pt>
                <c:pt idx="8">
                  <c:v>0.24516129032258063</c:v>
                </c:pt>
                <c:pt idx="9">
                  <c:v>0.24516129032258063</c:v>
                </c:pt>
                <c:pt idx="10">
                  <c:v>0.24516129032258063</c:v>
                </c:pt>
                <c:pt idx="11">
                  <c:v>0.24516129032258063</c:v>
                </c:pt>
                <c:pt idx="12">
                  <c:v>0.24516129032258063</c:v>
                </c:pt>
                <c:pt idx="13">
                  <c:v>0.24516129032258063</c:v>
                </c:pt>
                <c:pt idx="14">
                  <c:v>0.24516129032258063</c:v>
                </c:pt>
                <c:pt idx="15">
                  <c:v>0.24516129032258063</c:v>
                </c:pt>
                <c:pt idx="16">
                  <c:v>0.24516129032258063</c:v>
                </c:pt>
                <c:pt idx="17">
                  <c:v>0.24516129032258063</c:v>
                </c:pt>
                <c:pt idx="18">
                  <c:v>0.24516129032258063</c:v>
                </c:pt>
                <c:pt idx="19">
                  <c:v>0.24516129032258063</c:v>
                </c:pt>
                <c:pt idx="20">
                  <c:v>0.24516129032258063</c:v>
                </c:pt>
                <c:pt idx="21">
                  <c:v>0.24516129032258063</c:v>
                </c:pt>
                <c:pt idx="22">
                  <c:v>0.24516129032258063</c:v>
                </c:pt>
                <c:pt idx="23">
                  <c:v>0.24516129032258063</c:v>
                </c:pt>
                <c:pt idx="24">
                  <c:v>0.24516129032258063</c:v>
                </c:pt>
                <c:pt idx="25">
                  <c:v>0.24516129032258063</c:v>
                </c:pt>
                <c:pt idx="26">
                  <c:v>0.24516129032258063</c:v>
                </c:pt>
                <c:pt idx="27">
                  <c:v>0.24516129032258063</c:v>
                </c:pt>
                <c:pt idx="28">
                  <c:v>0.24516129032258063</c:v>
                </c:pt>
                <c:pt idx="29">
                  <c:v>0.24516129032258063</c:v>
                </c:pt>
              </c:numCache>
            </c:numRef>
          </c:val>
          <c:smooth val="0"/>
        </c:ser>
        <c:ser>
          <c:idx val="2"/>
          <c:order val="1"/>
          <c:tx>
            <c:v>Max</c:v>
          </c:tx>
          <c:spPr>
            <a:ln>
              <a:noFill/>
            </a:ln>
          </c:spPr>
          <c:marker>
            <c:symbol val="none"/>
          </c:marker>
          <c:val>
            <c:numRef>
              <c:f>Data!$AX$37:$AX$66</c:f>
              <c:numCache>
                <c:formatCode>General</c:formatCode>
                <c:ptCount val="30"/>
                <c:pt idx="0">
                  <c:v>0.68</c:v>
                </c:pt>
                <c:pt idx="1">
                  <c:v>0.68</c:v>
                </c:pt>
                <c:pt idx="2">
                  <c:v>0.68</c:v>
                </c:pt>
                <c:pt idx="3">
                  <c:v>0.68</c:v>
                </c:pt>
                <c:pt idx="4">
                  <c:v>0.68</c:v>
                </c:pt>
                <c:pt idx="5">
                  <c:v>0.68</c:v>
                </c:pt>
                <c:pt idx="6">
                  <c:v>0.68</c:v>
                </c:pt>
                <c:pt idx="7">
                  <c:v>0.68</c:v>
                </c:pt>
                <c:pt idx="8">
                  <c:v>0.68</c:v>
                </c:pt>
                <c:pt idx="9">
                  <c:v>0.68</c:v>
                </c:pt>
                <c:pt idx="10">
                  <c:v>0.68</c:v>
                </c:pt>
                <c:pt idx="11">
                  <c:v>0.68</c:v>
                </c:pt>
                <c:pt idx="12">
                  <c:v>0.68</c:v>
                </c:pt>
                <c:pt idx="13">
                  <c:v>0.68</c:v>
                </c:pt>
                <c:pt idx="14">
                  <c:v>0.68</c:v>
                </c:pt>
                <c:pt idx="15">
                  <c:v>0.68</c:v>
                </c:pt>
                <c:pt idx="16">
                  <c:v>0.68</c:v>
                </c:pt>
                <c:pt idx="17">
                  <c:v>0.68</c:v>
                </c:pt>
                <c:pt idx="18">
                  <c:v>0.68</c:v>
                </c:pt>
                <c:pt idx="19">
                  <c:v>0.68</c:v>
                </c:pt>
                <c:pt idx="20">
                  <c:v>0.68</c:v>
                </c:pt>
                <c:pt idx="21">
                  <c:v>0.68</c:v>
                </c:pt>
                <c:pt idx="22">
                  <c:v>0.68</c:v>
                </c:pt>
                <c:pt idx="23">
                  <c:v>0.68</c:v>
                </c:pt>
                <c:pt idx="24">
                  <c:v>0.68</c:v>
                </c:pt>
                <c:pt idx="25">
                  <c:v>0.68</c:v>
                </c:pt>
                <c:pt idx="26">
                  <c:v>0.68</c:v>
                </c:pt>
                <c:pt idx="27">
                  <c:v>0.68</c:v>
                </c:pt>
                <c:pt idx="28">
                  <c:v>0.68</c:v>
                </c:pt>
                <c:pt idx="29">
                  <c:v>0.68</c:v>
                </c:pt>
              </c:numCache>
            </c:numRef>
          </c:val>
          <c:smooth val="0"/>
        </c:ser>
        <c:ser>
          <c:idx val="0"/>
          <c:order val="2"/>
          <c:tx>
            <c:v>Projects Average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Data!$AW$37:$AW$66</c:f>
              <c:numCache>
                <c:formatCode>General</c:formatCode>
                <c:ptCount val="30"/>
                <c:pt idx="0">
                  <c:v>0.26742014065859854</c:v>
                </c:pt>
                <c:pt idx="1">
                  <c:v>0.26742014065859854</c:v>
                </c:pt>
                <c:pt idx="2">
                  <c:v>0.26742014065859854</c:v>
                </c:pt>
                <c:pt idx="3">
                  <c:v>0.26742014065859854</c:v>
                </c:pt>
                <c:pt idx="4">
                  <c:v>0.26742014065859854</c:v>
                </c:pt>
                <c:pt idx="5">
                  <c:v>0.26742014065859854</c:v>
                </c:pt>
                <c:pt idx="6">
                  <c:v>0.26742014065859854</c:v>
                </c:pt>
                <c:pt idx="7">
                  <c:v>0.26742014065859854</c:v>
                </c:pt>
                <c:pt idx="8">
                  <c:v>0.26742014065859854</c:v>
                </c:pt>
                <c:pt idx="9">
                  <c:v>0.26742014065859854</c:v>
                </c:pt>
                <c:pt idx="10">
                  <c:v>0.26742014065859854</c:v>
                </c:pt>
                <c:pt idx="11">
                  <c:v>0.26742014065859854</c:v>
                </c:pt>
                <c:pt idx="12">
                  <c:v>0.26742014065859854</c:v>
                </c:pt>
                <c:pt idx="13">
                  <c:v>0.26742014065859854</c:v>
                </c:pt>
                <c:pt idx="14">
                  <c:v>0.26742014065859854</c:v>
                </c:pt>
                <c:pt idx="15">
                  <c:v>0.26742014065859854</c:v>
                </c:pt>
                <c:pt idx="16">
                  <c:v>0.26742014065859854</c:v>
                </c:pt>
                <c:pt idx="17">
                  <c:v>0.26742014065859854</c:v>
                </c:pt>
                <c:pt idx="18">
                  <c:v>0.26742014065859854</c:v>
                </c:pt>
                <c:pt idx="19">
                  <c:v>0.26742014065859854</c:v>
                </c:pt>
                <c:pt idx="20">
                  <c:v>0.26742014065859854</c:v>
                </c:pt>
                <c:pt idx="21">
                  <c:v>0.26742014065859854</c:v>
                </c:pt>
                <c:pt idx="22">
                  <c:v>0.26742014065859854</c:v>
                </c:pt>
                <c:pt idx="23">
                  <c:v>0.26742014065859854</c:v>
                </c:pt>
                <c:pt idx="24">
                  <c:v>0.26742014065859854</c:v>
                </c:pt>
                <c:pt idx="25">
                  <c:v>0.26742014065859854</c:v>
                </c:pt>
                <c:pt idx="26">
                  <c:v>0.26742014065859854</c:v>
                </c:pt>
                <c:pt idx="27">
                  <c:v>0.26742014065859854</c:v>
                </c:pt>
                <c:pt idx="28">
                  <c:v>0.26742014065859854</c:v>
                </c:pt>
                <c:pt idx="29">
                  <c:v>0.26742014065859854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90528"/>
        <c:axId val="136392064"/>
      </c:lineChart>
      <c:dateAx>
        <c:axId val="136390528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6392064"/>
        <c:crosses val="autoZero"/>
        <c:auto val="0"/>
        <c:lblOffset val="100"/>
        <c:baseTimeUnit val="days"/>
      </c:dateAx>
      <c:valAx>
        <c:axId val="136392064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6390528"/>
        <c:crosses val="autoZero"/>
        <c:crossBetween val="between"/>
      </c:valAx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"/>
          <c:y val="0.88811654640730886"/>
          <c:w val="0.3651524331990666"/>
          <c:h val="9.309096893603256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Escaping Core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Data!$AS$37:$AS$66</c:f>
              <c:numCache>
                <c:formatCode>General</c:formatCode>
                <c:ptCount val="30"/>
                <c:pt idx="0">
                  <c:v>0.18516674962667995</c:v>
                </c:pt>
                <c:pt idx="1">
                  <c:v>0.18516674962667995</c:v>
                </c:pt>
                <c:pt idx="2">
                  <c:v>0.18516674962667995</c:v>
                </c:pt>
                <c:pt idx="3">
                  <c:v>0.18516674962667995</c:v>
                </c:pt>
                <c:pt idx="4">
                  <c:v>0.18516674962667995</c:v>
                </c:pt>
                <c:pt idx="5">
                  <c:v>0.18516674962667995</c:v>
                </c:pt>
                <c:pt idx="6">
                  <c:v>0.18516674962667995</c:v>
                </c:pt>
                <c:pt idx="7">
                  <c:v>0.18516674962667995</c:v>
                </c:pt>
                <c:pt idx="8">
                  <c:v>0.18516674962667995</c:v>
                </c:pt>
                <c:pt idx="9">
                  <c:v>0.18516674962667995</c:v>
                </c:pt>
                <c:pt idx="10">
                  <c:v>0.18516674962667995</c:v>
                </c:pt>
                <c:pt idx="11">
                  <c:v>0.18516674962667995</c:v>
                </c:pt>
                <c:pt idx="12">
                  <c:v>0.18516674962667995</c:v>
                </c:pt>
                <c:pt idx="13">
                  <c:v>0.18516674962667995</c:v>
                </c:pt>
                <c:pt idx="14">
                  <c:v>0.18516674962667995</c:v>
                </c:pt>
                <c:pt idx="15">
                  <c:v>0.18516674962667995</c:v>
                </c:pt>
                <c:pt idx="16">
                  <c:v>0.18516674962667995</c:v>
                </c:pt>
                <c:pt idx="17">
                  <c:v>0.18516674962667995</c:v>
                </c:pt>
                <c:pt idx="18">
                  <c:v>0.18516674962667995</c:v>
                </c:pt>
                <c:pt idx="19">
                  <c:v>0.18516674962667995</c:v>
                </c:pt>
                <c:pt idx="20">
                  <c:v>0.18516674962667995</c:v>
                </c:pt>
                <c:pt idx="21">
                  <c:v>0.18516674962667995</c:v>
                </c:pt>
                <c:pt idx="22">
                  <c:v>0.18516674962667995</c:v>
                </c:pt>
                <c:pt idx="23">
                  <c:v>0.18516674962667995</c:v>
                </c:pt>
                <c:pt idx="24">
                  <c:v>0.18516674962667995</c:v>
                </c:pt>
                <c:pt idx="25">
                  <c:v>0.18516674962667995</c:v>
                </c:pt>
                <c:pt idx="26">
                  <c:v>0.18516674962667995</c:v>
                </c:pt>
                <c:pt idx="27">
                  <c:v>0.18516674962667995</c:v>
                </c:pt>
                <c:pt idx="28">
                  <c:v>0.18516674962667995</c:v>
                </c:pt>
                <c:pt idx="29">
                  <c:v>0.18516674962667995</c:v>
                </c:pt>
              </c:numCache>
            </c:numRef>
          </c:val>
          <c:smooth val="0"/>
        </c:ser>
        <c:ser>
          <c:idx val="2"/>
          <c:order val="1"/>
          <c:tx>
            <c:v>Max</c:v>
          </c:tx>
          <c:spPr>
            <a:ln>
              <a:noFill/>
            </a:ln>
          </c:spPr>
          <c:marker>
            <c:symbol val="none"/>
          </c:marker>
          <c:val>
            <c:numRef>
              <c:f>Data!$AX$37:$AX$66</c:f>
              <c:numCache>
                <c:formatCode>General</c:formatCode>
                <c:ptCount val="30"/>
                <c:pt idx="0">
                  <c:v>0.68</c:v>
                </c:pt>
                <c:pt idx="1">
                  <c:v>0.68</c:v>
                </c:pt>
                <c:pt idx="2">
                  <c:v>0.68</c:v>
                </c:pt>
                <c:pt idx="3">
                  <c:v>0.68</c:v>
                </c:pt>
                <c:pt idx="4">
                  <c:v>0.68</c:v>
                </c:pt>
                <c:pt idx="5">
                  <c:v>0.68</c:v>
                </c:pt>
                <c:pt idx="6">
                  <c:v>0.68</c:v>
                </c:pt>
                <c:pt idx="7">
                  <c:v>0.68</c:v>
                </c:pt>
                <c:pt idx="8">
                  <c:v>0.68</c:v>
                </c:pt>
                <c:pt idx="9">
                  <c:v>0.68</c:v>
                </c:pt>
                <c:pt idx="10">
                  <c:v>0.68</c:v>
                </c:pt>
                <c:pt idx="11">
                  <c:v>0.68</c:v>
                </c:pt>
                <c:pt idx="12">
                  <c:v>0.68</c:v>
                </c:pt>
                <c:pt idx="13">
                  <c:v>0.68</c:v>
                </c:pt>
                <c:pt idx="14">
                  <c:v>0.68</c:v>
                </c:pt>
                <c:pt idx="15">
                  <c:v>0.68</c:v>
                </c:pt>
                <c:pt idx="16">
                  <c:v>0.68</c:v>
                </c:pt>
                <c:pt idx="17">
                  <c:v>0.68</c:v>
                </c:pt>
                <c:pt idx="18">
                  <c:v>0.68</c:v>
                </c:pt>
                <c:pt idx="19">
                  <c:v>0.68</c:v>
                </c:pt>
                <c:pt idx="20">
                  <c:v>0.68</c:v>
                </c:pt>
                <c:pt idx="21">
                  <c:v>0.68</c:v>
                </c:pt>
                <c:pt idx="22">
                  <c:v>0.68</c:v>
                </c:pt>
                <c:pt idx="23">
                  <c:v>0.68</c:v>
                </c:pt>
                <c:pt idx="24">
                  <c:v>0.68</c:v>
                </c:pt>
                <c:pt idx="25">
                  <c:v>0.68</c:v>
                </c:pt>
                <c:pt idx="26">
                  <c:v>0.68</c:v>
                </c:pt>
                <c:pt idx="27">
                  <c:v>0.68</c:v>
                </c:pt>
                <c:pt idx="28">
                  <c:v>0.68</c:v>
                </c:pt>
                <c:pt idx="29">
                  <c:v>0.68</c:v>
                </c:pt>
              </c:numCache>
            </c:numRef>
          </c:val>
          <c:smooth val="0"/>
        </c:ser>
        <c:ser>
          <c:idx val="0"/>
          <c:order val="2"/>
          <c:tx>
            <c:v>Projects Average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Data!$AW$37:$AW$66</c:f>
              <c:numCache>
                <c:formatCode>General</c:formatCode>
                <c:ptCount val="30"/>
                <c:pt idx="0">
                  <c:v>0.26742014065859854</c:v>
                </c:pt>
                <c:pt idx="1">
                  <c:v>0.26742014065859854</c:v>
                </c:pt>
                <c:pt idx="2">
                  <c:v>0.26742014065859854</c:v>
                </c:pt>
                <c:pt idx="3">
                  <c:v>0.26742014065859854</c:v>
                </c:pt>
                <c:pt idx="4">
                  <c:v>0.26742014065859854</c:v>
                </c:pt>
                <c:pt idx="5">
                  <c:v>0.26742014065859854</c:v>
                </c:pt>
                <c:pt idx="6">
                  <c:v>0.26742014065859854</c:v>
                </c:pt>
                <c:pt idx="7">
                  <c:v>0.26742014065859854</c:v>
                </c:pt>
                <c:pt idx="8">
                  <c:v>0.26742014065859854</c:v>
                </c:pt>
                <c:pt idx="9">
                  <c:v>0.26742014065859854</c:v>
                </c:pt>
                <c:pt idx="10">
                  <c:v>0.26742014065859854</c:v>
                </c:pt>
                <c:pt idx="11">
                  <c:v>0.26742014065859854</c:v>
                </c:pt>
                <c:pt idx="12">
                  <c:v>0.26742014065859854</c:v>
                </c:pt>
                <c:pt idx="13">
                  <c:v>0.26742014065859854</c:v>
                </c:pt>
                <c:pt idx="14">
                  <c:v>0.26742014065859854</c:v>
                </c:pt>
                <c:pt idx="15">
                  <c:v>0.26742014065859854</c:v>
                </c:pt>
                <c:pt idx="16">
                  <c:v>0.26742014065859854</c:v>
                </c:pt>
                <c:pt idx="17">
                  <c:v>0.26742014065859854</c:v>
                </c:pt>
                <c:pt idx="18">
                  <c:v>0.26742014065859854</c:v>
                </c:pt>
                <c:pt idx="19">
                  <c:v>0.26742014065859854</c:v>
                </c:pt>
                <c:pt idx="20">
                  <c:v>0.26742014065859854</c:v>
                </c:pt>
                <c:pt idx="21">
                  <c:v>0.26742014065859854</c:v>
                </c:pt>
                <c:pt idx="22">
                  <c:v>0.26742014065859854</c:v>
                </c:pt>
                <c:pt idx="23">
                  <c:v>0.26742014065859854</c:v>
                </c:pt>
                <c:pt idx="24">
                  <c:v>0.26742014065859854</c:v>
                </c:pt>
                <c:pt idx="25">
                  <c:v>0.26742014065859854</c:v>
                </c:pt>
                <c:pt idx="26">
                  <c:v>0.26742014065859854</c:v>
                </c:pt>
                <c:pt idx="27">
                  <c:v>0.26742014065859854</c:v>
                </c:pt>
                <c:pt idx="28">
                  <c:v>0.26742014065859854</c:v>
                </c:pt>
                <c:pt idx="29">
                  <c:v>0.26742014065859854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30720"/>
        <c:axId val="136432256"/>
      </c:lineChart>
      <c:dateAx>
        <c:axId val="136430720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6432256"/>
        <c:crosses val="autoZero"/>
        <c:auto val="0"/>
        <c:lblOffset val="100"/>
        <c:baseTimeUnit val="days"/>
      </c:dateAx>
      <c:valAx>
        <c:axId val="13643225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6430720"/>
        <c:crosses val="autoZero"/>
        <c:crossBetween val="between"/>
      </c:valAx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"/>
          <c:y val="0.88811654640730886"/>
          <c:w val="0.35479485403465899"/>
          <c:h val="9.309096893603256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Escaping Core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Data!$AT$37:$AT$66</c:f>
              <c:numCache>
                <c:formatCode>General</c:formatCode>
                <c:ptCount val="30"/>
                <c:pt idx="0">
                  <c:v>0.35086181711948583</c:v>
                </c:pt>
                <c:pt idx="1">
                  <c:v>0.35086181711948583</c:v>
                </c:pt>
                <c:pt idx="2">
                  <c:v>0.35086181711948583</c:v>
                </c:pt>
                <c:pt idx="3">
                  <c:v>0.35086181711948583</c:v>
                </c:pt>
                <c:pt idx="4">
                  <c:v>0.35086181711948583</c:v>
                </c:pt>
                <c:pt idx="5">
                  <c:v>0.35086181711948583</c:v>
                </c:pt>
                <c:pt idx="6">
                  <c:v>0.35086181711948583</c:v>
                </c:pt>
                <c:pt idx="7">
                  <c:v>0.35086181711948583</c:v>
                </c:pt>
                <c:pt idx="8">
                  <c:v>0.35086181711948583</c:v>
                </c:pt>
                <c:pt idx="9">
                  <c:v>0.35086181711948583</c:v>
                </c:pt>
                <c:pt idx="10">
                  <c:v>0.35086181711948583</c:v>
                </c:pt>
                <c:pt idx="11">
                  <c:v>0.35086181711948583</c:v>
                </c:pt>
                <c:pt idx="12">
                  <c:v>0.35086181711948583</c:v>
                </c:pt>
                <c:pt idx="13">
                  <c:v>0.35086181711948583</c:v>
                </c:pt>
                <c:pt idx="14">
                  <c:v>0.35086181711948583</c:v>
                </c:pt>
                <c:pt idx="15">
                  <c:v>0.35086181711948583</c:v>
                </c:pt>
                <c:pt idx="16">
                  <c:v>0.35086181711948583</c:v>
                </c:pt>
                <c:pt idx="17">
                  <c:v>0.35086181711948583</c:v>
                </c:pt>
                <c:pt idx="18">
                  <c:v>0.35086181711948583</c:v>
                </c:pt>
                <c:pt idx="19">
                  <c:v>0.35086181711948583</c:v>
                </c:pt>
                <c:pt idx="20">
                  <c:v>0.35086181711948583</c:v>
                </c:pt>
                <c:pt idx="21">
                  <c:v>0.35086181711948583</c:v>
                </c:pt>
                <c:pt idx="22">
                  <c:v>0.35086181711948583</c:v>
                </c:pt>
                <c:pt idx="23">
                  <c:v>0.35086181711948583</c:v>
                </c:pt>
                <c:pt idx="24">
                  <c:v>0.35086181711948583</c:v>
                </c:pt>
                <c:pt idx="25">
                  <c:v>0.35086181711948583</c:v>
                </c:pt>
                <c:pt idx="26">
                  <c:v>0.35086181711948583</c:v>
                </c:pt>
                <c:pt idx="27">
                  <c:v>0.35086181711948583</c:v>
                </c:pt>
                <c:pt idx="28">
                  <c:v>0.35086181711948583</c:v>
                </c:pt>
                <c:pt idx="29">
                  <c:v>0.35086181711948583</c:v>
                </c:pt>
              </c:numCache>
            </c:numRef>
          </c:val>
          <c:smooth val="0"/>
        </c:ser>
        <c:ser>
          <c:idx val="2"/>
          <c:order val="1"/>
          <c:tx>
            <c:v>Max</c:v>
          </c:tx>
          <c:spPr>
            <a:ln>
              <a:noFill/>
            </a:ln>
          </c:spPr>
          <c:marker>
            <c:symbol val="none"/>
          </c:marker>
          <c:val>
            <c:numRef>
              <c:f>Data!$AX$37:$AX$66</c:f>
              <c:numCache>
                <c:formatCode>General</c:formatCode>
                <c:ptCount val="30"/>
                <c:pt idx="0">
                  <c:v>0.68</c:v>
                </c:pt>
                <c:pt idx="1">
                  <c:v>0.68</c:v>
                </c:pt>
                <c:pt idx="2">
                  <c:v>0.68</c:v>
                </c:pt>
                <c:pt idx="3">
                  <c:v>0.68</c:v>
                </c:pt>
                <c:pt idx="4">
                  <c:v>0.68</c:v>
                </c:pt>
                <c:pt idx="5">
                  <c:v>0.68</c:v>
                </c:pt>
                <c:pt idx="6">
                  <c:v>0.68</c:v>
                </c:pt>
                <c:pt idx="7">
                  <c:v>0.68</c:v>
                </c:pt>
                <c:pt idx="8">
                  <c:v>0.68</c:v>
                </c:pt>
                <c:pt idx="9">
                  <c:v>0.68</c:v>
                </c:pt>
                <c:pt idx="10">
                  <c:v>0.68</c:v>
                </c:pt>
                <c:pt idx="11">
                  <c:v>0.68</c:v>
                </c:pt>
                <c:pt idx="12">
                  <c:v>0.68</c:v>
                </c:pt>
                <c:pt idx="13">
                  <c:v>0.68</c:v>
                </c:pt>
                <c:pt idx="14">
                  <c:v>0.68</c:v>
                </c:pt>
                <c:pt idx="15">
                  <c:v>0.68</c:v>
                </c:pt>
                <c:pt idx="16">
                  <c:v>0.68</c:v>
                </c:pt>
                <c:pt idx="17">
                  <c:v>0.68</c:v>
                </c:pt>
                <c:pt idx="18">
                  <c:v>0.68</c:v>
                </c:pt>
                <c:pt idx="19">
                  <c:v>0.68</c:v>
                </c:pt>
                <c:pt idx="20">
                  <c:v>0.68</c:v>
                </c:pt>
                <c:pt idx="21">
                  <c:v>0.68</c:v>
                </c:pt>
                <c:pt idx="22">
                  <c:v>0.68</c:v>
                </c:pt>
                <c:pt idx="23">
                  <c:v>0.68</c:v>
                </c:pt>
                <c:pt idx="24">
                  <c:v>0.68</c:v>
                </c:pt>
                <c:pt idx="25">
                  <c:v>0.68</c:v>
                </c:pt>
                <c:pt idx="26">
                  <c:v>0.68</c:v>
                </c:pt>
                <c:pt idx="27">
                  <c:v>0.68</c:v>
                </c:pt>
                <c:pt idx="28">
                  <c:v>0.68</c:v>
                </c:pt>
                <c:pt idx="29">
                  <c:v>0.68</c:v>
                </c:pt>
              </c:numCache>
            </c:numRef>
          </c:val>
          <c:smooth val="0"/>
        </c:ser>
        <c:ser>
          <c:idx val="0"/>
          <c:order val="2"/>
          <c:tx>
            <c:v>Projects Average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Data!$AW$37:$AW$66</c:f>
              <c:numCache>
                <c:formatCode>General</c:formatCode>
                <c:ptCount val="30"/>
                <c:pt idx="0">
                  <c:v>0.26742014065859854</c:v>
                </c:pt>
                <c:pt idx="1">
                  <c:v>0.26742014065859854</c:v>
                </c:pt>
                <c:pt idx="2">
                  <c:v>0.26742014065859854</c:v>
                </c:pt>
                <c:pt idx="3">
                  <c:v>0.26742014065859854</c:v>
                </c:pt>
                <c:pt idx="4">
                  <c:v>0.26742014065859854</c:v>
                </c:pt>
                <c:pt idx="5">
                  <c:v>0.26742014065859854</c:v>
                </c:pt>
                <c:pt idx="6">
                  <c:v>0.26742014065859854</c:v>
                </c:pt>
                <c:pt idx="7">
                  <c:v>0.26742014065859854</c:v>
                </c:pt>
                <c:pt idx="8">
                  <c:v>0.26742014065859854</c:v>
                </c:pt>
                <c:pt idx="9">
                  <c:v>0.26742014065859854</c:v>
                </c:pt>
                <c:pt idx="10">
                  <c:v>0.26742014065859854</c:v>
                </c:pt>
                <c:pt idx="11">
                  <c:v>0.26742014065859854</c:v>
                </c:pt>
                <c:pt idx="12">
                  <c:v>0.26742014065859854</c:v>
                </c:pt>
                <c:pt idx="13">
                  <c:v>0.26742014065859854</c:v>
                </c:pt>
                <c:pt idx="14">
                  <c:v>0.26742014065859854</c:v>
                </c:pt>
                <c:pt idx="15">
                  <c:v>0.26742014065859854</c:v>
                </c:pt>
                <c:pt idx="16">
                  <c:v>0.26742014065859854</c:v>
                </c:pt>
                <c:pt idx="17">
                  <c:v>0.26742014065859854</c:v>
                </c:pt>
                <c:pt idx="18">
                  <c:v>0.26742014065859854</c:v>
                </c:pt>
                <c:pt idx="19">
                  <c:v>0.26742014065859854</c:v>
                </c:pt>
                <c:pt idx="20">
                  <c:v>0.26742014065859854</c:v>
                </c:pt>
                <c:pt idx="21">
                  <c:v>0.26742014065859854</c:v>
                </c:pt>
                <c:pt idx="22">
                  <c:v>0.26742014065859854</c:v>
                </c:pt>
                <c:pt idx="23">
                  <c:v>0.26742014065859854</c:v>
                </c:pt>
                <c:pt idx="24">
                  <c:v>0.26742014065859854</c:v>
                </c:pt>
                <c:pt idx="25">
                  <c:v>0.26742014065859854</c:v>
                </c:pt>
                <c:pt idx="26">
                  <c:v>0.26742014065859854</c:v>
                </c:pt>
                <c:pt idx="27">
                  <c:v>0.26742014065859854</c:v>
                </c:pt>
                <c:pt idx="28">
                  <c:v>0.26742014065859854</c:v>
                </c:pt>
                <c:pt idx="29">
                  <c:v>0.26742014065859854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322880"/>
        <c:axId val="137324416"/>
      </c:lineChart>
      <c:dateAx>
        <c:axId val="137322880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7324416"/>
        <c:crosses val="autoZero"/>
        <c:auto val="0"/>
        <c:lblOffset val="100"/>
        <c:baseTimeUnit val="days"/>
      </c:dateAx>
      <c:valAx>
        <c:axId val="13732441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7322880"/>
        <c:crosses val="autoZero"/>
        <c:crossBetween val="between"/>
      </c:valAx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"/>
          <c:y val="0.88811654640730886"/>
          <c:w val="0.35479485403465899"/>
          <c:h val="9.309096893603256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Escaping Core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Data!$AU$37:$AU$66</c:f>
              <c:numCache>
                <c:formatCode>General</c:formatCode>
                <c:ptCount val="30"/>
                <c:pt idx="0">
                  <c:v>0.32415902140672781</c:v>
                </c:pt>
                <c:pt idx="1">
                  <c:v>0.32415902140672781</c:v>
                </c:pt>
                <c:pt idx="2">
                  <c:v>0.32415902140672781</c:v>
                </c:pt>
                <c:pt idx="3">
                  <c:v>0.32415902140672781</c:v>
                </c:pt>
                <c:pt idx="4">
                  <c:v>0.32415902140672781</c:v>
                </c:pt>
                <c:pt idx="5">
                  <c:v>0.32415902140672781</c:v>
                </c:pt>
                <c:pt idx="6">
                  <c:v>0.32415902140672781</c:v>
                </c:pt>
                <c:pt idx="7">
                  <c:v>0.32415902140672781</c:v>
                </c:pt>
                <c:pt idx="8">
                  <c:v>0.32415902140672781</c:v>
                </c:pt>
                <c:pt idx="9">
                  <c:v>0.32415902140672781</c:v>
                </c:pt>
                <c:pt idx="10">
                  <c:v>0.32415902140672781</c:v>
                </c:pt>
                <c:pt idx="11">
                  <c:v>0.32415902140672781</c:v>
                </c:pt>
                <c:pt idx="12">
                  <c:v>0.32415902140672781</c:v>
                </c:pt>
                <c:pt idx="13">
                  <c:v>0.32415902140672781</c:v>
                </c:pt>
                <c:pt idx="14">
                  <c:v>0.32415902140672781</c:v>
                </c:pt>
                <c:pt idx="15">
                  <c:v>0.32415902140672781</c:v>
                </c:pt>
                <c:pt idx="16">
                  <c:v>0.32415902140672781</c:v>
                </c:pt>
                <c:pt idx="17">
                  <c:v>0.32415902140672781</c:v>
                </c:pt>
                <c:pt idx="18">
                  <c:v>0.32415902140672781</c:v>
                </c:pt>
                <c:pt idx="19">
                  <c:v>0.32415902140672781</c:v>
                </c:pt>
                <c:pt idx="20">
                  <c:v>0.32415902140672781</c:v>
                </c:pt>
                <c:pt idx="21">
                  <c:v>0.32415902140672781</c:v>
                </c:pt>
                <c:pt idx="22">
                  <c:v>0.32415902140672781</c:v>
                </c:pt>
                <c:pt idx="23">
                  <c:v>0.32415902140672781</c:v>
                </c:pt>
                <c:pt idx="24">
                  <c:v>0.32415902140672781</c:v>
                </c:pt>
                <c:pt idx="25">
                  <c:v>0.32415902140672781</c:v>
                </c:pt>
                <c:pt idx="26">
                  <c:v>0.32415902140672781</c:v>
                </c:pt>
                <c:pt idx="27">
                  <c:v>0.32415902140672781</c:v>
                </c:pt>
                <c:pt idx="28">
                  <c:v>0.32415902140672781</c:v>
                </c:pt>
                <c:pt idx="29">
                  <c:v>0.32415902140672781</c:v>
                </c:pt>
              </c:numCache>
            </c:numRef>
          </c:val>
          <c:smooth val="0"/>
        </c:ser>
        <c:ser>
          <c:idx val="2"/>
          <c:order val="1"/>
          <c:tx>
            <c:v>Max</c:v>
          </c:tx>
          <c:spPr>
            <a:ln>
              <a:noFill/>
            </a:ln>
          </c:spPr>
          <c:marker>
            <c:symbol val="none"/>
          </c:marker>
          <c:val>
            <c:numRef>
              <c:f>Data!$AX$37:$AX$66</c:f>
              <c:numCache>
                <c:formatCode>General</c:formatCode>
                <c:ptCount val="30"/>
                <c:pt idx="0">
                  <c:v>0.68</c:v>
                </c:pt>
                <c:pt idx="1">
                  <c:v>0.68</c:v>
                </c:pt>
                <c:pt idx="2">
                  <c:v>0.68</c:v>
                </c:pt>
                <c:pt idx="3">
                  <c:v>0.68</c:v>
                </c:pt>
                <c:pt idx="4">
                  <c:v>0.68</c:v>
                </c:pt>
                <c:pt idx="5">
                  <c:v>0.68</c:v>
                </c:pt>
                <c:pt idx="6">
                  <c:v>0.68</c:v>
                </c:pt>
                <c:pt idx="7">
                  <c:v>0.68</c:v>
                </c:pt>
                <c:pt idx="8">
                  <c:v>0.68</c:v>
                </c:pt>
                <c:pt idx="9">
                  <c:v>0.68</c:v>
                </c:pt>
                <c:pt idx="10">
                  <c:v>0.68</c:v>
                </c:pt>
                <c:pt idx="11">
                  <c:v>0.68</c:v>
                </c:pt>
                <c:pt idx="12">
                  <c:v>0.68</c:v>
                </c:pt>
                <c:pt idx="13">
                  <c:v>0.68</c:v>
                </c:pt>
                <c:pt idx="14">
                  <c:v>0.68</c:v>
                </c:pt>
                <c:pt idx="15">
                  <c:v>0.68</c:v>
                </c:pt>
                <c:pt idx="16">
                  <c:v>0.68</c:v>
                </c:pt>
                <c:pt idx="17">
                  <c:v>0.68</c:v>
                </c:pt>
                <c:pt idx="18">
                  <c:v>0.68</c:v>
                </c:pt>
                <c:pt idx="19">
                  <c:v>0.68</c:v>
                </c:pt>
                <c:pt idx="20">
                  <c:v>0.68</c:v>
                </c:pt>
                <c:pt idx="21">
                  <c:v>0.68</c:v>
                </c:pt>
                <c:pt idx="22">
                  <c:v>0.68</c:v>
                </c:pt>
                <c:pt idx="23">
                  <c:v>0.68</c:v>
                </c:pt>
                <c:pt idx="24">
                  <c:v>0.68</c:v>
                </c:pt>
                <c:pt idx="25">
                  <c:v>0.68</c:v>
                </c:pt>
                <c:pt idx="26">
                  <c:v>0.68</c:v>
                </c:pt>
                <c:pt idx="27">
                  <c:v>0.68</c:v>
                </c:pt>
                <c:pt idx="28">
                  <c:v>0.68</c:v>
                </c:pt>
                <c:pt idx="29">
                  <c:v>0.68</c:v>
                </c:pt>
              </c:numCache>
            </c:numRef>
          </c:val>
          <c:smooth val="0"/>
        </c:ser>
        <c:ser>
          <c:idx val="0"/>
          <c:order val="2"/>
          <c:tx>
            <c:v>Projects Average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Data!$AW$37:$AW$66</c:f>
              <c:numCache>
                <c:formatCode>General</c:formatCode>
                <c:ptCount val="30"/>
                <c:pt idx="0">
                  <c:v>0.26742014065859854</c:v>
                </c:pt>
                <c:pt idx="1">
                  <c:v>0.26742014065859854</c:v>
                </c:pt>
                <c:pt idx="2">
                  <c:v>0.26742014065859854</c:v>
                </c:pt>
                <c:pt idx="3">
                  <c:v>0.26742014065859854</c:v>
                </c:pt>
                <c:pt idx="4">
                  <c:v>0.26742014065859854</c:v>
                </c:pt>
                <c:pt idx="5">
                  <c:v>0.26742014065859854</c:v>
                </c:pt>
                <c:pt idx="6">
                  <c:v>0.26742014065859854</c:v>
                </c:pt>
                <c:pt idx="7">
                  <c:v>0.26742014065859854</c:v>
                </c:pt>
                <c:pt idx="8">
                  <c:v>0.26742014065859854</c:v>
                </c:pt>
                <c:pt idx="9">
                  <c:v>0.26742014065859854</c:v>
                </c:pt>
                <c:pt idx="10">
                  <c:v>0.26742014065859854</c:v>
                </c:pt>
                <c:pt idx="11">
                  <c:v>0.26742014065859854</c:v>
                </c:pt>
                <c:pt idx="12">
                  <c:v>0.26742014065859854</c:v>
                </c:pt>
                <c:pt idx="13">
                  <c:v>0.26742014065859854</c:v>
                </c:pt>
                <c:pt idx="14">
                  <c:v>0.26742014065859854</c:v>
                </c:pt>
                <c:pt idx="15">
                  <c:v>0.26742014065859854</c:v>
                </c:pt>
                <c:pt idx="16">
                  <c:v>0.26742014065859854</c:v>
                </c:pt>
                <c:pt idx="17">
                  <c:v>0.26742014065859854</c:v>
                </c:pt>
                <c:pt idx="18">
                  <c:v>0.26742014065859854</c:v>
                </c:pt>
                <c:pt idx="19">
                  <c:v>0.26742014065859854</c:v>
                </c:pt>
                <c:pt idx="20">
                  <c:v>0.26742014065859854</c:v>
                </c:pt>
                <c:pt idx="21">
                  <c:v>0.26742014065859854</c:v>
                </c:pt>
                <c:pt idx="22">
                  <c:v>0.26742014065859854</c:v>
                </c:pt>
                <c:pt idx="23">
                  <c:v>0.26742014065859854</c:v>
                </c:pt>
                <c:pt idx="24">
                  <c:v>0.26742014065859854</c:v>
                </c:pt>
                <c:pt idx="25">
                  <c:v>0.26742014065859854</c:v>
                </c:pt>
                <c:pt idx="26">
                  <c:v>0.26742014065859854</c:v>
                </c:pt>
                <c:pt idx="27">
                  <c:v>0.26742014065859854</c:v>
                </c:pt>
                <c:pt idx="28">
                  <c:v>0.26742014065859854</c:v>
                </c:pt>
                <c:pt idx="29">
                  <c:v>0.26742014065859854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346432"/>
        <c:axId val="137360512"/>
      </c:lineChart>
      <c:dateAx>
        <c:axId val="137346432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7360512"/>
        <c:crosses val="autoZero"/>
        <c:auto val="0"/>
        <c:lblOffset val="100"/>
        <c:baseTimeUnit val="days"/>
      </c:dateAx>
      <c:valAx>
        <c:axId val="137360512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7346432"/>
        <c:crosses val="autoZero"/>
        <c:crossBetween val="between"/>
      </c:valAx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"/>
          <c:y val="0.88811654640730886"/>
          <c:w val="0.35479485403465899"/>
          <c:h val="9.309096893603256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Escaping Core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Data!$AV$37:$AV$66</c:f>
              <c:numCache>
                <c:formatCode>General</c:formatCode>
                <c:ptCount val="30"/>
                <c:pt idx="0">
                  <c:v>0.23175182481751824</c:v>
                </c:pt>
                <c:pt idx="1">
                  <c:v>0.23175182481751824</c:v>
                </c:pt>
                <c:pt idx="2">
                  <c:v>0.23175182481751824</c:v>
                </c:pt>
                <c:pt idx="3">
                  <c:v>0.23175182481751824</c:v>
                </c:pt>
                <c:pt idx="4">
                  <c:v>0.23175182481751824</c:v>
                </c:pt>
                <c:pt idx="5">
                  <c:v>0.23175182481751824</c:v>
                </c:pt>
                <c:pt idx="6">
                  <c:v>0.23175182481751824</c:v>
                </c:pt>
                <c:pt idx="7">
                  <c:v>0.23175182481751824</c:v>
                </c:pt>
                <c:pt idx="8">
                  <c:v>0.23175182481751824</c:v>
                </c:pt>
                <c:pt idx="9">
                  <c:v>0.23175182481751824</c:v>
                </c:pt>
                <c:pt idx="10">
                  <c:v>0.23175182481751824</c:v>
                </c:pt>
                <c:pt idx="11">
                  <c:v>0.23175182481751824</c:v>
                </c:pt>
                <c:pt idx="12">
                  <c:v>0.23175182481751824</c:v>
                </c:pt>
                <c:pt idx="13">
                  <c:v>0.23175182481751824</c:v>
                </c:pt>
                <c:pt idx="14">
                  <c:v>0.23175182481751824</c:v>
                </c:pt>
                <c:pt idx="15">
                  <c:v>0.23175182481751824</c:v>
                </c:pt>
                <c:pt idx="16">
                  <c:v>0.23175182481751824</c:v>
                </c:pt>
                <c:pt idx="17">
                  <c:v>0.23175182481751824</c:v>
                </c:pt>
                <c:pt idx="18">
                  <c:v>0.23175182481751824</c:v>
                </c:pt>
                <c:pt idx="19">
                  <c:v>0.23175182481751824</c:v>
                </c:pt>
                <c:pt idx="20">
                  <c:v>0.23175182481751824</c:v>
                </c:pt>
                <c:pt idx="21">
                  <c:v>0.23175182481751824</c:v>
                </c:pt>
                <c:pt idx="22">
                  <c:v>0.23175182481751824</c:v>
                </c:pt>
                <c:pt idx="23">
                  <c:v>0.23175182481751824</c:v>
                </c:pt>
                <c:pt idx="24">
                  <c:v>0.23175182481751824</c:v>
                </c:pt>
                <c:pt idx="25">
                  <c:v>0.23175182481751824</c:v>
                </c:pt>
                <c:pt idx="26">
                  <c:v>0.23175182481751824</c:v>
                </c:pt>
                <c:pt idx="27">
                  <c:v>0.23175182481751824</c:v>
                </c:pt>
                <c:pt idx="28">
                  <c:v>0.23175182481751824</c:v>
                </c:pt>
                <c:pt idx="29">
                  <c:v>0.23175182481751824</c:v>
                </c:pt>
              </c:numCache>
            </c:numRef>
          </c:val>
          <c:smooth val="0"/>
        </c:ser>
        <c:ser>
          <c:idx val="2"/>
          <c:order val="1"/>
          <c:tx>
            <c:v>Max</c:v>
          </c:tx>
          <c:spPr>
            <a:ln>
              <a:noFill/>
            </a:ln>
          </c:spPr>
          <c:marker>
            <c:symbol val="none"/>
          </c:marker>
          <c:val>
            <c:numRef>
              <c:f>Data!$AX$37:$AX$66</c:f>
              <c:numCache>
                <c:formatCode>General</c:formatCode>
                <c:ptCount val="30"/>
                <c:pt idx="0">
                  <c:v>0.68</c:v>
                </c:pt>
                <c:pt idx="1">
                  <c:v>0.68</c:v>
                </c:pt>
                <c:pt idx="2">
                  <c:v>0.68</c:v>
                </c:pt>
                <c:pt idx="3">
                  <c:v>0.68</c:v>
                </c:pt>
                <c:pt idx="4">
                  <c:v>0.68</c:v>
                </c:pt>
                <c:pt idx="5">
                  <c:v>0.68</c:v>
                </c:pt>
                <c:pt idx="6">
                  <c:v>0.68</c:v>
                </c:pt>
                <c:pt idx="7">
                  <c:v>0.68</c:v>
                </c:pt>
                <c:pt idx="8">
                  <c:v>0.68</c:v>
                </c:pt>
                <c:pt idx="9">
                  <c:v>0.68</c:v>
                </c:pt>
                <c:pt idx="10">
                  <c:v>0.68</c:v>
                </c:pt>
                <c:pt idx="11">
                  <c:v>0.68</c:v>
                </c:pt>
                <c:pt idx="12">
                  <c:v>0.68</c:v>
                </c:pt>
                <c:pt idx="13">
                  <c:v>0.68</c:v>
                </c:pt>
                <c:pt idx="14">
                  <c:v>0.68</c:v>
                </c:pt>
                <c:pt idx="15">
                  <c:v>0.68</c:v>
                </c:pt>
                <c:pt idx="16">
                  <c:v>0.68</c:v>
                </c:pt>
                <c:pt idx="17">
                  <c:v>0.68</c:v>
                </c:pt>
                <c:pt idx="18">
                  <c:v>0.68</c:v>
                </c:pt>
                <c:pt idx="19">
                  <c:v>0.68</c:v>
                </c:pt>
                <c:pt idx="20">
                  <c:v>0.68</c:v>
                </c:pt>
                <c:pt idx="21">
                  <c:v>0.68</c:v>
                </c:pt>
                <c:pt idx="22">
                  <c:v>0.68</c:v>
                </c:pt>
                <c:pt idx="23">
                  <c:v>0.68</c:v>
                </c:pt>
                <c:pt idx="24">
                  <c:v>0.68</c:v>
                </c:pt>
                <c:pt idx="25">
                  <c:v>0.68</c:v>
                </c:pt>
                <c:pt idx="26">
                  <c:v>0.68</c:v>
                </c:pt>
                <c:pt idx="27">
                  <c:v>0.68</c:v>
                </c:pt>
                <c:pt idx="28">
                  <c:v>0.68</c:v>
                </c:pt>
                <c:pt idx="29">
                  <c:v>0.68</c:v>
                </c:pt>
              </c:numCache>
            </c:numRef>
          </c:val>
          <c:smooth val="0"/>
        </c:ser>
        <c:ser>
          <c:idx val="0"/>
          <c:order val="2"/>
          <c:tx>
            <c:v>Projects Average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Data!$AW$37:$AW$66</c:f>
              <c:numCache>
                <c:formatCode>General</c:formatCode>
                <c:ptCount val="30"/>
                <c:pt idx="0">
                  <c:v>0.26742014065859854</c:v>
                </c:pt>
                <c:pt idx="1">
                  <c:v>0.26742014065859854</c:v>
                </c:pt>
                <c:pt idx="2">
                  <c:v>0.26742014065859854</c:v>
                </c:pt>
                <c:pt idx="3">
                  <c:v>0.26742014065859854</c:v>
                </c:pt>
                <c:pt idx="4">
                  <c:v>0.26742014065859854</c:v>
                </c:pt>
                <c:pt idx="5">
                  <c:v>0.26742014065859854</c:v>
                </c:pt>
                <c:pt idx="6">
                  <c:v>0.26742014065859854</c:v>
                </c:pt>
                <c:pt idx="7">
                  <c:v>0.26742014065859854</c:v>
                </c:pt>
                <c:pt idx="8">
                  <c:v>0.26742014065859854</c:v>
                </c:pt>
                <c:pt idx="9">
                  <c:v>0.26742014065859854</c:v>
                </c:pt>
                <c:pt idx="10">
                  <c:v>0.26742014065859854</c:v>
                </c:pt>
                <c:pt idx="11">
                  <c:v>0.26742014065859854</c:v>
                </c:pt>
                <c:pt idx="12">
                  <c:v>0.26742014065859854</c:v>
                </c:pt>
                <c:pt idx="13">
                  <c:v>0.26742014065859854</c:v>
                </c:pt>
                <c:pt idx="14">
                  <c:v>0.26742014065859854</c:v>
                </c:pt>
                <c:pt idx="15">
                  <c:v>0.26742014065859854</c:v>
                </c:pt>
                <c:pt idx="16">
                  <c:v>0.26742014065859854</c:v>
                </c:pt>
                <c:pt idx="17">
                  <c:v>0.26742014065859854</c:v>
                </c:pt>
                <c:pt idx="18">
                  <c:v>0.26742014065859854</c:v>
                </c:pt>
                <c:pt idx="19">
                  <c:v>0.26742014065859854</c:v>
                </c:pt>
                <c:pt idx="20">
                  <c:v>0.26742014065859854</c:v>
                </c:pt>
                <c:pt idx="21">
                  <c:v>0.26742014065859854</c:v>
                </c:pt>
                <c:pt idx="22">
                  <c:v>0.26742014065859854</c:v>
                </c:pt>
                <c:pt idx="23">
                  <c:v>0.26742014065859854</c:v>
                </c:pt>
                <c:pt idx="24">
                  <c:v>0.26742014065859854</c:v>
                </c:pt>
                <c:pt idx="25">
                  <c:v>0.26742014065859854</c:v>
                </c:pt>
                <c:pt idx="26">
                  <c:v>0.26742014065859854</c:v>
                </c:pt>
                <c:pt idx="27">
                  <c:v>0.26742014065859854</c:v>
                </c:pt>
                <c:pt idx="28">
                  <c:v>0.26742014065859854</c:v>
                </c:pt>
                <c:pt idx="29">
                  <c:v>0.26742014065859854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7504"/>
        <c:axId val="137015680"/>
      </c:lineChart>
      <c:dateAx>
        <c:axId val="136997504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7015680"/>
        <c:crosses val="autoZero"/>
        <c:auto val="0"/>
        <c:lblOffset val="100"/>
        <c:baseTimeUnit val="days"/>
      </c:dateAx>
      <c:valAx>
        <c:axId val="137015680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6997504"/>
        <c:crosses val="autoZero"/>
        <c:crossBetween val="between"/>
      </c:valAx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"/>
          <c:y val="0.88811654640730886"/>
          <c:w val="0.35479485403465899"/>
          <c:h val="9.309096893603256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Core Regression %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Data!$Y$37:$Y$66</c:f>
              <c:numCache>
                <c:formatCode>General</c:formatCode>
                <c:ptCount val="30"/>
                <c:pt idx="0">
                  <c:v>36.842105865478516</c:v>
                </c:pt>
                <c:pt idx="1">
                  <c:v>36.842105865478516</c:v>
                </c:pt>
                <c:pt idx="2">
                  <c:v>36.842105865478516</c:v>
                </c:pt>
                <c:pt idx="3">
                  <c:v>36.842105865478516</c:v>
                </c:pt>
                <c:pt idx="4">
                  <c:v>36.842105865478516</c:v>
                </c:pt>
                <c:pt idx="5">
                  <c:v>36.842105865478516</c:v>
                </c:pt>
                <c:pt idx="6">
                  <c:v>36.842105865478516</c:v>
                </c:pt>
                <c:pt idx="7">
                  <c:v>36.842105865478516</c:v>
                </c:pt>
                <c:pt idx="8">
                  <c:v>36.842105865478516</c:v>
                </c:pt>
                <c:pt idx="9">
                  <c:v>36.842105865478516</c:v>
                </c:pt>
                <c:pt idx="10">
                  <c:v>36.842105865478516</c:v>
                </c:pt>
                <c:pt idx="11">
                  <c:v>36.842105865478516</c:v>
                </c:pt>
                <c:pt idx="12">
                  <c:v>36.842105865478516</c:v>
                </c:pt>
                <c:pt idx="13">
                  <c:v>36.842105865478516</c:v>
                </c:pt>
                <c:pt idx="14">
                  <c:v>36.842105865478516</c:v>
                </c:pt>
                <c:pt idx="15">
                  <c:v>36.842105865478516</c:v>
                </c:pt>
                <c:pt idx="16">
                  <c:v>36.842105865478516</c:v>
                </c:pt>
                <c:pt idx="17">
                  <c:v>36.842105865478516</c:v>
                </c:pt>
                <c:pt idx="18">
                  <c:v>36.842105865478516</c:v>
                </c:pt>
                <c:pt idx="19">
                  <c:v>36.842105865478516</c:v>
                </c:pt>
                <c:pt idx="20">
                  <c:v>36.842105865478516</c:v>
                </c:pt>
                <c:pt idx="21">
                  <c:v>36.842105865478516</c:v>
                </c:pt>
                <c:pt idx="22">
                  <c:v>36.842105865478516</c:v>
                </c:pt>
                <c:pt idx="23">
                  <c:v>36.842105865478516</c:v>
                </c:pt>
                <c:pt idx="24">
                  <c:v>36.842105865478516</c:v>
                </c:pt>
                <c:pt idx="25">
                  <c:v>36.842105865478516</c:v>
                </c:pt>
                <c:pt idx="26">
                  <c:v>36.842105865478516</c:v>
                </c:pt>
                <c:pt idx="27">
                  <c:v>36.842105865478516</c:v>
                </c:pt>
                <c:pt idx="28">
                  <c:v>36.842105865478516</c:v>
                </c:pt>
                <c:pt idx="29">
                  <c:v>36.842105865478516</c:v>
                </c:pt>
              </c:numCache>
            </c:numRef>
          </c:val>
          <c:smooth val="0"/>
        </c:ser>
        <c:ser>
          <c:idx val="0"/>
          <c:order val="1"/>
          <c:tx>
            <c:v>Extention Regression %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Data!$X$37:$X$66</c:f>
              <c:numCache>
                <c:formatCode>General</c:formatCode>
                <c:ptCount val="30"/>
                <c:pt idx="0">
                  <c:v>18.348623275756836</c:v>
                </c:pt>
                <c:pt idx="1">
                  <c:v>18.348623275756836</c:v>
                </c:pt>
                <c:pt idx="2">
                  <c:v>18.348623275756836</c:v>
                </c:pt>
                <c:pt idx="3">
                  <c:v>18.348623275756836</c:v>
                </c:pt>
                <c:pt idx="4">
                  <c:v>18.348623275756836</c:v>
                </c:pt>
                <c:pt idx="5">
                  <c:v>18.348623275756836</c:v>
                </c:pt>
                <c:pt idx="6">
                  <c:v>18.348623275756836</c:v>
                </c:pt>
                <c:pt idx="7">
                  <c:v>18.348623275756836</c:v>
                </c:pt>
                <c:pt idx="8">
                  <c:v>18.348623275756836</c:v>
                </c:pt>
                <c:pt idx="9">
                  <c:v>18.348623275756836</c:v>
                </c:pt>
                <c:pt idx="10">
                  <c:v>18.348623275756836</c:v>
                </c:pt>
                <c:pt idx="11">
                  <c:v>18.348623275756836</c:v>
                </c:pt>
                <c:pt idx="12">
                  <c:v>18.348623275756836</c:v>
                </c:pt>
                <c:pt idx="13">
                  <c:v>18.348623275756836</c:v>
                </c:pt>
                <c:pt idx="14">
                  <c:v>18.348623275756836</c:v>
                </c:pt>
                <c:pt idx="15">
                  <c:v>18.348623275756836</c:v>
                </c:pt>
                <c:pt idx="16">
                  <c:v>18.348623275756836</c:v>
                </c:pt>
                <c:pt idx="17">
                  <c:v>18.348623275756836</c:v>
                </c:pt>
                <c:pt idx="18">
                  <c:v>18.348623275756836</c:v>
                </c:pt>
                <c:pt idx="19">
                  <c:v>18.348623275756836</c:v>
                </c:pt>
                <c:pt idx="20">
                  <c:v>18.348623275756836</c:v>
                </c:pt>
                <c:pt idx="21">
                  <c:v>18.348623275756836</c:v>
                </c:pt>
                <c:pt idx="22">
                  <c:v>18.348623275756836</c:v>
                </c:pt>
                <c:pt idx="23">
                  <c:v>18.348623275756836</c:v>
                </c:pt>
                <c:pt idx="24">
                  <c:v>18.348623275756836</c:v>
                </c:pt>
                <c:pt idx="25">
                  <c:v>18.348623275756836</c:v>
                </c:pt>
                <c:pt idx="26">
                  <c:v>18.348623275756836</c:v>
                </c:pt>
                <c:pt idx="27">
                  <c:v>18.348623275756836</c:v>
                </c:pt>
                <c:pt idx="28">
                  <c:v>18.348623275756836</c:v>
                </c:pt>
                <c:pt idx="29">
                  <c:v>18.348623275756836</c:v>
                </c:pt>
              </c:numCache>
            </c:numRef>
          </c:val>
          <c:smooth val="0"/>
        </c:ser>
        <c:ser>
          <c:idx val="2"/>
          <c:order val="2"/>
          <c:tx>
            <c:v>Max Regression</c:v>
          </c:tx>
          <c:spPr>
            <a:ln>
              <a:noFill/>
            </a:ln>
          </c:spPr>
          <c:marker>
            <c:symbol val="none"/>
          </c:marker>
          <c:val>
            <c:numRef>
              <c:f>Data!$AP$37:$AP$66</c:f>
              <c:numCache>
                <c:formatCode>General</c:formatCode>
                <c:ptCount val="30"/>
                <c:pt idx="0">
                  <c:v>48.107883834838873</c:v>
                </c:pt>
                <c:pt idx="1">
                  <c:v>48.107883834838873</c:v>
                </c:pt>
                <c:pt idx="2">
                  <c:v>48.107883834838873</c:v>
                </c:pt>
                <c:pt idx="3">
                  <c:v>48.107883834838873</c:v>
                </c:pt>
                <c:pt idx="4">
                  <c:v>48.107883834838873</c:v>
                </c:pt>
                <c:pt idx="5">
                  <c:v>48.107883834838873</c:v>
                </c:pt>
                <c:pt idx="6">
                  <c:v>48.107883834838873</c:v>
                </c:pt>
                <c:pt idx="7">
                  <c:v>48.107883834838873</c:v>
                </c:pt>
                <c:pt idx="8">
                  <c:v>48.107883834838873</c:v>
                </c:pt>
                <c:pt idx="9">
                  <c:v>48.107883834838873</c:v>
                </c:pt>
                <c:pt idx="10">
                  <c:v>48.107883834838873</c:v>
                </c:pt>
                <c:pt idx="11">
                  <c:v>48.107883834838873</c:v>
                </c:pt>
                <c:pt idx="12">
                  <c:v>48.107883834838873</c:v>
                </c:pt>
                <c:pt idx="13">
                  <c:v>48.107883834838873</c:v>
                </c:pt>
                <c:pt idx="14">
                  <c:v>48.107883834838873</c:v>
                </c:pt>
                <c:pt idx="15">
                  <c:v>48.107883834838873</c:v>
                </c:pt>
                <c:pt idx="16">
                  <c:v>48.107883834838873</c:v>
                </c:pt>
                <c:pt idx="17">
                  <c:v>48.107883834838873</c:v>
                </c:pt>
                <c:pt idx="18">
                  <c:v>48.107883834838873</c:v>
                </c:pt>
                <c:pt idx="19">
                  <c:v>48.107883834838873</c:v>
                </c:pt>
                <c:pt idx="20">
                  <c:v>48.107883834838873</c:v>
                </c:pt>
                <c:pt idx="21">
                  <c:v>48.107883834838873</c:v>
                </c:pt>
                <c:pt idx="22">
                  <c:v>48.107883834838873</c:v>
                </c:pt>
                <c:pt idx="23">
                  <c:v>48.107883834838873</c:v>
                </c:pt>
                <c:pt idx="24">
                  <c:v>48.107883834838873</c:v>
                </c:pt>
                <c:pt idx="25">
                  <c:v>48.107883834838873</c:v>
                </c:pt>
                <c:pt idx="26">
                  <c:v>48.107883834838873</c:v>
                </c:pt>
                <c:pt idx="27">
                  <c:v>48.107883834838873</c:v>
                </c:pt>
                <c:pt idx="28">
                  <c:v>48.107883834838873</c:v>
                </c:pt>
                <c:pt idx="29">
                  <c:v>48.107883834838873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131520"/>
        <c:axId val="137133056"/>
      </c:lineChart>
      <c:dateAx>
        <c:axId val="137131520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7133056"/>
        <c:crosses val="autoZero"/>
        <c:auto val="0"/>
        <c:lblOffset val="100"/>
        <c:baseTimeUnit val="days"/>
      </c:dateAx>
      <c:valAx>
        <c:axId val="137133056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37131520"/>
        <c:crosses val="autoZero"/>
        <c:crossBetween val="between"/>
      </c:valAx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0"/>
          <c:y val="0.88811654640730886"/>
          <c:w val="0.45992207256332662"/>
          <c:h val="9.103226023827031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Number of open bugs</c:v>
          </c:tx>
          <c:invertIfNegative val="0"/>
          <c:cat>
            <c:numRef>
              <c:f>Data!$BC$2:$BC$28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Data!$BD$2:$BD$27</c:f>
              <c:numCache>
                <c:formatCode>General</c:formatCode>
                <c:ptCount val="26"/>
                <c:pt idx="0">
                  <c:v>15</c:v>
                </c:pt>
                <c:pt idx="1">
                  <c:v>10</c:v>
                </c:pt>
                <c:pt idx="2">
                  <c:v>7</c:v>
                </c:pt>
                <c:pt idx="3">
                  <c:v>5</c:v>
                </c:pt>
                <c:pt idx="4">
                  <c:v>7</c:v>
                </c:pt>
                <c:pt idx="5">
                  <c:v>0</c:v>
                </c:pt>
                <c:pt idx="6">
                  <c:v>6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171328"/>
        <c:axId val="137172864"/>
      </c:barChart>
      <c:lineChart>
        <c:grouping val="standard"/>
        <c:varyColors val="0"/>
        <c:ser>
          <c:idx val="1"/>
          <c:order val="1"/>
          <c:tx>
            <c:v>Max</c:v>
          </c:tx>
          <c:marker>
            <c:symbol val="none"/>
          </c:marker>
          <c:val>
            <c:numRef>
              <c:f>Data!$BP$2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171328"/>
        <c:axId val="137172864"/>
      </c:lineChart>
      <c:catAx>
        <c:axId val="13717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7172864"/>
        <c:crosses val="autoZero"/>
        <c:auto val="1"/>
        <c:lblAlgn val="ctr"/>
        <c:lblOffset val="100"/>
        <c:noMultiLvlLbl val="0"/>
      </c:catAx>
      <c:valAx>
        <c:axId val="137172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171328"/>
        <c:crosses val="autoZero"/>
        <c:crossBetween val="between"/>
      </c:valAx>
      <c:spPr>
        <a:noFill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5494371928341178E-2"/>
          <c:y val="0.88850503062117236"/>
          <c:w val="0.26611707546926167"/>
          <c:h val="9.1002139800285306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Escaping Core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Data!$AR$37:$AR$66</c:f>
              <c:numCache>
                <c:formatCode>General</c:formatCode>
                <c:ptCount val="30"/>
                <c:pt idx="0">
                  <c:v>0.24516129032258063</c:v>
                </c:pt>
                <c:pt idx="1">
                  <c:v>0.24516129032258063</c:v>
                </c:pt>
                <c:pt idx="2">
                  <c:v>0.24516129032258063</c:v>
                </c:pt>
                <c:pt idx="3">
                  <c:v>0.24516129032258063</c:v>
                </c:pt>
                <c:pt idx="4">
                  <c:v>0.24516129032258063</c:v>
                </c:pt>
                <c:pt idx="5">
                  <c:v>0.24516129032258063</c:v>
                </c:pt>
                <c:pt idx="6">
                  <c:v>0.24516129032258063</c:v>
                </c:pt>
                <c:pt idx="7">
                  <c:v>0.24516129032258063</c:v>
                </c:pt>
                <c:pt idx="8">
                  <c:v>0.24516129032258063</c:v>
                </c:pt>
                <c:pt idx="9">
                  <c:v>0.24516129032258063</c:v>
                </c:pt>
                <c:pt idx="10">
                  <c:v>0.24516129032258063</c:v>
                </c:pt>
                <c:pt idx="11">
                  <c:v>0.24516129032258063</c:v>
                </c:pt>
                <c:pt idx="12">
                  <c:v>0.24516129032258063</c:v>
                </c:pt>
                <c:pt idx="13">
                  <c:v>0.24516129032258063</c:v>
                </c:pt>
                <c:pt idx="14">
                  <c:v>0.24516129032258063</c:v>
                </c:pt>
                <c:pt idx="15">
                  <c:v>0.24516129032258063</c:v>
                </c:pt>
                <c:pt idx="16">
                  <c:v>0.24516129032258063</c:v>
                </c:pt>
                <c:pt idx="17">
                  <c:v>0.24516129032258063</c:v>
                </c:pt>
                <c:pt idx="18">
                  <c:v>0.24516129032258063</c:v>
                </c:pt>
                <c:pt idx="19">
                  <c:v>0.24516129032258063</c:v>
                </c:pt>
                <c:pt idx="20">
                  <c:v>0.24516129032258063</c:v>
                </c:pt>
                <c:pt idx="21">
                  <c:v>0.24516129032258063</c:v>
                </c:pt>
                <c:pt idx="22">
                  <c:v>0.24516129032258063</c:v>
                </c:pt>
                <c:pt idx="23">
                  <c:v>0.24516129032258063</c:v>
                </c:pt>
                <c:pt idx="24">
                  <c:v>0.24516129032258063</c:v>
                </c:pt>
                <c:pt idx="25">
                  <c:v>0.24516129032258063</c:v>
                </c:pt>
                <c:pt idx="26">
                  <c:v>0.24516129032258063</c:v>
                </c:pt>
                <c:pt idx="27">
                  <c:v>0.24516129032258063</c:v>
                </c:pt>
                <c:pt idx="28">
                  <c:v>0.24516129032258063</c:v>
                </c:pt>
                <c:pt idx="29">
                  <c:v>0.24516129032258063</c:v>
                </c:pt>
              </c:numCache>
            </c:numRef>
          </c:val>
          <c:smooth val="0"/>
        </c:ser>
        <c:ser>
          <c:idx val="2"/>
          <c:order val="1"/>
          <c:tx>
            <c:v>Max</c:v>
          </c:tx>
          <c:spPr>
            <a:ln>
              <a:noFill/>
            </a:ln>
          </c:spPr>
          <c:marker>
            <c:symbol val="none"/>
          </c:marker>
          <c:val>
            <c:numRef>
              <c:f>Data!$AX$37:$AX$66</c:f>
              <c:numCache>
                <c:formatCode>General</c:formatCode>
                <c:ptCount val="30"/>
                <c:pt idx="0">
                  <c:v>0.68</c:v>
                </c:pt>
                <c:pt idx="1">
                  <c:v>0.68</c:v>
                </c:pt>
                <c:pt idx="2">
                  <c:v>0.68</c:v>
                </c:pt>
                <c:pt idx="3">
                  <c:v>0.68</c:v>
                </c:pt>
                <c:pt idx="4">
                  <c:v>0.68</c:v>
                </c:pt>
                <c:pt idx="5">
                  <c:v>0.68</c:v>
                </c:pt>
                <c:pt idx="6">
                  <c:v>0.68</c:v>
                </c:pt>
                <c:pt idx="7">
                  <c:v>0.68</c:v>
                </c:pt>
                <c:pt idx="8">
                  <c:v>0.68</c:v>
                </c:pt>
                <c:pt idx="9">
                  <c:v>0.68</c:v>
                </c:pt>
                <c:pt idx="10">
                  <c:v>0.68</c:v>
                </c:pt>
                <c:pt idx="11">
                  <c:v>0.68</c:v>
                </c:pt>
                <c:pt idx="12">
                  <c:v>0.68</c:v>
                </c:pt>
                <c:pt idx="13">
                  <c:v>0.68</c:v>
                </c:pt>
                <c:pt idx="14">
                  <c:v>0.68</c:v>
                </c:pt>
                <c:pt idx="15">
                  <c:v>0.68</c:v>
                </c:pt>
                <c:pt idx="16">
                  <c:v>0.68</c:v>
                </c:pt>
                <c:pt idx="17">
                  <c:v>0.68</c:v>
                </c:pt>
                <c:pt idx="18">
                  <c:v>0.68</c:v>
                </c:pt>
                <c:pt idx="19">
                  <c:v>0.68</c:v>
                </c:pt>
                <c:pt idx="20">
                  <c:v>0.68</c:v>
                </c:pt>
                <c:pt idx="21">
                  <c:v>0.68</c:v>
                </c:pt>
                <c:pt idx="22">
                  <c:v>0.68</c:v>
                </c:pt>
                <c:pt idx="23">
                  <c:v>0.68</c:v>
                </c:pt>
                <c:pt idx="24">
                  <c:v>0.68</c:v>
                </c:pt>
                <c:pt idx="25">
                  <c:v>0.68</c:v>
                </c:pt>
                <c:pt idx="26">
                  <c:v>0.68</c:v>
                </c:pt>
                <c:pt idx="27">
                  <c:v>0.68</c:v>
                </c:pt>
                <c:pt idx="28">
                  <c:v>0.68</c:v>
                </c:pt>
                <c:pt idx="29">
                  <c:v>0.68</c:v>
                </c:pt>
              </c:numCache>
            </c:numRef>
          </c:val>
          <c:smooth val="0"/>
        </c:ser>
        <c:ser>
          <c:idx val="0"/>
          <c:order val="2"/>
          <c:tx>
            <c:v>Projects Average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Data!$AW$37:$AW$66</c:f>
              <c:numCache>
                <c:formatCode>General</c:formatCode>
                <c:ptCount val="30"/>
                <c:pt idx="0">
                  <c:v>0.26742014065859854</c:v>
                </c:pt>
                <c:pt idx="1">
                  <c:v>0.26742014065859854</c:v>
                </c:pt>
                <c:pt idx="2">
                  <c:v>0.26742014065859854</c:v>
                </c:pt>
                <c:pt idx="3">
                  <c:v>0.26742014065859854</c:v>
                </c:pt>
                <c:pt idx="4">
                  <c:v>0.26742014065859854</c:v>
                </c:pt>
                <c:pt idx="5">
                  <c:v>0.26742014065859854</c:v>
                </c:pt>
                <c:pt idx="6">
                  <c:v>0.26742014065859854</c:v>
                </c:pt>
                <c:pt idx="7">
                  <c:v>0.26742014065859854</c:v>
                </c:pt>
                <c:pt idx="8">
                  <c:v>0.26742014065859854</c:v>
                </c:pt>
                <c:pt idx="9">
                  <c:v>0.26742014065859854</c:v>
                </c:pt>
                <c:pt idx="10">
                  <c:v>0.26742014065859854</c:v>
                </c:pt>
                <c:pt idx="11">
                  <c:v>0.26742014065859854</c:v>
                </c:pt>
                <c:pt idx="12">
                  <c:v>0.26742014065859854</c:v>
                </c:pt>
                <c:pt idx="13">
                  <c:v>0.26742014065859854</c:v>
                </c:pt>
                <c:pt idx="14">
                  <c:v>0.26742014065859854</c:v>
                </c:pt>
                <c:pt idx="15">
                  <c:v>0.26742014065859854</c:v>
                </c:pt>
                <c:pt idx="16">
                  <c:v>0.26742014065859854</c:v>
                </c:pt>
                <c:pt idx="17">
                  <c:v>0.26742014065859854</c:v>
                </c:pt>
                <c:pt idx="18">
                  <c:v>0.26742014065859854</c:v>
                </c:pt>
                <c:pt idx="19">
                  <c:v>0.26742014065859854</c:v>
                </c:pt>
                <c:pt idx="20">
                  <c:v>0.26742014065859854</c:v>
                </c:pt>
                <c:pt idx="21">
                  <c:v>0.26742014065859854</c:v>
                </c:pt>
                <c:pt idx="22">
                  <c:v>0.26742014065859854</c:v>
                </c:pt>
                <c:pt idx="23">
                  <c:v>0.26742014065859854</c:v>
                </c:pt>
                <c:pt idx="24">
                  <c:v>0.26742014065859854</c:v>
                </c:pt>
                <c:pt idx="25">
                  <c:v>0.26742014065859854</c:v>
                </c:pt>
                <c:pt idx="26">
                  <c:v>0.26742014065859854</c:v>
                </c:pt>
                <c:pt idx="27">
                  <c:v>0.26742014065859854</c:v>
                </c:pt>
                <c:pt idx="28">
                  <c:v>0.26742014065859854</c:v>
                </c:pt>
                <c:pt idx="29">
                  <c:v>0.26742014065859854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211264"/>
        <c:axId val="137213056"/>
      </c:lineChart>
      <c:dateAx>
        <c:axId val="137211264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7213056"/>
        <c:crosses val="autoZero"/>
        <c:auto val="0"/>
        <c:lblOffset val="100"/>
        <c:baseTimeUnit val="days"/>
      </c:dateAx>
      <c:valAx>
        <c:axId val="13721305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7211264"/>
        <c:crosses val="autoZero"/>
        <c:crossBetween val="between"/>
      </c:valAx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"/>
          <c:y val="0.88811654640730886"/>
          <c:w val="0.3651524331990666"/>
          <c:h val="9.309096893603256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16716604244694E-2"/>
          <c:y val="0.11832997650218194"/>
          <c:w val="0.92539213483146066"/>
          <c:h val="0.5711555891238671"/>
        </c:manualLayout>
      </c:layout>
      <c:lineChart>
        <c:grouping val="standard"/>
        <c:varyColors val="0"/>
        <c:ser>
          <c:idx val="2"/>
          <c:order val="0"/>
          <c:tx>
            <c:v>Trend Core</c:v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rgbClr val="00B0F0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Data!$DO$2:$DO$6</c:f>
              <c:numCache>
                <c:formatCode>General</c:formatCode>
                <c:ptCount val="5"/>
                <c:pt idx="0">
                  <c:v>0.22424242424242424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ser>
          <c:idx val="3"/>
          <c:order val="1"/>
          <c:tx>
            <c:v>Trend  Extension</c:v>
          </c:tx>
          <c:spPr>
            <a:ln w="2540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6">
                    <a:lumMod val="75000"/>
                  </a:schemeClr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Data!$DN$2:$DN$6</c:f>
              <c:numCache>
                <c:formatCode>General</c:formatCode>
                <c:ptCount val="5"/>
                <c:pt idx="0">
                  <c:v>0.18095238095238095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632384"/>
        <c:axId val="137642368"/>
      </c:lineChart>
      <c:dateAx>
        <c:axId val="137632384"/>
        <c:scaling>
          <c:orientation val="minMax"/>
        </c:scaling>
        <c:delete val="0"/>
        <c:axPos val="b"/>
        <c:numFmt formatCode="dd/mm" sourceLinked="0"/>
        <c:majorTickMark val="out"/>
        <c:minorTickMark val="none"/>
        <c:tickLblPos val="nextTo"/>
        <c:crossAx val="137642368"/>
        <c:crosses val="autoZero"/>
        <c:auto val="0"/>
        <c:lblOffset val="100"/>
        <c:baseTimeUnit val="days"/>
        <c:majorUnit val="7"/>
        <c:majorTimeUnit val="days"/>
      </c:dateAx>
      <c:valAx>
        <c:axId val="137642368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763238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8360549313358304E-2"/>
          <c:y val="0.87130748573346761"/>
          <c:w val="0.90317382768098875"/>
          <c:h val="7.262214211175410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681881664777115E-2"/>
          <c:y val="4.1408004905457471E-2"/>
          <c:w val="0.9239190943297021"/>
          <c:h val="0.43005348927827208"/>
        </c:manualLayout>
      </c:layout>
      <c:lineChart>
        <c:grouping val="standard"/>
        <c:varyColors val="0"/>
        <c:ser>
          <c:idx val="0"/>
          <c:order val="0"/>
          <c:tx>
            <c:v>Defect Density</c:v>
          </c:tx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Data!$J$2:$J$28</c:f>
              <c:numCache>
                <c:formatCode>General</c:formatCode>
                <c:ptCount val="2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2.5999999046325684</c:v>
                </c:pt>
                <c:pt idx="17">
                  <c:v>3.7999999523162842</c:v>
                </c:pt>
                <c:pt idx="18">
                  <c:v>5.1999998092651367</c:v>
                </c:pt>
                <c:pt idx="19">
                  <c:v>2.125</c:v>
                </c:pt>
                <c:pt idx="20">
                  <c:v>2.2105262279510498</c:v>
                </c:pt>
                <c:pt idx="21">
                  <c:v>2.263157844543457</c:v>
                </c:pt>
                <c:pt idx="22">
                  <c:v>2.736842155456543</c:v>
                </c:pt>
                <c:pt idx="23">
                  <c:v>3.2105262279510498</c:v>
                </c:pt>
                <c:pt idx="24">
                  <c:v>3.736842155456543</c:v>
                </c:pt>
                <c:pt idx="25">
                  <c:v>4.6842103004455566</c:v>
                </c:pt>
                <c:pt idx="26">
                  <c:v>5.736842155456543</c:v>
                </c:pt>
              </c:numCache>
            </c:numRef>
          </c:val>
          <c:smooth val="0"/>
        </c:ser>
        <c:ser>
          <c:idx val="1"/>
          <c:order val="1"/>
          <c:tx>
            <c:v>Target Density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Data!$A$2:$A$28</c:f>
              <c:numCache>
                <c:formatCode>m/d/yyyy</c:formatCode>
                <c:ptCount val="27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</c:numCache>
            </c:numRef>
          </c:cat>
          <c:val>
            <c:numRef>
              <c:f>Data!$R$2:$R$28</c:f>
              <c:numCache>
                <c:formatCode>General</c:formatCode>
                <c:ptCount val="27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507968"/>
        <c:axId val="137509504"/>
      </c:lineChart>
      <c:catAx>
        <c:axId val="137507968"/>
        <c:scaling>
          <c:orientation val="minMax"/>
        </c:scaling>
        <c:delete val="1"/>
        <c:axPos val="b"/>
        <c:numFmt formatCode="dd/mm" sourceLinked="0"/>
        <c:majorTickMark val="none"/>
        <c:minorTickMark val="none"/>
        <c:tickLblPos val="low"/>
        <c:crossAx val="137509504"/>
        <c:crosses val="autoZero"/>
        <c:auto val="0"/>
        <c:lblAlgn val="ctr"/>
        <c:lblOffset val="100"/>
        <c:noMultiLvlLbl val="0"/>
      </c:catAx>
      <c:valAx>
        <c:axId val="13750950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crossAx val="13750796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34678474994934E-2"/>
          <c:y val="0.116104924425824"/>
          <c:w val="0.9232541912445299"/>
          <c:h val="0.26384695151732418"/>
        </c:manualLayout>
      </c:layout>
      <c:areaChart>
        <c:grouping val="stacked"/>
        <c:varyColors val="0"/>
        <c:ser>
          <c:idx val="2"/>
          <c:order val="0"/>
          <c:tx>
            <c:v>Done User Stories</c:v>
          </c:tx>
          <c:cat>
            <c:numRef>
              <c:f>Data!$A$2:$A$66</c:f>
              <c:numCache>
                <c:formatCode>m/d/yyyy</c:formatCode>
                <c:ptCount val="65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  <c:pt idx="27">
                  <c:v>41836</c:v>
                </c:pt>
                <c:pt idx="28">
                  <c:v>41843</c:v>
                </c:pt>
                <c:pt idx="29">
                  <c:v>41850</c:v>
                </c:pt>
                <c:pt idx="30">
                  <c:v>41857</c:v>
                </c:pt>
                <c:pt idx="31">
                  <c:v>41864</c:v>
                </c:pt>
                <c:pt idx="32">
                  <c:v>41871</c:v>
                </c:pt>
                <c:pt idx="33">
                  <c:v>41878</c:v>
                </c:pt>
                <c:pt idx="34">
                  <c:v>41885</c:v>
                </c:pt>
                <c:pt idx="35">
                  <c:v>41892</c:v>
                </c:pt>
                <c:pt idx="36">
                  <c:v>41899</c:v>
                </c:pt>
                <c:pt idx="37">
                  <c:v>41906</c:v>
                </c:pt>
                <c:pt idx="38">
                  <c:v>41913</c:v>
                </c:pt>
                <c:pt idx="39">
                  <c:v>41920</c:v>
                </c:pt>
                <c:pt idx="40">
                  <c:v>41927</c:v>
                </c:pt>
                <c:pt idx="41">
                  <c:v>41934</c:v>
                </c:pt>
                <c:pt idx="42">
                  <c:v>41941</c:v>
                </c:pt>
                <c:pt idx="43">
                  <c:v>41948</c:v>
                </c:pt>
                <c:pt idx="44">
                  <c:v>41955</c:v>
                </c:pt>
                <c:pt idx="45">
                  <c:v>41962</c:v>
                </c:pt>
                <c:pt idx="46">
                  <c:v>41969</c:v>
                </c:pt>
                <c:pt idx="47">
                  <c:v>41976</c:v>
                </c:pt>
                <c:pt idx="48">
                  <c:v>41983</c:v>
                </c:pt>
                <c:pt idx="49">
                  <c:v>41990</c:v>
                </c:pt>
                <c:pt idx="50">
                  <c:v>41997</c:v>
                </c:pt>
                <c:pt idx="51">
                  <c:v>42004</c:v>
                </c:pt>
                <c:pt idx="52">
                  <c:v>42011</c:v>
                </c:pt>
                <c:pt idx="53">
                  <c:v>42018</c:v>
                </c:pt>
                <c:pt idx="54">
                  <c:v>42025</c:v>
                </c:pt>
                <c:pt idx="55">
                  <c:v>42032</c:v>
                </c:pt>
                <c:pt idx="56">
                  <c:v>42039</c:v>
                </c:pt>
                <c:pt idx="57">
                  <c:v>42046</c:v>
                </c:pt>
                <c:pt idx="58">
                  <c:v>42053</c:v>
                </c:pt>
                <c:pt idx="59">
                  <c:v>42060</c:v>
                </c:pt>
                <c:pt idx="60">
                  <c:v>42067</c:v>
                </c:pt>
                <c:pt idx="61">
                  <c:v>42074</c:v>
                </c:pt>
                <c:pt idx="62">
                  <c:v>42081</c:v>
                </c:pt>
                <c:pt idx="63">
                  <c:v>42088</c:v>
                </c:pt>
                <c:pt idx="64">
                  <c:v>42095</c:v>
                </c:pt>
              </c:numCache>
            </c:numRef>
          </c:cat>
          <c:val>
            <c:numRef>
              <c:f>Data!$D$2:$D$28</c:f>
              <c:numCache>
                <c:formatCode>General</c:formatCode>
                <c:ptCount val="2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16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29216"/>
        <c:axId val="137530752"/>
      </c:areaChart>
      <c:catAx>
        <c:axId val="137529216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spPr>
          <a:ln>
            <a:solidFill>
              <a:schemeClr val="accent6">
                <a:lumMod val="75000"/>
              </a:schemeClr>
            </a:solidFill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137530752"/>
        <c:crosses val="autoZero"/>
        <c:auto val="0"/>
        <c:lblAlgn val="ctr"/>
        <c:lblOffset val="100"/>
        <c:noMultiLvlLbl val="0"/>
      </c:catAx>
      <c:valAx>
        <c:axId val="137530752"/>
        <c:scaling>
          <c:orientation val="minMax"/>
        </c:scaling>
        <c:delete val="0"/>
        <c:axPos val="l"/>
        <c:majorGridlines>
          <c:spPr>
            <a:ln>
              <a:solidFill>
                <a:schemeClr val="accent6">
                  <a:lumMod val="75000"/>
                </a:schemeClr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chemeClr val="accent6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accent6">
                    <a:lumMod val="75000"/>
                  </a:schemeClr>
                </a:solidFill>
              </a:defRPr>
            </a:pPr>
            <a:endParaRPr lang="en-US"/>
          </a:p>
        </c:txPr>
        <c:crossAx val="137529216"/>
        <c:crosses val="autoZero"/>
        <c:crossBetween val="between"/>
      </c:valAx>
      <c:spPr>
        <a:noFill/>
        <a:ln>
          <a:solidFill>
            <a:schemeClr val="bg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294651404567945E-2"/>
          <c:y val="7.1412364596986744E-2"/>
          <c:w val="1.2749958615760726E-2"/>
          <c:h val="5.9063265392944715E-2"/>
        </c:manualLayout>
      </c:layout>
      <c:areaChart>
        <c:grouping val="stacked"/>
        <c:varyColors val="0"/>
        <c:ser>
          <c:idx val="2"/>
          <c:order val="2"/>
          <c:tx>
            <c:v>Done User Stories</c:v>
          </c:tx>
          <c:spPr>
            <a:solidFill>
              <a:schemeClr val="accent6">
                <a:lumMod val="60000"/>
                <a:lumOff val="40000"/>
              </a:schemeClr>
            </a:solidFill>
          </c:spPr>
          <c:cat>
            <c:numRef>
              <c:f>Data!$A$2:$A$66</c:f>
              <c:numCache>
                <c:formatCode>m/d/yyyy</c:formatCode>
                <c:ptCount val="65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  <c:pt idx="27">
                  <c:v>41836</c:v>
                </c:pt>
                <c:pt idx="28">
                  <c:v>41843</c:v>
                </c:pt>
                <c:pt idx="29">
                  <c:v>41850</c:v>
                </c:pt>
                <c:pt idx="30">
                  <c:v>41857</c:v>
                </c:pt>
                <c:pt idx="31">
                  <c:v>41864</c:v>
                </c:pt>
                <c:pt idx="32">
                  <c:v>41871</c:v>
                </c:pt>
                <c:pt idx="33">
                  <c:v>41878</c:v>
                </c:pt>
                <c:pt idx="34">
                  <c:v>41885</c:v>
                </c:pt>
                <c:pt idx="35">
                  <c:v>41892</c:v>
                </c:pt>
                <c:pt idx="36">
                  <c:v>41899</c:v>
                </c:pt>
                <c:pt idx="37">
                  <c:v>41906</c:v>
                </c:pt>
                <c:pt idx="38">
                  <c:v>41913</c:v>
                </c:pt>
                <c:pt idx="39">
                  <c:v>41920</c:v>
                </c:pt>
                <c:pt idx="40">
                  <c:v>41927</c:v>
                </c:pt>
                <c:pt idx="41">
                  <c:v>41934</c:v>
                </c:pt>
                <c:pt idx="42">
                  <c:v>41941</c:v>
                </c:pt>
                <c:pt idx="43">
                  <c:v>41948</c:v>
                </c:pt>
                <c:pt idx="44">
                  <c:v>41955</c:v>
                </c:pt>
                <c:pt idx="45">
                  <c:v>41962</c:v>
                </c:pt>
                <c:pt idx="46">
                  <c:v>41969</c:v>
                </c:pt>
                <c:pt idx="47">
                  <c:v>41976</c:v>
                </c:pt>
                <c:pt idx="48">
                  <c:v>41983</c:v>
                </c:pt>
                <c:pt idx="49">
                  <c:v>41990</c:v>
                </c:pt>
                <c:pt idx="50">
                  <c:v>41997</c:v>
                </c:pt>
                <c:pt idx="51">
                  <c:v>42004</c:v>
                </c:pt>
                <c:pt idx="52">
                  <c:v>42011</c:v>
                </c:pt>
                <c:pt idx="53">
                  <c:v>42018</c:v>
                </c:pt>
                <c:pt idx="54">
                  <c:v>42025</c:v>
                </c:pt>
                <c:pt idx="55">
                  <c:v>42032</c:v>
                </c:pt>
                <c:pt idx="56">
                  <c:v>42039</c:v>
                </c:pt>
                <c:pt idx="57">
                  <c:v>42046</c:v>
                </c:pt>
                <c:pt idx="58">
                  <c:v>42053</c:v>
                </c:pt>
                <c:pt idx="59">
                  <c:v>42060</c:v>
                </c:pt>
                <c:pt idx="60">
                  <c:v>42067</c:v>
                </c:pt>
                <c:pt idx="61">
                  <c:v>42074</c:v>
                </c:pt>
                <c:pt idx="62">
                  <c:v>42081</c:v>
                </c:pt>
                <c:pt idx="63">
                  <c:v>42088</c:v>
                </c:pt>
                <c:pt idx="64">
                  <c:v>42095</c:v>
                </c:pt>
              </c:numCache>
            </c:numRef>
          </c:cat>
          <c:val>
            <c:numRef>
              <c:f>Data!$H$37:$H$66</c:f>
              <c:numCache>
                <c:formatCode>General</c:formatCode>
                <c:ptCount val="30"/>
                <c:pt idx="0">
                  <c:v>171</c:v>
                </c:pt>
                <c:pt idx="1">
                  <c:v>171</c:v>
                </c:pt>
                <c:pt idx="2">
                  <c:v>171</c:v>
                </c:pt>
                <c:pt idx="3">
                  <c:v>171</c:v>
                </c:pt>
                <c:pt idx="4">
                  <c:v>171</c:v>
                </c:pt>
                <c:pt idx="5">
                  <c:v>171</c:v>
                </c:pt>
                <c:pt idx="6">
                  <c:v>171</c:v>
                </c:pt>
                <c:pt idx="7">
                  <c:v>171</c:v>
                </c:pt>
                <c:pt idx="8">
                  <c:v>171</c:v>
                </c:pt>
                <c:pt idx="9">
                  <c:v>171</c:v>
                </c:pt>
                <c:pt idx="10">
                  <c:v>171</c:v>
                </c:pt>
                <c:pt idx="11">
                  <c:v>171</c:v>
                </c:pt>
                <c:pt idx="12">
                  <c:v>171</c:v>
                </c:pt>
                <c:pt idx="13">
                  <c:v>171</c:v>
                </c:pt>
                <c:pt idx="14">
                  <c:v>171</c:v>
                </c:pt>
                <c:pt idx="15">
                  <c:v>171</c:v>
                </c:pt>
                <c:pt idx="16">
                  <c:v>171</c:v>
                </c:pt>
                <c:pt idx="17">
                  <c:v>171</c:v>
                </c:pt>
                <c:pt idx="18">
                  <c:v>171</c:v>
                </c:pt>
                <c:pt idx="19">
                  <c:v>171</c:v>
                </c:pt>
                <c:pt idx="20">
                  <c:v>171</c:v>
                </c:pt>
                <c:pt idx="21">
                  <c:v>171</c:v>
                </c:pt>
                <c:pt idx="22">
                  <c:v>171</c:v>
                </c:pt>
                <c:pt idx="23">
                  <c:v>171</c:v>
                </c:pt>
                <c:pt idx="24">
                  <c:v>171</c:v>
                </c:pt>
                <c:pt idx="25">
                  <c:v>171</c:v>
                </c:pt>
                <c:pt idx="26">
                  <c:v>171</c:v>
                </c:pt>
                <c:pt idx="27">
                  <c:v>171</c:v>
                </c:pt>
                <c:pt idx="28">
                  <c:v>171</c:v>
                </c:pt>
                <c:pt idx="29">
                  <c:v>171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55872"/>
        <c:axId val="137454336"/>
      </c:areaChart>
      <c:lineChart>
        <c:grouping val="standard"/>
        <c:varyColors val="0"/>
        <c:ser>
          <c:idx val="0"/>
          <c:order val="0"/>
          <c:tx>
            <c:v>Defect Density</c:v>
          </c:tx>
          <c:marker>
            <c:symbol val="none"/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Data!$N$37:$N$66</c:f>
              <c:numCache>
                <c:formatCode>General</c:formatCode>
                <c:ptCount val="30"/>
                <c:pt idx="0">
                  <c:v>1.5497076511383057</c:v>
                </c:pt>
                <c:pt idx="1">
                  <c:v>1.5497076511383057</c:v>
                </c:pt>
                <c:pt idx="2">
                  <c:v>1.5497076511383057</c:v>
                </c:pt>
                <c:pt idx="3">
                  <c:v>1.5497076511383057</c:v>
                </c:pt>
                <c:pt idx="4">
                  <c:v>1.5497076511383057</c:v>
                </c:pt>
                <c:pt idx="5">
                  <c:v>1.5497076511383057</c:v>
                </c:pt>
                <c:pt idx="6">
                  <c:v>1.5497076511383057</c:v>
                </c:pt>
                <c:pt idx="7">
                  <c:v>1.5497076511383057</c:v>
                </c:pt>
                <c:pt idx="8">
                  <c:v>1.5497076511383057</c:v>
                </c:pt>
                <c:pt idx="9">
                  <c:v>1.5497076511383057</c:v>
                </c:pt>
                <c:pt idx="10">
                  <c:v>1.5497076511383057</c:v>
                </c:pt>
                <c:pt idx="11">
                  <c:v>1.5497076511383057</c:v>
                </c:pt>
                <c:pt idx="12">
                  <c:v>1.5497076511383057</c:v>
                </c:pt>
                <c:pt idx="13">
                  <c:v>1.5497076511383057</c:v>
                </c:pt>
                <c:pt idx="14">
                  <c:v>1.5497076511383057</c:v>
                </c:pt>
                <c:pt idx="15">
                  <c:v>1.5497076511383057</c:v>
                </c:pt>
                <c:pt idx="16">
                  <c:v>1.5497076511383057</c:v>
                </c:pt>
                <c:pt idx="17">
                  <c:v>1.5497076511383057</c:v>
                </c:pt>
                <c:pt idx="18">
                  <c:v>1.5497076511383057</c:v>
                </c:pt>
                <c:pt idx="19">
                  <c:v>1.5497076511383057</c:v>
                </c:pt>
                <c:pt idx="20">
                  <c:v>1.5497076511383057</c:v>
                </c:pt>
                <c:pt idx="21">
                  <c:v>1.5497076511383057</c:v>
                </c:pt>
                <c:pt idx="22">
                  <c:v>1.5497076511383057</c:v>
                </c:pt>
                <c:pt idx="23">
                  <c:v>1.5497076511383057</c:v>
                </c:pt>
                <c:pt idx="24">
                  <c:v>1.5497076511383057</c:v>
                </c:pt>
                <c:pt idx="25">
                  <c:v>1.5497076511383057</c:v>
                </c:pt>
                <c:pt idx="26">
                  <c:v>1.5497076511383057</c:v>
                </c:pt>
                <c:pt idx="27">
                  <c:v>1.5497076511383057</c:v>
                </c:pt>
                <c:pt idx="28">
                  <c:v>1.5497076511383057</c:v>
                </c:pt>
                <c:pt idx="29">
                  <c:v>1.5497076511383057</c:v>
                </c:pt>
              </c:numCache>
            </c:numRef>
          </c:val>
          <c:smooth val="0"/>
        </c:ser>
        <c:ser>
          <c:idx val="1"/>
          <c:order val="1"/>
          <c:tx>
            <c:v>Target Density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Data!$V$37:$V$66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446912"/>
        <c:axId val="137448448"/>
      </c:lineChart>
      <c:dateAx>
        <c:axId val="137446912"/>
        <c:scaling>
          <c:orientation val="minMax"/>
        </c:scaling>
        <c:delete val="1"/>
        <c:axPos val="b"/>
        <c:numFmt formatCode="dd/mm" sourceLinked="0"/>
        <c:majorTickMark val="none"/>
        <c:minorTickMark val="none"/>
        <c:tickLblPos val="low"/>
        <c:crossAx val="137448448"/>
        <c:crosses val="autoZero"/>
        <c:auto val="0"/>
        <c:lblOffset val="100"/>
        <c:baseTimeUnit val="days"/>
      </c:dateAx>
      <c:valAx>
        <c:axId val="137448448"/>
        <c:scaling>
          <c:orientation val="minMax"/>
          <c:min val="-0.5"/>
        </c:scaling>
        <c:delete val="1"/>
        <c:axPos val="l"/>
        <c:majorGridlines/>
        <c:numFmt formatCode="0.0;;0;" sourceLinked="0"/>
        <c:majorTickMark val="out"/>
        <c:minorTickMark val="none"/>
        <c:tickLblPos val="nextTo"/>
        <c:crossAx val="137446912"/>
        <c:crosses val="autoZero"/>
        <c:crossBetween val="between"/>
      </c:valAx>
      <c:valAx>
        <c:axId val="137454336"/>
        <c:scaling>
          <c:orientation val="minMax"/>
        </c:scaling>
        <c:delete val="0"/>
        <c:axPos val="r"/>
        <c:numFmt formatCode="\ " sourceLinked="0"/>
        <c:majorTickMark val="none"/>
        <c:minorTickMark val="none"/>
        <c:tickLblPos val="nextTo"/>
        <c:crossAx val="137455872"/>
        <c:crosses val="max"/>
        <c:crossBetween val="between"/>
      </c:valAx>
      <c:dateAx>
        <c:axId val="13745587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37454336"/>
        <c:crosses val="autoZero"/>
        <c:auto val="1"/>
        <c:lblOffset val="100"/>
        <c:baseTimeUnit val="days"/>
      </c:dateAx>
    </c:plotArea>
    <c:legend>
      <c:legendPos val="b"/>
      <c:layout>
        <c:manualLayout>
          <c:xMode val="edge"/>
          <c:yMode val="edge"/>
          <c:x val="0"/>
          <c:y val="4.8873726497554427E-4"/>
          <c:w val="0.68024796781367691"/>
          <c:h val="0.94480560428347038"/>
        </c:manualLayout>
      </c:layout>
      <c:overlay val="0"/>
      <c:spPr>
        <a:solidFill>
          <a:sysClr val="window" lastClr="FFFFFF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2"/>
          <c:order val="2"/>
          <c:tx>
            <c:v>Done User Stories</c:v>
          </c:tx>
          <c:spPr>
            <a:solidFill>
              <a:schemeClr val="bg2">
                <a:lumMod val="50000"/>
              </a:schemeClr>
            </a:solidFill>
          </c:spPr>
          <c:cat>
            <c:numRef>
              <c:f>Data!$A$2:$A$66</c:f>
              <c:numCache>
                <c:formatCode>m/d/yyyy</c:formatCode>
                <c:ptCount val="65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  <c:pt idx="27">
                  <c:v>41836</c:v>
                </c:pt>
                <c:pt idx="28">
                  <c:v>41843</c:v>
                </c:pt>
                <c:pt idx="29">
                  <c:v>41850</c:v>
                </c:pt>
                <c:pt idx="30">
                  <c:v>41857</c:v>
                </c:pt>
                <c:pt idx="31">
                  <c:v>41864</c:v>
                </c:pt>
                <c:pt idx="32">
                  <c:v>41871</c:v>
                </c:pt>
                <c:pt idx="33">
                  <c:v>41878</c:v>
                </c:pt>
                <c:pt idx="34">
                  <c:v>41885</c:v>
                </c:pt>
                <c:pt idx="35">
                  <c:v>41892</c:v>
                </c:pt>
                <c:pt idx="36">
                  <c:v>41899</c:v>
                </c:pt>
                <c:pt idx="37">
                  <c:v>41906</c:v>
                </c:pt>
                <c:pt idx="38">
                  <c:v>41913</c:v>
                </c:pt>
                <c:pt idx="39">
                  <c:v>41920</c:v>
                </c:pt>
                <c:pt idx="40">
                  <c:v>41927</c:v>
                </c:pt>
                <c:pt idx="41">
                  <c:v>41934</c:v>
                </c:pt>
                <c:pt idx="42">
                  <c:v>41941</c:v>
                </c:pt>
                <c:pt idx="43">
                  <c:v>41948</c:v>
                </c:pt>
                <c:pt idx="44">
                  <c:v>41955</c:v>
                </c:pt>
                <c:pt idx="45">
                  <c:v>41962</c:v>
                </c:pt>
                <c:pt idx="46">
                  <c:v>41969</c:v>
                </c:pt>
                <c:pt idx="47">
                  <c:v>41976</c:v>
                </c:pt>
                <c:pt idx="48">
                  <c:v>41983</c:v>
                </c:pt>
                <c:pt idx="49">
                  <c:v>41990</c:v>
                </c:pt>
                <c:pt idx="50">
                  <c:v>41997</c:v>
                </c:pt>
                <c:pt idx="51">
                  <c:v>42004</c:v>
                </c:pt>
                <c:pt idx="52">
                  <c:v>42011</c:v>
                </c:pt>
                <c:pt idx="53">
                  <c:v>42018</c:v>
                </c:pt>
                <c:pt idx="54">
                  <c:v>42025</c:v>
                </c:pt>
                <c:pt idx="55">
                  <c:v>42032</c:v>
                </c:pt>
                <c:pt idx="56">
                  <c:v>42039</c:v>
                </c:pt>
                <c:pt idx="57">
                  <c:v>42046</c:v>
                </c:pt>
                <c:pt idx="58">
                  <c:v>42053</c:v>
                </c:pt>
                <c:pt idx="59">
                  <c:v>42060</c:v>
                </c:pt>
                <c:pt idx="60">
                  <c:v>42067</c:v>
                </c:pt>
                <c:pt idx="61">
                  <c:v>42074</c:v>
                </c:pt>
                <c:pt idx="62">
                  <c:v>42081</c:v>
                </c:pt>
                <c:pt idx="63">
                  <c:v>42088</c:v>
                </c:pt>
                <c:pt idx="64">
                  <c:v>42095</c:v>
                </c:pt>
              </c:numCache>
            </c:numRef>
          </c:cat>
          <c:val>
            <c:numRef>
              <c:f>Data!$E$37:$E$66</c:f>
              <c:numCache>
                <c:formatCode>General</c:formatCode>
                <c:ptCount val="30"/>
                <c:pt idx="0">
                  <c:v>2205</c:v>
                </c:pt>
                <c:pt idx="1">
                  <c:v>2205</c:v>
                </c:pt>
                <c:pt idx="2">
                  <c:v>2205</c:v>
                </c:pt>
                <c:pt idx="3">
                  <c:v>2205</c:v>
                </c:pt>
                <c:pt idx="4">
                  <c:v>2205</c:v>
                </c:pt>
                <c:pt idx="5">
                  <c:v>2205</c:v>
                </c:pt>
                <c:pt idx="6">
                  <c:v>2205</c:v>
                </c:pt>
                <c:pt idx="7">
                  <c:v>2205</c:v>
                </c:pt>
                <c:pt idx="8">
                  <c:v>2205</c:v>
                </c:pt>
                <c:pt idx="9">
                  <c:v>2205</c:v>
                </c:pt>
                <c:pt idx="10">
                  <c:v>2205</c:v>
                </c:pt>
                <c:pt idx="11">
                  <c:v>2205</c:v>
                </c:pt>
                <c:pt idx="12">
                  <c:v>2205</c:v>
                </c:pt>
                <c:pt idx="13">
                  <c:v>2205</c:v>
                </c:pt>
                <c:pt idx="14">
                  <c:v>2205</c:v>
                </c:pt>
                <c:pt idx="15">
                  <c:v>2205</c:v>
                </c:pt>
                <c:pt idx="16">
                  <c:v>2205</c:v>
                </c:pt>
                <c:pt idx="17">
                  <c:v>2205</c:v>
                </c:pt>
                <c:pt idx="18">
                  <c:v>2205</c:v>
                </c:pt>
                <c:pt idx="19">
                  <c:v>2205</c:v>
                </c:pt>
                <c:pt idx="20">
                  <c:v>2205</c:v>
                </c:pt>
                <c:pt idx="21">
                  <c:v>2205</c:v>
                </c:pt>
                <c:pt idx="22">
                  <c:v>2205</c:v>
                </c:pt>
                <c:pt idx="23">
                  <c:v>2205</c:v>
                </c:pt>
                <c:pt idx="24">
                  <c:v>2205</c:v>
                </c:pt>
                <c:pt idx="25">
                  <c:v>2205</c:v>
                </c:pt>
                <c:pt idx="26">
                  <c:v>2205</c:v>
                </c:pt>
                <c:pt idx="27">
                  <c:v>2205</c:v>
                </c:pt>
                <c:pt idx="28">
                  <c:v>2205</c:v>
                </c:pt>
                <c:pt idx="29">
                  <c:v>2205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98880"/>
        <c:axId val="136697344"/>
      </c:areaChart>
      <c:lineChart>
        <c:grouping val="standard"/>
        <c:varyColors val="0"/>
        <c:ser>
          <c:idx val="0"/>
          <c:order val="0"/>
          <c:tx>
            <c:v>Defect Density</c:v>
          </c:tx>
          <c:marker>
            <c:symbol val="none"/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Data!$K$37:$K$66</c:f>
              <c:numCache>
                <c:formatCode>General</c:formatCode>
                <c:ptCount val="30"/>
                <c:pt idx="0">
                  <c:v>0.52698415517807007</c:v>
                </c:pt>
                <c:pt idx="1">
                  <c:v>0.52698415517807007</c:v>
                </c:pt>
                <c:pt idx="2">
                  <c:v>0.52698415517807007</c:v>
                </c:pt>
                <c:pt idx="3">
                  <c:v>0.52698415517807007</c:v>
                </c:pt>
                <c:pt idx="4">
                  <c:v>0.52698415517807007</c:v>
                </c:pt>
                <c:pt idx="5">
                  <c:v>0.52698415517807007</c:v>
                </c:pt>
                <c:pt idx="6">
                  <c:v>0.52698415517807007</c:v>
                </c:pt>
                <c:pt idx="7">
                  <c:v>0.52698415517807007</c:v>
                </c:pt>
                <c:pt idx="8">
                  <c:v>0.52698415517807007</c:v>
                </c:pt>
                <c:pt idx="9">
                  <c:v>0.52698415517807007</c:v>
                </c:pt>
                <c:pt idx="10">
                  <c:v>0.52698415517807007</c:v>
                </c:pt>
                <c:pt idx="11">
                  <c:v>0.52698415517807007</c:v>
                </c:pt>
                <c:pt idx="12">
                  <c:v>0.52698415517807007</c:v>
                </c:pt>
                <c:pt idx="13">
                  <c:v>0.52698415517807007</c:v>
                </c:pt>
                <c:pt idx="14">
                  <c:v>0.52698415517807007</c:v>
                </c:pt>
                <c:pt idx="15">
                  <c:v>0.52698415517807007</c:v>
                </c:pt>
                <c:pt idx="16">
                  <c:v>0.52698415517807007</c:v>
                </c:pt>
                <c:pt idx="17">
                  <c:v>0.52698415517807007</c:v>
                </c:pt>
                <c:pt idx="18">
                  <c:v>0.52698415517807007</c:v>
                </c:pt>
                <c:pt idx="19">
                  <c:v>0.52698415517807007</c:v>
                </c:pt>
                <c:pt idx="20">
                  <c:v>0.52698415517807007</c:v>
                </c:pt>
                <c:pt idx="21">
                  <c:v>0.52698415517807007</c:v>
                </c:pt>
                <c:pt idx="22">
                  <c:v>0.52698415517807007</c:v>
                </c:pt>
                <c:pt idx="23">
                  <c:v>0.52698415517807007</c:v>
                </c:pt>
                <c:pt idx="24">
                  <c:v>0.52698415517807007</c:v>
                </c:pt>
                <c:pt idx="25">
                  <c:v>0.52698415517807007</c:v>
                </c:pt>
                <c:pt idx="26">
                  <c:v>0.52698415517807007</c:v>
                </c:pt>
                <c:pt idx="27">
                  <c:v>0.52698415517807007</c:v>
                </c:pt>
                <c:pt idx="28">
                  <c:v>0.52698415517807007</c:v>
                </c:pt>
                <c:pt idx="29">
                  <c:v>0.52698415517807007</c:v>
                </c:pt>
              </c:numCache>
            </c:numRef>
          </c:val>
          <c:smooth val="0"/>
        </c:ser>
        <c:ser>
          <c:idx val="1"/>
          <c:order val="1"/>
          <c:tx>
            <c:v>Target Density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Data!$S$37:$S$66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Data!$Q$1</c:f>
              <c:strCache>
                <c:ptCount val="1"/>
                <c:pt idx="0">
                  <c:v>Max_DD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Data!$Q$37:$Q$66</c:f>
              <c:numCache>
                <c:formatCode>General</c:formatCode>
                <c:ptCount val="30"/>
                <c:pt idx="0">
                  <c:v>12.322580718994141</c:v>
                </c:pt>
                <c:pt idx="1">
                  <c:v>12.322580718994141</c:v>
                </c:pt>
                <c:pt idx="2">
                  <c:v>12.322580718994141</c:v>
                </c:pt>
                <c:pt idx="3">
                  <c:v>12.322580718994141</c:v>
                </c:pt>
                <c:pt idx="4">
                  <c:v>12.322580718994141</c:v>
                </c:pt>
                <c:pt idx="5">
                  <c:v>12.322580718994141</c:v>
                </c:pt>
                <c:pt idx="6">
                  <c:v>12.322580718994141</c:v>
                </c:pt>
                <c:pt idx="7">
                  <c:v>12.322580718994141</c:v>
                </c:pt>
                <c:pt idx="8">
                  <c:v>12.322580718994141</c:v>
                </c:pt>
                <c:pt idx="9">
                  <c:v>12.322580718994141</c:v>
                </c:pt>
                <c:pt idx="10">
                  <c:v>12.322580718994141</c:v>
                </c:pt>
                <c:pt idx="11">
                  <c:v>12.322580718994141</c:v>
                </c:pt>
                <c:pt idx="12">
                  <c:v>12.322580718994141</c:v>
                </c:pt>
                <c:pt idx="13">
                  <c:v>12.322580718994141</c:v>
                </c:pt>
                <c:pt idx="14">
                  <c:v>12.322580718994141</c:v>
                </c:pt>
                <c:pt idx="15">
                  <c:v>12.322580718994141</c:v>
                </c:pt>
                <c:pt idx="16">
                  <c:v>12.322580718994141</c:v>
                </c:pt>
                <c:pt idx="17">
                  <c:v>12.322580718994141</c:v>
                </c:pt>
                <c:pt idx="18">
                  <c:v>12.322580718994141</c:v>
                </c:pt>
                <c:pt idx="19">
                  <c:v>12.322580718994141</c:v>
                </c:pt>
                <c:pt idx="20">
                  <c:v>12.322580718994141</c:v>
                </c:pt>
                <c:pt idx="21">
                  <c:v>12.322580718994141</c:v>
                </c:pt>
                <c:pt idx="22">
                  <c:v>12.322580718994141</c:v>
                </c:pt>
                <c:pt idx="23">
                  <c:v>12.322580718994141</c:v>
                </c:pt>
                <c:pt idx="24">
                  <c:v>12.322580718994141</c:v>
                </c:pt>
                <c:pt idx="25">
                  <c:v>12.322580718994141</c:v>
                </c:pt>
                <c:pt idx="26">
                  <c:v>12.322580718994141</c:v>
                </c:pt>
                <c:pt idx="27">
                  <c:v>12.322580718994141</c:v>
                </c:pt>
                <c:pt idx="28">
                  <c:v>12.322580718994141</c:v>
                </c:pt>
                <c:pt idx="29">
                  <c:v>12.322580718994141</c:v>
                </c:pt>
              </c:numCache>
            </c:numRef>
          </c:val>
          <c:smooth val="0"/>
        </c:ser>
        <c:ser>
          <c:idx val="5"/>
          <c:order val="5"/>
          <c:tx>
            <c:v>Average Top 5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Data!$P$37:$P$66</c:f>
              <c:numCache>
                <c:formatCode>General</c:formatCode>
                <c:ptCount val="30"/>
                <c:pt idx="0">
                  <c:v>2.3849732995033266</c:v>
                </c:pt>
                <c:pt idx="1">
                  <c:v>2.3849732995033266</c:v>
                </c:pt>
                <c:pt idx="2">
                  <c:v>2.3849732995033266</c:v>
                </c:pt>
                <c:pt idx="3">
                  <c:v>2.3849732995033266</c:v>
                </c:pt>
                <c:pt idx="4">
                  <c:v>2.3849732995033266</c:v>
                </c:pt>
                <c:pt idx="5">
                  <c:v>2.3849732995033266</c:v>
                </c:pt>
                <c:pt idx="6">
                  <c:v>2.3849732995033266</c:v>
                </c:pt>
                <c:pt idx="7">
                  <c:v>2.3849732995033266</c:v>
                </c:pt>
                <c:pt idx="8">
                  <c:v>2.3849732995033266</c:v>
                </c:pt>
                <c:pt idx="9">
                  <c:v>2.3849732995033266</c:v>
                </c:pt>
                <c:pt idx="10">
                  <c:v>2.3849732995033266</c:v>
                </c:pt>
                <c:pt idx="11">
                  <c:v>2.3849732995033266</c:v>
                </c:pt>
                <c:pt idx="12">
                  <c:v>2.3849732995033266</c:v>
                </c:pt>
                <c:pt idx="13">
                  <c:v>2.3849732995033266</c:v>
                </c:pt>
                <c:pt idx="14">
                  <c:v>2.3849732995033266</c:v>
                </c:pt>
                <c:pt idx="15">
                  <c:v>2.3849732995033266</c:v>
                </c:pt>
                <c:pt idx="16">
                  <c:v>2.3849732995033266</c:v>
                </c:pt>
                <c:pt idx="17">
                  <c:v>2.3849732995033266</c:v>
                </c:pt>
                <c:pt idx="18">
                  <c:v>2.3849732995033266</c:v>
                </c:pt>
                <c:pt idx="19">
                  <c:v>2.3849732995033266</c:v>
                </c:pt>
                <c:pt idx="20">
                  <c:v>2.3849732995033266</c:v>
                </c:pt>
                <c:pt idx="21">
                  <c:v>2.3849732995033266</c:v>
                </c:pt>
                <c:pt idx="22">
                  <c:v>2.3849732995033266</c:v>
                </c:pt>
                <c:pt idx="23">
                  <c:v>2.3849732995033266</c:v>
                </c:pt>
                <c:pt idx="24">
                  <c:v>2.3849732995033266</c:v>
                </c:pt>
                <c:pt idx="25">
                  <c:v>2.3849732995033266</c:v>
                </c:pt>
                <c:pt idx="26">
                  <c:v>2.3849732995033266</c:v>
                </c:pt>
                <c:pt idx="27">
                  <c:v>2.3849732995033266</c:v>
                </c:pt>
                <c:pt idx="28">
                  <c:v>2.3849732995033266</c:v>
                </c:pt>
                <c:pt idx="29">
                  <c:v>2.3849732995033266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689920"/>
        <c:axId val="136695808"/>
      </c:lineChart>
      <c:lineChart>
        <c:grouping val="standard"/>
        <c:varyColors val="0"/>
        <c:ser>
          <c:idx val="3"/>
          <c:order val="3"/>
          <c:tx>
            <c:v>Max</c:v>
          </c:tx>
          <c:marker>
            <c:symbol val="none"/>
          </c:marker>
          <c:cat>
            <c:numRef>
              <c:f>Data!$A$2:$A$66</c:f>
              <c:numCache>
                <c:formatCode>m/d/yyyy</c:formatCode>
                <c:ptCount val="65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  <c:pt idx="27">
                  <c:v>41836</c:v>
                </c:pt>
                <c:pt idx="28">
                  <c:v>41843</c:v>
                </c:pt>
                <c:pt idx="29">
                  <c:v>41850</c:v>
                </c:pt>
                <c:pt idx="30">
                  <c:v>41857</c:v>
                </c:pt>
                <c:pt idx="31">
                  <c:v>41864</c:v>
                </c:pt>
                <c:pt idx="32">
                  <c:v>41871</c:v>
                </c:pt>
                <c:pt idx="33">
                  <c:v>41878</c:v>
                </c:pt>
                <c:pt idx="34">
                  <c:v>41885</c:v>
                </c:pt>
                <c:pt idx="35">
                  <c:v>41892</c:v>
                </c:pt>
                <c:pt idx="36">
                  <c:v>41899</c:v>
                </c:pt>
                <c:pt idx="37">
                  <c:v>41906</c:v>
                </c:pt>
                <c:pt idx="38">
                  <c:v>41913</c:v>
                </c:pt>
                <c:pt idx="39">
                  <c:v>41920</c:v>
                </c:pt>
                <c:pt idx="40">
                  <c:v>41927</c:v>
                </c:pt>
                <c:pt idx="41">
                  <c:v>41934</c:v>
                </c:pt>
                <c:pt idx="42">
                  <c:v>41941</c:v>
                </c:pt>
                <c:pt idx="43">
                  <c:v>41948</c:v>
                </c:pt>
                <c:pt idx="44">
                  <c:v>41955</c:v>
                </c:pt>
                <c:pt idx="45">
                  <c:v>41962</c:v>
                </c:pt>
                <c:pt idx="46">
                  <c:v>41969</c:v>
                </c:pt>
                <c:pt idx="47">
                  <c:v>41976</c:v>
                </c:pt>
                <c:pt idx="48">
                  <c:v>41983</c:v>
                </c:pt>
                <c:pt idx="49">
                  <c:v>41990</c:v>
                </c:pt>
                <c:pt idx="50">
                  <c:v>41997</c:v>
                </c:pt>
                <c:pt idx="51">
                  <c:v>42004</c:v>
                </c:pt>
                <c:pt idx="52">
                  <c:v>42011</c:v>
                </c:pt>
                <c:pt idx="53">
                  <c:v>42018</c:v>
                </c:pt>
                <c:pt idx="54">
                  <c:v>42025</c:v>
                </c:pt>
                <c:pt idx="55">
                  <c:v>42032</c:v>
                </c:pt>
                <c:pt idx="56">
                  <c:v>42039</c:v>
                </c:pt>
                <c:pt idx="57">
                  <c:v>42046</c:v>
                </c:pt>
                <c:pt idx="58">
                  <c:v>42053</c:v>
                </c:pt>
                <c:pt idx="59">
                  <c:v>42060</c:v>
                </c:pt>
                <c:pt idx="60">
                  <c:v>42067</c:v>
                </c:pt>
                <c:pt idx="61">
                  <c:v>42074</c:v>
                </c:pt>
                <c:pt idx="62">
                  <c:v>42081</c:v>
                </c:pt>
                <c:pt idx="63">
                  <c:v>42088</c:v>
                </c:pt>
                <c:pt idx="64">
                  <c:v>42095</c:v>
                </c:pt>
              </c:numCache>
            </c:numRef>
          </c:cat>
          <c:val>
            <c:numRef>
              <c:f>DDD!$B$10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698880"/>
        <c:axId val="136697344"/>
      </c:lineChart>
      <c:dateAx>
        <c:axId val="136689920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6695808"/>
        <c:crosses val="autoZero"/>
        <c:auto val="0"/>
        <c:lblOffset val="100"/>
        <c:baseTimeUnit val="days"/>
      </c:dateAx>
      <c:valAx>
        <c:axId val="136695808"/>
        <c:scaling>
          <c:orientation val="minMax"/>
          <c:min val="-0.5"/>
        </c:scaling>
        <c:delete val="0"/>
        <c:axPos val="l"/>
        <c:majorGridlines/>
        <c:numFmt formatCode="0.0;;0;" sourceLinked="0"/>
        <c:majorTickMark val="out"/>
        <c:minorTickMark val="none"/>
        <c:tickLblPos val="nextTo"/>
        <c:crossAx val="136689920"/>
        <c:crosses val="autoZero"/>
        <c:crossBetween val="between"/>
      </c:valAx>
      <c:valAx>
        <c:axId val="136697344"/>
        <c:scaling>
          <c:orientation val="minMax"/>
        </c:scaling>
        <c:delete val="0"/>
        <c:axPos val="r"/>
        <c:numFmt formatCode="\ " sourceLinked="0"/>
        <c:majorTickMark val="none"/>
        <c:minorTickMark val="none"/>
        <c:tickLblPos val="nextTo"/>
        <c:crossAx val="136698880"/>
        <c:crosses val="max"/>
        <c:crossBetween val="between"/>
      </c:valAx>
      <c:dateAx>
        <c:axId val="13669888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36697344"/>
        <c:crosses val="autoZero"/>
        <c:auto val="1"/>
        <c:lblOffset val="100"/>
        <c:baseTimeUnit val="days"/>
      </c:dateAx>
    </c:plotArea>
    <c:legend>
      <c:legendPos val="b"/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"/>
          <c:y val="0.88811654640730886"/>
          <c:w val="0.81010860447261512"/>
          <c:h val="0.1118835463421768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Core Regression %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Data!$AA$37:$AA$66</c:f>
              <c:numCache>
                <c:formatCode>General</c:formatCode>
                <c:ptCount val="30"/>
                <c:pt idx="0">
                  <c:v>6.5068492889404297</c:v>
                </c:pt>
                <c:pt idx="1">
                  <c:v>6.5068492889404297</c:v>
                </c:pt>
                <c:pt idx="2">
                  <c:v>6.5068492889404297</c:v>
                </c:pt>
                <c:pt idx="3">
                  <c:v>6.5068492889404297</c:v>
                </c:pt>
                <c:pt idx="4">
                  <c:v>6.5068492889404297</c:v>
                </c:pt>
                <c:pt idx="5">
                  <c:v>6.5068492889404297</c:v>
                </c:pt>
                <c:pt idx="6">
                  <c:v>6.5068492889404297</c:v>
                </c:pt>
                <c:pt idx="7">
                  <c:v>6.5068492889404297</c:v>
                </c:pt>
                <c:pt idx="8">
                  <c:v>6.5068492889404297</c:v>
                </c:pt>
                <c:pt idx="9">
                  <c:v>6.5068492889404297</c:v>
                </c:pt>
                <c:pt idx="10">
                  <c:v>6.5068492889404297</c:v>
                </c:pt>
                <c:pt idx="11">
                  <c:v>6.5068492889404297</c:v>
                </c:pt>
                <c:pt idx="12">
                  <c:v>6.5068492889404297</c:v>
                </c:pt>
                <c:pt idx="13">
                  <c:v>6.5068492889404297</c:v>
                </c:pt>
                <c:pt idx="14">
                  <c:v>6.5068492889404297</c:v>
                </c:pt>
                <c:pt idx="15">
                  <c:v>6.5068492889404297</c:v>
                </c:pt>
                <c:pt idx="16">
                  <c:v>6.5068492889404297</c:v>
                </c:pt>
                <c:pt idx="17">
                  <c:v>6.5068492889404297</c:v>
                </c:pt>
                <c:pt idx="18">
                  <c:v>6.5068492889404297</c:v>
                </c:pt>
                <c:pt idx="19">
                  <c:v>6.5068492889404297</c:v>
                </c:pt>
                <c:pt idx="20">
                  <c:v>6.5068492889404297</c:v>
                </c:pt>
                <c:pt idx="21">
                  <c:v>6.5068492889404297</c:v>
                </c:pt>
                <c:pt idx="22">
                  <c:v>6.5068492889404297</c:v>
                </c:pt>
                <c:pt idx="23">
                  <c:v>6.5068492889404297</c:v>
                </c:pt>
                <c:pt idx="24">
                  <c:v>6.5068492889404297</c:v>
                </c:pt>
                <c:pt idx="25">
                  <c:v>6.5068492889404297</c:v>
                </c:pt>
                <c:pt idx="26">
                  <c:v>6.5068492889404297</c:v>
                </c:pt>
                <c:pt idx="27">
                  <c:v>6.5068492889404297</c:v>
                </c:pt>
                <c:pt idx="28">
                  <c:v>6.5068492889404297</c:v>
                </c:pt>
                <c:pt idx="29">
                  <c:v>6.5068492889404297</c:v>
                </c:pt>
              </c:numCache>
            </c:numRef>
          </c:val>
          <c:smooth val="0"/>
        </c:ser>
        <c:ser>
          <c:idx val="0"/>
          <c:order val="1"/>
          <c:tx>
            <c:v>Extention Regression %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Data!$Z$37:$Z$66</c:f>
              <c:numCache>
                <c:formatCode>General</c:formatCode>
                <c:ptCount val="30"/>
                <c:pt idx="0">
                  <c:v>4.1308088302612305</c:v>
                </c:pt>
                <c:pt idx="1">
                  <c:v>4.1308088302612305</c:v>
                </c:pt>
                <c:pt idx="2">
                  <c:v>4.1308088302612305</c:v>
                </c:pt>
                <c:pt idx="3">
                  <c:v>4.1308088302612305</c:v>
                </c:pt>
                <c:pt idx="4">
                  <c:v>4.1308088302612305</c:v>
                </c:pt>
                <c:pt idx="5">
                  <c:v>4.1308088302612305</c:v>
                </c:pt>
                <c:pt idx="6">
                  <c:v>4.1308088302612305</c:v>
                </c:pt>
                <c:pt idx="7">
                  <c:v>4.1308088302612305</c:v>
                </c:pt>
                <c:pt idx="8">
                  <c:v>4.1308088302612305</c:v>
                </c:pt>
                <c:pt idx="9">
                  <c:v>4.1308088302612305</c:v>
                </c:pt>
                <c:pt idx="10">
                  <c:v>4.1308088302612305</c:v>
                </c:pt>
                <c:pt idx="11">
                  <c:v>4.1308088302612305</c:v>
                </c:pt>
                <c:pt idx="12">
                  <c:v>4.1308088302612305</c:v>
                </c:pt>
                <c:pt idx="13">
                  <c:v>4.1308088302612305</c:v>
                </c:pt>
                <c:pt idx="14">
                  <c:v>4.1308088302612305</c:v>
                </c:pt>
                <c:pt idx="15">
                  <c:v>4.1308088302612305</c:v>
                </c:pt>
                <c:pt idx="16">
                  <c:v>4.1308088302612305</c:v>
                </c:pt>
                <c:pt idx="17">
                  <c:v>4.1308088302612305</c:v>
                </c:pt>
                <c:pt idx="18">
                  <c:v>4.1308088302612305</c:v>
                </c:pt>
                <c:pt idx="19">
                  <c:v>4.1308088302612305</c:v>
                </c:pt>
                <c:pt idx="20">
                  <c:v>4.1308088302612305</c:v>
                </c:pt>
                <c:pt idx="21">
                  <c:v>4.1308088302612305</c:v>
                </c:pt>
                <c:pt idx="22">
                  <c:v>4.1308088302612305</c:v>
                </c:pt>
                <c:pt idx="23">
                  <c:v>4.1308088302612305</c:v>
                </c:pt>
                <c:pt idx="24">
                  <c:v>4.1308088302612305</c:v>
                </c:pt>
                <c:pt idx="25">
                  <c:v>4.1308088302612305</c:v>
                </c:pt>
                <c:pt idx="26">
                  <c:v>4.1308088302612305</c:v>
                </c:pt>
                <c:pt idx="27">
                  <c:v>4.1308088302612305</c:v>
                </c:pt>
                <c:pt idx="28">
                  <c:v>4.1308088302612305</c:v>
                </c:pt>
                <c:pt idx="29">
                  <c:v>4.1308088302612305</c:v>
                </c:pt>
              </c:numCache>
            </c:numRef>
          </c:val>
          <c:smooth val="0"/>
        </c:ser>
        <c:ser>
          <c:idx val="2"/>
          <c:order val="2"/>
          <c:tx>
            <c:v>Max Regression</c:v>
          </c:tx>
          <c:spPr>
            <a:ln>
              <a:noFill/>
            </a:ln>
          </c:spPr>
          <c:marker>
            <c:symbol val="none"/>
          </c:marker>
          <c:val>
            <c:numRef>
              <c:f>Data!$AP$37:$AP$66</c:f>
              <c:numCache>
                <c:formatCode>General</c:formatCode>
                <c:ptCount val="30"/>
                <c:pt idx="0">
                  <c:v>48.107883834838873</c:v>
                </c:pt>
                <c:pt idx="1">
                  <c:v>48.107883834838873</c:v>
                </c:pt>
                <c:pt idx="2">
                  <c:v>48.107883834838873</c:v>
                </c:pt>
                <c:pt idx="3">
                  <c:v>48.107883834838873</c:v>
                </c:pt>
                <c:pt idx="4">
                  <c:v>48.107883834838873</c:v>
                </c:pt>
                <c:pt idx="5">
                  <c:v>48.107883834838873</c:v>
                </c:pt>
                <c:pt idx="6">
                  <c:v>48.107883834838873</c:v>
                </c:pt>
                <c:pt idx="7">
                  <c:v>48.107883834838873</c:v>
                </c:pt>
                <c:pt idx="8">
                  <c:v>48.107883834838873</c:v>
                </c:pt>
                <c:pt idx="9">
                  <c:v>48.107883834838873</c:v>
                </c:pt>
                <c:pt idx="10">
                  <c:v>48.107883834838873</c:v>
                </c:pt>
                <c:pt idx="11">
                  <c:v>48.107883834838873</c:v>
                </c:pt>
                <c:pt idx="12">
                  <c:v>48.107883834838873</c:v>
                </c:pt>
                <c:pt idx="13">
                  <c:v>48.107883834838873</c:v>
                </c:pt>
                <c:pt idx="14">
                  <c:v>48.107883834838873</c:v>
                </c:pt>
                <c:pt idx="15">
                  <c:v>48.107883834838873</c:v>
                </c:pt>
                <c:pt idx="16">
                  <c:v>48.107883834838873</c:v>
                </c:pt>
                <c:pt idx="17">
                  <c:v>48.107883834838873</c:v>
                </c:pt>
                <c:pt idx="18">
                  <c:v>48.107883834838873</c:v>
                </c:pt>
                <c:pt idx="19">
                  <c:v>48.107883834838873</c:v>
                </c:pt>
                <c:pt idx="20">
                  <c:v>48.107883834838873</c:v>
                </c:pt>
                <c:pt idx="21">
                  <c:v>48.107883834838873</c:v>
                </c:pt>
                <c:pt idx="22">
                  <c:v>48.107883834838873</c:v>
                </c:pt>
                <c:pt idx="23">
                  <c:v>48.107883834838873</c:v>
                </c:pt>
                <c:pt idx="24">
                  <c:v>48.107883834838873</c:v>
                </c:pt>
                <c:pt idx="25">
                  <c:v>48.107883834838873</c:v>
                </c:pt>
                <c:pt idx="26">
                  <c:v>48.107883834838873</c:v>
                </c:pt>
                <c:pt idx="27">
                  <c:v>48.107883834838873</c:v>
                </c:pt>
                <c:pt idx="28">
                  <c:v>48.107883834838873</c:v>
                </c:pt>
                <c:pt idx="29">
                  <c:v>48.107883834838873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585792"/>
        <c:axId val="137587328"/>
      </c:lineChart>
      <c:dateAx>
        <c:axId val="137585792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7587328"/>
        <c:crosses val="autoZero"/>
        <c:auto val="0"/>
        <c:lblOffset val="100"/>
        <c:baseTimeUnit val="days"/>
      </c:dateAx>
      <c:valAx>
        <c:axId val="137587328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37585792"/>
        <c:crosses val="autoZero"/>
        <c:crossBetween val="between"/>
      </c:valAx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0"/>
          <c:y val="0.88811654640730886"/>
          <c:w val="0.45992207256332662"/>
          <c:h val="9.103226023827031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Number of open bugs</c:v>
          </c:tx>
          <c:invertIfNegative val="0"/>
          <c:cat>
            <c:numRef>
              <c:f>Data!$BC$2:$BC$28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Data!$BE$2:$BE$27</c:f>
              <c:numCache>
                <c:formatCode>General</c:formatCode>
                <c:ptCount val="26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6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806400"/>
        <c:axId val="136807936"/>
      </c:barChart>
      <c:lineChart>
        <c:grouping val="standard"/>
        <c:varyColors val="0"/>
        <c:ser>
          <c:idx val="1"/>
          <c:order val="1"/>
          <c:tx>
            <c:v>Max</c:v>
          </c:tx>
          <c:marker>
            <c:symbol val="none"/>
          </c:marker>
          <c:val>
            <c:numRef>
              <c:f>Data!$BP$2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806400"/>
        <c:axId val="136807936"/>
      </c:lineChart>
      <c:catAx>
        <c:axId val="136806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807936"/>
        <c:crosses val="autoZero"/>
        <c:auto val="1"/>
        <c:lblAlgn val="ctr"/>
        <c:lblOffset val="100"/>
        <c:noMultiLvlLbl val="0"/>
      </c:catAx>
      <c:valAx>
        <c:axId val="136807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806400"/>
        <c:crosses val="autoZero"/>
        <c:crossBetween val="between"/>
      </c:valAx>
      <c:spPr>
        <a:noFill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5494371928341178E-2"/>
          <c:y val="0.88850503062117236"/>
          <c:w val="0.26611707546926167"/>
          <c:h val="9.1002139800285306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Escaping Core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Data!$AS$37:$AS$66</c:f>
              <c:numCache>
                <c:formatCode>General</c:formatCode>
                <c:ptCount val="30"/>
                <c:pt idx="0">
                  <c:v>0.18516674962667995</c:v>
                </c:pt>
                <c:pt idx="1">
                  <c:v>0.18516674962667995</c:v>
                </c:pt>
                <c:pt idx="2">
                  <c:v>0.18516674962667995</c:v>
                </c:pt>
                <c:pt idx="3">
                  <c:v>0.18516674962667995</c:v>
                </c:pt>
                <c:pt idx="4">
                  <c:v>0.18516674962667995</c:v>
                </c:pt>
                <c:pt idx="5">
                  <c:v>0.18516674962667995</c:v>
                </c:pt>
                <c:pt idx="6">
                  <c:v>0.18516674962667995</c:v>
                </c:pt>
                <c:pt idx="7">
                  <c:v>0.18516674962667995</c:v>
                </c:pt>
                <c:pt idx="8">
                  <c:v>0.18516674962667995</c:v>
                </c:pt>
                <c:pt idx="9">
                  <c:v>0.18516674962667995</c:v>
                </c:pt>
                <c:pt idx="10">
                  <c:v>0.18516674962667995</c:v>
                </c:pt>
                <c:pt idx="11">
                  <c:v>0.18516674962667995</c:v>
                </c:pt>
                <c:pt idx="12">
                  <c:v>0.18516674962667995</c:v>
                </c:pt>
                <c:pt idx="13">
                  <c:v>0.18516674962667995</c:v>
                </c:pt>
                <c:pt idx="14">
                  <c:v>0.18516674962667995</c:v>
                </c:pt>
                <c:pt idx="15">
                  <c:v>0.18516674962667995</c:v>
                </c:pt>
                <c:pt idx="16">
                  <c:v>0.18516674962667995</c:v>
                </c:pt>
                <c:pt idx="17">
                  <c:v>0.18516674962667995</c:v>
                </c:pt>
                <c:pt idx="18">
                  <c:v>0.18516674962667995</c:v>
                </c:pt>
                <c:pt idx="19">
                  <c:v>0.18516674962667995</c:v>
                </c:pt>
                <c:pt idx="20">
                  <c:v>0.18516674962667995</c:v>
                </c:pt>
                <c:pt idx="21">
                  <c:v>0.18516674962667995</c:v>
                </c:pt>
                <c:pt idx="22">
                  <c:v>0.18516674962667995</c:v>
                </c:pt>
                <c:pt idx="23">
                  <c:v>0.18516674962667995</c:v>
                </c:pt>
                <c:pt idx="24">
                  <c:v>0.18516674962667995</c:v>
                </c:pt>
                <c:pt idx="25">
                  <c:v>0.18516674962667995</c:v>
                </c:pt>
                <c:pt idx="26">
                  <c:v>0.18516674962667995</c:v>
                </c:pt>
                <c:pt idx="27">
                  <c:v>0.18516674962667995</c:v>
                </c:pt>
                <c:pt idx="28">
                  <c:v>0.18516674962667995</c:v>
                </c:pt>
                <c:pt idx="29">
                  <c:v>0.18516674962667995</c:v>
                </c:pt>
              </c:numCache>
            </c:numRef>
          </c:val>
          <c:smooth val="0"/>
        </c:ser>
        <c:ser>
          <c:idx val="2"/>
          <c:order val="1"/>
          <c:tx>
            <c:v>Max</c:v>
          </c:tx>
          <c:spPr>
            <a:ln>
              <a:noFill/>
            </a:ln>
          </c:spPr>
          <c:marker>
            <c:symbol val="none"/>
          </c:marker>
          <c:val>
            <c:numRef>
              <c:f>Data!$AX$37:$AX$66</c:f>
              <c:numCache>
                <c:formatCode>General</c:formatCode>
                <c:ptCount val="30"/>
                <c:pt idx="0">
                  <c:v>0.68</c:v>
                </c:pt>
                <c:pt idx="1">
                  <c:v>0.68</c:v>
                </c:pt>
                <c:pt idx="2">
                  <c:v>0.68</c:v>
                </c:pt>
                <c:pt idx="3">
                  <c:v>0.68</c:v>
                </c:pt>
                <c:pt idx="4">
                  <c:v>0.68</c:v>
                </c:pt>
                <c:pt idx="5">
                  <c:v>0.68</c:v>
                </c:pt>
                <c:pt idx="6">
                  <c:v>0.68</c:v>
                </c:pt>
                <c:pt idx="7">
                  <c:v>0.68</c:v>
                </c:pt>
                <c:pt idx="8">
                  <c:v>0.68</c:v>
                </c:pt>
                <c:pt idx="9">
                  <c:v>0.68</c:v>
                </c:pt>
                <c:pt idx="10">
                  <c:v>0.68</c:v>
                </c:pt>
                <c:pt idx="11">
                  <c:v>0.68</c:v>
                </c:pt>
                <c:pt idx="12">
                  <c:v>0.68</c:v>
                </c:pt>
                <c:pt idx="13">
                  <c:v>0.68</c:v>
                </c:pt>
                <c:pt idx="14">
                  <c:v>0.68</c:v>
                </c:pt>
                <c:pt idx="15">
                  <c:v>0.68</c:v>
                </c:pt>
                <c:pt idx="16">
                  <c:v>0.68</c:v>
                </c:pt>
                <c:pt idx="17">
                  <c:v>0.68</c:v>
                </c:pt>
                <c:pt idx="18">
                  <c:v>0.68</c:v>
                </c:pt>
                <c:pt idx="19">
                  <c:v>0.68</c:v>
                </c:pt>
                <c:pt idx="20">
                  <c:v>0.68</c:v>
                </c:pt>
                <c:pt idx="21">
                  <c:v>0.68</c:v>
                </c:pt>
                <c:pt idx="22">
                  <c:v>0.68</c:v>
                </c:pt>
                <c:pt idx="23">
                  <c:v>0.68</c:v>
                </c:pt>
                <c:pt idx="24">
                  <c:v>0.68</c:v>
                </c:pt>
                <c:pt idx="25">
                  <c:v>0.68</c:v>
                </c:pt>
                <c:pt idx="26">
                  <c:v>0.68</c:v>
                </c:pt>
                <c:pt idx="27">
                  <c:v>0.68</c:v>
                </c:pt>
                <c:pt idx="28">
                  <c:v>0.68</c:v>
                </c:pt>
                <c:pt idx="29">
                  <c:v>0.68</c:v>
                </c:pt>
              </c:numCache>
            </c:numRef>
          </c:val>
          <c:smooth val="0"/>
        </c:ser>
        <c:ser>
          <c:idx val="0"/>
          <c:order val="2"/>
          <c:tx>
            <c:v>Projects Average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Data!$AW$37:$AW$66</c:f>
              <c:numCache>
                <c:formatCode>General</c:formatCode>
                <c:ptCount val="30"/>
                <c:pt idx="0">
                  <c:v>0.26742014065859854</c:v>
                </c:pt>
                <c:pt idx="1">
                  <c:v>0.26742014065859854</c:v>
                </c:pt>
                <c:pt idx="2">
                  <c:v>0.26742014065859854</c:v>
                </c:pt>
                <c:pt idx="3">
                  <c:v>0.26742014065859854</c:v>
                </c:pt>
                <c:pt idx="4">
                  <c:v>0.26742014065859854</c:v>
                </c:pt>
                <c:pt idx="5">
                  <c:v>0.26742014065859854</c:v>
                </c:pt>
                <c:pt idx="6">
                  <c:v>0.26742014065859854</c:v>
                </c:pt>
                <c:pt idx="7">
                  <c:v>0.26742014065859854</c:v>
                </c:pt>
                <c:pt idx="8">
                  <c:v>0.26742014065859854</c:v>
                </c:pt>
                <c:pt idx="9">
                  <c:v>0.26742014065859854</c:v>
                </c:pt>
                <c:pt idx="10">
                  <c:v>0.26742014065859854</c:v>
                </c:pt>
                <c:pt idx="11">
                  <c:v>0.26742014065859854</c:v>
                </c:pt>
                <c:pt idx="12">
                  <c:v>0.26742014065859854</c:v>
                </c:pt>
                <c:pt idx="13">
                  <c:v>0.26742014065859854</c:v>
                </c:pt>
                <c:pt idx="14">
                  <c:v>0.26742014065859854</c:v>
                </c:pt>
                <c:pt idx="15">
                  <c:v>0.26742014065859854</c:v>
                </c:pt>
                <c:pt idx="16">
                  <c:v>0.26742014065859854</c:v>
                </c:pt>
                <c:pt idx="17">
                  <c:v>0.26742014065859854</c:v>
                </c:pt>
                <c:pt idx="18">
                  <c:v>0.26742014065859854</c:v>
                </c:pt>
                <c:pt idx="19">
                  <c:v>0.26742014065859854</c:v>
                </c:pt>
                <c:pt idx="20">
                  <c:v>0.26742014065859854</c:v>
                </c:pt>
                <c:pt idx="21">
                  <c:v>0.26742014065859854</c:v>
                </c:pt>
                <c:pt idx="22">
                  <c:v>0.26742014065859854</c:v>
                </c:pt>
                <c:pt idx="23">
                  <c:v>0.26742014065859854</c:v>
                </c:pt>
                <c:pt idx="24">
                  <c:v>0.26742014065859854</c:v>
                </c:pt>
                <c:pt idx="25">
                  <c:v>0.26742014065859854</c:v>
                </c:pt>
                <c:pt idx="26">
                  <c:v>0.26742014065859854</c:v>
                </c:pt>
                <c:pt idx="27">
                  <c:v>0.26742014065859854</c:v>
                </c:pt>
                <c:pt idx="28">
                  <c:v>0.26742014065859854</c:v>
                </c:pt>
                <c:pt idx="29">
                  <c:v>0.26742014065859854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850432"/>
        <c:axId val="136856320"/>
      </c:lineChart>
      <c:dateAx>
        <c:axId val="136850432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6856320"/>
        <c:crosses val="autoZero"/>
        <c:auto val="0"/>
        <c:lblOffset val="100"/>
        <c:baseTimeUnit val="days"/>
      </c:dateAx>
      <c:valAx>
        <c:axId val="136856320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6850432"/>
        <c:crosses val="autoZero"/>
        <c:crossBetween val="between"/>
      </c:valAx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"/>
          <c:y val="0.88811654640730886"/>
          <c:w val="0.3651524331990666"/>
          <c:h val="9.309096893603256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16716604244694E-2"/>
          <c:y val="0.11832997650218194"/>
          <c:w val="0.92539213483146066"/>
          <c:h val="0.5711555891238671"/>
        </c:manualLayout>
      </c:layout>
      <c:lineChart>
        <c:grouping val="standard"/>
        <c:varyColors val="0"/>
        <c:ser>
          <c:idx val="2"/>
          <c:order val="0"/>
          <c:tx>
            <c:v>Trend Core</c:v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rgbClr val="00B0F0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Data!$DQ$2:$DQ$6</c:f>
              <c:numCache>
                <c:formatCode>General</c:formatCode>
                <c:ptCount val="5"/>
                <c:pt idx="0">
                  <c:v>0.21232876712328766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ser>
          <c:idx val="3"/>
          <c:order val="1"/>
          <c:tx>
            <c:v>Trend  Extension</c:v>
          </c:tx>
          <c:spPr>
            <a:ln w="2540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6">
                    <a:lumMod val="75000"/>
                  </a:schemeClr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Data!$DP$2:$DP$6</c:f>
              <c:numCache>
                <c:formatCode>General</c:formatCode>
                <c:ptCount val="5"/>
                <c:pt idx="0">
                  <c:v>0.1473951715374841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882432"/>
        <c:axId val="136892416"/>
      </c:lineChart>
      <c:dateAx>
        <c:axId val="136882432"/>
        <c:scaling>
          <c:orientation val="minMax"/>
        </c:scaling>
        <c:delete val="0"/>
        <c:axPos val="b"/>
        <c:numFmt formatCode="dd/mm" sourceLinked="0"/>
        <c:majorTickMark val="out"/>
        <c:minorTickMark val="none"/>
        <c:tickLblPos val="nextTo"/>
        <c:crossAx val="136892416"/>
        <c:crosses val="autoZero"/>
        <c:auto val="0"/>
        <c:lblOffset val="100"/>
        <c:baseTimeUnit val="days"/>
        <c:majorUnit val="7"/>
        <c:majorTimeUnit val="days"/>
      </c:dateAx>
      <c:valAx>
        <c:axId val="13689241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688243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8360549313358304E-2"/>
          <c:y val="0.87130748573346761"/>
          <c:w val="0.90317382768098875"/>
          <c:h val="7.262214211175410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2"/>
          <c:order val="2"/>
          <c:tx>
            <c:v>Done User Stories</c:v>
          </c:tx>
          <c:spPr>
            <a:solidFill>
              <a:schemeClr val="bg2">
                <a:lumMod val="50000"/>
              </a:schemeClr>
            </a:solidFill>
          </c:spPr>
          <c:cat>
            <c:numRef>
              <c:f>Data!$A$2:$A$66</c:f>
              <c:numCache>
                <c:formatCode>m/d/yyyy</c:formatCode>
                <c:ptCount val="65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  <c:pt idx="27">
                  <c:v>41836</c:v>
                </c:pt>
                <c:pt idx="28">
                  <c:v>41843</c:v>
                </c:pt>
                <c:pt idx="29">
                  <c:v>41850</c:v>
                </c:pt>
                <c:pt idx="30">
                  <c:v>41857</c:v>
                </c:pt>
                <c:pt idx="31">
                  <c:v>41864</c:v>
                </c:pt>
                <c:pt idx="32">
                  <c:v>41871</c:v>
                </c:pt>
                <c:pt idx="33">
                  <c:v>41878</c:v>
                </c:pt>
                <c:pt idx="34">
                  <c:v>41885</c:v>
                </c:pt>
                <c:pt idx="35">
                  <c:v>41892</c:v>
                </c:pt>
                <c:pt idx="36">
                  <c:v>41899</c:v>
                </c:pt>
                <c:pt idx="37">
                  <c:v>41906</c:v>
                </c:pt>
                <c:pt idx="38">
                  <c:v>41913</c:v>
                </c:pt>
                <c:pt idx="39">
                  <c:v>41920</c:v>
                </c:pt>
                <c:pt idx="40">
                  <c:v>41927</c:v>
                </c:pt>
                <c:pt idx="41">
                  <c:v>41934</c:v>
                </c:pt>
                <c:pt idx="42">
                  <c:v>41941</c:v>
                </c:pt>
                <c:pt idx="43">
                  <c:v>41948</c:v>
                </c:pt>
                <c:pt idx="44">
                  <c:v>41955</c:v>
                </c:pt>
                <c:pt idx="45">
                  <c:v>41962</c:v>
                </c:pt>
                <c:pt idx="46">
                  <c:v>41969</c:v>
                </c:pt>
                <c:pt idx="47">
                  <c:v>41976</c:v>
                </c:pt>
                <c:pt idx="48">
                  <c:v>41983</c:v>
                </c:pt>
                <c:pt idx="49">
                  <c:v>41990</c:v>
                </c:pt>
                <c:pt idx="50">
                  <c:v>41997</c:v>
                </c:pt>
                <c:pt idx="51">
                  <c:v>42004</c:v>
                </c:pt>
                <c:pt idx="52">
                  <c:v>42011</c:v>
                </c:pt>
                <c:pt idx="53">
                  <c:v>42018</c:v>
                </c:pt>
                <c:pt idx="54">
                  <c:v>42025</c:v>
                </c:pt>
                <c:pt idx="55">
                  <c:v>42032</c:v>
                </c:pt>
                <c:pt idx="56">
                  <c:v>42039</c:v>
                </c:pt>
                <c:pt idx="57">
                  <c:v>42046</c:v>
                </c:pt>
                <c:pt idx="58">
                  <c:v>42053</c:v>
                </c:pt>
                <c:pt idx="59">
                  <c:v>42060</c:v>
                </c:pt>
                <c:pt idx="60">
                  <c:v>42067</c:v>
                </c:pt>
                <c:pt idx="61">
                  <c:v>42074</c:v>
                </c:pt>
                <c:pt idx="62">
                  <c:v>42081</c:v>
                </c:pt>
                <c:pt idx="63">
                  <c:v>42088</c:v>
                </c:pt>
                <c:pt idx="64">
                  <c:v>42095</c:v>
                </c:pt>
              </c:numCache>
            </c:numRef>
          </c:cat>
          <c:val>
            <c:numRef>
              <c:f>Data!$F$37:$F$66</c:f>
              <c:numCache>
                <c:formatCode>General</c:formatCode>
                <c:ptCount val="30"/>
                <c:pt idx="0">
                  <c:v>2822</c:v>
                </c:pt>
                <c:pt idx="1">
                  <c:v>2822</c:v>
                </c:pt>
                <c:pt idx="2">
                  <c:v>2822</c:v>
                </c:pt>
                <c:pt idx="3">
                  <c:v>2822</c:v>
                </c:pt>
                <c:pt idx="4">
                  <c:v>2822</c:v>
                </c:pt>
                <c:pt idx="5">
                  <c:v>2822</c:v>
                </c:pt>
                <c:pt idx="6">
                  <c:v>2822</c:v>
                </c:pt>
                <c:pt idx="7">
                  <c:v>2822</c:v>
                </c:pt>
                <c:pt idx="8">
                  <c:v>2822</c:v>
                </c:pt>
                <c:pt idx="9">
                  <c:v>2822</c:v>
                </c:pt>
                <c:pt idx="10">
                  <c:v>2822</c:v>
                </c:pt>
                <c:pt idx="11">
                  <c:v>2822</c:v>
                </c:pt>
                <c:pt idx="12">
                  <c:v>2822</c:v>
                </c:pt>
                <c:pt idx="13">
                  <c:v>2822</c:v>
                </c:pt>
                <c:pt idx="14">
                  <c:v>2822</c:v>
                </c:pt>
                <c:pt idx="15">
                  <c:v>2822</c:v>
                </c:pt>
                <c:pt idx="16">
                  <c:v>2822</c:v>
                </c:pt>
                <c:pt idx="17">
                  <c:v>2822</c:v>
                </c:pt>
                <c:pt idx="18">
                  <c:v>2822</c:v>
                </c:pt>
                <c:pt idx="19">
                  <c:v>2822</c:v>
                </c:pt>
                <c:pt idx="20">
                  <c:v>2822</c:v>
                </c:pt>
                <c:pt idx="21">
                  <c:v>2822</c:v>
                </c:pt>
                <c:pt idx="22">
                  <c:v>2822</c:v>
                </c:pt>
                <c:pt idx="23">
                  <c:v>2822</c:v>
                </c:pt>
                <c:pt idx="24">
                  <c:v>2822</c:v>
                </c:pt>
                <c:pt idx="25">
                  <c:v>2822</c:v>
                </c:pt>
                <c:pt idx="26">
                  <c:v>2822</c:v>
                </c:pt>
                <c:pt idx="27">
                  <c:v>2822</c:v>
                </c:pt>
                <c:pt idx="28">
                  <c:v>2822</c:v>
                </c:pt>
                <c:pt idx="29">
                  <c:v>2822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64160"/>
        <c:axId val="138017792"/>
      </c:areaChart>
      <c:lineChart>
        <c:grouping val="standard"/>
        <c:varyColors val="0"/>
        <c:ser>
          <c:idx val="0"/>
          <c:order val="0"/>
          <c:tx>
            <c:v>Defect Density</c:v>
          </c:tx>
          <c:marker>
            <c:symbol val="none"/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Data!$L$37:$L$66</c:f>
              <c:numCache>
                <c:formatCode>General</c:formatCode>
                <c:ptCount val="30"/>
                <c:pt idx="0">
                  <c:v>0.59425938129425049</c:v>
                </c:pt>
                <c:pt idx="1">
                  <c:v>0.59425938129425049</c:v>
                </c:pt>
                <c:pt idx="2">
                  <c:v>0.59425938129425049</c:v>
                </c:pt>
                <c:pt idx="3">
                  <c:v>0.59425938129425049</c:v>
                </c:pt>
                <c:pt idx="4">
                  <c:v>0.59425938129425049</c:v>
                </c:pt>
                <c:pt idx="5">
                  <c:v>0.59425938129425049</c:v>
                </c:pt>
                <c:pt idx="6">
                  <c:v>0.59425938129425049</c:v>
                </c:pt>
                <c:pt idx="7">
                  <c:v>0.59425938129425049</c:v>
                </c:pt>
                <c:pt idx="8">
                  <c:v>0.59425938129425049</c:v>
                </c:pt>
                <c:pt idx="9">
                  <c:v>0.59425938129425049</c:v>
                </c:pt>
                <c:pt idx="10">
                  <c:v>0.59425938129425049</c:v>
                </c:pt>
                <c:pt idx="11">
                  <c:v>0.59425938129425049</c:v>
                </c:pt>
                <c:pt idx="12">
                  <c:v>0.59425938129425049</c:v>
                </c:pt>
                <c:pt idx="13">
                  <c:v>0.59425938129425049</c:v>
                </c:pt>
                <c:pt idx="14">
                  <c:v>0.59425938129425049</c:v>
                </c:pt>
                <c:pt idx="15">
                  <c:v>0.59425938129425049</c:v>
                </c:pt>
                <c:pt idx="16">
                  <c:v>0.59425938129425049</c:v>
                </c:pt>
                <c:pt idx="17">
                  <c:v>0.59425938129425049</c:v>
                </c:pt>
                <c:pt idx="18">
                  <c:v>0.59425938129425049</c:v>
                </c:pt>
                <c:pt idx="19">
                  <c:v>0.59425938129425049</c:v>
                </c:pt>
                <c:pt idx="20">
                  <c:v>0.59425938129425049</c:v>
                </c:pt>
                <c:pt idx="21">
                  <c:v>0.59425938129425049</c:v>
                </c:pt>
                <c:pt idx="22">
                  <c:v>0.59425938129425049</c:v>
                </c:pt>
                <c:pt idx="23">
                  <c:v>0.59425938129425049</c:v>
                </c:pt>
                <c:pt idx="24">
                  <c:v>0.59425938129425049</c:v>
                </c:pt>
                <c:pt idx="25">
                  <c:v>0.59425938129425049</c:v>
                </c:pt>
                <c:pt idx="26">
                  <c:v>0.59425938129425049</c:v>
                </c:pt>
                <c:pt idx="27">
                  <c:v>0.59425938129425049</c:v>
                </c:pt>
                <c:pt idx="28">
                  <c:v>0.59425938129425049</c:v>
                </c:pt>
                <c:pt idx="29">
                  <c:v>0.59425938129425049</c:v>
                </c:pt>
              </c:numCache>
            </c:numRef>
          </c:val>
          <c:smooth val="0"/>
        </c:ser>
        <c:ser>
          <c:idx val="1"/>
          <c:order val="1"/>
          <c:tx>
            <c:v>Target Density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Data!$T$37:$T$66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Data!$Q$1</c:f>
              <c:strCache>
                <c:ptCount val="1"/>
                <c:pt idx="0">
                  <c:v>Max_DD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Data!$Q$37:$Q$66</c:f>
              <c:numCache>
                <c:formatCode>General</c:formatCode>
                <c:ptCount val="30"/>
                <c:pt idx="0">
                  <c:v>12.322580718994141</c:v>
                </c:pt>
                <c:pt idx="1">
                  <c:v>12.322580718994141</c:v>
                </c:pt>
                <c:pt idx="2">
                  <c:v>12.322580718994141</c:v>
                </c:pt>
                <c:pt idx="3">
                  <c:v>12.322580718994141</c:v>
                </c:pt>
                <c:pt idx="4">
                  <c:v>12.322580718994141</c:v>
                </c:pt>
                <c:pt idx="5">
                  <c:v>12.322580718994141</c:v>
                </c:pt>
                <c:pt idx="6">
                  <c:v>12.322580718994141</c:v>
                </c:pt>
                <c:pt idx="7">
                  <c:v>12.322580718994141</c:v>
                </c:pt>
                <c:pt idx="8">
                  <c:v>12.322580718994141</c:v>
                </c:pt>
                <c:pt idx="9">
                  <c:v>12.322580718994141</c:v>
                </c:pt>
                <c:pt idx="10">
                  <c:v>12.322580718994141</c:v>
                </c:pt>
                <c:pt idx="11">
                  <c:v>12.322580718994141</c:v>
                </c:pt>
                <c:pt idx="12">
                  <c:v>12.322580718994141</c:v>
                </c:pt>
                <c:pt idx="13">
                  <c:v>12.322580718994141</c:v>
                </c:pt>
                <c:pt idx="14">
                  <c:v>12.322580718994141</c:v>
                </c:pt>
                <c:pt idx="15">
                  <c:v>12.322580718994141</c:v>
                </c:pt>
                <c:pt idx="16">
                  <c:v>12.322580718994141</c:v>
                </c:pt>
                <c:pt idx="17">
                  <c:v>12.322580718994141</c:v>
                </c:pt>
                <c:pt idx="18">
                  <c:v>12.322580718994141</c:v>
                </c:pt>
                <c:pt idx="19">
                  <c:v>12.322580718994141</c:v>
                </c:pt>
                <c:pt idx="20">
                  <c:v>12.322580718994141</c:v>
                </c:pt>
                <c:pt idx="21">
                  <c:v>12.322580718994141</c:v>
                </c:pt>
                <c:pt idx="22">
                  <c:v>12.322580718994141</c:v>
                </c:pt>
                <c:pt idx="23">
                  <c:v>12.322580718994141</c:v>
                </c:pt>
                <c:pt idx="24">
                  <c:v>12.322580718994141</c:v>
                </c:pt>
                <c:pt idx="25">
                  <c:v>12.322580718994141</c:v>
                </c:pt>
                <c:pt idx="26">
                  <c:v>12.322580718994141</c:v>
                </c:pt>
                <c:pt idx="27">
                  <c:v>12.322580718994141</c:v>
                </c:pt>
                <c:pt idx="28">
                  <c:v>12.322580718994141</c:v>
                </c:pt>
                <c:pt idx="29">
                  <c:v>12.322580718994141</c:v>
                </c:pt>
              </c:numCache>
            </c:numRef>
          </c:val>
          <c:smooth val="0"/>
        </c:ser>
        <c:ser>
          <c:idx val="5"/>
          <c:order val="5"/>
          <c:tx>
            <c:v>Average Top 5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Data!$P$37:$P$66</c:f>
              <c:numCache>
                <c:formatCode>General</c:formatCode>
                <c:ptCount val="30"/>
                <c:pt idx="0">
                  <c:v>2.3849732995033266</c:v>
                </c:pt>
                <c:pt idx="1">
                  <c:v>2.3849732995033266</c:v>
                </c:pt>
                <c:pt idx="2">
                  <c:v>2.3849732995033266</c:v>
                </c:pt>
                <c:pt idx="3">
                  <c:v>2.3849732995033266</c:v>
                </c:pt>
                <c:pt idx="4">
                  <c:v>2.3849732995033266</c:v>
                </c:pt>
                <c:pt idx="5">
                  <c:v>2.3849732995033266</c:v>
                </c:pt>
                <c:pt idx="6">
                  <c:v>2.3849732995033266</c:v>
                </c:pt>
                <c:pt idx="7">
                  <c:v>2.3849732995033266</c:v>
                </c:pt>
                <c:pt idx="8">
                  <c:v>2.3849732995033266</c:v>
                </c:pt>
                <c:pt idx="9">
                  <c:v>2.3849732995033266</c:v>
                </c:pt>
                <c:pt idx="10">
                  <c:v>2.3849732995033266</c:v>
                </c:pt>
                <c:pt idx="11">
                  <c:v>2.3849732995033266</c:v>
                </c:pt>
                <c:pt idx="12">
                  <c:v>2.3849732995033266</c:v>
                </c:pt>
                <c:pt idx="13">
                  <c:v>2.3849732995033266</c:v>
                </c:pt>
                <c:pt idx="14">
                  <c:v>2.3849732995033266</c:v>
                </c:pt>
                <c:pt idx="15">
                  <c:v>2.3849732995033266</c:v>
                </c:pt>
                <c:pt idx="16">
                  <c:v>2.3849732995033266</c:v>
                </c:pt>
                <c:pt idx="17">
                  <c:v>2.3849732995033266</c:v>
                </c:pt>
                <c:pt idx="18">
                  <c:v>2.3849732995033266</c:v>
                </c:pt>
                <c:pt idx="19">
                  <c:v>2.3849732995033266</c:v>
                </c:pt>
                <c:pt idx="20">
                  <c:v>2.3849732995033266</c:v>
                </c:pt>
                <c:pt idx="21">
                  <c:v>2.3849732995033266</c:v>
                </c:pt>
                <c:pt idx="22">
                  <c:v>2.3849732995033266</c:v>
                </c:pt>
                <c:pt idx="23">
                  <c:v>2.3849732995033266</c:v>
                </c:pt>
                <c:pt idx="24">
                  <c:v>2.3849732995033266</c:v>
                </c:pt>
                <c:pt idx="25">
                  <c:v>2.3849732995033266</c:v>
                </c:pt>
                <c:pt idx="26">
                  <c:v>2.3849732995033266</c:v>
                </c:pt>
                <c:pt idx="27">
                  <c:v>2.3849732995033266</c:v>
                </c:pt>
                <c:pt idx="28">
                  <c:v>2.3849732995033266</c:v>
                </c:pt>
                <c:pt idx="29">
                  <c:v>2.3849732995033266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014720"/>
        <c:axId val="138016256"/>
      </c:lineChart>
      <c:lineChart>
        <c:grouping val="standard"/>
        <c:varyColors val="0"/>
        <c:ser>
          <c:idx val="3"/>
          <c:order val="3"/>
          <c:tx>
            <c:v>Max</c:v>
          </c:tx>
          <c:marker>
            <c:symbol val="none"/>
          </c:marker>
          <c:cat>
            <c:numRef>
              <c:f>Data!$A$2:$A$66</c:f>
              <c:numCache>
                <c:formatCode>m/d/yyyy</c:formatCode>
                <c:ptCount val="65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  <c:pt idx="27">
                  <c:v>41836</c:v>
                </c:pt>
                <c:pt idx="28">
                  <c:v>41843</c:v>
                </c:pt>
                <c:pt idx="29">
                  <c:v>41850</c:v>
                </c:pt>
                <c:pt idx="30">
                  <c:v>41857</c:v>
                </c:pt>
                <c:pt idx="31">
                  <c:v>41864</c:v>
                </c:pt>
                <c:pt idx="32">
                  <c:v>41871</c:v>
                </c:pt>
                <c:pt idx="33">
                  <c:v>41878</c:v>
                </c:pt>
                <c:pt idx="34">
                  <c:v>41885</c:v>
                </c:pt>
                <c:pt idx="35">
                  <c:v>41892</c:v>
                </c:pt>
                <c:pt idx="36">
                  <c:v>41899</c:v>
                </c:pt>
                <c:pt idx="37">
                  <c:v>41906</c:v>
                </c:pt>
                <c:pt idx="38">
                  <c:v>41913</c:v>
                </c:pt>
                <c:pt idx="39">
                  <c:v>41920</c:v>
                </c:pt>
                <c:pt idx="40">
                  <c:v>41927</c:v>
                </c:pt>
                <c:pt idx="41">
                  <c:v>41934</c:v>
                </c:pt>
                <c:pt idx="42">
                  <c:v>41941</c:v>
                </c:pt>
                <c:pt idx="43">
                  <c:v>41948</c:v>
                </c:pt>
                <c:pt idx="44">
                  <c:v>41955</c:v>
                </c:pt>
                <c:pt idx="45">
                  <c:v>41962</c:v>
                </c:pt>
                <c:pt idx="46">
                  <c:v>41969</c:v>
                </c:pt>
                <c:pt idx="47">
                  <c:v>41976</c:v>
                </c:pt>
                <c:pt idx="48">
                  <c:v>41983</c:v>
                </c:pt>
                <c:pt idx="49">
                  <c:v>41990</c:v>
                </c:pt>
                <c:pt idx="50">
                  <c:v>41997</c:v>
                </c:pt>
                <c:pt idx="51">
                  <c:v>42004</c:v>
                </c:pt>
                <c:pt idx="52">
                  <c:v>42011</c:v>
                </c:pt>
                <c:pt idx="53">
                  <c:v>42018</c:v>
                </c:pt>
                <c:pt idx="54">
                  <c:v>42025</c:v>
                </c:pt>
                <c:pt idx="55">
                  <c:v>42032</c:v>
                </c:pt>
                <c:pt idx="56">
                  <c:v>42039</c:v>
                </c:pt>
                <c:pt idx="57">
                  <c:v>42046</c:v>
                </c:pt>
                <c:pt idx="58">
                  <c:v>42053</c:v>
                </c:pt>
                <c:pt idx="59">
                  <c:v>42060</c:v>
                </c:pt>
                <c:pt idx="60">
                  <c:v>42067</c:v>
                </c:pt>
                <c:pt idx="61">
                  <c:v>42074</c:v>
                </c:pt>
                <c:pt idx="62">
                  <c:v>42081</c:v>
                </c:pt>
                <c:pt idx="63">
                  <c:v>42088</c:v>
                </c:pt>
                <c:pt idx="64">
                  <c:v>42095</c:v>
                </c:pt>
              </c:numCache>
            </c:numRef>
          </c:cat>
          <c:val>
            <c:numRef>
              <c:f>DDD!$D$10</c:f>
              <c:numCache>
                <c:formatCode>General</c:formatCode>
                <c:ptCount val="1"/>
                <c:pt idx="0">
                  <c:v>14110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64160"/>
        <c:axId val="138017792"/>
      </c:lineChart>
      <c:dateAx>
        <c:axId val="138014720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8016256"/>
        <c:crosses val="autoZero"/>
        <c:auto val="0"/>
        <c:lblOffset val="100"/>
        <c:baseTimeUnit val="days"/>
      </c:dateAx>
      <c:valAx>
        <c:axId val="138016256"/>
        <c:scaling>
          <c:orientation val="minMax"/>
          <c:min val="-0.5"/>
        </c:scaling>
        <c:delete val="0"/>
        <c:axPos val="l"/>
        <c:majorGridlines/>
        <c:numFmt formatCode="0.0;;0;" sourceLinked="0"/>
        <c:majorTickMark val="out"/>
        <c:minorTickMark val="none"/>
        <c:tickLblPos val="nextTo"/>
        <c:crossAx val="138014720"/>
        <c:crosses val="autoZero"/>
        <c:crossBetween val="between"/>
      </c:valAx>
      <c:valAx>
        <c:axId val="138017792"/>
        <c:scaling>
          <c:orientation val="minMax"/>
        </c:scaling>
        <c:delete val="0"/>
        <c:axPos val="r"/>
        <c:numFmt formatCode="\ " sourceLinked="0"/>
        <c:majorTickMark val="none"/>
        <c:minorTickMark val="none"/>
        <c:tickLblPos val="nextTo"/>
        <c:crossAx val="130364160"/>
        <c:crosses val="max"/>
        <c:crossBetween val="between"/>
      </c:valAx>
      <c:dateAx>
        <c:axId val="13036416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38017792"/>
        <c:crosses val="autoZero"/>
        <c:auto val="1"/>
        <c:lblOffset val="100"/>
        <c:baseTimeUnit val="days"/>
      </c:dateAx>
    </c:plotArea>
    <c:legend>
      <c:legendPos val="b"/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"/>
          <c:y val="0.88811654640730886"/>
          <c:w val="0.81010860447261512"/>
          <c:h val="0.1118835463421768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Core Regression %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Data!$AC$37:$AC$66</c:f>
              <c:numCache>
                <c:formatCode>General</c:formatCode>
                <c:ptCount val="30"/>
                <c:pt idx="0">
                  <c:v>14.126016616821289</c:v>
                </c:pt>
                <c:pt idx="1">
                  <c:v>14.126016616821289</c:v>
                </c:pt>
                <c:pt idx="2">
                  <c:v>14.126016616821289</c:v>
                </c:pt>
                <c:pt idx="3">
                  <c:v>14.126016616821289</c:v>
                </c:pt>
                <c:pt idx="4">
                  <c:v>14.126016616821289</c:v>
                </c:pt>
                <c:pt idx="5">
                  <c:v>14.126016616821289</c:v>
                </c:pt>
                <c:pt idx="6">
                  <c:v>14.126016616821289</c:v>
                </c:pt>
                <c:pt idx="7">
                  <c:v>14.126016616821289</c:v>
                </c:pt>
                <c:pt idx="8">
                  <c:v>14.126016616821289</c:v>
                </c:pt>
                <c:pt idx="9">
                  <c:v>14.126016616821289</c:v>
                </c:pt>
                <c:pt idx="10">
                  <c:v>14.126016616821289</c:v>
                </c:pt>
                <c:pt idx="11">
                  <c:v>14.126016616821289</c:v>
                </c:pt>
                <c:pt idx="12">
                  <c:v>14.126016616821289</c:v>
                </c:pt>
                <c:pt idx="13">
                  <c:v>14.126016616821289</c:v>
                </c:pt>
                <c:pt idx="14">
                  <c:v>14.126016616821289</c:v>
                </c:pt>
                <c:pt idx="15">
                  <c:v>14.126016616821289</c:v>
                </c:pt>
                <c:pt idx="16">
                  <c:v>14.126016616821289</c:v>
                </c:pt>
                <c:pt idx="17">
                  <c:v>14.126016616821289</c:v>
                </c:pt>
                <c:pt idx="18">
                  <c:v>14.126016616821289</c:v>
                </c:pt>
                <c:pt idx="19">
                  <c:v>14.126016616821289</c:v>
                </c:pt>
                <c:pt idx="20">
                  <c:v>14.126016616821289</c:v>
                </c:pt>
                <c:pt idx="21">
                  <c:v>14.126016616821289</c:v>
                </c:pt>
                <c:pt idx="22">
                  <c:v>14.126016616821289</c:v>
                </c:pt>
                <c:pt idx="23">
                  <c:v>14.126016616821289</c:v>
                </c:pt>
                <c:pt idx="24">
                  <c:v>14.126016616821289</c:v>
                </c:pt>
                <c:pt idx="25">
                  <c:v>14.126016616821289</c:v>
                </c:pt>
                <c:pt idx="26">
                  <c:v>14.126016616821289</c:v>
                </c:pt>
                <c:pt idx="27">
                  <c:v>14.126016616821289</c:v>
                </c:pt>
                <c:pt idx="28">
                  <c:v>14.126016616821289</c:v>
                </c:pt>
                <c:pt idx="29">
                  <c:v>14.126016616821289</c:v>
                </c:pt>
              </c:numCache>
            </c:numRef>
          </c:val>
          <c:smooth val="0"/>
        </c:ser>
        <c:ser>
          <c:idx val="0"/>
          <c:order val="1"/>
          <c:tx>
            <c:v>Extention Regression %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Data!$AB$37:$AB$66</c:f>
              <c:numCache>
                <c:formatCode>General</c:formatCode>
                <c:ptCount val="30"/>
                <c:pt idx="0">
                  <c:v>12.343470573425293</c:v>
                </c:pt>
                <c:pt idx="1">
                  <c:v>12.343470573425293</c:v>
                </c:pt>
                <c:pt idx="2">
                  <c:v>12.343470573425293</c:v>
                </c:pt>
                <c:pt idx="3">
                  <c:v>12.343470573425293</c:v>
                </c:pt>
                <c:pt idx="4">
                  <c:v>12.343470573425293</c:v>
                </c:pt>
                <c:pt idx="5">
                  <c:v>12.343470573425293</c:v>
                </c:pt>
                <c:pt idx="6">
                  <c:v>12.343470573425293</c:v>
                </c:pt>
                <c:pt idx="7">
                  <c:v>12.343470573425293</c:v>
                </c:pt>
                <c:pt idx="8">
                  <c:v>12.343470573425293</c:v>
                </c:pt>
                <c:pt idx="9">
                  <c:v>12.343470573425293</c:v>
                </c:pt>
                <c:pt idx="10">
                  <c:v>12.343470573425293</c:v>
                </c:pt>
                <c:pt idx="11">
                  <c:v>12.343470573425293</c:v>
                </c:pt>
                <c:pt idx="12">
                  <c:v>12.343470573425293</c:v>
                </c:pt>
                <c:pt idx="13">
                  <c:v>12.343470573425293</c:v>
                </c:pt>
                <c:pt idx="14">
                  <c:v>12.343470573425293</c:v>
                </c:pt>
                <c:pt idx="15">
                  <c:v>12.343470573425293</c:v>
                </c:pt>
                <c:pt idx="16">
                  <c:v>12.343470573425293</c:v>
                </c:pt>
                <c:pt idx="17">
                  <c:v>12.343470573425293</c:v>
                </c:pt>
                <c:pt idx="18">
                  <c:v>12.343470573425293</c:v>
                </c:pt>
                <c:pt idx="19">
                  <c:v>12.343470573425293</c:v>
                </c:pt>
                <c:pt idx="20">
                  <c:v>12.343470573425293</c:v>
                </c:pt>
                <c:pt idx="21">
                  <c:v>12.343470573425293</c:v>
                </c:pt>
                <c:pt idx="22">
                  <c:v>12.343470573425293</c:v>
                </c:pt>
                <c:pt idx="23">
                  <c:v>12.343470573425293</c:v>
                </c:pt>
                <c:pt idx="24">
                  <c:v>12.343470573425293</c:v>
                </c:pt>
                <c:pt idx="25">
                  <c:v>12.343470573425293</c:v>
                </c:pt>
                <c:pt idx="26">
                  <c:v>12.343470573425293</c:v>
                </c:pt>
                <c:pt idx="27">
                  <c:v>12.343470573425293</c:v>
                </c:pt>
                <c:pt idx="28">
                  <c:v>12.343470573425293</c:v>
                </c:pt>
                <c:pt idx="29">
                  <c:v>12.343470573425293</c:v>
                </c:pt>
              </c:numCache>
            </c:numRef>
          </c:val>
          <c:smooth val="0"/>
        </c:ser>
        <c:ser>
          <c:idx val="2"/>
          <c:order val="2"/>
          <c:tx>
            <c:v>Max Regression</c:v>
          </c:tx>
          <c:spPr>
            <a:ln>
              <a:noFill/>
            </a:ln>
          </c:spPr>
          <c:marker>
            <c:symbol val="none"/>
          </c:marker>
          <c:val>
            <c:numRef>
              <c:f>Data!$AP$37:$AP$66</c:f>
              <c:numCache>
                <c:formatCode>General</c:formatCode>
                <c:ptCount val="30"/>
                <c:pt idx="0">
                  <c:v>48.107883834838873</c:v>
                </c:pt>
                <c:pt idx="1">
                  <c:v>48.107883834838873</c:v>
                </c:pt>
                <c:pt idx="2">
                  <c:v>48.107883834838873</c:v>
                </c:pt>
                <c:pt idx="3">
                  <c:v>48.107883834838873</c:v>
                </c:pt>
                <c:pt idx="4">
                  <c:v>48.107883834838873</c:v>
                </c:pt>
                <c:pt idx="5">
                  <c:v>48.107883834838873</c:v>
                </c:pt>
                <c:pt idx="6">
                  <c:v>48.107883834838873</c:v>
                </c:pt>
                <c:pt idx="7">
                  <c:v>48.107883834838873</c:v>
                </c:pt>
                <c:pt idx="8">
                  <c:v>48.107883834838873</c:v>
                </c:pt>
                <c:pt idx="9">
                  <c:v>48.107883834838873</c:v>
                </c:pt>
                <c:pt idx="10">
                  <c:v>48.107883834838873</c:v>
                </c:pt>
                <c:pt idx="11">
                  <c:v>48.107883834838873</c:v>
                </c:pt>
                <c:pt idx="12">
                  <c:v>48.107883834838873</c:v>
                </c:pt>
                <c:pt idx="13">
                  <c:v>48.107883834838873</c:v>
                </c:pt>
                <c:pt idx="14">
                  <c:v>48.107883834838873</c:v>
                </c:pt>
                <c:pt idx="15">
                  <c:v>48.107883834838873</c:v>
                </c:pt>
                <c:pt idx="16">
                  <c:v>48.107883834838873</c:v>
                </c:pt>
                <c:pt idx="17">
                  <c:v>48.107883834838873</c:v>
                </c:pt>
                <c:pt idx="18">
                  <c:v>48.107883834838873</c:v>
                </c:pt>
                <c:pt idx="19">
                  <c:v>48.107883834838873</c:v>
                </c:pt>
                <c:pt idx="20">
                  <c:v>48.107883834838873</c:v>
                </c:pt>
                <c:pt idx="21">
                  <c:v>48.107883834838873</c:v>
                </c:pt>
                <c:pt idx="22">
                  <c:v>48.107883834838873</c:v>
                </c:pt>
                <c:pt idx="23">
                  <c:v>48.107883834838873</c:v>
                </c:pt>
                <c:pt idx="24">
                  <c:v>48.107883834838873</c:v>
                </c:pt>
                <c:pt idx="25">
                  <c:v>48.107883834838873</c:v>
                </c:pt>
                <c:pt idx="26">
                  <c:v>48.107883834838873</c:v>
                </c:pt>
                <c:pt idx="27">
                  <c:v>48.107883834838873</c:v>
                </c:pt>
                <c:pt idx="28">
                  <c:v>48.107883834838873</c:v>
                </c:pt>
                <c:pt idx="29">
                  <c:v>48.107883834838873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86176"/>
        <c:axId val="130396160"/>
      </c:lineChart>
      <c:dateAx>
        <c:axId val="130386176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0396160"/>
        <c:crosses val="autoZero"/>
        <c:auto val="0"/>
        <c:lblOffset val="100"/>
        <c:baseTimeUnit val="days"/>
      </c:dateAx>
      <c:valAx>
        <c:axId val="130396160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30386176"/>
        <c:crosses val="autoZero"/>
        <c:crossBetween val="between"/>
      </c:valAx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0"/>
          <c:y val="0.88811654640730886"/>
          <c:w val="0.45992207256332662"/>
          <c:h val="9.103226023827031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Number of open bugs</c:v>
          </c:tx>
          <c:invertIfNegative val="0"/>
          <c:cat>
            <c:numRef>
              <c:f>Data!$BC$2:$BC$28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Data!$BF$2:$BF$27</c:f>
              <c:numCache>
                <c:formatCode>General</c:formatCode>
                <c:ptCount val="26"/>
                <c:pt idx="0">
                  <c:v>9</c:v>
                </c:pt>
                <c:pt idx="1">
                  <c:v>8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019968"/>
        <c:axId val="138021504"/>
      </c:barChart>
      <c:lineChart>
        <c:grouping val="standard"/>
        <c:varyColors val="0"/>
        <c:ser>
          <c:idx val="1"/>
          <c:order val="1"/>
          <c:tx>
            <c:v>Max</c:v>
          </c:tx>
          <c:marker>
            <c:symbol val="none"/>
          </c:marker>
          <c:val>
            <c:numRef>
              <c:f>Data!$BP$2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019968"/>
        <c:axId val="138021504"/>
      </c:lineChart>
      <c:catAx>
        <c:axId val="13801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021504"/>
        <c:crosses val="autoZero"/>
        <c:auto val="1"/>
        <c:lblAlgn val="ctr"/>
        <c:lblOffset val="100"/>
        <c:noMultiLvlLbl val="0"/>
      </c:catAx>
      <c:valAx>
        <c:axId val="138021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019968"/>
        <c:crosses val="autoZero"/>
        <c:crossBetween val="between"/>
      </c:valAx>
      <c:spPr>
        <a:noFill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5494371928341178E-2"/>
          <c:y val="0.88850503062117236"/>
          <c:w val="0.26611707546926167"/>
          <c:h val="9.1002139800285306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Escaping Core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Data!$AT$37:$AT$66</c:f>
              <c:numCache>
                <c:formatCode>General</c:formatCode>
                <c:ptCount val="30"/>
                <c:pt idx="0">
                  <c:v>0.35086181711948583</c:v>
                </c:pt>
                <c:pt idx="1">
                  <c:v>0.35086181711948583</c:v>
                </c:pt>
                <c:pt idx="2">
                  <c:v>0.35086181711948583</c:v>
                </c:pt>
                <c:pt idx="3">
                  <c:v>0.35086181711948583</c:v>
                </c:pt>
                <c:pt idx="4">
                  <c:v>0.35086181711948583</c:v>
                </c:pt>
                <c:pt idx="5">
                  <c:v>0.35086181711948583</c:v>
                </c:pt>
                <c:pt idx="6">
                  <c:v>0.35086181711948583</c:v>
                </c:pt>
                <c:pt idx="7">
                  <c:v>0.35086181711948583</c:v>
                </c:pt>
                <c:pt idx="8">
                  <c:v>0.35086181711948583</c:v>
                </c:pt>
                <c:pt idx="9">
                  <c:v>0.35086181711948583</c:v>
                </c:pt>
                <c:pt idx="10">
                  <c:v>0.35086181711948583</c:v>
                </c:pt>
                <c:pt idx="11">
                  <c:v>0.35086181711948583</c:v>
                </c:pt>
                <c:pt idx="12">
                  <c:v>0.35086181711948583</c:v>
                </c:pt>
                <c:pt idx="13">
                  <c:v>0.35086181711948583</c:v>
                </c:pt>
                <c:pt idx="14">
                  <c:v>0.35086181711948583</c:v>
                </c:pt>
                <c:pt idx="15">
                  <c:v>0.35086181711948583</c:v>
                </c:pt>
                <c:pt idx="16">
                  <c:v>0.35086181711948583</c:v>
                </c:pt>
                <c:pt idx="17">
                  <c:v>0.35086181711948583</c:v>
                </c:pt>
                <c:pt idx="18">
                  <c:v>0.35086181711948583</c:v>
                </c:pt>
                <c:pt idx="19">
                  <c:v>0.35086181711948583</c:v>
                </c:pt>
                <c:pt idx="20">
                  <c:v>0.35086181711948583</c:v>
                </c:pt>
                <c:pt idx="21">
                  <c:v>0.35086181711948583</c:v>
                </c:pt>
                <c:pt idx="22">
                  <c:v>0.35086181711948583</c:v>
                </c:pt>
                <c:pt idx="23">
                  <c:v>0.35086181711948583</c:v>
                </c:pt>
                <c:pt idx="24">
                  <c:v>0.35086181711948583</c:v>
                </c:pt>
                <c:pt idx="25">
                  <c:v>0.35086181711948583</c:v>
                </c:pt>
                <c:pt idx="26">
                  <c:v>0.35086181711948583</c:v>
                </c:pt>
                <c:pt idx="27">
                  <c:v>0.35086181711948583</c:v>
                </c:pt>
                <c:pt idx="28">
                  <c:v>0.35086181711948583</c:v>
                </c:pt>
                <c:pt idx="29">
                  <c:v>0.35086181711948583</c:v>
                </c:pt>
              </c:numCache>
            </c:numRef>
          </c:val>
          <c:smooth val="0"/>
        </c:ser>
        <c:ser>
          <c:idx val="2"/>
          <c:order val="1"/>
          <c:tx>
            <c:v>Max</c:v>
          </c:tx>
          <c:spPr>
            <a:ln>
              <a:noFill/>
            </a:ln>
          </c:spPr>
          <c:marker>
            <c:symbol val="none"/>
          </c:marker>
          <c:val>
            <c:numRef>
              <c:f>Data!$AX$37:$AX$66</c:f>
              <c:numCache>
                <c:formatCode>General</c:formatCode>
                <c:ptCount val="30"/>
                <c:pt idx="0">
                  <c:v>0.68</c:v>
                </c:pt>
                <c:pt idx="1">
                  <c:v>0.68</c:v>
                </c:pt>
                <c:pt idx="2">
                  <c:v>0.68</c:v>
                </c:pt>
                <c:pt idx="3">
                  <c:v>0.68</c:v>
                </c:pt>
                <c:pt idx="4">
                  <c:v>0.68</c:v>
                </c:pt>
                <c:pt idx="5">
                  <c:v>0.68</c:v>
                </c:pt>
                <c:pt idx="6">
                  <c:v>0.68</c:v>
                </c:pt>
                <c:pt idx="7">
                  <c:v>0.68</c:v>
                </c:pt>
                <c:pt idx="8">
                  <c:v>0.68</c:v>
                </c:pt>
                <c:pt idx="9">
                  <c:v>0.68</c:v>
                </c:pt>
                <c:pt idx="10">
                  <c:v>0.68</c:v>
                </c:pt>
                <c:pt idx="11">
                  <c:v>0.68</c:v>
                </c:pt>
                <c:pt idx="12">
                  <c:v>0.68</c:v>
                </c:pt>
                <c:pt idx="13">
                  <c:v>0.68</c:v>
                </c:pt>
                <c:pt idx="14">
                  <c:v>0.68</c:v>
                </c:pt>
                <c:pt idx="15">
                  <c:v>0.68</c:v>
                </c:pt>
                <c:pt idx="16">
                  <c:v>0.68</c:v>
                </c:pt>
                <c:pt idx="17">
                  <c:v>0.68</c:v>
                </c:pt>
                <c:pt idx="18">
                  <c:v>0.68</c:v>
                </c:pt>
                <c:pt idx="19">
                  <c:v>0.68</c:v>
                </c:pt>
                <c:pt idx="20">
                  <c:v>0.68</c:v>
                </c:pt>
                <c:pt idx="21">
                  <c:v>0.68</c:v>
                </c:pt>
                <c:pt idx="22">
                  <c:v>0.68</c:v>
                </c:pt>
                <c:pt idx="23">
                  <c:v>0.68</c:v>
                </c:pt>
                <c:pt idx="24">
                  <c:v>0.68</c:v>
                </c:pt>
                <c:pt idx="25">
                  <c:v>0.68</c:v>
                </c:pt>
                <c:pt idx="26">
                  <c:v>0.68</c:v>
                </c:pt>
                <c:pt idx="27">
                  <c:v>0.68</c:v>
                </c:pt>
                <c:pt idx="28">
                  <c:v>0.68</c:v>
                </c:pt>
                <c:pt idx="29">
                  <c:v>0.68</c:v>
                </c:pt>
              </c:numCache>
            </c:numRef>
          </c:val>
          <c:smooth val="0"/>
        </c:ser>
        <c:ser>
          <c:idx val="0"/>
          <c:order val="2"/>
          <c:tx>
            <c:v>Projects Average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Data!$AW$37:$AW$66</c:f>
              <c:numCache>
                <c:formatCode>General</c:formatCode>
                <c:ptCount val="30"/>
                <c:pt idx="0">
                  <c:v>0.26742014065859854</c:v>
                </c:pt>
                <c:pt idx="1">
                  <c:v>0.26742014065859854</c:v>
                </c:pt>
                <c:pt idx="2">
                  <c:v>0.26742014065859854</c:v>
                </c:pt>
                <c:pt idx="3">
                  <c:v>0.26742014065859854</c:v>
                </c:pt>
                <c:pt idx="4">
                  <c:v>0.26742014065859854</c:v>
                </c:pt>
                <c:pt idx="5">
                  <c:v>0.26742014065859854</c:v>
                </c:pt>
                <c:pt idx="6">
                  <c:v>0.26742014065859854</c:v>
                </c:pt>
                <c:pt idx="7">
                  <c:v>0.26742014065859854</c:v>
                </c:pt>
                <c:pt idx="8">
                  <c:v>0.26742014065859854</c:v>
                </c:pt>
                <c:pt idx="9">
                  <c:v>0.26742014065859854</c:v>
                </c:pt>
                <c:pt idx="10">
                  <c:v>0.26742014065859854</c:v>
                </c:pt>
                <c:pt idx="11">
                  <c:v>0.26742014065859854</c:v>
                </c:pt>
                <c:pt idx="12">
                  <c:v>0.26742014065859854</c:v>
                </c:pt>
                <c:pt idx="13">
                  <c:v>0.26742014065859854</c:v>
                </c:pt>
                <c:pt idx="14">
                  <c:v>0.26742014065859854</c:v>
                </c:pt>
                <c:pt idx="15">
                  <c:v>0.26742014065859854</c:v>
                </c:pt>
                <c:pt idx="16">
                  <c:v>0.26742014065859854</c:v>
                </c:pt>
                <c:pt idx="17">
                  <c:v>0.26742014065859854</c:v>
                </c:pt>
                <c:pt idx="18">
                  <c:v>0.26742014065859854</c:v>
                </c:pt>
                <c:pt idx="19">
                  <c:v>0.26742014065859854</c:v>
                </c:pt>
                <c:pt idx="20">
                  <c:v>0.26742014065859854</c:v>
                </c:pt>
                <c:pt idx="21">
                  <c:v>0.26742014065859854</c:v>
                </c:pt>
                <c:pt idx="22">
                  <c:v>0.26742014065859854</c:v>
                </c:pt>
                <c:pt idx="23">
                  <c:v>0.26742014065859854</c:v>
                </c:pt>
                <c:pt idx="24">
                  <c:v>0.26742014065859854</c:v>
                </c:pt>
                <c:pt idx="25">
                  <c:v>0.26742014065859854</c:v>
                </c:pt>
                <c:pt idx="26">
                  <c:v>0.26742014065859854</c:v>
                </c:pt>
                <c:pt idx="27">
                  <c:v>0.26742014065859854</c:v>
                </c:pt>
                <c:pt idx="28">
                  <c:v>0.26742014065859854</c:v>
                </c:pt>
                <c:pt idx="29">
                  <c:v>0.26742014065859854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072448"/>
        <c:axId val="138073984"/>
      </c:lineChart>
      <c:dateAx>
        <c:axId val="138072448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8073984"/>
        <c:crosses val="autoZero"/>
        <c:auto val="0"/>
        <c:lblOffset val="100"/>
        <c:baseTimeUnit val="days"/>
      </c:dateAx>
      <c:valAx>
        <c:axId val="138073984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8072448"/>
        <c:crosses val="autoZero"/>
        <c:crossBetween val="between"/>
      </c:valAx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"/>
          <c:y val="0.88811654640730886"/>
          <c:w val="0.3651524331990666"/>
          <c:h val="9.309096893603256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16716604244694E-2"/>
          <c:y val="0.11832997650218194"/>
          <c:w val="0.92539213483146066"/>
          <c:h val="0.5711555891238671"/>
        </c:manualLayout>
      </c:layout>
      <c:lineChart>
        <c:grouping val="standard"/>
        <c:varyColors val="0"/>
        <c:ser>
          <c:idx val="2"/>
          <c:order val="0"/>
          <c:tx>
            <c:v>Trend Core</c:v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rgbClr val="00B0F0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Data!$DS$2:$DS$6</c:f>
              <c:numCache>
                <c:formatCode>General</c:formatCode>
                <c:ptCount val="5"/>
                <c:pt idx="0">
                  <c:v>0.28433268858800775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ser>
          <c:idx val="3"/>
          <c:order val="1"/>
          <c:tx>
            <c:v>Trend  Extension</c:v>
          </c:tx>
          <c:spPr>
            <a:ln w="2540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6">
                    <a:lumMod val="75000"/>
                  </a:schemeClr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Data!$DR$2:$DR$6</c:f>
              <c:numCache>
                <c:formatCode>General</c:formatCode>
                <c:ptCount val="5"/>
                <c:pt idx="0">
                  <c:v>0.27571926765475152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812800"/>
        <c:axId val="138814592"/>
      </c:lineChart>
      <c:dateAx>
        <c:axId val="138812800"/>
        <c:scaling>
          <c:orientation val="minMax"/>
        </c:scaling>
        <c:delete val="0"/>
        <c:axPos val="b"/>
        <c:numFmt formatCode="dd/mm" sourceLinked="0"/>
        <c:majorTickMark val="out"/>
        <c:minorTickMark val="none"/>
        <c:tickLblPos val="nextTo"/>
        <c:crossAx val="138814592"/>
        <c:crosses val="autoZero"/>
        <c:auto val="0"/>
        <c:lblOffset val="100"/>
        <c:baseTimeUnit val="days"/>
        <c:majorUnit val="7"/>
        <c:majorTimeUnit val="days"/>
      </c:dateAx>
      <c:valAx>
        <c:axId val="138814592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881280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8360549313358304E-2"/>
          <c:y val="0.87130748573346761"/>
          <c:w val="0.90317382768098875"/>
          <c:h val="7.262214211175410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2"/>
          <c:order val="2"/>
          <c:tx>
            <c:v>Done User Stories</c:v>
          </c:tx>
          <c:spPr>
            <a:solidFill>
              <a:schemeClr val="bg2">
                <a:lumMod val="50000"/>
              </a:schemeClr>
            </a:solidFill>
          </c:spPr>
          <c:cat>
            <c:numRef>
              <c:f>Data!$A$2:$A$66</c:f>
              <c:numCache>
                <c:formatCode>m/d/yyyy</c:formatCode>
                <c:ptCount val="65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  <c:pt idx="27">
                  <c:v>41836</c:v>
                </c:pt>
                <c:pt idx="28">
                  <c:v>41843</c:v>
                </c:pt>
                <c:pt idx="29">
                  <c:v>41850</c:v>
                </c:pt>
                <c:pt idx="30">
                  <c:v>41857</c:v>
                </c:pt>
                <c:pt idx="31">
                  <c:v>41864</c:v>
                </c:pt>
                <c:pt idx="32">
                  <c:v>41871</c:v>
                </c:pt>
                <c:pt idx="33">
                  <c:v>41878</c:v>
                </c:pt>
                <c:pt idx="34">
                  <c:v>41885</c:v>
                </c:pt>
                <c:pt idx="35">
                  <c:v>41892</c:v>
                </c:pt>
                <c:pt idx="36">
                  <c:v>41899</c:v>
                </c:pt>
                <c:pt idx="37">
                  <c:v>41906</c:v>
                </c:pt>
                <c:pt idx="38">
                  <c:v>41913</c:v>
                </c:pt>
                <c:pt idx="39">
                  <c:v>41920</c:v>
                </c:pt>
                <c:pt idx="40">
                  <c:v>41927</c:v>
                </c:pt>
                <c:pt idx="41">
                  <c:v>41934</c:v>
                </c:pt>
                <c:pt idx="42">
                  <c:v>41941</c:v>
                </c:pt>
                <c:pt idx="43">
                  <c:v>41948</c:v>
                </c:pt>
                <c:pt idx="44">
                  <c:v>41955</c:v>
                </c:pt>
                <c:pt idx="45">
                  <c:v>41962</c:v>
                </c:pt>
                <c:pt idx="46">
                  <c:v>41969</c:v>
                </c:pt>
                <c:pt idx="47">
                  <c:v>41976</c:v>
                </c:pt>
                <c:pt idx="48">
                  <c:v>41983</c:v>
                </c:pt>
                <c:pt idx="49">
                  <c:v>41990</c:v>
                </c:pt>
                <c:pt idx="50">
                  <c:v>41997</c:v>
                </c:pt>
                <c:pt idx="51">
                  <c:v>42004</c:v>
                </c:pt>
                <c:pt idx="52">
                  <c:v>42011</c:v>
                </c:pt>
                <c:pt idx="53">
                  <c:v>42018</c:v>
                </c:pt>
                <c:pt idx="54">
                  <c:v>42025</c:v>
                </c:pt>
                <c:pt idx="55">
                  <c:v>42032</c:v>
                </c:pt>
                <c:pt idx="56">
                  <c:v>42039</c:v>
                </c:pt>
                <c:pt idx="57">
                  <c:v>42046</c:v>
                </c:pt>
                <c:pt idx="58">
                  <c:v>42053</c:v>
                </c:pt>
                <c:pt idx="59">
                  <c:v>42060</c:v>
                </c:pt>
                <c:pt idx="60">
                  <c:v>42067</c:v>
                </c:pt>
                <c:pt idx="61">
                  <c:v>42074</c:v>
                </c:pt>
                <c:pt idx="62">
                  <c:v>42081</c:v>
                </c:pt>
                <c:pt idx="63">
                  <c:v>42088</c:v>
                </c:pt>
                <c:pt idx="64">
                  <c:v>42095</c:v>
                </c:pt>
              </c:numCache>
            </c:numRef>
          </c:cat>
          <c:val>
            <c:numRef>
              <c:f>Data!$G$37:$G$66</c:f>
              <c:numCache>
                <c:formatCode>General</c:formatCode>
                <c:ptCount val="30"/>
                <c:pt idx="0">
                  <c:v>410</c:v>
                </c:pt>
                <c:pt idx="1">
                  <c:v>410</c:v>
                </c:pt>
                <c:pt idx="2">
                  <c:v>410</c:v>
                </c:pt>
                <c:pt idx="3">
                  <c:v>410</c:v>
                </c:pt>
                <c:pt idx="4">
                  <c:v>410</c:v>
                </c:pt>
                <c:pt idx="5">
                  <c:v>410</c:v>
                </c:pt>
                <c:pt idx="6">
                  <c:v>410</c:v>
                </c:pt>
                <c:pt idx="7">
                  <c:v>410</c:v>
                </c:pt>
                <c:pt idx="8">
                  <c:v>410</c:v>
                </c:pt>
                <c:pt idx="9">
                  <c:v>410</c:v>
                </c:pt>
                <c:pt idx="10">
                  <c:v>410</c:v>
                </c:pt>
                <c:pt idx="11">
                  <c:v>410</c:v>
                </c:pt>
                <c:pt idx="12">
                  <c:v>410</c:v>
                </c:pt>
                <c:pt idx="13">
                  <c:v>410</c:v>
                </c:pt>
                <c:pt idx="14">
                  <c:v>410</c:v>
                </c:pt>
                <c:pt idx="15">
                  <c:v>410</c:v>
                </c:pt>
                <c:pt idx="16">
                  <c:v>410</c:v>
                </c:pt>
                <c:pt idx="17">
                  <c:v>410</c:v>
                </c:pt>
                <c:pt idx="18">
                  <c:v>410</c:v>
                </c:pt>
                <c:pt idx="19">
                  <c:v>410</c:v>
                </c:pt>
                <c:pt idx="20">
                  <c:v>410</c:v>
                </c:pt>
                <c:pt idx="21">
                  <c:v>410</c:v>
                </c:pt>
                <c:pt idx="22">
                  <c:v>410</c:v>
                </c:pt>
                <c:pt idx="23">
                  <c:v>410</c:v>
                </c:pt>
                <c:pt idx="24">
                  <c:v>410</c:v>
                </c:pt>
                <c:pt idx="25">
                  <c:v>410</c:v>
                </c:pt>
                <c:pt idx="26">
                  <c:v>410</c:v>
                </c:pt>
                <c:pt idx="27">
                  <c:v>410</c:v>
                </c:pt>
                <c:pt idx="28">
                  <c:v>410</c:v>
                </c:pt>
                <c:pt idx="29">
                  <c:v>410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22848"/>
        <c:axId val="138621312"/>
      </c:areaChart>
      <c:lineChart>
        <c:grouping val="standard"/>
        <c:varyColors val="0"/>
        <c:ser>
          <c:idx val="0"/>
          <c:order val="0"/>
          <c:tx>
            <c:v>Defect Density</c:v>
          </c:tx>
          <c:marker>
            <c:symbol val="none"/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Data!$M$37:$M$66</c:f>
              <c:numCache>
                <c:formatCode>General</c:formatCode>
                <c:ptCount val="30"/>
                <c:pt idx="0">
                  <c:v>3.5170731544494629</c:v>
                </c:pt>
                <c:pt idx="1">
                  <c:v>3.5170731544494629</c:v>
                </c:pt>
                <c:pt idx="2">
                  <c:v>3.5170731544494629</c:v>
                </c:pt>
                <c:pt idx="3">
                  <c:v>3.5170731544494629</c:v>
                </c:pt>
                <c:pt idx="4">
                  <c:v>3.5170731544494629</c:v>
                </c:pt>
                <c:pt idx="5">
                  <c:v>3.5170731544494629</c:v>
                </c:pt>
                <c:pt idx="6">
                  <c:v>3.5170731544494629</c:v>
                </c:pt>
                <c:pt idx="7">
                  <c:v>3.5170731544494629</c:v>
                </c:pt>
                <c:pt idx="8">
                  <c:v>3.5170731544494629</c:v>
                </c:pt>
                <c:pt idx="9">
                  <c:v>3.5170731544494629</c:v>
                </c:pt>
                <c:pt idx="10">
                  <c:v>3.5170731544494629</c:v>
                </c:pt>
                <c:pt idx="11">
                  <c:v>3.5170731544494629</c:v>
                </c:pt>
                <c:pt idx="12">
                  <c:v>3.5170731544494629</c:v>
                </c:pt>
                <c:pt idx="13">
                  <c:v>3.5170731544494629</c:v>
                </c:pt>
                <c:pt idx="14">
                  <c:v>3.5170731544494629</c:v>
                </c:pt>
                <c:pt idx="15">
                  <c:v>3.5170731544494629</c:v>
                </c:pt>
                <c:pt idx="16">
                  <c:v>3.5170731544494629</c:v>
                </c:pt>
                <c:pt idx="17">
                  <c:v>3.5170731544494629</c:v>
                </c:pt>
                <c:pt idx="18">
                  <c:v>3.5170731544494629</c:v>
                </c:pt>
                <c:pt idx="19">
                  <c:v>3.5170731544494629</c:v>
                </c:pt>
                <c:pt idx="20">
                  <c:v>3.5170731544494629</c:v>
                </c:pt>
                <c:pt idx="21">
                  <c:v>3.5170731544494629</c:v>
                </c:pt>
                <c:pt idx="22">
                  <c:v>3.5170731544494629</c:v>
                </c:pt>
                <c:pt idx="23">
                  <c:v>3.5170731544494629</c:v>
                </c:pt>
                <c:pt idx="24">
                  <c:v>3.5170731544494629</c:v>
                </c:pt>
                <c:pt idx="25">
                  <c:v>3.5170731544494629</c:v>
                </c:pt>
                <c:pt idx="26">
                  <c:v>3.5170731544494629</c:v>
                </c:pt>
                <c:pt idx="27">
                  <c:v>3.5170731544494629</c:v>
                </c:pt>
                <c:pt idx="28">
                  <c:v>3.5170731544494629</c:v>
                </c:pt>
                <c:pt idx="29">
                  <c:v>3.5170731544494629</c:v>
                </c:pt>
              </c:numCache>
            </c:numRef>
          </c:val>
          <c:smooth val="0"/>
        </c:ser>
        <c:ser>
          <c:idx val="1"/>
          <c:order val="1"/>
          <c:tx>
            <c:v>Target Density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Data!$U$37:$U$66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Data!$Q$1</c:f>
              <c:strCache>
                <c:ptCount val="1"/>
                <c:pt idx="0">
                  <c:v>Max_DD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Data!$Q$37:$Q$66</c:f>
              <c:numCache>
                <c:formatCode>General</c:formatCode>
                <c:ptCount val="30"/>
                <c:pt idx="0">
                  <c:v>12.322580718994141</c:v>
                </c:pt>
                <c:pt idx="1">
                  <c:v>12.322580718994141</c:v>
                </c:pt>
                <c:pt idx="2">
                  <c:v>12.322580718994141</c:v>
                </c:pt>
                <c:pt idx="3">
                  <c:v>12.322580718994141</c:v>
                </c:pt>
                <c:pt idx="4">
                  <c:v>12.322580718994141</c:v>
                </c:pt>
                <c:pt idx="5">
                  <c:v>12.322580718994141</c:v>
                </c:pt>
                <c:pt idx="6">
                  <c:v>12.322580718994141</c:v>
                </c:pt>
                <c:pt idx="7">
                  <c:v>12.322580718994141</c:v>
                </c:pt>
                <c:pt idx="8">
                  <c:v>12.322580718994141</c:v>
                </c:pt>
                <c:pt idx="9">
                  <c:v>12.322580718994141</c:v>
                </c:pt>
                <c:pt idx="10">
                  <c:v>12.322580718994141</c:v>
                </c:pt>
                <c:pt idx="11">
                  <c:v>12.322580718994141</c:v>
                </c:pt>
                <c:pt idx="12">
                  <c:v>12.322580718994141</c:v>
                </c:pt>
                <c:pt idx="13">
                  <c:v>12.322580718994141</c:v>
                </c:pt>
                <c:pt idx="14">
                  <c:v>12.322580718994141</c:v>
                </c:pt>
                <c:pt idx="15">
                  <c:v>12.322580718994141</c:v>
                </c:pt>
                <c:pt idx="16">
                  <c:v>12.322580718994141</c:v>
                </c:pt>
                <c:pt idx="17">
                  <c:v>12.322580718994141</c:v>
                </c:pt>
                <c:pt idx="18">
                  <c:v>12.322580718994141</c:v>
                </c:pt>
                <c:pt idx="19">
                  <c:v>12.322580718994141</c:v>
                </c:pt>
                <c:pt idx="20">
                  <c:v>12.322580718994141</c:v>
                </c:pt>
                <c:pt idx="21">
                  <c:v>12.322580718994141</c:v>
                </c:pt>
                <c:pt idx="22">
                  <c:v>12.322580718994141</c:v>
                </c:pt>
                <c:pt idx="23">
                  <c:v>12.322580718994141</c:v>
                </c:pt>
                <c:pt idx="24">
                  <c:v>12.322580718994141</c:v>
                </c:pt>
                <c:pt idx="25">
                  <c:v>12.322580718994141</c:v>
                </c:pt>
                <c:pt idx="26">
                  <c:v>12.322580718994141</c:v>
                </c:pt>
                <c:pt idx="27">
                  <c:v>12.322580718994141</c:v>
                </c:pt>
                <c:pt idx="28">
                  <c:v>12.322580718994141</c:v>
                </c:pt>
                <c:pt idx="29">
                  <c:v>12.322580718994141</c:v>
                </c:pt>
              </c:numCache>
            </c:numRef>
          </c:val>
          <c:smooth val="0"/>
        </c:ser>
        <c:ser>
          <c:idx val="5"/>
          <c:order val="5"/>
          <c:tx>
            <c:v>Average Top 5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Data!$P$37:$P$66</c:f>
              <c:numCache>
                <c:formatCode>General</c:formatCode>
                <c:ptCount val="30"/>
                <c:pt idx="0">
                  <c:v>2.3849732995033266</c:v>
                </c:pt>
                <c:pt idx="1">
                  <c:v>2.3849732995033266</c:v>
                </c:pt>
                <c:pt idx="2">
                  <c:v>2.3849732995033266</c:v>
                </c:pt>
                <c:pt idx="3">
                  <c:v>2.3849732995033266</c:v>
                </c:pt>
                <c:pt idx="4">
                  <c:v>2.3849732995033266</c:v>
                </c:pt>
                <c:pt idx="5">
                  <c:v>2.3849732995033266</c:v>
                </c:pt>
                <c:pt idx="6">
                  <c:v>2.3849732995033266</c:v>
                </c:pt>
                <c:pt idx="7">
                  <c:v>2.3849732995033266</c:v>
                </c:pt>
                <c:pt idx="8">
                  <c:v>2.3849732995033266</c:v>
                </c:pt>
                <c:pt idx="9">
                  <c:v>2.3849732995033266</c:v>
                </c:pt>
                <c:pt idx="10">
                  <c:v>2.3849732995033266</c:v>
                </c:pt>
                <c:pt idx="11">
                  <c:v>2.3849732995033266</c:v>
                </c:pt>
                <c:pt idx="12">
                  <c:v>2.3849732995033266</c:v>
                </c:pt>
                <c:pt idx="13">
                  <c:v>2.3849732995033266</c:v>
                </c:pt>
                <c:pt idx="14">
                  <c:v>2.3849732995033266</c:v>
                </c:pt>
                <c:pt idx="15">
                  <c:v>2.3849732995033266</c:v>
                </c:pt>
                <c:pt idx="16">
                  <c:v>2.3849732995033266</c:v>
                </c:pt>
                <c:pt idx="17">
                  <c:v>2.3849732995033266</c:v>
                </c:pt>
                <c:pt idx="18">
                  <c:v>2.3849732995033266</c:v>
                </c:pt>
                <c:pt idx="19">
                  <c:v>2.3849732995033266</c:v>
                </c:pt>
                <c:pt idx="20">
                  <c:v>2.3849732995033266</c:v>
                </c:pt>
                <c:pt idx="21">
                  <c:v>2.3849732995033266</c:v>
                </c:pt>
                <c:pt idx="22">
                  <c:v>2.3849732995033266</c:v>
                </c:pt>
                <c:pt idx="23">
                  <c:v>2.3849732995033266</c:v>
                </c:pt>
                <c:pt idx="24">
                  <c:v>2.3849732995033266</c:v>
                </c:pt>
                <c:pt idx="25">
                  <c:v>2.3849732995033266</c:v>
                </c:pt>
                <c:pt idx="26">
                  <c:v>2.3849732995033266</c:v>
                </c:pt>
                <c:pt idx="27">
                  <c:v>2.3849732995033266</c:v>
                </c:pt>
                <c:pt idx="28">
                  <c:v>2.3849732995033266</c:v>
                </c:pt>
                <c:pt idx="29">
                  <c:v>2.3849732995033266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613888"/>
        <c:axId val="138615424"/>
      </c:lineChart>
      <c:lineChart>
        <c:grouping val="standard"/>
        <c:varyColors val="0"/>
        <c:ser>
          <c:idx val="3"/>
          <c:order val="3"/>
          <c:tx>
            <c:v>Max</c:v>
          </c:tx>
          <c:marker>
            <c:symbol val="none"/>
          </c:marker>
          <c:cat>
            <c:numRef>
              <c:f>Data!$A$2:$A$66</c:f>
              <c:numCache>
                <c:formatCode>m/d/yyyy</c:formatCode>
                <c:ptCount val="65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  <c:pt idx="27">
                  <c:v>41836</c:v>
                </c:pt>
                <c:pt idx="28">
                  <c:v>41843</c:v>
                </c:pt>
                <c:pt idx="29">
                  <c:v>41850</c:v>
                </c:pt>
                <c:pt idx="30">
                  <c:v>41857</c:v>
                </c:pt>
                <c:pt idx="31">
                  <c:v>41864</c:v>
                </c:pt>
                <c:pt idx="32">
                  <c:v>41871</c:v>
                </c:pt>
                <c:pt idx="33">
                  <c:v>41878</c:v>
                </c:pt>
                <c:pt idx="34">
                  <c:v>41885</c:v>
                </c:pt>
                <c:pt idx="35">
                  <c:v>41892</c:v>
                </c:pt>
                <c:pt idx="36">
                  <c:v>41899</c:v>
                </c:pt>
                <c:pt idx="37">
                  <c:v>41906</c:v>
                </c:pt>
                <c:pt idx="38">
                  <c:v>41913</c:v>
                </c:pt>
                <c:pt idx="39">
                  <c:v>41920</c:v>
                </c:pt>
                <c:pt idx="40">
                  <c:v>41927</c:v>
                </c:pt>
                <c:pt idx="41">
                  <c:v>41934</c:v>
                </c:pt>
                <c:pt idx="42">
                  <c:v>41941</c:v>
                </c:pt>
                <c:pt idx="43">
                  <c:v>41948</c:v>
                </c:pt>
                <c:pt idx="44">
                  <c:v>41955</c:v>
                </c:pt>
                <c:pt idx="45">
                  <c:v>41962</c:v>
                </c:pt>
                <c:pt idx="46">
                  <c:v>41969</c:v>
                </c:pt>
                <c:pt idx="47">
                  <c:v>41976</c:v>
                </c:pt>
                <c:pt idx="48">
                  <c:v>41983</c:v>
                </c:pt>
                <c:pt idx="49">
                  <c:v>41990</c:v>
                </c:pt>
                <c:pt idx="50">
                  <c:v>41997</c:v>
                </c:pt>
                <c:pt idx="51">
                  <c:v>42004</c:v>
                </c:pt>
                <c:pt idx="52">
                  <c:v>42011</c:v>
                </c:pt>
                <c:pt idx="53">
                  <c:v>42018</c:v>
                </c:pt>
                <c:pt idx="54">
                  <c:v>42025</c:v>
                </c:pt>
                <c:pt idx="55">
                  <c:v>42032</c:v>
                </c:pt>
                <c:pt idx="56">
                  <c:v>42039</c:v>
                </c:pt>
                <c:pt idx="57">
                  <c:v>42046</c:v>
                </c:pt>
                <c:pt idx="58">
                  <c:v>42053</c:v>
                </c:pt>
                <c:pt idx="59">
                  <c:v>42060</c:v>
                </c:pt>
                <c:pt idx="60">
                  <c:v>42067</c:v>
                </c:pt>
                <c:pt idx="61">
                  <c:v>42074</c:v>
                </c:pt>
                <c:pt idx="62">
                  <c:v>42081</c:v>
                </c:pt>
                <c:pt idx="63">
                  <c:v>42088</c:v>
                </c:pt>
                <c:pt idx="64">
                  <c:v>42095</c:v>
                </c:pt>
              </c:numCache>
            </c:numRef>
          </c:cat>
          <c:val>
            <c:numRef>
              <c:f>DDD!$E$10</c:f>
              <c:numCache>
                <c:formatCode>General</c:formatCode>
                <c:ptCount val="1"/>
                <c:pt idx="0">
                  <c:v>2050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622848"/>
        <c:axId val="138621312"/>
      </c:lineChart>
      <c:dateAx>
        <c:axId val="138613888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8615424"/>
        <c:crosses val="autoZero"/>
        <c:auto val="0"/>
        <c:lblOffset val="100"/>
        <c:baseTimeUnit val="days"/>
      </c:dateAx>
      <c:valAx>
        <c:axId val="138615424"/>
        <c:scaling>
          <c:orientation val="minMax"/>
          <c:min val="-0.5"/>
        </c:scaling>
        <c:delete val="0"/>
        <c:axPos val="l"/>
        <c:majorGridlines/>
        <c:numFmt formatCode="0.0;;0;" sourceLinked="0"/>
        <c:majorTickMark val="out"/>
        <c:minorTickMark val="none"/>
        <c:tickLblPos val="nextTo"/>
        <c:crossAx val="138613888"/>
        <c:crosses val="autoZero"/>
        <c:crossBetween val="between"/>
      </c:valAx>
      <c:valAx>
        <c:axId val="138621312"/>
        <c:scaling>
          <c:orientation val="minMax"/>
        </c:scaling>
        <c:delete val="0"/>
        <c:axPos val="r"/>
        <c:numFmt formatCode="\ " sourceLinked="0"/>
        <c:majorTickMark val="none"/>
        <c:minorTickMark val="none"/>
        <c:tickLblPos val="nextTo"/>
        <c:crossAx val="138622848"/>
        <c:crosses val="max"/>
        <c:crossBetween val="between"/>
      </c:valAx>
      <c:dateAx>
        <c:axId val="13862284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38621312"/>
        <c:crosses val="autoZero"/>
        <c:auto val="1"/>
        <c:lblOffset val="100"/>
        <c:baseTimeUnit val="days"/>
      </c:dateAx>
    </c:plotArea>
    <c:legend>
      <c:legendPos val="b"/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"/>
          <c:y val="0.88811654640730886"/>
          <c:w val="0.81010860447261512"/>
          <c:h val="0.1118835463421768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Core Regression %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Data!$AE$37:$AE$66</c:f>
              <c:numCache>
                <c:formatCode>General</c:formatCode>
                <c:ptCount val="30"/>
                <c:pt idx="0">
                  <c:v>55.369926452636719</c:v>
                </c:pt>
                <c:pt idx="1">
                  <c:v>55.369926452636719</c:v>
                </c:pt>
                <c:pt idx="2">
                  <c:v>55.369926452636719</c:v>
                </c:pt>
                <c:pt idx="3">
                  <c:v>55.369926452636719</c:v>
                </c:pt>
                <c:pt idx="4">
                  <c:v>55.369926452636719</c:v>
                </c:pt>
                <c:pt idx="5">
                  <c:v>55.369926452636719</c:v>
                </c:pt>
                <c:pt idx="6">
                  <c:v>55.369926452636719</c:v>
                </c:pt>
                <c:pt idx="7">
                  <c:v>55.369926452636719</c:v>
                </c:pt>
                <c:pt idx="8">
                  <c:v>55.369926452636719</c:v>
                </c:pt>
                <c:pt idx="9">
                  <c:v>55.369926452636719</c:v>
                </c:pt>
                <c:pt idx="10">
                  <c:v>55.369926452636719</c:v>
                </c:pt>
                <c:pt idx="11">
                  <c:v>55.369926452636719</c:v>
                </c:pt>
                <c:pt idx="12">
                  <c:v>55.369926452636719</c:v>
                </c:pt>
                <c:pt idx="13">
                  <c:v>55.369926452636719</c:v>
                </c:pt>
                <c:pt idx="14">
                  <c:v>55.369926452636719</c:v>
                </c:pt>
                <c:pt idx="15">
                  <c:v>55.369926452636719</c:v>
                </c:pt>
                <c:pt idx="16">
                  <c:v>55.369926452636719</c:v>
                </c:pt>
                <c:pt idx="17">
                  <c:v>55.369926452636719</c:v>
                </c:pt>
                <c:pt idx="18">
                  <c:v>55.369926452636719</c:v>
                </c:pt>
                <c:pt idx="19">
                  <c:v>55.369926452636719</c:v>
                </c:pt>
                <c:pt idx="20">
                  <c:v>55.369926452636719</c:v>
                </c:pt>
                <c:pt idx="21">
                  <c:v>55.369926452636719</c:v>
                </c:pt>
                <c:pt idx="22">
                  <c:v>55.369926452636719</c:v>
                </c:pt>
                <c:pt idx="23">
                  <c:v>55.369926452636719</c:v>
                </c:pt>
                <c:pt idx="24">
                  <c:v>55.369926452636719</c:v>
                </c:pt>
                <c:pt idx="25">
                  <c:v>55.369926452636719</c:v>
                </c:pt>
                <c:pt idx="26">
                  <c:v>55.369926452636719</c:v>
                </c:pt>
                <c:pt idx="27">
                  <c:v>55.369926452636719</c:v>
                </c:pt>
                <c:pt idx="28">
                  <c:v>55.369926452636719</c:v>
                </c:pt>
                <c:pt idx="29">
                  <c:v>55.369926452636719</c:v>
                </c:pt>
              </c:numCache>
            </c:numRef>
          </c:val>
          <c:smooth val="0"/>
        </c:ser>
        <c:ser>
          <c:idx val="0"/>
          <c:order val="1"/>
          <c:tx>
            <c:v>Extention Regression %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Data!$AD$37:$AD$66</c:f>
              <c:numCache>
                <c:formatCode>General</c:formatCode>
                <c:ptCount val="30"/>
                <c:pt idx="0">
                  <c:v>42.163661956787109</c:v>
                </c:pt>
                <c:pt idx="1">
                  <c:v>42.163661956787109</c:v>
                </c:pt>
                <c:pt idx="2">
                  <c:v>42.163661956787109</c:v>
                </c:pt>
                <c:pt idx="3">
                  <c:v>42.163661956787109</c:v>
                </c:pt>
                <c:pt idx="4">
                  <c:v>42.163661956787109</c:v>
                </c:pt>
                <c:pt idx="5">
                  <c:v>42.163661956787109</c:v>
                </c:pt>
                <c:pt idx="6">
                  <c:v>42.163661956787109</c:v>
                </c:pt>
                <c:pt idx="7">
                  <c:v>42.163661956787109</c:v>
                </c:pt>
                <c:pt idx="8">
                  <c:v>42.163661956787109</c:v>
                </c:pt>
                <c:pt idx="9">
                  <c:v>42.163661956787109</c:v>
                </c:pt>
                <c:pt idx="10">
                  <c:v>42.163661956787109</c:v>
                </c:pt>
                <c:pt idx="11">
                  <c:v>42.163661956787109</c:v>
                </c:pt>
                <c:pt idx="12">
                  <c:v>42.163661956787109</c:v>
                </c:pt>
                <c:pt idx="13">
                  <c:v>42.163661956787109</c:v>
                </c:pt>
                <c:pt idx="14">
                  <c:v>42.163661956787109</c:v>
                </c:pt>
                <c:pt idx="15">
                  <c:v>42.163661956787109</c:v>
                </c:pt>
                <c:pt idx="16">
                  <c:v>42.163661956787109</c:v>
                </c:pt>
                <c:pt idx="17">
                  <c:v>42.163661956787109</c:v>
                </c:pt>
                <c:pt idx="18">
                  <c:v>42.163661956787109</c:v>
                </c:pt>
                <c:pt idx="19">
                  <c:v>42.163661956787109</c:v>
                </c:pt>
                <c:pt idx="20">
                  <c:v>42.163661956787109</c:v>
                </c:pt>
                <c:pt idx="21">
                  <c:v>42.163661956787109</c:v>
                </c:pt>
                <c:pt idx="22">
                  <c:v>42.163661956787109</c:v>
                </c:pt>
                <c:pt idx="23">
                  <c:v>42.163661956787109</c:v>
                </c:pt>
                <c:pt idx="24">
                  <c:v>42.163661956787109</c:v>
                </c:pt>
                <c:pt idx="25">
                  <c:v>42.163661956787109</c:v>
                </c:pt>
                <c:pt idx="26">
                  <c:v>42.163661956787109</c:v>
                </c:pt>
                <c:pt idx="27">
                  <c:v>42.163661956787109</c:v>
                </c:pt>
                <c:pt idx="28">
                  <c:v>42.163661956787109</c:v>
                </c:pt>
                <c:pt idx="29">
                  <c:v>42.163661956787109</c:v>
                </c:pt>
              </c:numCache>
            </c:numRef>
          </c:val>
          <c:smooth val="0"/>
        </c:ser>
        <c:ser>
          <c:idx val="2"/>
          <c:order val="2"/>
          <c:tx>
            <c:v>Max Regression</c:v>
          </c:tx>
          <c:spPr>
            <a:ln>
              <a:noFill/>
            </a:ln>
          </c:spPr>
          <c:marker>
            <c:symbol val="none"/>
          </c:marker>
          <c:val>
            <c:numRef>
              <c:f>Data!$AP$37:$AP$66</c:f>
              <c:numCache>
                <c:formatCode>General</c:formatCode>
                <c:ptCount val="30"/>
                <c:pt idx="0">
                  <c:v>48.107883834838873</c:v>
                </c:pt>
                <c:pt idx="1">
                  <c:v>48.107883834838873</c:v>
                </c:pt>
                <c:pt idx="2">
                  <c:v>48.107883834838873</c:v>
                </c:pt>
                <c:pt idx="3">
                  <c:v>48.107883834838873</c:v>
                </c:pt>
                <c:pt idx="4">
                  <c:v>48.107883834838873</c:v>
                </c:pt>
                <c:pt idx="5">
                  <c:v>48.107883834838873</c:v>
                </c:pt>
                <c:pt idx="6">
                  <c:v>48.107883834838873</c:v>
                </c:pt>
                <c:pt idx="7">
                  <c:v>48.107883834838873</c:v>
                </c:pt>
                <c:pt idx="8">
                  <c:v>48.107883834838873</c:v>
                </c:pt>
                <c:pt idx="9">
                  <c:v>48.107883834838873</c:v>
                </c:pt>
                <c:pt idx="10">
                  <c:v>48.107883834838873</c:v>
                </c:pt>
                <c:pt idx="11">
                  <c:v>48.107883834838873</c:v>
                </c:pt>
                <c:pt idx="12">
                  <c:v>48.107883834838873</c:v>
                </c:pt>
                <c:pt idx="13">
                  <c:v>48.107883834838873</c:v>
                </c:pt>
                <c:pt idx="14">
                  <c:v>48.107883834838873</c:v>
                </c:pt>
                <c:pt idx="15">
                  <c:v>48.107883834838873</c:v>
                </c:pt>
                <c:pt idx="16">
                  <c:v>48.107883834838873</c:v>
                </c:pt>
                <c:pt idx="17">
                  <c:v>48.107883834838873</c:v>
                </c:pt>
                <c:pt idx="18">
                  <c:v>48.107883834838873</c:v>
                </c:pt>
                <c:pt idx="19">
                  <c:v>48.107883834838873</c:v>
                </c:pt>
                <c:pt idx="20">
                  <c:v>48.107883834838873</c:v>
                </c:pt>
                <c:pt idx="21">
                  <c:v>48.107883834838873</c:v>
                </c:pt>
                <c:pt idx="22">
                  <c:v>48.107883834838873</c:v>
                </c:pt>
                <c:pt idx="23">
                  <c:v>48.107883834838873</c:v>
                </c:pt>
                <c:pt idx="24">
                  <c:v>48.107883834838873</c:v>
                </c:pt>
                <c:pt idx="25">
                  <c:v>48.107883834838873</c:v>
                </c:pt>
                <c:pt idx="26">
                  <c:v>48.107883834838873</c:v>
                </c:pt>
                <c:pt idx="27">
                  <c:v>48.107883834838873</c:v>
                </c:pt>
                <c:pt idx="28">
                  <c:v>48.107883834838873</c:v>
                </c:pt>
                <c:pt idx="29">
                  <c:v>48.107883834838873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670080"/>
        <c:axId val="138671616"/>
      </c:lineChart>
      <c:dateAx>
        <c:axId val="138670080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8671616"/>
        <c:crosses val="autoZero"/>
        <c:auto val="0"/>
        <c:lblOffset val="100"/>
        <c:baseTimeUnit val="days"/>
      </c:dateAx>
      <c:valAx>
        <c:axId val="138671616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38670080"/>
        <c:crosses val="autoZero"/>
        <c:crossBetween val="between"/>
      </c:valAx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0"/>
          <c:y val="0.88811654640730886"/>
          <c:w val="0.45992207256332662"/>
          <c:h val="9.103226023827031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Number of open bugs</c:v>
          </c:tx>
          <c:invertIfNegative val="0"/>
          <c:cat>
            <c:numRef>
              <c:f>Data!$BC$2:$BC$28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Data!$BG$2:$BG$27</c:f>
              <c:numCache>
                <c:formatCode>General</c:formatCode>
                <c:ptCount val="26"/>
                <c:pt idx="0">
                  <c:v>28</c:v>
                </c:pt>
                <c:pt idx="1">
                  <c:v>29</c:v>
                </c:pt>
                <c:pt idx="2">
                  <c:v>15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693248"/>
        <c:axId val="138703232"/>
      </c:barChart>
      <c:lineChart>
        <c:grouping val="standard"/>
        <c:varyColors val="0"/>
        <c:ser>
          <c:idx val="1"/>
          <c:order val="1"/>
          <c:tx>
            <c:v>Max</c:v>
          </c:tx>
          <c:marker>
            <c:symbol val="none"/>
          </c:marker>
          <c:val>
            <c:numRef>
              <c:f>Data!$BP$2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693248"/>
        <c:axId val="138703232"/>
      </c:lineChart>
      <c:catAx>
        <c:axId val="138693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703232"/>
        <c:crosses val="autoZero"/>
        <c:auto val="1"/>
        <c:lblAlgn val="ctr"/>
        <c:lblOffset val="100"/>
        <c:noMultiLvlLbl val="0"/>
      </c:catAx>
      <c:valAx>
        <c:axId val="138703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693248"/>
        <c:crosses val="autoZero"/>
        <c:crossBetween val="between"/>
      </c:valAx>
      <c:spPr>
        <a:noFill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5494371928341178E-2"/>
          <c:y val="0.88850503062117236"/>
          <c:w val="0.26611707546926167"/>
          <c:h val="9.1002139800285306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Escaping Core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Data!$AU$37:$AU$66</c:f>
              <c:numCache>
                <c:formatCode>General</c:formatCode>
                <c:ptCount val="30"/>
                <c:pt idx="0">
                  <c:v>0.32415902140672781</c:v>
                </c:pt>
                <c:pt idx="1">
                  <c:v>0.32415902140672781</c:v>
                </c:pt>
                <c:pt idx="2">
                  <c:v>0.32415902140672781</c:v>
                </c:pt>
                <c:pt idx="3">
                  <c:v>0.32415902140672781</c:v>
                </c:pt>
                <c:pt idx="4">
                  <c:v>0.32415902140672781</c:v>
                </c:pt>
                <c:pt idx="5">
                  <c:v>0.32415902140672781</c:v>
                </c:pt>
                <c:pt idx="6">
                  <c:v>0.32415902140672781</c:v>
                </c:pt>
                <c:pt idx="7">
                  <c:v>0.32415902140672781</c:v>
                </c:pt>
                <c:pt idx="8">
                  <c:v>0.32415902140672781</c:v>
                </c:pt>
                <c:pt idx="9">
                  <c:v>0.32415902140672781</c:v>
                </c:pt>
                <c:pt idx="10">
                  <c:v>0.32415902140672781</c:v>
                </c:pt>
                <c:pt idx="11">
                  <c:v>0.32415902140672781</c:v>
                </c:pt>
                <c:pt idx="12">
                  <c:v>0.32415902140672781</c:v>
                </c:pt>
                <c:pt idx="13">
                  <c:v>0.32415902140672781</c:v>
                </c:pt>
                <c:pt idx="14">
                  <c:v>0.32415902140672781</c:v>
                </c:pt>
                <c:pt idx="15">
                  <c:v>0.32415902140672781</c:v>
                </c:pt>
                <c:pt idx="16">
                  <c:v>0.32415902140672781</c:v>
                </c:pt>
                <c:pt idx="17">
                  <c:v>0.32415902140672781</c:v>
                </c:pt>
                <c:pt idx="18">
                  <c:v>0.32415902140672781</c:v>
                </c:pt>
                <c:pt idx="19">
                  <c:v>0.32415902140672781</c:v>
                </c:pt>
                <c:pt idx="20">
                  <c:v>0.32415902140672781</c:v>
                </c:pt>
                <c:pt idx="21">
                  <c:v>0.32415902140672781</c:v>
                </c:pt>
                <c:pt idx="22">
                  <c:v>0.32415902140672781</c:v>
                </c:pt>
                <c:pt idx="23">
                  <c:v>0.32415902140672781</c:v>
                </c:pt>
                <c:pt idx="24">
                  <c:v>0.32415902140672781</c:v>
                </c:pt>
                <c:pt idx="25">
                  <c:v>0.32415902140672781</c:v>
                </c:pt>
                <c:pt idx="26">
                  <c:v>0.32415902140672781</c:v>
                </c:pt>
                <c:pt idx="27">
                  <c:v>0.32415902140672781</c:v>
                </c:pt>
                <c:pt idx="28">
                  <c:v>0.32415902140672781</c:v>
                </c:pt>
                <c:pt idx="29">
                  <c:v>0.32415902140672781</c:v>
                </c:pt>
              </c:numCache>
            </c:numRef>
          </c:val>
          <c:smooth val="0"/>
        </c:ser>
        <c:ser>
          <c:idx val="2"/>
          <c:order val="1"/>
          <c:tx>
            <c:v>Max</c:v>
          </c:tx>
          <c:spPr>
            <a:ln>
              <a:noFill/>
            </a:ln>
          </c:spPr>
          <c:marker>
            <c:symbol val="none"/>
          </c:marker>
          <c:val>
            <c:numRef>
              <c:f>Data!$AX$37:$AX$66</c:f>
              <c:numCache>
                <c:formatCode>General</c:formatCode>
                <c:ptCount val="30"/>
                <c:pt idx="0">
                  <c:v>0.68</c:v>
                </c:pt>
                <c:pt idx="1">
                  <c:v>0.68</c:v>
                </c:pt>
                <c:pt idx="2">
                  <c:v>0.68</c:v>
                </c:pt>
                <c:pt idx="3">
                  <c:v>0.68</c:v>
                </c:pt>
                <c:pt idx="4">
                  <c:v>0.68</c:v>
                </c:pt>
                <c:pt idx="5">
                  <c:v>0.68</c:v>
                </c:pt>
                <c:pt idx="6">
                  <c:v>0.68</c:v>
                </c:pt>
                <c:pt idx="7">
                  <c:v>0.68</c:v>
                </c:pt>
                <c:pt idx="8">
                  <c:v>0.68</c:v>
                </c:pt>
                <c:pt idx="9">
                  <c:v>0.68</c:v>
                </c:pt>
                <c:pt idx="10">
                  <c:v>0.68</c:v>
                </c:pt>
                <c:pt idx="11">
                  <c:v>0.68</c:v>
                </c:pt>
                <c:pt idx="12">
                  <c:v>0.68</c:v>
                </c:pt>
                <c:pt idx="13">
                  <c:v>0.68</c:v>
                </c:pt>
                <c:pt idx="14">
                  <c:v>0.68</c:v>
                </c:pt>
                <c:pt idx="15">
                  <c:v>0.68</c:v>
                </c:pt>
                <c:pt idx="16">
                  <c:v>0.68</c:v>
                </c:pt>
                <c:pt idx="17">
                  <c:v>0.68</c:v>
                </c:pt>
                <c:pt idx="18">
                  <c:v>0.68</c:v>
                </c:pt>
                <c:pt idx="19">
                  <c:v>0.68</c:v>
                </c:pt>
                <c:pt idx="20">
                  <c:v>0.68</c:v>
                </c:pt>
                <c:pt idx="21">
                  <c:v>0.68</c:v>
                </c:pt>
                <c:pt idx="22">
                  <c:v>0.68</c:v>
                </c:pt>
                <c:pt idx="23">
                  <c:v>0.68</c:v>
                </c:pt>
                <c:pt idx="24">
                  <c:v>0.68</c:v>
                </c:pt>
                <c:pt idx="25">
                  <c:v>0.68</c:v>
                </c:pt>
                <c:pt idx="26">
                  <c:v>0.68</c:v>
                </c:pt>
                <c:pt idx="27">
                  <c:v>0.68</c:v>
                </c:pt>
                <c:pt idx="28">
                  <c:v>0.68</c:v>
                </c:pt>
                <c:pt idx="29">
                  <c:v>0.68</c:v>
                </c:pt>
              </c:numCache>
            </c:numRef>
          </c:val>
          <c:smooth val="0"/>
        </c:ser>
        <c:ser>
          <c:idx val="0"/>
          <c:order val="2"/>
          <c:tx>
            <c:v>Projects Average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Data!$AW$37:$AW$66</c:f>
              <c:numCache>
                <c:formatCode>General</c:formatCode>
                <c:ptCount val="30"/>
                <c:pt idx="0">
                  <c:v>0.26742014065859854</c:v>
                </c:pt>
                <c:pt idx="1">
                  <c:v>0.26742014065859854</c:v>
                </c:pt>
                <c:pt idx="2">
                  <c:v>0.26742014065859854</c:v>
                </c:pt>
                <c:pt idx="3">
                  <c:v>0.26742014065859854</c:v>
                </c:pt>
                <c:pt idx="4">
                  <c:v>0.26742014065859854</c:v>
                </c:pt>
                <c:pt idx="5">
                  <c:v>0.26742014065859854</c:v>
                </c:pt>
                <c:pt idx="6">
                  <c:v>0.26742014065859854</c:v>
                </c:pt>
                <c:pt idx="7">
                  <c:v>0.26742014065859854</c:v>
                </c:pt>
                <c:pt idx="8">
                  <c:v>0.26742014065859854</c:v>
                </c:pt>
                <c:pt idx="9">
                  <c:v>0.26742014065859854</c:v>
                </c:pt>
                <c:pt idx="10">
                  <c:v>0.26742014065859854</c:v>
                </c:pt>
                <c:pt idx="11">
                  <c:v>0.26742014065859854</c:v>
                </c:pt>
                <c:pt idx="12">
                  <c:v>0.26742014065859854</c:v>
                </c:pt>
                <c:pt idx="13">
                  <c:v>0.26742014065859854</c:v>
                </c:pt>
                <c:pt idx="14">
                  <c:v>0.26742014065859854</c:v>
                </c:pt>
                <c:pt idx="15">
                  <c:v>0.26742014065859854</c:v>
                </c:pt>
                <c:pt idx="16">
                  <c:v>0.26742014065859854</c:v>
                </c:pt>
                <c:pt idx="17">
                  <c:v>0.26742014065859854</c:v>
                </c:pt>
                <c:pt idx="18">
                  <c:v>0.26742014065859854</c:v>
                </c:pt>
                <c:pt idx="19">
                  <c:v>0.26742014065859854</c:v>
                </c:pt>
                <c:pt idx="20">
                  <c:v>0.26742014065859854</c:v>
                </c:pt>
                <c:pt idx="21">
                  <c:v>0.26742014065859854</c:v>
                </c:pt>
                <c:pt idx="22">
                  <c:v>0.26742014065859854</c:v>
                </c:pt>
                <c:pt idx="23">
                  <c:v>0.26742014065859854</c:v>
                </c:pt>
                <c:pt idx="24">
                  <c:v>0.26742014065859854</c:v>
                </c:pt>
                <c:pt idx="25">
                  <c:v>0.26742014065859854</c:v>
                </c:pt>
                <c:pt idx="26">
                  <c:v>0.26742014065859854</c:v>
                </c:pt>
                <c:pt idx="27">
                  <c:v>0.26742014065859854</c:v>
                </c:pt>
                <c:pt idx="28">
                  <c:v>0.26742014065859854</c:v>
                </c:pt>
                <c:pt idx="29">
                  <c:v>0.26742014065859854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733440"/>
        <c:axId val="138734976"/>
      </c:lineChart>
      <c:dateAx>
        <c:axId val="138733440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8734976"/>
        <c:crosses val="autoZero"/>
        <c:auto val="0"/>
        <c:lblOffset val="100"/>
        <c:baseTimeUnit val="days"/>
      </c:dateAx>
      <c:valAx>
        <c:axId val="13873497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8733440"/>
        <c:crosses val="autoZero"/>
        <c:crossBetween val="between"/>
      </c:valAx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"/>
          <c:y val="0.88811654640730886"/>
          <c:w val="0.3651524331990666"/>
          <c:h val="9.309096893603256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16716604244694E-2"/>
          <c:y val="0.11832997650218194"/>
          <c:w val="0.92539213483146066"/>
          <c:h val="0.5711555891238671"/>
        </c:manualLayout>
      </c:layout>
      <c:lineChart>
        <c:grouping val="standard"/>
        <c:varyColors val="0"/>
        <c:ser>
          <c:idx val="2"/>
          <c:order val="0"/>
          <c:tx>
            <c:v>Trend Core</c:v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rgbClr val="00B0F0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Data!$DU$2:$DU$6</c:f>
              <c:numCache>
                <c:formatCode>General</c:formatCode>
                <c:ptCount val="5"/>
                <c:pt idx="0">
                  <c:v>0.1935151827071539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ser>
          <c:idx val="3"/>
          <c:order val="1"/>
          <c:tx>
            <c:v>Trend  Extension</c:v>
          </c:tx>
          <c:spPr>
            <a:ln w="2540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6">
                    <a:lumMod val="75000"/>
                  </a:schemeClr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Data!$DT$2:$DT$6</c:f>
              <c:numCache>
                <c:formatCode>General</c:formatCode>
                <c:ptCount val="5"/>
                <c:pt idx="0">
                  <c:v>0.13751199232491207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232384"/>
        <c:axId val="139233920"/>
      </c:lineChart>
      <c:dateAx>
        <c:axId val="139232384"/>
        <c:scaling>
          <c:orientation val="minMax"/>
        </c:scaling>
        <c:delete val="0"/>
        <c:axPos val="b"/>
        <c:numFmt formatCode="dd/mm" sourceLinked="0"/>
        <c:majorTickMark val="out"/>
        <c:minorTickMark val="none"/>
        <c:tickLblPos val="nextTo"/>
        <c:crossAx val="139233920"/>
        <c:crosses val="autoZero"/>
        <c:auto val="0"/>
        <c:lblOffset val="100"/>
        <c:baseTimeUnit val="days"/>
        <c:majorUnit val="7"/>
        <c:majorTimeUnit val="days"/>
      </c:dateAx>
      <c:valAx>
        <c:axId val="139233920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923238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8360549313358304E-2"/>
          <c:y val="0.87130748573346761"/>
          <c:w val="0.90317382768098875"/>
          <c:h val="7.262214211175410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2"/>
          <c:order val="2"/>
          <c:tx>
            <c:v>Done User Stories</c:v>
          </c:tx>
          <c:spPr>
            <a:solidFill>
              <a:schemeClr val="bg2">
                <a:lumMod val="50000"/>
              </a:schemeClr>
            </a:solidFill>
          </c:spPr>
          <c:cat>
            <c:numRef>
              <c:f>Data!$A$2:$A$66</c:f>
              <c:numCache>
                <c:formatCode>m/d/yyyy</c:formatCode>
                <c:ptCount val="65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  <c:pt idx="27">
                  <c:v>41836</c:v>
                </c:pt>
                <c:pt idx="28">
                  <c:v>41843</c:v>
                </c:pt>
                <c:pt idx="29">
                  <c:v>41850</c:v>
                </c:pt>
                <c:pt idx="30">
                  <c:v>41857</c:v>
                </c:pt>
                <c:pt idx="31">
                  <c:v>41864</c:v>
                </c:pt>
                <c:pt idx="32">
                  <c:v>41871</c:v>
                </c:pt>
                <c:pt idx="33">
                  <c:v>41878</c:v>
                </c:pt>
                <c:pt idx="34">
                  <c:v>41885</c:v>
                </c:pt>
                <c:pt idx="35">
                  <c:v>41892</c:v>
                </c:pt>
                <c:pt idx="36">
                  <c:v>41899</c:v>
                </c:pt>
                <c:pt idx="37">
                  <c:v>41906</c:v>
                </c:pt>
                <c:pt idx="38">
                  <c:v>41913</c:v>
                </c:pt>
                <c:pt idx="39">
                  <c:v>41920</c:v>
                </c:pt>
                <c:pt idx="40">
                  <c:v>41927</c:v>
                </c:pt>
                <c:pt idx="41">
                  <c:v>41934</c:v>
                </c:pt>
                <c:pt idx="42">
                  <c:v>41941</c:v>
                </c:pt>
                <c:pt idx="43">
                  <c:v>41948</c:v>
                </c:pt>
                <c:pt idx="44">
                  <c:v>41955</c:v>
                </c:pt>
                <c:pt idx="45">
                  <c:v>41962</c:v>
                </c:pt>
                <c:pt idx="46">
                  <c:v>41969</c:v>
                </c:pt>
                <c:pt idx="47">
                  <c:v>41976</c:v>
                </c:pt>
                <c:pt idx="48">
                  <c:v>41983</c:v>
                </c:pt>
                <c:pt idx="49">
                  <c:v>41990</c:v>
                </c:pt>
                <c:pt idx="50">
                  <c:v>41997</c:v>
                </c:pt>
                <c:pt idx="51">
                  <c:v>42004</c:v>
                </c:pt>
                <c:pt idx="52">
                  <c:v>42011</c:v>
                </c:pt>
                <c:pt idx="53">
                  <c:v>42018</c:v>
                </c:pt>
                <c:pt idx="54">
                  <c:v>42025</c:v>
                </c:pt>
                <c:pt idx="55">
                  <c:v>42032</c:v>
                </c:pt>
                <c:pt idx="56">
                  <c:v>42039</c:v>
                </c:pt>
                <c:pt idx="57">
                  <c:v>42046</c:v>
                </c:pt>
                <c:pt idx="58">
                  <c:v>42053</c:v>
                </c:pt>
                <c:pt idx="59">
                  <c:v>42060</c:v>
                </c:pt>
                <c:pt idx="60">
                  <c:v>42067</c:v>
                </c:pt>
                <c:pt idx="61">
                  <c:v>42074</c:v>
                </c:pt>
                <c:pt idx="62">
                  <c:v>42081</c:v>
                </c:pt>
                <c:pt idx="63">
                  <c:v>42088</c:v>
                </c:pt>
                <c:pt idx="64">
                  <c:v>42095</c:v>
                </c:pt>
              </c:numCache>
            </c:numRef>
          </c:cat>
          <c:val>
            <c:numRef>
              <c:f>Data!$H$37:$H$66</c:f>
              <c:numCache>
                <c:formatCode>General</c:formatCode>
                <c:ptCount val="30"/>
                <c:pt idx="0">
                  <c:v>171</c:v>
                </c:pt>
                <c:pt idx="1">
                  <c:v>171</c:v>
                </c:pt>
                <c:pt idx="2">
                  <c:v>171</c:v>
                </c:pt>
                <c:pt idx="3">
                  <c:v>171</c:v>
                </c:pt>
                <c:pt idx="4">
                  <c:v>171</c:v>
                </c:pt>
                <c:pt idx="5">
                  <c:v>171</c:v>
                </c:pt>
                <c:pt idx="6">
                  <c:v>171</c:v>
                </c:pt>
                <c:pt idx="7">
                  <c:v>171</c:v>
                </c:pt>
                <c:pt idx="8">
                  <c:v>171</c:v>
                </c:pt>
                <c:pt idx="9">
                  <c:v>171</c:v>
                </c:pt>
                <c:pt idx="10">
                  <c:v>171</c:v>
                </c:pt>
                <c:pt idx="11">
                  <c:v>171</c:v>
                </c:pt>
                <c:pt idx="12">
                  <c:v>171</c:v>
                </c:pt>
                <c:pt idx="13">
                  <c:v>171</c:v>
                </c:pt>
                <c:pt idx="14">
                  <c:v>171</c:v>
                </c:pt>
                <c:pt idx="15">
                  <c:v>171</c:v>
                </c:pt>
                <c:pt idx="16">
                  <c:v>171</c:v>
                </c:pt>
                <c:pt idx="17">
                  <c:v>171</c:v>
                </c:pt>
                <c:pt idx="18">
                  <c:v>171</c:v>
                </c:pt>
                <c:pt idx="19">
                  <c:v>171</c:v>
                </c:pt>
                <c:pt idx="20">
                  <c:v>171</c:v>
                </c:pt>
                <c:pt idx="21">
                  <c:v>171</c:v>
                </c:pt>
                <c:pt idx="22">
                  <c:v>171</c:v>
                </c:pt>
                <c:pt idx="23">
                  <c:v>171</c:v>
                </c:pt>
                <c:pt idx="24">
                  <c:v>171</c:v>
                </c:pt>
                <c:pt idx="25">
                  <c:v>171</c:v>
                </c:pt>
                <c:pt idx="26">
                  <c:v>171</c:v>
                </c:pt>
                <c:pt idx="27">
                  <c:v>171</c:v>
                </c:pt>
                <c:pt idx="28">
                  <c:v>171</c:v>
                </c:pt>
                <c:pt idx="29">
                  <c:v>171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97408"/>
        <c:axId val="138495872"/>
      </c:areaChart>
      <c:lineChart>
        <c:grouping val="standard"/>
        <c:varyColors val="0"/>
        <c:ser>
          <c:idx val="0"/>
          <c:order val="0"/>
          <c:tx>
            <c:v>Defect Density</c:v>
          </c:tx>
          <c:marker>
            <c:symbol val="none"/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Data!$N$37:$N$66</c:f>
              <c:numCache>
                <c:formatCode>General</c:formatCode>
                <c:ptCount val="30"/>
                <c:pt idx="0">
                  <c:v>1.5497076511383057</c:v>
                </c:pt>
                <c:pt idx="1">
                  <c:v>1.5497076511383057</c:v>
                </c:pt>
                <c:pt idx="2">
                  <c:v>1.5497076511383057</c:v>
                </c:pt>
                <c:pt idx="3">
                  <c:v>1.5497076511383057</c:v>
                </c:pt>
                <c:pt idx="4">
                  <c:v>1.5497076511383057</c:v>
                </c:pt>
                <c:pt idx="5">
                  <c:v>1.5497076511383057</c:v>
                </c:pt>
                <c:pt idx="6">
                  <c:v>1.5497076511383057</c:v>
                </c:pt>
                <c:pt idx="7">
                  <c:v>1.5497076511383057</c:v>
                </c:pt>
                <c:pt idx="8">
                  <c:v>1.5497076511383057</c:v>
                </c:pt>
                <c:pt idx="9">
                  <c:v>1.5497076511383057</c:v>
                </c:pt>
                <c:pt idx="10">
                  <c:v>1.5497076511383057</c:v>
                </c:pt>
                <c:pt idx="11">
                  <c:v>1.5497076511383057</c:v>
                </c:pt>
                <c:pt idx="12">
                  <c:v>1.5497076511383057</c:v>
                </c:pt>
                <c:pt idx="13">
                  <c:v>1.5497076511383057</c:v>
                </c:pt>
                <c:pt idx="14">
                  <c:v>1.5497076511383057</c:v>
                </c:pt>
                <c:pt idx="15">
                  <c:v>1.5497076511383057</c:v>
                </c:pt>
                <c:pt idx="16">
                  <c:v>1.5497076511383057</c:v>
                </c:pt>
                <c:pt idx="17">
                  <c:v>1.5497076511383057</c:v>
                </c:pt>
                <c:pt idx="18">
                  <c:v>1.5497076511383057</c:v>
                </c:pt>
                <c:pt idx="19">
                  <c:v>1.5497076511383057</c:v>
                </c:pt>
                <c:pt idx="20">
                  <c:v>1.5497076511383057</c:v>
                </c:pt>
                <c:pt idx="21">
                  <c:v>1.5497076511383057</c:v>
                </c:pt>
                <c:pt idx="22">
                  <c:v>1.5497076511383057</c:v>
                </c:pt>
                <c:pt idx="23">
                  <c:v>1.5497076511383057</c:v>
                </c:pt>
                <c:pt idx="24">
                  <c:v>1.5497076511383057</c:v>
                </c:pt>
                <c:pt idx="25">
                  <c:v>1.5497076511383057</c:v>
                </c:pt>
                <c:pt idx="26">
                  <c:v>1.5497076511383057</c:v>
                </c:pt>
                <c:pt idx="27">
                  <c:v>1.5497076511383057</c:v>
                </c:pt>
                <c:pt idx="28">
                  <c:v>1.5497076511383057</c:v>
                </c:pt>
                <c:pt idx="29">
                  <c:v>1.5497076511383057</c:v>
                </c:pt>
              </c:numCache>
            </c:numRef>
          </c:val>
          <c:smooth val="0"/>
        </c:ser>
        <c:ser>
          <c:idx val="1"/>
          <c:order val="1"/>
          <c:tx>
            <c:v>Target Density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Data!$V$37:$V$66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Data!$Q$1</c:f>
              <c:strCache>
                <c:ptCount val="1"/>
                <c:pt idx="0">
                  <c:v>Max_DD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Data!$Q$37:$Q$66</c:f>
              <c:numCache>
                <c:formatCode>General</c:formatCode>
                <c:ptCount val="30"/>
                <c:pt idx="0">
                  <c:v>12.322580718994141</c:v>
                </c:pt>
                <c:pt idx="1">
                  <c:v>12.322580718994141</c:v>
                </c:pt>
                <c:pt idx="2">
                  <c:v>12.322580718994141</c:v>
                </c:pt>
                <c:pt idx="3">
                  <c:v>12.322580718994141</c:v>
                </c:pt>
                <c:pt idx="4">
                  <c:v>12.322580718994141</c:v>
                </c:pt>
                <c:pt idx="5">
                  <c:v>12.322580718994141</c:v>
                </c:pt>
                <c:pt idx="6">
                  <c:v>12.322580718994141</c:v>
                </c:pt>
                <c:pt idx="7">
                  <c:v>12.322580718994141</c:v>
                </c:pt>
                <c:pt idx="8">
                  <c:v>12.322580718994141</c:v>
                </c:pt>
                <c:pt idx="9">
                  <c:v>12.322580718994141</c:v>
                </c:pt>
                <c:pt idx="10">
                  <c:v>12.322580718994141</c:v>
                </c:pt>
                <c:pt idx="11">
                  <c:v>12.322580718994141</c:v>
                </c:pt>
                <c:pt idx="12">
                  <c:v>12.322580718994141</c:v>
                </c:pt>
                <c:pt idx="13">
                  <c:v>12.322580718994141</c:v>
                </c:pt>
                <c:pt idx="14">
                  <c:v>12.322580718994141</c:v>
                </c:pt>
                <c:pt idx="15">
                  <c:v>12.322580718994141</c:v>
                </c:pt>
                <c:pt idx="16">
                  <c:v>12.322580718994141</c:v>
                </c:pt>
                <c:pt idx="17">
                  <c:v>12.322580718994141</c:v>
                </c:pt>
                <c:pt idx="18">
                  <c:v>12.322580718994141</c:v>
                </c:pt>
                <c:pt idx="19">
                  <c:v>12.322580718994141</c:v>
                </c:pt>
                <c:pt idx="20">
                  <c:v>12.322580718994141</c:v>
                </c:pt>
                <c:pt idx="21">
                  <c:v>12.322580718994141</c:v>
                </c:pt>
                <c:pt idx="22">
                  <c:v>12.322580718994141</c:v>
                </c:pt>
                <c:pt idx="23">
                  <c:v>12.322580718994141</c:v>
                </c:pt>
                <c:pt idx="24">
                  <c:v>12.322580718994141</c:v>
                </c:pt>
                <c:pt idx="25">
                  <c:v>12.322580718994141</c:v>
                </c:pt>
                <c:pt idx="26">
                  <c:v>12.322580718994141</c:v>
                </c:pt>
                <c:pt idx="27">
                  <c:v>12.322580718994141</c:v>
                </c:pt>
                <c:pt idx="28">
                  <c:v>12.322580718994141</c:v>
                </c:pt>
                <c:pt idx="29">
                  <c:v>12.322580718994141</c:v>
                </c:pt>
              </c:numCache>
            </c:numRef>
          </c:val>
          <c:smooth val="0"/>
        </c:ser>
        <c:ser>
          <c:idx val="5"/>
          <c:order val="5"/>
          <c:tx>
            <c:v>Average Top 5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Data!$P$37:$P$66</c:f>
              <c:numCache>
                <c:formatCode>General</c:formatCode>
                <c:ptCount val="30"/>
                <c:pt idx="0">
                  <c:v>2.3849732995033266</c:v>
                </c:pt>
                <c:pt idx="1">
                  <c:v>2.3849732995033266</c:v>
                </c:pt>
                <c:pt idx="2">
                  <c:v>2.3849732995033266</c:v>
                </c:pt>
                <c:pt idx="3">
                  <c:v>2.3849732995033266</c:v>
                </c:pt>
                <c:pt idx="4">
                  <c:v>2.3849732995033266</c:v>
                </c:pt>
                <c:pt idx="5">
                  <c:v>2.3849732995033266</c:v>
                </c:pt>
                <c:pt idx="6">
                  <c:v>2.3849732995033266</c:v>
                </c:pt>
                <c:pt idx="7">
                  <c:v>2.3849732995033266</c:v>
                </c:pt>
                <c:pt idx="8">
                  <c:v>2.3849732995033266</c:v>
                </c:pt>
                <c:pt idx="9">
                  <c:v>2.3849732995033266</c:v>
                </c:pt>
                <c:pt idx="10">
                  <c:v>2.3849732995033266</c:v>
                </c:pt>
                <c:pt idx="11">
                  <c:v>2.3849732995033266</c:v>
                </c:pt>
                <c:pt idx="12">
                  <c:v>2.3849732995033266</c:v>
                </c:pt>
                <c:pt idx="13">
                  <c:v>2.3849732995033266</c:v>
                </c:pt>
                <c:pt idx="14">
                  <c:v>2.3849732995033266</c:v>
                </c:pt>
                <c:pt idx="15">
                  <c:v>2.3849732995033266</c:v>
                </c:pt>
                <c:pt idx="16">
                  <c:v>2.3849732995033266</c:v>
                </c:pt>
                <c:pt idx="17">
                  <c:v>2.3849732995033266</c:v>
                </c:pt>
                <c:pt idx="18">
                  <c:v>2.3849732995033266</c:v>
                </c:pt>
                <c:pt idx="19">
                  <c:v>2.3849732995033266</c:v>
                </c:pt>
                <c:pt idx="20">
                  <c:v>2.3849732995033266</c:v>
                </c:pt>
                <c:pt idx="21">
                  <c:v>2.3849732995033266</c:v>
                </c:pt>
                <c:pt idx="22">
                  <c:v>2.3849732995033266</c:v>
                </c:pt>
                <c:pt idx="23">
                  <c:v>2.3849732995033266</c:v>
                </c:pt>
                <c:pt idx="24">
                  <c:v>2.3849732995033266</c:v>
                </c:pt>
                <c:pt idx="25">
                  <c:v>2.3849732995033266</c:v>
                </c:pt>
                <c:pt idx="26">
                  <c:v>2.3849732995033266</c:v>
                </c:pt>
                <c:pt idx="27">
                  <c:v>2.3849732995033266</c:v>
                </c:pt>
                <c:pt idx="28">
                  <c:v>2.3849732995033266</c:v>
                </c:pt>
                <c:pt idx="29">
                  <c:v>2.3849732995033266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185344"/>
        <c:axId val="138494336"/>
      </c:lineChart>
      <c:lineChart>
        <c:grouping val="standard"/>
        <c:varyColors val="0"/>
        <c:ser>
          <c:idx val="3"/>
          <c:order val="3"/>
          <c:tx>
            <c:v>Max</c:v>
          </c:tx>
          <c:marker>
            <c:symbol val="none"/>
          </c:marker>
          <c:cat>
            <c:numRef>
              <c:f>Data!$A$2:$A$66</c:f>
              <c:numCache>
                <c:formatCode>m/d/yyyy</c:formatCode>
                <c:ptCount val="65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  <c:pt idx="27">
                  <c:v>41836</c:v>
                </c:pt>
                <c:pt idx="28">
                  <c:v>41843</c:v>
                </c:pt>
                <c:pt idx="29">
                  <c:v>41850</c:v>
                </c:pt>
                <c:pt idx="30">
                  <c:v>41857</c:v>
                </c:pt>
                <c:pt idx="31">
                  <c:v>41864</c:v>
                </c:pt>
                <c:pt idx="32">
                  <c:v>41871</c:v>
                </c:pt>
                <c:pt idx="33">
                  <c:v>41878</c:v>
                </c:pt>
                <c:pt idx="34">
                  <c:v>41885</c:v>
                </c:pt>
                <c:pt idx="35">
                  <c:v>41892</c:v>
                </c:pt>
                <c:pt idx="36">
                  <c:v>41899</c:v>
                </c:pt>
                <c:pt idx="37">
                  <c:v>41906</c:v>
                </c:pt>
                <c:pt idx="38">
                  <c:v>41913</c:v>
                </c:pt>
                <c:pt idx="39">
                  <c:v>41920</c:v>
                </c:pt>
                <c:pt idx="40">
                  <c:v>41927</c:v>
                </c:pt>
                <c:pt idx="41">
                  <c:v>41934</c:v>
                </c:pt>
                <c:pt idx="42">
                  <c:v>41941</c:v>
                </c:pt>
                <c:pt idx="43">
                  <c:v>41948</c:v>
                </c:pt>
                <c:pt idx="44">
                  <c:v>41955</c:v>
                </c:pt>
                <c:pt idx="45">
                  <c:v>41962</c:v>
                </c:pt>
                <c:pt idx="46">
                  <c:v>41969</c:v>
                </c:pt>
                <c:pt idx="47">
                  <c:v>41976</c:v>
                </c:pt>
                <c:pt idx="48">
                  <c:v>41983</c:v>
                </c:pt>
                <c:pt idx="49">
                  <c:v>41990</c:v>
                </c:pt>
                <c:pt idx="50">
                  <c:v>41997</c:v>
                </c:pt>
                <c:pt idx="51">
                  <c:v>42004</c:v>
                </c:pt>
                <c:pt idx="52">
                  <c:v>42011</c:v>
                </c:pt>
                <c:pt idx="53">
                  <c:v>42018</c:v>
                </c:pt>
                <c:pt idx="54">
                  <c:v>42025</c:v>
                </c:pt>
                <c:pt idx="55">
                  <c:v>42032</c:v>
                </c:pt>
                <c:pt idx="56">
                  <c:v>42039</c:v>
                </c:pt>
                <c:pt idx="57">
                  <c:v>42046</c:v>
                </c:pt>
                <c:pt idx="58">
                  <c:v>42053</c:v>
                </c:pt>
                <c:pt idx="59">
                  <c:v>42060</c:v>
                </c:pt>
                <c:pt idx="60">
                  <c:v>42067</c:v>
                </c:pt>
                <c:pt idx="61">
                  <c:v>42074</c:v>
                </c:pt>
                <c:pt idx="62">
                  <c:v>42081</c:v>
                </c:pt>
                <c:pt idx="63">
                  <c:v>42088</c:v>
                </c:pt>
                <c:pt idx="64">
                  <c:v>42095</c:v>
                </c:pt>
              </c:numCache>
            </c:numRef>
          </c:cat>
          <c:val>
            <c:numRef>
              <c:f>DDD!$F$10</c:f>
              <c:numCache>
                <c:formatCode>General</c:formatCode>
                <c:ptCount val="1"/>
                <c:pt idx="0">
                  <c:v>855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497408"/>
        <c:axId val="138495872"/>
      </c:lineChart>
      <c:dateAx>
        <c:axId val="138185344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8494336"/>
        <c:crosses val="autoZero"/>
        <c:auto val="0"/>
        <c:lblOffset val="100"/>
        <c:baseTimeUnit val="days"/>
      </c:dateAx>
      <c:valAx>
        <c:axId val="138494336"/>
        <c:scaling>
          <c:orientation val="minMax"/>
          <c:min val="-0.5"/>
        </c:scaling>
        <c:delete val="0"/>
        <c:axPos val="l"/>
        <c:majorGridlines/>
        <c:numFmt formatCode="0.0;;0;" sourceLinked="0"/>
        <c:majorTickMark val="out"/>
        <c:minorTickMark val="none"/>
        <c:tickLblPos val="nextTo"/>
        <c:crossAx val="138185344"/>
        <c:crosses val="autoZero"/>
        <c:crossBetween val="between"/>
      </c:valAx>
      <c:valAx>
        <c:axId val="138495872"/>
        <c:scaling>
          <c:orientation val="minMax"/>
        </c:scaling>
        <c:delete val="0"/>
        <c:axPos val="r"/>
        <c:numFmt formatCode="\ " sourceLinked="0"/>
        <c:majorTickMark val="none"/>
        <c:minorTickMark val="none"/>
        <c:tickLblPos val="nextTo"/>
        <c:crossAx val="138497408"/>
        <c:crosses val="max"/>
        <c:crossBetween val="between"/>
      </c:valAx>
      <c:dateAx>
        <c:axId val="13849740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38495872"/>
        <c:crosses val="autoZero"/>
        <c:auto val="1"/>
        <c:lblOffset val="100"/>
        <c:baseTimeUnit val="days"/>
      </c:dateAx>
    </c:plotArea>
    <c:legend>
      <c:legendPos val="b"/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"/>
          <c:y val="0.88811654640730886"/>
          <c:w val="0.81010860447261512"/>
          <c:h val="0.1118835463421768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Core Regression %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Data!$AG$37:$AG$66</c:f>
              <c:numCache>
                <c:formatCode>General</c:formatCode>
                <c:ptCount val="30"/>
                <c:pt idx="0">
                  <c:v>24.242424011230469</c:v>
                </c:pt>
                <c:pt idx="1">
                  <c:v>24.242424011230469</c:v>
                </c:pt>
                <c:pt idx="2">
                  <c:v>24.242424011230469</c:v>
                </c:pt>
                <c:pt idx="3">
                  <c:v>24.242424011230469</c:v>
                </c:pt>
                <c:pt idx="4">
                  <c:v>24.242424011230469</c:v>
                </c:pt>
                <c:pt idx="5">
                  <c:v>24.242424011230469</c:v>
                </c:pt>
                <c:pt idx="6">
                  <c:v>24.242424011230469</c:v>
                </c:pt>
                <c:pt idx="7">
                  <c:v>24.242424011230469</c:v>
                </c:pt>
                <c:pt idx="8">
                  <c:v>24.242424011230469</c:v>
                </c:pt>
                <c:pt idx="9">
                  <c:v>24.242424011230469</c:v>
                </c:pt>
                <c:pt idx="10">
                  <c:v>24.242424011230469</c:v>
                </c:pt>
                <c:pt idx="11">
                  <c:v>24.242424011230469</c:v>
                </c:pt>
                <c:pt idx="12">
                  <c:v>24.242424011230469</c:v>
                </c:pt>
                <c:pt idx="13">
                  <c:v>24.242424011230469</c:v>
                </c:pt>
                <c:pt idx="14">
                  <c:v>24.242424011230469</c:v>
                </c:pt>
                <c:pt idx="15">
                  <c:v>24.242424011230469</c:v>
                </c:pt>
                <c:pt idx="16">
                  <c:v>24.242424011230469</c:v>
                </c:pt>
                <c:pt idx="17">
                  <c:v>24.242424011230469</c:v>
                </c:pt>
                <c:pt idx="18">
                  <c:v>24.242424011230469</c:v>
                </c:pt>
                <c:pt idx="19">
                  <c:v>24.242424011230469</c:v>
                </c:pt>
                <c:pt idx="20">
                  <c:v>24.242424011230469</c:v>
                </c:pt>
                <c:pt idx="21">
                  <c:v>24.242424011230469</c:v>
                </c:pt>
                <c:pt idx="22">
                  <c:v>24.242424011230469</c:v>
                </c:pt>
                <c:pt idx="23">
                  <c:v>24.242424011230469</c:v>
                </c:pt>
                <c:pt idx="24">
                  <c:v>24.242424011230469</c:v>
                </c:pt>
                <c:pt idx="25">
                  <c:v>24.242424011230469</c:v>
                </c:pt>
                <c:pt idx="26">
                  <c:v>24.242424011230469</c:v>
                </c:pt>
                <c:pt idx="27">
                  <c:v>24.242424011230469</c:v>
                </c:pt>
                <c:pt idx="28">
                  <c:v>24.242424011230469</c:v>
                </c:pt>
                <c:pt idx="29">
                  <c:v>24.242424011230469</c:v>
                </c:pt>
              </c:numCache>
            </c:numRef>
          </c:val>
          <c:smooth val="0"/>
        </c:ser>
        <c:ser>
          <c:idx val="0"/>
          <c:order val="1"/>
          <c:tx>
            <c:v>Extention Regression %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Data!$AF$37:$AF$66</c:f>
              <c:numCache>
                <c:formatCode>General</c:formatCode>
                <c:ptCount val="30"/>
                <c:pt idx="0">
                  <c:v>20.377359390258789</c:v>
                </c:pt>
                <c:pt idx="1">
                  <c:v>20.377359390258789</c:v>
                </c:pt>
                <c:pt idx="2">
                  <c:v>20.377359390258789</c:v>
                </c:pt>
                <c:pt idx="3">
                  <c:v>20.377359390258789</c:v>
                </c:pt>
                <c:pt idx="4">
                  <c:v>20.377359390258789</c:v>
                </c:pt>
                <c:pt idx="5">
                  <c:v>20.377359390258789</c:v>
                </c:pt>
                <c:pt idx="6">
                  <c:v>20.377359390258789</c:v>
                </c:pt>
                <c:pt idx="7">
                  <c:v>20.377359390258789</c:v>
                </c:pt>
                <c:pt idx="8">
                  <c:v>20.377359390258789</c:v>
                </c:pt>
                <c:pt idx="9">
                  <c:v>20.377359390258789</c:v>
                </c:pt>
                <c:pt idx="10">
                  <c:v>20.377359390258789</c:v>
                </c:pt>
                <c:pt idx="11">
                  <c:v>20.377359390258789</c:v>
                </c:pt>
                <c:pt idx="12">
                  <c:v>20.377359390258789</c:v>
                </c:pt>
                <c:pt idx="13">
                  <c:v>20.377359390258789</c:v>
                </c:pt>
                <c:pt idx="14">
                  <c:v>20.377359390258789</c:v>
                </c:pt>
                <c:pt idx="15">
                  <c:v>20.377359390258789</c:v>
                </c:pt>
                <c:pt idx="16">
                  <c:v>20.377359390258789</c:v>
                </c:pt>
                <c:pt idx="17">
                  <c:v>20.377359390258789</c:v>
                </c:pt>
                <c:pt idx="18">
                  <c:v>20.377359390258789</c:v>
                </c:pt>
                <c:pt idx="19">
                  <c:v>20.377359390258789</c:v>
                </c:pt>
                <c:pt idx="20">
                  <c:v>20.377359390258789</c:v>
                </c:pt>
                <c:pt idx="21">
                  <c:v>20.377359390258789</c:v>
                </c:pt>
                <c:pt idx="22">
                  <c:v>20.377359390258789</c:v>
                </c:pt>
                <c:pt idx="23">
                  <c:v>20.377359390258789</c:v>
                </c:pt>
                <c:pt idx="24">
                  <c:v>20.377359390258789</c:v>
                </c:pt>
                <c:pt idx="25">
                  <c:v>20.377359390258789</c:v>
                </c:pt>
                <c:pt idx="26">
                  <c:v>20.377359390258789</c:v>
                </c:pt>
                <c:pt idx="27">
                  <c:v>20.377359390258789</c:v>
                </c:pt>
                <c:pt idx="28">
                  <c:v>20.377359390258789</c:v>
                </c:pt>
                <c:pt idx="29">
                  <c:v>20.377359390258789</c:v>
                </c:pt>
              </c:numCache>
            </c:numRef>
          </c:val>
          <c:smooth val="0"/>
        </c:ser>
        <c:ser>
          <c:idx val="2"/>
          <c:order val="2"/>
          <c:tx>
            <c:v>Max Regression</c:v>
          </c:tx>
          <c:spPr>
            <a:ln>
              <a:noFill/>
            </a:ln>
          </c:spPr>
          <c:marker>
            <c:symbol val="none"/>
          </c:marker>
          <c:val>
            <c:numRef>
              <c:f>Data!$AP$37:$AP$66</c:f>
              <c:numCache>
                <c:formatCode>General</c:formatCode>
                <c:ptCount val="30"/>
                <c:pt idx="0">
                  <c:v>48.107883834838873</c:v>
                </c:pt>
                <c:pt idx="1">
                  <c:v>48.107883834838873</c:v>
                </c:pt>
                <c:pt idx="2">
                  <c:v>48.107883834838873</c:v>
                </c:pt>
                <c:pt idx="3">
                  <c:v>48.107883834838873</c:v>
                </c:pt>
                <c:pt idx="4">
                  <c:v>48.107883834838873</c:v>
                </c:pt>
                <c:pt idx="5">
                  <c:v>48.107883834838873</c:v>
                </c:pt>
                <c:pt idx="6">
                  <c:v>48.107883834838873</c:v>
                </c:pt>
                <c:pt idx="7">
                  <c:v>48.107883834838873</c:v>
                </c:pt>
                <c:pt idx="8">
                  <c:v>48.107883834838873</c:v>
                </c:pt>
                <c:pt idx="9">
                  <c:v>48.107883834838873</c:v>
                </c:pt>
                <c:pt idx="10">
                  <c:v>48.107883834838873</c:v>
                </c:pt>
                <c:pt idx="11">
                  <c:v>48.107883834838873</c:v>
                </c:pt>
                <c:pt idx="12">
                  <c:v>48.107883834838873</c:v>
                </c:pt>
                <c:pt idx="13">
                  <c:v>48.107883834838873</c:v>
                </c:pt>
                <c:pt idx="14">
                  <c:v>48.107883834838873</c:v>
                </c:pt>
                <c:pt idx="15">
                  <c:v>48.107883834838873</c:v>
                </c:pt>
                <c:pt idx="16">
                  <c:v>48.107883834838873</c:v>
                </c:pt>
                <c:pt idx="17">
                  <c:v>48.107883834838873</c:v>
                </c:pt>
                <c:pt idx="18">
                  <c:v>48.107883834838873</c:v>
                </c:pt>
                <c:pt idx="19">
                  <c:v>48.107883834838873</c:v>
                </c:pt>
                <c:pt idx="20">
                  <c:v>48.107883834838873</c:v>
                </c:pt>
                <c:pt idx="21">
                  <c:v>48.107883834838873</c:v>
                </c:pt>
                <c:pt idx="22">
                  <c:v>48.107883834838873</c:v>
                </c:pt>
                <c:pt idx="23">
                  <c:v>48.107883834838873</c:v>
                </c:pt>
                <c:pt idx="24">
                  <c:v>48.107883834838873</c:v>
                </c:pt>
                <c:pt idx="25">
                  <c:v>48.107883834838873</c:v>
                </c:pt>
                <c:pt idx="26">
                  <c:v>48.107883834838873</c:v>
                </c:pt>
                <c:pt idx="27">
                  <c:v>48.107883834838873</c:v>
                </c:pt>
                <c:pt idx="28">
                  <c:v>48.107883834838873</c:v>
                </c:pt>
                <c:pt idx="29">
                  <c:v>48.107883834838873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91808"/>
        <c:axId val="139193344"/>
      </c:lineChart>
      <c:dateAx>
        <c:axId val="139191808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9193344"/>
        <c:crosses val="autoZero"/>
        <c:auto val="0"/>
        <c:lblOffset val="100"/>
        <c:baseTimeUnit val="days"/>
      </c:dateAx>
      <c:valAx>
        <c:axId val="139193344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39191808"/>
        <c:crosses val="autoZero"/>
        <c:crossBetween val="between"/>
      </c:valAx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0"/>
          <c:y val="0.88811654640730886"/>
          <c:w val="0.45992207256332662"/>
          <c:h val="9.103226023827031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Number of open bugs</c:v>
          </c:tx>
          <c:invertIfNegative val="0"/>
          <c:cat>
            <c:numRef>
              <c:f>Data!$BC$2:$BC$28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Data!$BH$2:$BH$27</c:f>
              <c:numCache>
                <c:formatCode>General</c:formatCode>
                <c:ptCount val="26"/>
                <c:pt idx="0">
                  <c:v>8</c:v>
                </c:pt>
                <c:pt idx="1">
                  <c:v>2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161984"/>
        <c:axId val="139163520"/>
      </c:barChart>
      <c:lineChart>
        <c:grouping val="standard"/>
        <c:varyColors val="0"/>
        <c:ser>
          <c:idx val="1"/>
          <c:order val="1"/>
          <c:tx>
            <c:v>Max</c:v>
          </c:tx>
          <c:marker>
            <c:symbol val="none"/>
          </c:marker>
          <c:val>
            <c:numRef>
              <c:f>Data!$BP$2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61984"/>
        <c:axId val="139163520"/>
      </c:lineChart>
      <c:catAx>
        <c:axId val="139161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9163520"/>
        <c:crosses val="autoZero"/>
        <c:auto val="1"/>
        <c:lblAlgn val="ctr"/>
        <c:lblOffset val="100"/>
        <c:noMultiLvlLbl val="0"/>
      </c:catAx>
      <c:valAx>
        <c:axId val="139163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161984"/>
        <c:crosses val="autoZero"/>
        <c:crossBetween val="between"/>
      </c:valAx>
      <c:spPr>
        <a:noFill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5494371928341178E-2"/>
          <c:y val="0.88850503062117236"/>
          <c:w val="0.26611707546926167"/>
          <c:h val="9.1002139800285306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Escaping Core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Data!$AV$37:$AV$66</c:f>
              <c:numCache>
                <c:formatCode>General</c:formatCode>
                <c:ptCount val="30"/>
                <c:pt idx="0">
                  <c:v>0.23175182481751824</c:v>
                </c:pt>
                <c:pt idx="1">
                  <c:v>0.23175182481751824</c:v>
                </c:pt>
                <c:pt idx="2">
                  <c:v>0.23175182481751824</c:v>
                </c:pt>
                <c:pt idx="3">
                  <c:v>0.23175182481751824</c:v>
                </c:pt>
                <c:pt idx="4">
                  <c:v>0.23175182481751824</c:v>
                </c:pt>
                <c:pt idx="5">
                  <c:v>0.23175182481751824</c:v>
                </c:pt>
                <c:pt idx="6">
                  <c:v>0.23175182481751824</c:v>
                </c:pt>
                <c:pt idx="7">
                  <c:v>0.23175182481751824</c:v>
                </c:pt>
                <c:pt idx="8">
                  <c:v>0.23175182481751824</c:v>
                </c:pt>
                <c:pt idx="9">
                  <c:v>0.23175182481751824</c:v>
                </c:pt>
                <c:pt idx="10">
                  <c:v>0.23175182481751824</c:v>
                </c:pt>
                <c:pt idx="11">
                  <c:v>0.23175182481751824</c:v>
                </c:pt>
                <c:pt idx="12">
                  <c:v>0.23175182481751824</c:v>
                </c:pt>
                <c:pt idx="13">
                  <c:v>0.23175182481751824</c:v>
                </c:pt>
                <c:pt idx="14">
                  <c:v>0.23175182481751824</c:v>
                </c:pt>
                <c:pt idx="15">
                  <c:v>0.23175182481751824</c:v>
                </c:pt>
                <c:pt idx="16">
                  <c:v>0.23175182481751824</c:v>
                </c:pt>
                <c:pt idx="17">
                  <c:v>0.23175182481751824</c:v>
                </c:pt>
                <c:pt idx="18">
                  <c:v>0.23175182481751824</c:v>
                </c:pt>
                <c:pt idx="19">
                  <c:v>0.23175182481751824</c:v>
                </c:pt>
                <c:pt idx="20">
                  <c:v>0.23175182481751824</c:v>
                </c:pt>
                <c:pt idx="21">
                  <c:v>0.23175182481751824</c:v>
                </c:pt>
                <c:pt idx="22">
                  <c:v>0.23175182481751824</c:v>
                </c:pt>
                <c:pt idx="23">
                  <c:v>0.23175182481751824</c:v>
                </c:pt>
                <c:pt idx="24">
                  <c:v>0.23175182481751824</c:v>
                </c:pt>
                <c:pt idx="25">
                  <c:v>0.23175182481751824</c:v>
                </c:pt>
                <c:pt idx="26">
                  <c:v>0.23175182481751824</c:v>
                </c:pt>
                <c:pt idx="27">
                  <c:v>0.23175182481751824</c:v>
                </c:pt>
                <c:pt idx="28">
                  <c:v>0.23175182481751824</c:v>
                </c:pt>
                <c:pt idx="29">
                  <c:v>0.23175182481751824</c:v>
                </c:pt>
              </c:numCache>
            </c:numRef>
          </c:val>
          <c:smooth val="0"/>
        </c:ser>
        <c:ser>
          <c:idx val="2"/>
          <c:order val="1"/>
          <c:tx>
            <c:v>Max</c:v>
          </c:tx>
          <c:spPr>
            <a:ln>
              <a:noFill/>
            </a:ln>
          </c:spPr>
          <c:marker>
            <c:symbol val="none"/>
          </c:marker>
          <c:val>
            <c:numRef>
              <c:f>Data!$AX$37:$AX$66</c:f>
              <c:numCache>
                <c:formatCode>General</c:formatCode>
                <c:ptCount val="30"/>
                <c:pt idx="0">
                  <c:v>0.68</c:v>
                </c:pt>
                <c:pt idx="1">
                  <c:v>0.68</c:v>
                </c:pt>
                <c:pt idx="2">
                  <c:v>0.68</c:v>
                </c:pt>
                <c:pt idx="3">
                  <c:v>0.68</c:v>
                </c:pt>
                <c:pt idx="4">
                  <c:v>0.68</c:v>
                </c:pt>
                <c:pt idx="5">
                  <c:v>0.68</c:v>
                </c:pt>
                <c:pt idx="6">
                  <c:v>0.68</c:v>
                </c:pt>
                <c:pt idx="7">
                  <c:v>0.68</c:v>
                </c:pt>
                <c:pt idx="8">
                  <c:v>0.68</c:v>
                </c:pt>
                <c:pt idx="9">
                  <c:v>0.68</c:v>
                </c:pt>
                <c:pt idx="10">
                  <c:v>0.68</c:v>
                </c:pt>
                <c:pt idx="11">
                  <c:v>0.68</c:v>
                </c:pt>
                <c:pt idx="12">
                  <c:v>0.68</c:v>
                </c:pt>
                <c:pt idx="13">
                  <c:v>0.68</c:v>
                </c:pt>
                <c:pt idx="14">
                  <c:v>0.68</c:v>
                </c:pt>
                <c:pt idx="15">
                  <c:v>0.68</c:v>
                </c:pt>
                <c:pt idx="16">
                  <c:v>0.68</c:v>
                </c:pt>
                <c:pt idx="17">
                  <c:v>0.68</c:v>
                </c:pt>
                <c:pt idx="18">
                  <c:v>0.68</c:v>
                </c:pt>
                <c:pt idx="19">
                  <c:v>0.68</c:v>
                </c:pt>
                <c:pt idx="20">
                  <c:v>0.68</c:v>
                </c:pt>
                <c:pt idx="21">
                  <c:v>0.68</c:v>
                </c:pt>
                <c:pt idx="22">
                  <c:v>0.68</c:v>
                </c:pt>
                <c:pt idx="23">
                  <c:v>0.68</c:v>
                </c:pt>
                <c:pt idx="24">
                  <c:v>0.68</c:v>
                </c:pt>
                <c:pt idx="25">
                  <c:v>0.68</c:v>
                </c:pt>
                <c:pt idx="26">
                  <c:v>0.68</c:v>
                </c:pt>
                <c:pt idx="27">
                  <c:v>0.68</c:v>
                </c:pt>
                <c:pt idx="28">
                  <c:v>0.68</c:v>
                </c:pt>
                <c:pt idx="29">
                  <c:v>0.68</c:v>
                </c:pt>
              </c:numCache>
            </c:numRef>
          </c:val>
          <c:smooth val="0"/>
        </c:ser>
        <c:ser>
          <c:idx val="0"/>
          <c:order val="2"/>
          <c:tx>
            <c:v>Projects Average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Data!$AW$37:$AW$66</c:f>
              <c:numCache>
                <c:formatCode>General</c:formatCode>
                <c:ptCount val="30"/>
                <c:pt idx="0">
                  <c:v>0.26742014065859854</c:v>
                </c:pt>
                <c:pt idx="1">
                  <c:v>0.26742014065859854</c:v>
                </c:pt>
                <c:pt idx="2">
                  <c:v>0.26742014065859854</c:v>
                </c:pt>
                <c:pt idx="3">
                  <c:v>0.26742014065859854</c:v>
                </c:pt>
                <c:pt idx="4">
                  <c:v>0.26742014065859854</c:v>
                </c:pt>
                <c:pt idx="5">
                  <c:v>0.26742014065859854</c:v>
                </c:pt>
                <c:pt idx="6">
                  <c:v>0.26742014065859854</c:v>
                </c:pt>
                <c:pt idx="7">
                  <c:v>0.26742014065859854</c:v>
                </c:pt>
                <c:pt idx="8">
                  <c:v>0.26742014065859854</c:v>
                </c:pt>
                <c:pt idx="9">
                  <c:v>0.26742014065859854</c:v>
                </c:pt>
                <c:pt idx="10">
                  <c:v>0.26742014065859854</c:v>
                </c:pt>
                <c:pt idx="11">
                  <c:v>0.26742014065859854</c:v>
                </c:pt>
                <c:pt idx="12">
                  <c:v>0.26742014065859854</c:v>
                </c:pt>
                <c:pt idx="13">
                  <c:v>0.26742014065859854</c:v>
                </c:pt>
                <c:pt idx="14">
                  <c:v>0.26742014065859854</c:v>
                </c:pt>
                <c:pt idx="15">
                  <c:v>0.26742014065859854</c:v>
                </c:pt>
                <c:pt idx="16">
                  <c:v>0.26742014065859854</c:v>
                </c:pt>
                <c:pt idx="17">
                  <c:v>0.26742014065859854</c:v>
                </c:pt>
                <c:pt idx="18">
                  <c:v>0.26742014065859854</c:v>
                </c:pt>
                <c:pt idx="19">
                  <c:v>0.26742014065859854</c:v>
                </c:pt>
                <c:pt idx="20">
                  <c:v>0.26742014065859854</c:v>
                </c:pt>
                <c:pt idx="21">
                  <c:v>0.26742014065859854</c:v>
                </c:pt>
                <c:pt idx="22">
                  <c:v>0.26742014065859854</c:v>
                </c:pt>
                <c:pt idx="23">
                  <c:v>0.26742014065859854</c:v>
                </c:pt>
                <c:pt idx="24">
                  <c:v>0.26742014065859854</c:v>
                </c:pt>
                <c:pt idx="25">
                  <c:v>0.26742014065859854</c:v>
                </c:pt>
                <c:pt idx="26">
                  <c:v>0.26742014065859854</c:v>
                </c:pt>
                <c:pt idx="27">
                  <c:v>0.26742014065859854</c:v>
                </c:pt>
                <c:pt idx="28">
                  <c:v>0.26742014065859854</c:v>
                </c:pt>
                <c:pt idx="29">
                  <c:v>0.26742014065859854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545984"/>
        <c:axId val="139551872"/>
      </c:lineChart>
      <c:dateAx>
        <c:axId val="139545984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9551872"/>
        <c:crosses val="autoZero"/>
        <c:auto val="0"/>
        <c:lblOffset val="100"/>
        <c:baseTimeUnit val="days"/>
      </c:dateAx>
      <c:valAx>
        <c:axId val="139551872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9545984"/>
        <c:crosses val="autoZero"/>
        <c:crossBetween val="between"/>
      </c:valAx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"/>
          <c:y val="0.88811654640730886"/>
          <c:w val="0.3651524331990666"/>
          <c:h val="9.309096893603256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16716604244694E-2"/>
          <c:y val="0.11832997650218194"/>
          <c:w val="0.92539213483146066"/>
          <c:h val="0.5711555891238671"/>
        </c:manualLayout>
      </c:layout>
      <c:lineChart>
        <c:grouping val="standard"/>
        <c:varyColors val="0"/>
        <c:ser>
          <c:idx val="2"/>
          <c:order val="0"/>
          <c:tx>
            <c:v>Trend Core</c:v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rgbClr val="00B0F0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Data!$DW$2:$DW$6</c:f>
              <c:numCache>
                <c:formatCode>General</c:formatCode>
                <c:ptCount val="5"/>
                <c:pt idx="0">
                  <c:v>0.20535714285714285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ser>
          <c:idx val="3"/>
          <c:order val="1"/>
          <c:tx>
            <c:v>Trend  Extension</c:v>
          </c:tx>
          <c:spPr>
            <a:ln w="2540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dLbls>
            <c:numFmt formatCode="0%;;;" sourceLinked="0"/>
            <c:spPr>
              <a:solidFill>
                <a:schemeClr val="bg1"/>
              </a:solidFill>
              <a:ln w="25400">
                <a:solidFill>
                  <a:schemeClr val="accent6">
                    <a:lumMod val="75000"/>
                  </a:schemeClr>
                </a:solidFill>
              </a:ln>
            </c:spPr>
            <c:txPr>
              <a:bodyPr/>
              <a:lstStyle/>
              <a:p>
                <a:pPr>
                  <a:defRPr baseline="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Data!$DM$2:$DM$6</c:f>
              <c:numCache>
                <c:formatCode>m/d/yyyy</c:formatCode>
                <c:ptCount val="5"/>
                <c:pt idx="0">
                  <c:v>41735</c:v>
                </c:pt>
                <c:pt idx="1">
                  <c:v>41742</c:v>
                </c:pt>
                <c:pt idx="2">
                  <c:v>41749</c:v>
                </c:pt>
                <c:pt idx="3">
                  <c:v>41756</c:v>
                </c:pt>
                <c:pt idx="4">
                  <c:v>41763</c:v>
                </c:pt>
              </c:numCache>
            </c:numRef>
          </c:cat>
          <c:val>
            <c:numRef>
              <c:f>Data!$DV$2:$DV$6</c:f>
              <c:numCache>
                <c:formatCode>General</c:formatCode>
                <c:ptCount val="5"/>
                <c:pt idx="0">
                  <c:v>0.20861678004535147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569792"/>
        <c:axId val="139579776"/>
      </c:lineChart>
      <c:dateAx>
        <c:axId val="139569792"/>
        <c:scaling>
          <c:orientation val="minMax"/>
        </c:scaling>
        <c:delete val="0"/>
        <c:axPos val="b"/>
        <c:numFmt formatCode="dd/mm" sourceLinked="0"/>
        <c:majorTickMark val="out"/>
        <c:minorTickMark val="none"/>
        <c:tickLblPos val="nextTo"/>
        <c:crossAx val="139579776"/>
        <c:crosses val="autoZero"/>
        <c:auto val="0"/>
        <c:lblOffset val="100"/>
        <c:baseTimeUnit val="days"/>
        <c:majorUnit val="7"/>
        <c:majorTimeUnit val="days"/>
      </c:dateAx>
      <c:valAx>
        <c:axId val="13957977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956979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8360549313358304E-2"/>
          <c:y val="0.87130748573346761"/>
          <c:w val="0.90317382768098875"/>
          <c:h val="7.2622142111754107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2"/>
          <c:order val="2"/>
          <c:tx>
            <c:v>Done User Stories</c:v>
          </c:tx>
          <c:spPr>
            <a:solidFill>
              <a:schemeClr val="bg2">
                <a:lumMod val="50000"/>
              </a:schemeClr>
            </a:solidFill>
          </c:spPr>
          <c:cat>
            <c:numRef>
              <c:f>Data!$A$2:$A$66</c:f>
              <c:numCache>
                <c:formatCode>m/d/yyyy</c:formatCode>
                <c:ptCount val="65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  <c:pt idx="27">
                  <c:v>41836</c:v>
                </c:pt>
                <c:pt idx="28">
                  <c:v>41843</c:v>
                </c:pt>
                <c:pt idx="29">
                  <c:v>41850</c:v>
                </c:pt>
                <c:pt idx="30">
                  <c:v>41857</c:v>
                </c:pt>
                <c:pt idx="31">
                  <c:v>41864</c:v>
                </c:pt>
                <c:pt idx="32">
                  <c:v>41871</c:v>
                </c:pt>
                <c:pt idx="33">
                  <c:v>41878</c:v>
                </c:pt>
                <c:pt idx="34">
                  <c:v>41885</c:v>
                </c:pt>
                <c:pt idx="35">
                  <c:v>41892</c:v>
                </c:pt>
                <c:pt idx="36">
                  <c:v>41899</c:v>
                </c:pt>
                <c:pt idx="37">
                  <c:v>41906</c:v>
                </c:pt>
                <c:pt idx="38">
                  <c:v>41913</c:v>
                </c:pt>
                <c:pt idx="39">
                  <c:v>41920</c:v>
                </c:pt>
                <c:pt idx="40">
                  <c:v>41927</c:v>
                </c:pt>
                <c:pt idx="41">
                  <c:v>41934</c:v>
                </c:pt>
                <c:pt idx="42">
                  <c:v>41941</c:v>
                </c:pt>
                <c:pt idx="43">
                  <c:v>41948</c:v>
                </c:pt>
                <c:pt idx="44">
                  <c:v>41955</c:v>
                </c:pt>
                <c:pt idx="45">
                  <c:v>41962</c:v>
                </c:pt>
                <c:pt idx="46">
                  <c:v>41969</c:v>
                </c:pt>
                <c:pt idx="47">
                  <c:v>41976</c:v>
                </c:pt>
                <c:pt idx="48">
                  <c:v>41983</c:v>
                </c:pt>
                <c:pt idx="49">
                  <c:v>41990</c:v>
                </c:pt>
                <c:pt idx="50">
                  <c:v>41997</c:v>
                </c:pt>
                <c:pt idx="51">
                  <c:v>42004</c:v>
                </c:pt>
                <c:pt idx="52">
                  <c:v>42011</c:v>
                </c:pt>
                <c:pt idx="53">
                  <c:v>42018</c:v>
                </c:pt>
                <c:pt idx="54">
                  <c:v>42025</c:v>
                </c:pt>
                <c:pt idx="55">
                  <c:v>42032</c:v>
                </c:pt>
                <c:pt idx="56">
                  <c:v>42039</c:v>
                </c:pt>
                <c:pt idx="57">
                  <c:v>42046</c:v>
                </c:pt>
                <c:pt idx="58">
                  <c:v>42053</c:v>
                </c:pt>
                <c:pt idx="59">
                  <c:v>42060</c:v>
                </c:pt>
                <c:pt idx="60">
                  <c:v>42067</c:v>
                </c:pt>
                <c:pt idx="61">
                  <c:v>42074</c:v>
                </c:pt>
                <c:pt idx="62">
                  <c:v>42081</c:v>
                </c:pt>
                <c:pt idx="63">
                  <c:v>42088</c:v>
                </c:pt>
                <c:pt idx="64">
                  <c:v>42095</c:v>
                </c:pt>
              </c:numCache>
            </c:numRef>
          </c:cat>
          <c:val>
            <c:numRef>
              <c:f>Data!$I$37:$I$66</c:f>
              <c:numCache>
                <c:formatCode>General</c:formatCode>
                <c:ptCount val="30"/>
                <c:pt idx="0">
                  <c:v>6009</c:v>
                </c:pt>
                <c:pt idx="1">
                  <c:v>6009</c:v>
                </c:pt>
                <c:pt idx="2">
                  <c:v>6009</c:v>
                </c:pt>
                <c:pt idx="3">
                  <c:v>6009</c:v>
                </c:pt>
                <c:pt idx="4">
                  <c:v>6009</c:v>
                </c:pt>
                <c:pt idx="5">
                  <c:v>6009</c:v>
                </c:pt>
                <c:pt idx="6">
                  <c:v>6009</c:v>
                </c:pt>
                <c:pt idx="7">
                  <c:v>6009</c:v>
                </c:pt>
                <c:pt idx="8">
                  <c:v>6009</c:v>
                </c:pt>
                <c:pt idx="9">
                  <c:v>6009</c:v>
                </c:pt>
                <c:pt idx="10">
                  <c:v>6009</c:v>
                </c:pt>
                <c:pt idx="11">
                  <c:v>6009</c:v>
                </c:pt>
                <c:pt idx="12">
                  <c:v>6009</c:v>
                </c:pt>
                <c:pt idx="13">
                  <c:v>6009</c:v>
                </c:pt>
                <c:pt idx="14">
                  <c:v>6009</c:v>
                </c:pt>
                <c:pt idx="15">
                  <c:v>6009</c:v>
                </c:pt>
                <c:pt idx="16">
                  <c:v>6009</c:v>
                </c:pt>
                <c:pt idx="17">
                  <c:v>6009</c:v>
                </c:pt>
                <c:pt idx="18">
                  <c:v>6009</c:v>
                </c:pt>
                <c:pt idx="19">
                  <c:v>6009</c:v>
                </c:pt>
                <c:pt idx="20">
                  <c:v>6009</c:v>
                </c:pt>
                <c:pt idx="21">
                  <c:v>6009</c:v>
                </c:pt>
                <c:pt idx="22">
                  <c:v>6009</c:v>
                </c:pt>
                <c:pt idx="23">
                  <c:v>6009</c:v>
                </c:pt>
                <c:pt idx="24">
                  <c:v>6009</c:v>
                </c:pt>
                <c:pt idx="25">
                  <c:v>6009</c:v>
                </c:pt>
                <c:pt idx="26">
                  <c:v>6009</c:v>
                </c:pt>
                <c:pt idx="27">
                  <c:v>6009</c:v>
                </c:pt>
                <c:pt idx="28">
                  <c:v>6009</c:v>
                </c:pt>
                <c:pt idx="29">
                  <c:v>6009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77760"/>
        <c:axId val="139467776"/>
      </c:areaChart>
      <c:lineChart>
        <c:grouping val="standard"/>
        <c:varyColors val="0"/>
        <c:ser>
          <c:idx val="0"/>
          <c:order val="0"/>
          <c:tx>
            <c:v>Defect Density</c:v>
          </c:tx>
          <c:marker>
            <c:symbol val="none"/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Data!$O$37:$O$66</c:f>
              <c:numCache>
                <c:formatCode>General</c:formatCode>
                <c:ptCount val="30"/>
                <c:pt idx="0">
                  <c:v>1.3211848735809326</c:v>
                </c:pt>
                <c:pt idx="1">
                  <c:v>1.3211848735809326</c:v>
                </c:pt>
                <c:pt idx="2">
                  <c:v>1.3211848735809326</c:v>
                </c:pt>
                <c:pt idx="3">
                  <c:v>1.3211848735809326</c:v>
                </c:pt>
                <c:pt idx="4">
                  <c:v>1.3211848735809326</c:v>
                </c:pt>
                <c:pt idx="5">
                  <c:v>1.3211848735809326</c:v>
                </c:pt>
                <c:pt idx="6">
                  <c:v>1.3211848735809326</c:v>
                </c:pt>
                <c:pt idx="7">
                  <c:v>1.3211848735809326</c:v>
                </c:pt>
                <c:pt idx="8">
                  <c:v>1.3211848735809326</c:v>
                </c:pt>
                <c:pt idx="9">
                  <c:v>1.3211848735809326</c:v>
                </c:pt>
                <c:pt idx="10">
                  <c:v>1.3211848735809326</c:v>
                </c:pt>
                <c:pt idx="11">
                  <c:v>1.3211848735809326</c:v>
                </c:pt>
                <c:pt idx="12">
                  <c:v>1.3211848735809326</c:v>
                </c:pt>
                <c:pt idx="13">
                  <c:v>1.3211848735809326</c:v>
                </c:pt>
                <c:pt idx="14">
                  <c:v>1.3211848735809326</c:v>
                </c:pt>
                <c:pt idx="15">
                  <c:v>1.3211848735809326</c:v>
                </c:pt>
                <c:pt idx="16">
                  <c:v>1.3211848735809326</c:v>
                </c:pt>
                <c:pt idx="17">
                  <c:v>1.3211848735809326</c:v>
                </c:pt>
                <c:pt idx="18">
                  <c:v>1.3211848735809326</c:v>
                </c:pt>
                <c:pt idx="19">
                  <c:v>1.3211848735809326</c:v>
                </c:pt>
                <c:pt idx="20">
                  <c:v>1.3211848735809326</c:v>
                </c:pt>
                <c:pt idx="21">
                  <c:v>1.3211848735809326</c:v>
                </c:pt>
                <c:pt idx="22">
                  <c:v>1.3211848735809326</c:v>
                </c:pt>
                <c:pt idx="23">
                  <c:v>1.3211848735809326</c:v>
                </c:pt>
                <c:pt idx="24">
                  <c:v>1.3211848735809326</c:v>
                </c:pt>
                <c:pt idx="25">
                  <c:v>1.3211848735809326</c:v>
                </c:pt>
                <c:pt idx="26">
                  <c:v>1.3211848735809326</c:v>
                </c:pt>
                <c:pt idx="27">
                  <c:v>1.3211848735809326</c:v>
                </c:pt>
                <c:pt idx="28">
                  <c:v>1.3211848735809326</c:v>
                </c:pt>
                <c:pt idx="29">
                  <c:v>1.3211848735809326</c:v>
                </c:pt>
              </c:numCache>
            </c:numRef>
          </c:val>
          <c:smooth val="0"/>
        </c:ser>
        <c:ser>
          <c:idx val="1"/>
          <c:order val="1"/>
          <c:tx>
            <c:v>Target Density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Data!$W$37:$W$66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Data!$Q$1</c:f>
              <c:strCache>
                <c:ptCount val="1"/>
                <c:pt idx="0">
                  <c:v>Max_DD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Data!$Q$37:$Q$66</c:f>
              <c:numCache>
                <c:formatCode>General</c:formatCode>
                <c:ptCount val="30"/>
                <c:pt idx="0">
                  <c:v>12.322580718994141</c:v>
                </c:pt>
                <c:pt idx="1">
                  <c:v>12.322580718994141</c:v>
                </c:pt>
                <c:pt idx="2">
                  <c:v>12.322580718994141</c:v>
                </c:pt>
                <c:pt idx="3">
                  <c:v>12.322580718994141</c:v>
                </c:pt>
                <c:pt idx="4">
                  <c:v>12.322580718994141</c:v>
                </c:pt>
                <c:pt idx="5">
                  <c:v>12.322580718994141</c:v>
                </c:pt>
                <c:pt idx="6">
                  <c:v>12.322580718994141</c:v>
                </c:pt>
                <c:pt idx="7">
                  <c:v>12.322580718994141</c:v>
                </c:pt>
                <c:pt idx="8">
                  <c:v>12.322580718994141</c:v>
                </c:pt>
                <c:pt idx="9">
                  <c:v>12.322580718994141</c:v>
                </c:pt>
                <c:pt idx="10">
                  <c:v>12.322580718994141</c:v>
                </c:pt>
                <c:pt idx="11">
                  <c:v>12.322580718994141</c:v>
                </c:pt>
                <c:pt idx="12">
                  <c:v>12.322580718994141</c:v>
                </c:pt>
                <c:pt idx="13">
                  <c:v>12.322580718994141</c:v>
                </c:pt>
                <c:pt idx="14">
                  <c:v>12.322580718994141</c:v>
                </c:pt>
                <c:pt idx="15">
                  <c:v>12.322580718994141</c:v>
                </c:pt>
                <c:pt idx="16">
                  <c:v>12.322580718994141</c:v>
                </c:pt>
                <c:pt idx="17">
                  <c:v>12.322580718994141</c:v>
                </c:pt>
                <c:pt idx="18">
                  <c:v>12.322580718994141</c:v>
                </c:pt>
                <c:pt idx="19">
                  <c:v>12.322580718994141</c:v>
                </c:pt>
                <c:pt idx="20">
                  <c:v>12.322580718994141</c:v>
                </c:pt>
                <c:pt idx="21">
                  <c:v>12.322580718994141</c:v>
                </c:pt>
                <c:pt idx="22">
                  <c:v>12.322580718994141</c:v>
                </c:pt>
                <c:pt idx="23">
                  <c:v>12.322580718994141</c:v>
                </c:pt>
                <c:pt idx="24">
                  <c:v>12.322580718994141</c:v>
                </c:pt>
                <c:pt idx="25">
                  <c:v>12.322580718994141</c:v>
                </c:pt>
                <c:pt idx="26">
                  <c:v>12.322580718994141</c:v>
                </c:pt>
                <c:pt idx="27">
                  <c:v>12.322580718994141</c:v>
                </c:pt>
                <c:pt idx="28">
                  <c:v>12.322580718994141</c:v>
                </c:pt>
                <c:pt idx="29">
                  <c:v>12.322580718994141</c:v>
                </c:pt>
              </c:numCache>
            </c:numRef>
          </c:val>
          <c:smooth val="0"/>
        </c:ser>
        <c:ser>
          <c:idx val="5"/>
          <c:order val="5"/>
          <c:tx>
            <c:v>Average Top 5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Data!$P$37:$P$66</c:f>
              <c:numCache>
                <c:formatCode>General</c:formatCode>
                <c:ptCount val="30"/>
                <c:pt idx="0">
                  <c:v>2.3849732995033266</c:v>
                </c:pt>
                <c:pt idx="1">
                  <c:v>2.3849732995033266</c:v>
                </c:pt>
                <c:pt idx="2">
                  <c:v>2.3849732995033266</c:v>
                </c:pt>
                <c:pt idx="3">
                  <c:v>2.3849732995033266</c:v>
                </c:pt>
                <c:pt idx="4">
                  <c:v>2.3849732995033266</c:v>
                </c:pt>
                <c:pt idx="5">
                  <c:v>2.3849732995033266</c:v>
                </c:pt>
                <c:pt idx="6">
                  <c:v>2.3849732995033266</c:v>
                </c:pt>
                <c:pt idx="7">
                  <c:v>2.3849732995033266</c:v>
                </c:pt>
                <c:pt idx="8">
                  <c:v>2.3849732995033266</c:v>
                </c:pt>
                <c:pt idx="9">
                  <c:v>2.3849732995033266</c:v>
                </c:pt>
                <c:pt idx="10">
                  <c:v>2.3849732995033266</c:v>
                </c:pt>
                <c:pt idx="11">
                  <c:v>2.3849732995033266</c:v>
                </c:pt>
                <c:pt idx="12">
                  <c:v>2.3849732995033266</c:v>
                </c:pt>
                <c:pt idx="13">
                  <c:v>2.3849732995033266</c:v>
                </c:pt>
                <c:pt idx="14">
                  <c:v>2.3849732995033266</c:v>
                </c:pt>
                <c:pt idx="15">
                  <c:v>2.3849732995033266</c:v>
                </c:pt>
                <c:pt idx="16">
                  <c:v>2.3849732995033266</c:v>
                </c:pt>
                <c:pt idx="17">
                  <c:v>2.3849732995033266</c:v>
                </c:pt>
                <c:pt idx="18">
                  <c:v>2.3849732995033266</c:v>
                </c:pt>
                <c:pt idx="19">
                  <c:v>2.3849732995033266</c:v>
                </c:pt>
                <c:pt idx="20">
                  <c:v>2.3849732995033266</c:v>
                </c:pt>
                <c:pt idx="21">
                  <c:v>2.3849732995033266</c:v>
                </c:pt>
                <c:pt idx="22">
                  <c:v>2.3849732995033266</c:v>
                </c:pt>
                <c:pt idx="23">
                  <c:v>2.3849732995033266</c:v>
                </c:pt>
                <c:pt idx="24">
                  <c:v>2.3849732995033266</c:v>
                </c:pt>
                <c:pt idx="25">
                  <c:v>2.3849732995033266</c:v>
                </c:pt>
                <c:pt idx="26">
                  <c:v>2.3849732995033266</c:v>
                </c:pt>
                <c:pt idx="27">
                  <c:v>2.3849732995033266</c:v>
                </c:pt>
                <c:pt idx="28">
                  <c:v>2.3849732995033266</c:v>
                </c:pt>
                <c:pt idx="29">
                  <c:v>2.3849732995033266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464704"/>
        <c:axId val="139466240"/>
      </c:lineChart>
      <c:lineChart>
        <c:grouping val="standard"/>
        <c:varyColors val="0"/>
        <c:ser>
          <c:idx val="3"/>
          <c:order val="3"/>
          <c:tx>
            <c:v>Max</c:v>
          </c:tx>
          <c:marker>
            <c:symbol val="none"/>
          </c:marker>
          <c:cat>
            <c:numRef>
              <c:f>Data!$A$2:$A$66</c:f>
              <c:numCache>
                <c:formatCode>m/d/yyyy</c:formatCode>
                <c:ptCount val="65"/>
                <c:pt idx="0">
                  <c:v>41647</c:v>
                </c:pt>
                <c:pt idx="1">
                  <c:v>41654</c:v>
                </c:pt>
                <c:pt idx="2">
                  <c:v>41661</c:v>
                </c:pt>
                <c:pt idx="3">
                  <c:v>41668</c:v>
                </c:pt>
                <c:pt idx="4">
                  <c:v>41675</c:v>
                </c:pt>
                <c:pt idx="5">
                  <c:v>41682</c:v>
                </c:pt>
                <c:pt idx="6">
                  <c:v>41689</c:v>
                </c:pt>
                <c:pt idx="7">
                  <c:v>41696</c:v>
                </c:pt>
                <c:pt idx="8">
                  <c:v>41703</c:v>
                </c:pt>
                <c:pt idx="9">
                  <c:v>41710</c:v>
                </c:pt>
                <c:pt idx="10">
                  <c:v>41717</c:v>
                </c:pt>
                <c:pt idx="11">
                  <c:v>41724</c:v>
                </c:pt>
                <c:pt idx="12">
                  <c:v>41731</c:v>
                </c:pt>
                <c:pt idx="13">
                  <c:v>41738</c:v>
                </c:pt>
                <c:pt idx="14">
                  <c:v>41745</c:v>
                </c:pt>
                <c:pt idx="15">
                  <c:v>41752</c:v>
                </c:pt>
                <c:pt idx="16">
                  <c:v>41759</c:v>
                </c:pt>
                <c:pt idx="17">
                  <c:v>41766</c:v>
                </c:pt>
                <c:pt idx="18">
                  <c:v>41773</c:v>
                </c:pt>
                <c:pt idx="19">
                  <c:v>41780</c:v>
                </c:pt>
                <c:pt idx="20">
                  <c:v>41787</c:v>
                </c:pt>
                <c:pt idx="21">
                  <c:v>41794</c:v>
                </c:pt>
                <c:pt idx="22">
                  <c:v>41801</c:v>
                </c:pt>
                <c:pt idx="23">
                  <c:v>41808</c:v>
                </c:pt>
                <c:pt idx="24">
                  <c:v>41815</c:v>
                </c:pt>
                <c:pt idx="25">
                  <c:v>41822</c:v>
                </c:pt>
                <c:pt idx="26">
                  <c:v>41829</c:v>
                </c:pt>
                <c:pt idx="27">
                  <c:v>41836</c:v>
                </c:pt>
                <c:pt idx="28">
                  <c:v>41843</c:v>
                </c:pt>
                <c:pt idx="29">
                  <c:v>41850</c:v>
                </c:pt>
                <c:pt idx="30">
                  <c:v>41857</c:v>
                </c:pt>
                <c:pt idx="31">
                  <c:v>41864</c:v>
                </c:pt>
                <c:pt idx="32">
                  <c:v>41871</c:v>
                </c:pt>
                <c:pt idx="33">
                  <c:v>41878</c:v>
                </c:pt>
                <c:pt idx="34">
                  <c:v>41885</c:v>
                </c:pt>
                <c:pt idx="35">
                  <c:v>41892</c:v>
                </c:pt>
                <c:pt idx="36">
                  <c:v>41899</c:v>
                </c:pt>
                <c:pt idx="37">
                  <c:v>41906</c:v>
                </c:pt>
                <c:pt idx="38">
                  <c:v>41913</c:v>
                </c:pt>
                <c:pt idx="39">
                  <c:v>41920</c:v>
                </c:pt>
                <c:pt idx="40">
                  <c:v>41927</c:v>
                </c:pt>
                <c:pt idx="41">
                  <c:v>41934</c:v>
                </c:pt>
                <c:pt idx="42">
                  <c:v>41941</c:v>
                </c:pt>
                <c:pt idx="43">
                  <c:v>41948</c:v>
                </c:pt>
                <c:pt idx="44">
                  <c:v>41955</c:v>
                </c:pt>
                <c:pt idx="45">
                  <c:v>41962</c:v>
                </c:pt>
                <c:pt idx="46">
                  <c:v>41969</c:v>
                </c:pt>
                <c:pt idx="47">
                  <c:v>41976</c:v>
                </c:pt>
                <c:pt idx="48">
                  <c:v>41983</c:v>
                </c:pt>
                <c:pt idx="49">
                  <c:v>41990</c:v>
                </c:pt>
                <c:pt idx="50">
                  <c:v>41997</c:v>
                </c:pt>
                <c:pt idx="51">
                  <c:v>42004</c:v>
                </c:pt>
                <c:pt idx="52">
                  <c:v>42011</c:v>
                </c:pt>
                <c:pt idx="53">
                  <c:v>42018</c:v>
                </c:pt>
                <c:pt idx="54">
                  <c:v>42025</c:v>
                </c:pt>
                <c:pt idx="55">
                  <c:v>42032</c:v>
                </c:pt>
                <c:pt idx="56">
                  <c:v>42039</c:v>
                </c:pt>
                <c:pt idx="57">
                  <c:v>42046</c:v>
                </c:pt>
                <c:pt idx="58">
                  <c:v>42053</c:v>
                </c:pt>
                <c:pt idx="59">
                  <c:v>42060</c:v>
                </c:pt>
                <c:pt idx="60">
                  <c:v>42067</c:v>
                </c:pt>
                <c:pt idx="61">
                  <c:v>42074</c:v>
                </c:pt>
                <c:pt idx="62">
                  <c:v>42081</c:v>
                </c:pt>
                <c:pt idx="63">
                  <c:v>42088</c:v>
                </c:pt>
                <c:pt idx="64">
                  <c:v>42095</c:v>
                </c:pt>
              </c:numCache>
            </c:numRef>
          </c:cat>
          <c:val>
            <c:numRef>
              <c:f>DDD!$O$10</c:f>
              <c:numCache>
                <c:formatCode>General</c:formatCode>
                <c:ptCount val="1"/>
                <c:pt idx="0">
                  <c:v>30045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477760"/>
        <c:axId val="139467776"/>
      </c:lineChart>
      <c:dateAx>
        <c:axId val="139464704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9466240"/>
        <c:crosses val="autoZero"/>
        <c:auto val="0"/>
        <c:lblOffset val="100"/>
        <c:baseTimeUnit val="days"/>
      </c:dateAx>
      <c:valAx>
        <c:axId val="139466240"/>
        <c:scaling>
          <c:orientation val="minMax"/>
          <c:min val="-0.5"/>
        </c:scaling>
        <c:delete val="0"/>
        <c:axPos val="l"/>
        <c:majorGridlines/>
        <c:numFmt formatCode="0.0;;0;" sourceLinked="0"/>
        <c:majorTickMark val="out"/>
        <c:minorTickMark val="none"/>
        <c:tickLblPos val="nextTo"/>
        <c:crossAx val="139464704"/>
        <c:crosses val="autoZero"/>
        <c:crossBetween val="between"/>
      </c:valAx>
      <c:valAx>
        <c:axId val="139467776"/>
        <c:scaling>
          <c:orientation val="minMax"/>
        </c:scaling>
        <c:delete val="0"/>
        <c:axPos val="r"/>
        <c:numFmt formatCode="\ " sourceLinked="0"/>
        <c:majorTickMark val="none"/>
        <c:minorTickMark val="none"/>
        <c:tickLblPos val="nextTo"/>
        <c:crossAx val="139477760"/>
        <c:crosses val="max"/>
        <c:crossBetween val="between"/>
      </c:valAx>
      <c:dateAx>
        <c:axId val="13947776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39467776"/>
        <c:crosses val="autoZero"/>
        <c:auto val="1"/>
        <c:lblOffset val="100"/>
        <c:baseTimeUnit val="days"/>
      </c:dateAx>
    </c:plotArea>
    <c:legend>
      <c:legendPos val="b"/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"/>
          <c:y val="0.88811654640730886"/>
          <c:w val="0.81010860447261512"/>
          <c:h val="0.1118835463421768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Core Regression %</c:v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10"/>
            <c:spPr>
              <a:solidFill>
                <a:schemeClr val="accent1"/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Data!$AI$37:$AI$66</c:f>
              <c:numCache>
                <c:formatCode>General</c:formatCode>
                <c:ptCount val="30"/>
                <c:pt idx="0">
                  <c:v>0.36503337860107421</c:v>
                </c:pt>
                <c:pt idx="1">
                  <c:v>0.36503337860107421</c:v>
                </c:pt>
                <c:pt idx="2">
                  <c:v>0.36503337860107421</c:v>
                </c:pt>
                <c:pt idx="3">
                  <c:v>0.36503337860107421</c:v>
                </c:pt>
                <c:pt idx="4">
                  <c:v>0.36503337860107421</c:v>
                </c:pt>
                <c:pt idx="5">
                  <c:v>0.36503337860107421</c:v>
                </c:pt>
                <c:pt idx="6">
                  <c:v>0.36503337860107421</c:v>
                </c:pt>
                <c:pt idx="7">
                  <c:v>0.36503337860107421</c:v>
                </c:pt>
                <c:pt idx="8">
                  <c:v>0.36503337860107421</c:v>
                </c:pt>
                <c:pt idx="9">
                  <c:v>0.36503337860107421</c:v>
                </c:pt>
                <c:pt idx="10">
                  <c:v>0.36503337860107421</c:v>
                </c:pt>
                <c:pt idx="11">
                  <c:v>0.36503337860107421</c:v>
                </c:pt>
                <c:pt idx="12">
                  <c:v>0.36503337860107421</c:v>
                </c:pt>
                <c:pt idx="13">
                  <c:v>0.36503337860107421</c:v>
                </c:pt>
                <c:pt idx="14">
                  <c:v>0.36503337860107421</c:v>
                </c:pt>
                <c:pt idx="15">
                  <c:v>0.36503337860107421</c:v>
                </c:pt>
                <c:pt idx="16">
                  <c:v>0.36503337860107421</c:v>
                </c:pt>
                <c:pt idx="17">
                  <c:v>0.36503337860107421</c:v>
                </c:pt>
                <c:pt idx="18">
                  <c:v>0.36503337860107421</c:v>
                </c:pt>
                <c:pt idx="19">
                  <c:v>0.36503337860107421</c:v>
                </c:pt>
                <c:pt idx="20">
                  <c:v>0.36503337860107421</c:v>
                </c:pt>
                <c:pt idx="21">
                  <c:v>0.36503337860107421</c:v>
                </c:pt>
                <c:pt idx="22">
                  <c:v>0.36503337860107421</c:v>
                </c:pt>
                <c:pt idx="23">
                  <c:v>0.36503337860107421</c:v>
                </c:pt>
                <c:pt idx="24">
                  <c:v>0.36503337860107421</c:v>
                </c:pt>
                <c:pt idx="25">
                  <c:v>0.36503337860107421</c:v>
                </c:pt>
                <c:pt idx="26">
                  <c:v>0.36503337860107421</c:v>
                </c:pt>
                <c:pt idx="27">
                  <c:v>0.36503337860107421</c:v>
                </c:pt>
                <c:pt idx="28">
                  <c:v>0.36503337860107421</c:v>
                </c:pt>
                <c:pt idx="29">
                  <c:v>0.36503337860107421</c:v>
                </c:pt>
              </c:numCache>
            </c:numRef>
          </c:val>
          <c:smooth val="0"/>
        </c:ser>
        <c:ser>
          <c:idx val="0"/>
          <c:order val="1"/>
          <c:tx>
            <c:v>Extention Regression %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9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Data!$A$37:$A$66</c:f>
              <c:numCache>
                <c:formatCode>m/d/yyyy</c:formatCode>
                <c:ptCount val="30"/>
                <c:pt idx="0">
                  <c:v>41892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41920</c:v>
                </c:pt>
                <c:pt idx="5">
                  <c:v>41927</c:v>
                </c:pt>
                <c:pt idx="6">
                  <c:v>41934</c:v>
                </c:pt>
                <c:pt idx="7">
                  <c:v>41941</c:v>
                </c:pt>
                <c:pt idx="8">
                  <c:v>41948</c:v>
                </c:pt>
                <c:pt idx="9">
                  <c:v>41955</c:v>
                </c:pt>
                <c:pt idx="10">
                  <c:v>41962</c:v>
                </c:pt>
                <c:pt idx="11">
                  <c:v>41969</c:v>
                </c:pt>
                <c:pt idx="12">
                  <c:v>41976</c:v>
                </c:pt>
                <c:pt idx="13">
                  <c:v>41983</c:v>
                </c:pt>
                <c:pt idx="14">
                  <c:v>41990</c:v>
                </c:pt>
                <c:pt idx="15">
                  <c:v>41997</c:v>
                </c:pt>
                <c:pt idx="16">
                  <c:v>42004</c:v>
                </c:pt>
                <c:pt idx="17">
                  <c:v>42011</c:v>
                </c:pt>
                <c:pt idx="18">
                  <c:v>42018</c:v>
                </c:pt>
                <c:pt idx="19">
                  <c:v>42025</c:v>
                </c:pt>
                <c:pt idx="20">
                  <c:v>42032</c:v>
                </c:pt>
                <c:pt idx="21">
                  <c:v>42039</c:v>
                </c:pt>
                <c:pt idx="22">
                  <c:v>42046</c:v>
                </c:pt>
                <c:pt idx="23">
                  <c:v>42053</c:v>
                </c:pt>
                <c:pt idx="24">
                  <c:v>42060</c:v>
                </c:pt>
                <c:pt idx="25">
                  <c:v>42067</c:v>
                </c:pt>
                <c:pt idx="26">
                  <c:v>42074</c:v>
                </c:pt>
                <c:pt idx="27">
                  <c:v>42081</c:v>
                </c:pt>
                <c:pt idx="28">
                  <c:v>42088</c:v>
                </c:pt>
                <c:pt idx="29">
                  <c:v>42095</c:v>
                </c:pt>
              </c:numCache>
            </c:numRef>
          </c:cat>
          <c:val>
            <c:numRef>
              <c:f>Data!$AO$37:$AO$66</c:f>
              <c:numCache>
                <c:formatCode>General</c:formatCode>
                <c:ptCount val="30"/>
                <c:pt idx="0">
                  <c:v>0.19472784805297852</c:v>
                </c:pt>
                <c:pt idx="1">
                  <c:v>0.19472784805297852</c:v>
                </c:pt>
                <c:pt idx="2">
                  <c:v>0.19472784805297852</c:v>
                </c:pt>
                <c:pt idx="3">
                  <c:v>0.19472784805297852</c:v>
                </c:pt>
                <c:pt idx="4">
                  <c:v>0.19472784805297852</c:v>
                </c:pt>
                <c:pt idx="5">
                  <c:v>0.19472784805297852</c:v>
                </c:pt>
                <c:pt idx="6">
                  <c:v>0.19472784805297852</c:v>
                </c:pt>
                <c:pt idx="7">
                  <c:v>0.19472784805297852</c:v>
                </c:pt>
                <c:pt idx="8">
                  <c:v>0.19472784805297852</c:v>
                </c:pt>
                <c:pt idx="9">
                  <c:v>0.19472784805297852</c:v>
                </c:pt>
                <c:pt idx="10">
                  <c:v>0.19472784805297852</c:v>
                </c:pt>
                <c:pt idx="11">
                  <c:v>0.19472784805297852</c:v>
                </c:pt>
                <c:pt idx="12">
                  <c:v>0.19472784805297852</c:v>
                </c:pt>
                <c:pt idx="13">
                  <c:v>0.19472784805297852</c:v>
                </c:pt>
                <c:pt idx="14">
                  <c:v>0.19472784805297852</c:v>
                </c:pt>
                <c:pt idx="15">
                  <c:v>0.19472784805297852</c:v>
                </c:pt>
                <c:pt idx="16">
                  <c:v>0.19472784805297852</c:v>
                </c:pt>
                <c:pt idx="17">
                  <c:v>0.19472784805297852</c:v>
                </c:pt>
                <c:pt idx="18">
                  <c:v>0.19472784805297852</c:v>
                </c:pt>
                <c:pt idx="19">
                  <c:v>0.19472784805297852</c:v>
                </c:pt>
                <c:pt idx="20">
                  <c:v>0.19472784805297852</c:v>
                </c:pt>
                <c:pt idx="21">
                  <c:v>0.19472784805297852</c:v>
                </c:pt>
                <c:pt idx="22">
                  <c:v>0.19472784805297852</c:v>
                </c:pt>
                <c:pt idx="23">
                  <c:v>0.19472784805297852</c:v>
                </c:pt>
                <c:pt idx="24">
                  <c:v>0.19472784805297852</c:v>
                </c:pt>
                <c:pt idx="25">
                  <c:v>0.19472784805297852</c:v>
                </c:pt>
                <c:pt idx="26">
                  <c:v>0.19472784805297852</c:v>
                </c:pt>
                <c:pt idx="27">
                  <c:v>0.19472784805297852</c:v>
                </c:pt>
                <c:pt idx="28">
                  <c:v>0.19472784805297852</c:v>
                </c:pt>
                <c:pt idx="29">
                  <c:v>0.19472784805297852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515776"/>
        <c:axId val="139522048"/>
      </c:lineChart>
      <c:dateAx>
        <c:axId val="139515776"/>
        <c:scaling>
          <c:orientation val="minMax"/>
        </c:scaling>
        <c:delete val="0"/>
        <c:axPos val="b"/>
        <c:numFmt formatCode="dd/mm" sourceLinked="0"/>
        <c:majorTickMark val="none"/>
        <c:minorTickMark val="none"/>
        <c:tickLblPos val="low"/>
        <c:crossAx val="139522048"/>
        <c:crosses val="autoZero"/>
        <c:auto val="0"/>
        <c:lblOffset val="100"/>
        <c:baseTimeUnit val="days"/>
      </c:dateAx>
      <c:valAx>
        <c:axId val="139522048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3951577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"/>
          <c:y val="0.88811654640730886"/>
          <c:w val="0.45992207256332662"/>
          <c:h val="9.103226023827031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Number of open bugs</c:v>
          </c:tx>
          <c:invertIfNegative val="0"/>
          <c:cat>
            <c:numRef>
              <c:f>Data!$BC$2:$BC$28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Data!$BI$2:$BI$27</c:f>
              <c:numCache>
                <c:formatCode>General</c:formatCode>
                <c:ptCount val="26"/>
                <c:pt idx="0">
                  <c:v>19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1</c:v>
                </c:pt>
                <c:pt idx="7">
                  <c:v>3</c:v>
                </c:pt>
                <c:pt idx="8">
                  <c:v>9</c:v>
                </c:pt>
                <c:pt idx="9">
                  <c:v>4</c:v>
                </c:pt>
                <c:pt idx="10">
                  <c:v>4</c:v>
                </c:pt>
                <c:pt idx="11">
                  <c:v>1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879168"/>
        <c:axId val="139880704"/>
      </c:barChart>
      <c:lineChart>
        <c:grouping val="standard"/>
        <c:varyColors val="0"/>
        <c:ser>
          <c:idx val="1"/>
          <c:order val="1"/>
          <c:tx>
            <c:v>Max</c:v>
          </c:tx>
          <c:marker>
            <c:symbol val="none"/>
          </c:marker>
          <c:val>
            <c:numRef>
              <c:f>Data!$BP$2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879168"/>
        <c:axId val="139880704"/>
      </c:lineChart>
      <c:catAx>
        <c:axId val="13987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9880704"/>
        <c:crosses val="autoZero"/>
        <c:auto val="1"/>
        <c:lblAlgn val="ctr"/>
        <c:lblOffset val="100"/>
        <c:noMultiLvlLbl val="0"/>
      </c:catAx>
      <c:valAx>
        <c:axId val="139880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879168"/>
        <c:crosses val="autoZero"/>
        <c:crossBetween val="between"/>
      </c:valAx>
      <c:spPr>
        <a:noFill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5494371928341178E-2"/>
          <c:y val="0.88850503062117236"/>
          <c:w val="0.26611707546926167"/>
          <c:h val="9.1002139800285306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13" Type="http://schemas.openxmlformats.org/officeDocument/2006/relationships/chart" Target="../charts/chart8.xml"/><Relationship Id="rId18" Type="http://schemas.openxmlformats.org/officeDocument/2006/relationships/hyperlink" Target="#Dashboard!A1"/><Relationship Id="rId26" Type="http://schemas.openxmlformats.org/officeDocument/2006/relationships/chart" Target="../charts/chart10.xml"/><Relationship Id="rId3" Type="http://schemas.openxmlformats.org/officeDocument/2006/relationships/hyperlink" Target="#'DR Regression'!A32"/><Relationship Id="rId21" Type="http://schemas.openxmlformats.org/officeDocument/2006/relationships/image" Target="../media/image4.jpg"/><Relationship Id="rId34" Type="http://schemas.openxmlformats.org/officeDocument/2006/relationships/chart" Target="../charts/chart12.xml"/><Relationship Id="rId7" Type="http://schemas.openxmlformats.org/officeDocument/2006/relationships/chart" Target="../charts/chart2.xml"/><Relationship Id="rId12" Type="http://schemas.openxmlformats.org/officeDocument/2006/relationships/chart" Target="../charts/chart7.xml"/><Relationship Id="rId17" Type="http://schemas.openxmlformats.org/officeDocument/2006/relationships/hyperlink" Target="#'DR WFM'!A58"/><Relationship Id="rId25" Type="http://schemas.openxmlformats.org/officeDocument/2006/relationships/chart" Target="../charts/chart9.xml"/><Relationship Id="rId33" Type="http://schemas.openxmlformats.org/officeDocument/2006/relationships/hyperlink" Target="#'DR Core'!A7"/><Relationship Id="rId2" Type="http://schemas.openxmlformats.org/officeDocument/2006/relationships/hyperlink" Target="#'DR Defects Density'!A6"/><Relationship Id="rId16" Type="http://schemas.openxmlformats.org/officeDocument/2006/relationships/hyperlink" Target="#'DR SSL'!A44"/><Relationship Id="rId20" Type="http://schemas.openxmlformats.org/officeDocument/2006/relationships/image" Target="../media/image3.jpg"/><Relationship Id="rId29" Type="http://schemas.openxmlformats.org/officeDocument/2006/relationships/hyperlink" Target="#'DR SSL'!A7"/><Relationship Id="rId1" Type="http://schemas.openxmlformats.org/officeDocument/2006/relationships/image" Target="../media/image1.jpeg"/><Relationship Id="rId6" Type="http://schemas.openxmlformats.org/officeDocument/2006/relationships/chart" Target="../charts/chart1.xml"/><Relationship Id="rId11" Type="http://schemas.openxmlformats.org/officeDocument/2006/relationships/chart" Target="../charts/chart6.xml"/><Relationship Id="rId24" Type="http://schemas.openxmlformats.org/officeDocument/2006/relationships/image" Target="../media/image7.jpg"/><Relationship Id="rId32" Type="http://schemas.openxmlformats.org/officeDocument/2006/relationships/hyperlink" Target="#'DR Target'!A4"/><Relationship Id="rId5" Type="http://schemas.openxmlformats.org/officeDocument/2006/relationships/hyperlink" Target="#'DR Median'!A44"/><Relationship Id="rId15" Type="http://schemas.openxmlformats.org/officeDocument/2006/relationships/hyperlink" Target="#'DR Core'!A70"/><Relationship Id="rId23" Type="http://schemas.openxmlformats.org/officeDocument/2006/relationships/image" Target="../media/image6.jpg"/><Relationship Id="rId28" Type="http://schemas.openxmlformats.org/officeDocument/2006/relationships/hyperlink" Target="#'DR Coles'!A7"/><Relationship Id="rId10" Type="http://schemas.openxmlformats.org/officeDocument/2006/relationships/chart" Target="../charts/chart5.xml"/><Relationship Id="rId19" Type="http://schemas.openxmlformats.org/officeDocument/2006/relationships/image" Target="../media/image2.jpg"/><Relationship Id="rId31" Type="http://schemas.openxmlformats.org/officeDocument/2006/relationships/hyperlink" Target="#'DR WOW'!A7"/><Relationship Id="rId4" Type="http://schemas.openxmlformats.org/officeDocument/2006/relationships/hyperlink" Target="#'DR Reopened'!A18"/><Relationship Id="rId9" Type="http://schemas.openxmlformats.org/officeDocument/2006/relationships/chart" Target="../charts/chart4.xml"/><Relationship Id="rId14" Type="http://schemas.openxmlformats.org/officeDocument/2006/relationships/hyperlink" Target="#'DR Target'!A6"/><Relationship Id="rId22" Type="http://schemas.openxmlformats.org/officeDocument/2006/relationships/image" Target="../media/image5.jpg"/><Relationship Id="rId27" Type="http://schemas.openxmlformats.org/officeDocument/2006/relationships/chart" Target="../charts/chart11.xml"/><Relationship Id="rId30" Type="http://schemas.openxmlformats.org/officeDocument/2006/relationships/hyperlink" Target="#'DR WFM'!A7"/><Relationship Id="rId35" Type="http://schemas.openxmlformats.org/officeDocument/2006/relationships/chart" Target="../charts/chart1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DR WFM'!A7"/><Relationship Id="rId13" Type="http://schemas.openxmlformats.org/officeDocument/2006/relationships/image" Target="../media/image6.jpg"/><Relationship Id="rId18" Type="http://schemas.openxmlformats.org/officeDocument/2006/relationships/chart" Target="../charts/chart14.xml"/><Relationship Id="rId26" Type="http://schemas.openxmlformats.org/officeDocument/2006/relationships/chart" Target="../charts/chart22.xml"/><Relationship Id="rId3" Type="http://schemas.openxmlformats.org/officeDocument/2006/relationships/hyperlink" Target="#Dashboard!A1"/><Relationship Id="rId21" Type="http://schemas.openxmlformats.org/officeDocument/2006/relationships/chart" Target="../charts/chart17.xml"/><Relationship Id="rId7" Type="http://schemas.openxmlformats.org/officeDocument/2006/relationships/image" Target="../media/image3.jpg"/><Relationship Id="rId12" Type="http://schemas.openxmlformats.org/officeDocument/2006/relationships/hyperlink" Target="#'DR Target'!A4"/><Relationship Id="rId17" Type="http://schemas.openxmlformats.org/officeDocument/2006/relationships/hyperlink" Target="#'DR Median'!A7"/><Relationship Id="rId25" Type="http://schemas.openxmlformats.org/officeDocument/2006/relationships/chart" Target="../charts/chart21.xml"/><Relationship Id="rId2" Type="http://schemas.openxmlformats.org/officeDocument/2006/relationships/hyperlink" Target="#'DR Defects Density'!A6"/><Relationship Id="rId16" Type="http://schemas.openxmlformats.org/officeDocument/2006/relationships/hyperlink" Target="#'DR Regression'!A7"/><Relationship Id="rId20" Type="http://schemas.openxmlformats.org/officeDocument/2006/relationships/chart" Target="../charts/chart16.xml"/><Relationship Id="rId1" Type="http://schemas.openxmlformats.org/officeDocument/2006/relationships/image" Target="../media/image1.jpeg"/><Relationship Id="rId6" Type="http://schemas.openxmlformats.org/officeDocument/2006/relationships/hyperlink" Target="#'DR SSL'!A7"/><Relationship Id="rId11" Type="http://schemas.openxmlformats.org/officeDocument/2006/relationships/image" Target="../media/image5.jpg"/><Relationship Id="rId24" Type="http://schemas.openxmlformats.org/officeDocument/2006/relationships/chart" Target="../charts/chart20.xml"/><Relationship Id="rId5" Type="http://schemas.openxmlformats.org/officeDocument/2006/relationships/image" Target="../media/image2.jpg"/><Relationship Id="rId15" Type="http://schemas.openxmlformats.org/officeDocument/2006/relationships/hyperlink" Target="#'DR Reopened'!A7"/><Relationship Id="rId23" Type="http://schemas.openxmlformats.org/officeDocument/2006/relationships/chart" Target="../charts/chart19.xml"/><Relationship Id="rId28" Type="http://schemas.openxmlformats.org/officeDocument/2006/relationships/chart" Target="../charts/chart24.xml"/><Relationship Id="rId10" Type="http://schemas.openxmlformats.org/officeDocument/2006/relationships/hyperlink" Target="#'DR WOW'!A7"/><Relationship Id="rId19" Type="http://schemas.openxmlformats.org/officeDocument/2006/relationships/chart" Target="../charts/chart15.xml"/><Relationship Id="rId4" Type="http://schemas.openxmlformats.org/officeDocument/2006/relationships/hyperlink" Target="#'DR Coles'!A7"/><Relationship Id="rId9" Type="http://schemas.openxmlformats.org/officeDocument/2006/relationships/image" Target="../media/image4.jpg"/><Relationship Id="rId14" Type="http://schemas.openxmlformats.org/officeDocument/2006/relationships/hyperlink" Target="#'DR Defects Density'!A7"/><Relationship Id="rId22" Type="http://schemas.openxmlformats.org/officeDocument/2006/relationships/chart" Target="../charts/chart18.xml"/><Relationship Id="rId27" Type="http://schemas.openxmlformats.org/officeDocument/2006/relationships/chart" Target="../charts/chart2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'DR WFM'!A7"/><Relationship Id="rId13" Type="http://schemas.openxmlformats.org/officeDocument/2006/relationships/image" Target="../media/image6.jpg"/><Relationship Id="rId18" Type="http://schemas.openxmlformats.org/officeDocument/2006/relationships/chart" Target="../charts/chart25.xml"/><Relationship Id="rId3" Type="http://schemas.openxmlformats.org/officeDocument/2006/relationships/hyperlink" Target="#Dashboard!A1"/><Relationship Id="rId21" Type="http://schemas.openxmlformats.org/officeDocument/2006/relationships/chart" Target="../charts/chart28.xml"/><Relationship Id="rId7" Type="http://schemas.openxmlformats.org/officeDocument/2006/relationships/image" Target="../media/image3.jpg"/><Relationship Id="rId12" Type="http://schemas.openxmlformats.org/officeDocument/2006/relationships/hyperlink" Target="#'DR Target'!A7"/><Relationship Id="rId17" Type="http://schemas.openxmlformats.org/officeDocument/2006/relationships/hyperlink" Target="#'DR Defects Density'!A7"/><Relationship Id="rId2" Type="http://schemas.openxmlformats.org/officeDocument/2006/relationships/hyperlink" Target="#'DR Defects Density'!A6"/><Relationship Id="rId16" Type="http://schemas.openxmlformats.org/officeDocument/2006/relationships/hyperlink" Target="#'DR Median'!A7"/><Relationship Id="rId20" Type="http://schemas.openxmlformats.org/officeDocument/2006/relationships/chart" Target="../charts/chart27.xml"/><Relationship Id="rId1" Type="http://schemas.openxmlformats.org/officeDocument/2006/relationships/image" Target="../media/image1.jpeg"/><Relationship Id="rId6" Type="http://schemas.openxmlformats.org/officeDocument/2006/relationships/hyperlink" Target="#'DR SSL'!A7"/><Relationship Id="rId11" Type="http://schemas.openxmlformats.org/officeDocument/2006/relationships/image" Target="../media/image5.jpg"/><Relationship Id="rId5" Type="http://schemas.openxmlformats.org/officeDocument/2006/relationships/image" Target="../media/image2.jpg"/><Relationship Id="rId15" Type="http://schemas.openxmlformats.org/officeDocument/2006/relationships/hyperlink" Target="#'DR Regression'!A7"/><Relationship Id="rId10" Type="http://schemas.openxmlformats.org/officeDocument/2006/relationships/hyperlink" Target="#'DR WOW'!A7"/><Relationship Id="rId19" Type="http://schemas.openxmlformats.org/officeDocument/2006/relationships/chart" Target="../charts/chart26.xml"/><Relationship Id="rId4" Type="http://schemas.openxmlformats.org/officeDocument/2006/relationships/hyperlink" Target="#'DR Coles'!A7"/><Relationship Id="rId9" Type="http://schemas.openxmlformats.org/officeDocument/2006/relationships/image" Target="../media/image4.jpg"/><Relationship Id="rId14" Type="http://schemas.openxmlformats.org/officeDocument/2006/relationships/hyperlink" Target="#'DR Reopened'!A7"/><Relationship Id="rId22" Type="http://schemas.openxmlformats.org/officeDocument/2006/relationships/chart" Target="../charts/chart2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DR WFM'!A7"/><Relationship Id="rId13" Type="http://schemas.openxmlformats.org/officeDocument/2006/relationships/image" Target="../media/image6.jpg"/><Relationship Id="rId18" Type="http://schemas.openxmlformats.org/officeDocument/2006/relationships/chart" Target="../charts/chart30.xml"/><Relationship Id="rId3" Type="http://schemas.openxmlformats.org/officeDocument/2006/relationships/hyperlink" Target="#Dashboard!A1"/><Relationship Id="rId21" Type="http://schemas.openxmlformats.org/officeDocument/2006/relationships/chart" Target="../charts/chart33.xml"/><Relationship Id="rId7" Type="http://schemas.openxmlformats.org/officeDocument/2006/relationships/image" Target="../media/image3.jpg"/><Relationship Id="rId12" Type="http://schemas.openxmlformats.org/officeDocument/2006/relationships/hyperlink" Target="#'DR Target'!A7"/><Relationship Id="rId17" Type="http://schemas.openxmlformats.org/officeDocument/2006/relationships/hyperlink" Target="#'DR Reopened'!A7"/><Relationship Id="rId2" Type="http://schemas.openxmlformats.org/officeDocument/2006/relationships/hyperlink" Target="#'DR Defects Density'!A6"/><Relationship Id="rId16" Type="http://schemas.openxmlformats.org/officeDocument/2006/relationships/hyperlink" Target="#'DR Defects Density'!A7"/><Relationship Id="rId20" Type="http://schemas.openxmlformats.org/officeDocument/2006/relationships/chart" Target="../charts/chart32.xml"/><Relationship Id="rId1" Type="http://schemas.openxmlformats.org/officeDocument/2006/relationships/image" Target="../media/image1.jpeg"/><Relationship Id="rId6" Type="http://schemas.openxmlformats.org/officeDocument/2006/relationships/hyperlink" Target="#'DR SSL'!A7"/><Relationship Id="rId11" Type="http://schemas.openxmlformats.org/officeDocument/2006/relationships/image" Target="../media/image5.jpg"/><Relationship Id="rId5" Type="http://schemas.openxmlformats.org/officeDocument/2006/relationships/image" Target="../media/image2.jpg"/><Relationship Id="rId15" Type="http://schemas.openxmlformats.org/officeDocument/2006/relationships/hyperlink" Target="#'DR Median'!A7"/><Relationship Id="rId23" Type="http://schemas.openxmlformats.org/officeDocument/2006/relationships/chart" Target="../charts/chart35.xml"/><Relationship Id="rId10" Type="http://schemas.openxmlformats.org/officeDocument/2006/relationships/hyperlink" Target="#'DR WOW'!A7"/><Relationship Id="rId19" Type="http://schemas.openxmlformats.org/officeDocument/2006/relationships/chart" Target="../charts/chart31.xml"/><Relationship Id="rId4" Type="http://schemas.openxmlformats.org/officeDocument/2006/relationships/hyperlink" Target="#'DR Coles'!A7"/><Relationship Id="rId9" Type="http://schemas.openxmlformats.org/officeDocument/2006/relationships/image" Target="../media/image4.jpg"/><Relationship Id="rId14" Type="http://schemas.openxmlformats.org/officeDocument/2006/relationships/hyperlink" Target="#'DR Regression'!A4"/><Relationship Id="rId22" Type="http://schemas.openxmlformats.org/officeDocument/2006/relationships/chart" Target="../charts/chart3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DR WFM'!A7"/><Relationship Id="rId13" Type="http://schemas.openxmlformats.org/officeDocument/2006/relationships/image" Target="../media/image6.jpg"/><Relationship Id="rId18" Type="http://schemas.openxmlformats.org/officeDocument/2006/relationships/chart" Target="../charts/chart37.xml"/><Relationship Id="rId3" Type="http://schemas.openxmlformats.org/officeDocument/2006/relationships/hyperlink" Target="#Dashboard!A1"/><Relationship Id="rId21" Type="http://schemas.openxmlformats.org/officeDocument/2006/relationships/chart" Target="../charts/chart40.xml"/><Relationship Id="rId7" Type="http://schemas.openxmlformats.org/officeDocument/2006/relationships/image" Target="../media/image3.jpg"/><Relationship Id="rId12" Type="http://schemas.openxmlformats.org/officeDocument/2006/relationships/hyperlink" Target="#'DR Target'!A7"/><Relationship Id="rId17" Type="http://schemas.openxmlformats.org/officeDocument/2006/relationships/chart" Target="../charts/chart36.xml"/><Relationship Id="rId2" Type="http://schemas.openxmlformats.org/officeDocument/2006/relationships/hyperlink" Target="#'DR Defects Density'!A6"/><Relationship Id="rId16" Type="http://schemas.openxmlformats.org/officeDocument/2006/relationships/hyperlink" Target="#'DR Regression'!A7"/><Relationship Id="rId20" Type="http://schemas.openxmlformats.org/officeDocument/2006/relationships/chart" Target="../charts/chart39.xml"/><Relationship Id="rId1" Type="http://schemas.openxmlformats.org/officeDocument/2006/relationships/image" Target="../media/image1.jpeg"/><Relationship Id="rId6" Type="http://schemas.openxmlformats.org/officeDocument/2006/relationships/hyperlink" Target="#'DR SSL'!A7"/><Relationship Id="rId11" Type="http://schemas.openxmlformats.org/officeDocument/2006/relationships/image" Target="../media/image5.jpg"/><Relationship Id="rId5" Type="http://schemas.openxmlformats.org/officeDocument/2006/relationships/image" Target="../media/image2.jpg"/><Relationship Id="rId15" Type="http://schemas.openxmlformats.org/officeDocument/2006/relationships/hyperlink" Target="#'DR Reopened'!A7"/><Relationship Id="rId10" Type="http://schemas.openxmlformats.org/officeDocument/2006/relationships/hyperlink" Target="#'DR WOW'!A7"/><Relationship Id="rId19" Type="http://schemas.openxmlformats.org/officeDocument/2006/relationships/chart" Target="../charts/chart38.xml"/><Relationship Id="rId4" Type="http://schemas.openxmlformats.org/officeDocument/2006/relationships/hyperlink" Target="#'DR Coles'!A7"/><Relationship Id="rId9" Type="http://schemas.openxmlformats.org/officeDocument/2006/relationships/image" Target="../media/image4.jpg"/><Relationship Id="rId14" Type="http://schemas.openxmlformats.org/officeDocument/2006/relationships/hyperlink" Target="#'DR Defects Density'!A7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'DR WFM'!A7"/><Relationship Id="rId13" Type="http://schemas.openxmlformats.org/officeDocument/2006/relationships/image" Target="../media/image6.jpg"/><Relationship Id="rId18" Type="http://schemas.openxmlformats.org/officeDocument/2006/relationships/hyperlink" Target="#'DR Reopened'!A7"/><Relationship Id="rId3" Type="http://schemas.openxmlformats.org/officeDocument/2006/relationships/hyperlink" Target="#Dashboard!A1"/><Relationship Id="rId21" Type="http://schemas.openxmlformats.org/officeDocument/2006/relationships/chart" Target="../charts/chart43.xml"/><Relationship Id="rId7" Type="http://schemas.openxmlformats.org/officeDocument/2006/relationships/image" Target="../media/image3.jpg"/><Relationship Id="rId12" Type="http://schemas.openxmlformats.org/officeDocument/2006/relationships/hyperlink" Target="#'DR Target'!A7"/><Relationship Id="rId17" Type="http://schemas.openxmlformats.org/officeDocument/2006/relationships/hyperlink" Target="#'DR Defects Density'!A7"/><Relationship Id="rId2" Type="http://schemas.openxmlformats.org/officeDocument/2006/relationships/hyperlink" Target="#'DR Defects Density'!A6"/><Relationship Id="rId16" Type="http://schemas.openxmlformats.org/officeDocument/2006/relationships/hyperlink" Target="#'DR Escaping Core'!A7"/><Relationship Id="rId20" Type="http://schemas.openxmlformats.org/officeDocument/2006/relationships/chart" Target="../charts/chart42.xml"/><Relationship Id="rId1" Type="http://schemas.openxmlformats.org/officeDocument/2006/relationships/image" Target="../media/image1.jpeg"/><Relationship Id="rId6" Type="http://schemas.openxmlformats.org/officeDocument/2006/relationships/hyperlink" Target="#'DR SSL'!A7"/><Relationship Id="rId11" Type="http://schemas.openxmlformats.org/officeDocument/2006/relationships/image" Target="../media/image5.jpg"/><Relationship Id="rId5" Type="http://schemas.openxmlformats.org/officeDocument/2006/relationships/image" Target="../media/image2.jpg"/><Relationship Id="rId15" Type="http://schemas.openxmlformats.org/officeDocument/2006/relationships/hyperlink" Target="#'DR Median'!A7"/><Relationship Id="rId23" Type="http://schemas.openxmlformats.org/officeDocument/2006/relationships/chart" Target="../charts/chart45.xml"/><Relationship Id="rId10" Type="http://schemas.openxmlformats.org/officeDocument/2006/relationships/hyperlink" Target="#'DR WOW'!A7"/><Relationship Id="rId19" Type="http://schemas.openxmlformats.org/officeDocument/2006/relationships/chart" Target="../charts/chart41.xml"/><Relationship Id="rId4" Type="http://schemas.openxmlformats.org/officeDocument/2006/relationships/hyperlink" Target="#'DR Coles'!A7"/><Relationship Id="rId9" Type="http://schemas.openxmlformats.org/officeDocument/2006/relationships/image" Target="../media/image4.jpg"/><Relationship Id="rId14" Type="http://schemas.openxmlformats.org/officeDocument/2006/relationships/hyperlink" Target="#'DR Regression'!A7"/><Relationship Id="rId22" Type="http://schemas.openxmlformats.org/officeDocument/2006/relationships/chart" Target="../charts/chart44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DR Regression'!A7"/><Relationship Id="rId13" Type="http://schemas.openxmlformats.org/officeDocument/2006/relationships/hyperlink" Target="#'DR Coles'!A7"/><Relationship Id="rId18" Type="http://schemas.openxmlformats.org/officeDocument/2006/relationships/image" Target="../media/image4.jpg"/><Relationship Id="rId26" Type="http://schemas.openxmlformats.org/officeDocument/2006/relationships/chart" Target="../charts/chart51.xml"/><Relationship Id="rId3" Type="http://schemas.openxmlformats.org/officeDocument/2006/relationships/hyperlink" Target="#'DR Median'!A7"/><Relationship Id="rId21" Type="http://schemas.openxmlformats.org/officeDocument/2006/relationships/hyperlink" Target="#'DR WOW'!A7"/><Relationship Id="rId7" Type="http://schemas.openxmlformats.org/officeDocument/2006/relationships/hyperlink" Target="#'DR Reopened'!A7"/><Relationship Id="rId12" Type="http://schemas.openxmlformats.org/officeDocument/2006/relationships/chart" Target="../charts/chart49.xml"/><Relationship Id="rId17" Type="http://schemas.openxmlformats.org/officeDocument/2006/relationships/hyperlink" Target="#'DR WFM'!A7"/><Relationship Id="rId25" Type="http://schemas.openxmlformats.org/officeDocument/2006/relationships/chart" Target="../charts/chart50.xml"/><Relationship Id="rId2" Type="http://schemas.openxmlformats.org/officeDocument/2006/relationships/hyperlink" Target="#'DR Defects Density'!A7"/><Relationship Id="rId16" Type="http://schemas.openxmlformats.org/officeDocument/2006/relationships/image" Target="../media/image3.jpg"/><Relationship Id="rId20" Type="http://schemas.openxmlformats.org/officeDocument/2006/relationships/image" Target="../media/image7.jpg"/><Relationship Id="rId1" Type="http://schemas.openxmlformats.org/officeDocument/2006/relationships/image" Target="../media/image1.jpeg"/><Relationship Id="rId6" Type="http://schemas.openxmlformats.org/officeDocument/2006/relationships/hyperlink" Target="#Dashboard!A1"/><Relationship Id="rId11" Type="http://schemas.openxmlformats.org/officeDocument/2006/relationships/chart" Target="../charts/chart48.xml"/><Relationship Id="rId24" Type="http://schemas.openxmlformats.org/officeDocument/2006/relationships/image" Target="../media/image6.jpg"/><Relationship Id="rId5" Type="http://schemas.openxmlformats.org/officeDocument/2006/relationships/hyperlink" Target="#'DR Defects Density'!A6"/><Relationship Id="rId15" Type="http://schemas.openxmlformats.org/officeDocument/2006/relationships/hyperlink" Target="#'DR SSL'!A7"/><Relationship Id="rId23" Type="http://schemas.openxmlformats.org/officeDocument/2006/relationships/hyperlink" Target="#'DR Target'!A7"/><Relationship Id="rId10" Type="http://schemas.openxmlformats.org/officeDocument/2006/relationships/chart" Target="../charts/chart47.xml"/><Relationship Id="rId19" Type="http://schemas.openxmlformats.org/officeDocument/2006/relationships/hyperlink" Target="#'DR Core'!A7"/><Relationship Id="rId4" Type="http://schemas.openxmlformats.org/officeDocument/2006/relationships/hyperlink" Target="#'DR Escaping Core'!A7"/><Relationship Id="rId9" Type="http://schemas.openxmlformats.org/officeDocument/2006/relationships/chart" Target="../charts/chart46.xml"/><Relationship Id="rId14" Type="http://schemas.openxmlformats.org/officeDocument/2006/relationships/image" Target="../media/image2.jpg"/><Relationship Id="rId22" Type="http://schemas.openxmlformats.org/officeDocument/2006/relationships/image" Target="../media/image5.jpg"/><Relationship Id="rId27" Type="http://schemas.openxmlformats.org/officeDocument/2006/relationships/chart" Target="../charts/chart52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DR Regression'!A7"/><Relationship Id="rId13" Type="http://schemas.openxmlformats.org/officeDocument/2006/relationships/chart" Target="../charts/chart57.xml"/><Relationship Id="rId18" Type="http://schemas.openxmlformats.org/officeDocument/2006/relationships/hyperlink" Target="#'DR Core'!A7"/><Relationship Id="rId3" Type="http://schemas.openxmlformats.org/officeDocument/2006/relationships/hyperlink" Target="#'DR Median'!A7"/><Relationship Id="rId21" Type="http://schemas.openxmlformats.org/officeDocument/2006/relationships/image" Target="../media/image5.jpg"/><Relationship Id="rId7" Type="http://schemas.openxmlformats.org/officeDocument/2006/relationships/hyperlink" Target="#'DR Reopened'!A7"/><Relationship Id="rId12" Type="http://schemas.openxmlformats.org/officeDocument/2006/relationships/chart" Target="../charts/chart56.xml"/><Relationship Id="rId17" Type="http://schemas.openxmlformats.org/officeDocument/2006/relationships/image" Target="../media/image4.jpg"/><Relationship Id="rId25" Type="http://schemas.openxmlformats.org/officeDocument/2006/relationships/image" Target="../media/image6.jpg"/><Relationship Id="rId2" Type="http://schemas.openxmlformats.org/officeDocument/2006/relationships/hyperlink" Target="#'DR Defects Density'!A7"/><Relationship Id="rId16" Type="http://schemas.openxmlformats.org/officeDocument/2006/relationships/hyperlink" Target="#'DR WFM'!A7"/><Relationship Id="rId20" Type="http://schemas.openxmlformats.org/officeDocument/2006/relationships/hyperlink" Target="#'DR WOW'!A7"/><Relationship Id="rId1" Type="http://schemas.openxmlformats.org/officeDocument/2006/relationships/image" Target="../media/image1.jpeg"/><Relationship Id="rId6" Type="http://schemas.openxmlformats.org/officeDocument/2006/relationships/hyperlink" Target="#Dashboard!A1"/><Relationship Id="rId11" Type="http://schemas.openxmlformats.org/officeDocument/2006/relationships/chart" Target="../charts/chart55.xml"/><Relationship Id="rId24" Type="http://schemas.openxmlformats.org/officeDocument/2006/relationships/hyperlink" Target="#'DR Target'!A7"/><Relationship Id="rId5" Type="http://schemas.openxmlformats.org/officeDocument/2006/relationships/hyperlink" Target="#'DR Defects Density'!A6"/><Relationship Id="rId15" Type="http://schemas.openxmlformats.org/officeDocument/2006/relationships/image" Target="../media/image3.jpg"/><Relationship Id="rId23" Type="http://schemas.openxmlformats.org/officeDocument/2006/relationships/image" Target="../media/image2.jpg"/><Relationship Id="rId10" Type="http://schemas.openxmlformats.org/officeDocument/2006/relationships/chart" Target="../charts/chart54.xml"/><Relationship Id="rId19" Type="http://schemas.openxmlformats.org/officeDocument/2006/relationships/image" Target="../media/image7.jpg"/><Relationship Id="rId4" Type="http://schemas.openxmlformats.org/officeDocument/2006/relationships/hyperlink" Target="#'DR Escaping Core'!A7"/><Relationship Id="rId9" Type="http://schemas.openxmlformats.org/officeDocument/2006/relationships/chart" Target="../charts/chart53.xml"/><Relationship Id="rId14" Type="http://schemas.openxmlformats.org/officeDocument/2006/relationships/hyperlink" Target="#'DR SSL'!A7"/><Relationship Id="rId22" Type="http://schemas.openxmlformats.org/officeDocument/2006/relationships/hyperlink" Target="#'DR Coles'!A7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DR Regression'!A7"/><Relationship Id="rId13" Type="http://schemas.openxmlformats.org/officeDocument/2006/relationships/hyperlink" Target="#'DR Core'!A7"/><Relationship Id="rId18" Type="http://schemas.openxmlformats.org/officeDocument/2006/relationships/image" Target="../media/image5.jpg"/><Relationship Id="rId3" Type="http://schemas.openxmlformats.org/officeDocument/2006/relationships/hyperlink" Target="#'DR Median'!A7"/><Relationship Id="rId21" Type="http://schemas.openxmlformats.org/officeDocument/2006/relationships/chart" Target="../charts/chart58.xml"/><Relationship Id="rId7" Type="http://schemas.openxmlformats.org/officeDocument/2006/relationships/hyperlink" Target="#'DR Reopened'!A7"/><Relationship Id="rId12" Type="http://schemas.openxmlformats.org/officeDocument/2006/relationships/image" Target="../media/image4.jpg"/><Relationship Id="rId17" Type="http://schemas.openxmlformats.org/officeDocument/2006/relationships/hyperlink" Target="#'DR WOW'!A7"/><Relationship Id="rId25" Type="http://schemas.openxmlformats.org/officeDocument/2006/relationships/chart" Target="../charts/chart62.xml"/><Relationship Id="rId2" Type="http://schemas.openxmlformats.org/officeDocument/2006/relationships/hyperlink" Target="#'DR Defects Density'!A7"/><Relationship Id="rId16" Type="http://schemas.openxmlformats.org/officeDocument/2006/relationships/image" Target="../media/image6.jpg"/><Relationship Id="rId20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hyperlink" Target="#Dashboard!A1"/><Relationship Id="rId11" Type="http://schemas.openxmlformats.org/officeDocument/2006/relationships/hyperlink" Target="#'DR WFM'!A7"/><Relationship Id="rId24" Type="http://schemas.openxmlformats.org/officeDocument/2006/relationships/chart" Target="../charts/chart61.xml"/><Relationship Id="rId5" Type="http://schemas.openxmlformats.org/officeDocument/2006/relationships/hyperlink" Target="#'DR Defects Density'!A6"/><Relationship Id="rId15" Type="http://schemas.openxmlformats.org/officeDocument/2006/relationships/hyperlink" Target="#'DR Target'!A7"/><Relationship Id="rId23" Type="http://schemas.openxmlformats.org/officeDocument/2006/relationships/chart" Target="../charts/chart60.xml"/><Relationship Id="rId10" Type="http://schemas.openxmlformats.org/officeDocument/2006/relationships/image" Target="../media/image3.jpg"/><Relationship Id="rId19" Type="http://schemas.openxmlformats.org/officeDocument/2006/relationships/hyperlink" Target="#'DR Coles'!A7"/><Relationship Id="rId4" Type="http://schemas.openxmlformats.org/officeDocument/2006/relationships/hyperlink" Target="#'DR Escaping Core'!A7"/><Relationship Id="rId9" Type="http://schemas.openxmlformats.org/officeDocument/2006/relationships/hyperlink" Target="#'DR SSL'!A7"/><Relationship Id="rId14" Type="http://schemas.openxmlformats.org/officeDocument/2006/relationships/image" Target="../media/image7.jpg"/><Relationship Id="rId22" Type="http://schemas.openxmlformats.org/officeDocument/2006/relationships/chart" Target="../charts/chart59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'DR Regression'!A7"/><Relationship Id="rId13" Type="http://schemas.openxmlformats.org/officeDocument/2006/relationships/hyperlink" Target="#'DR Target'!A7"/><Relationship Id="rId18" Type="http://schemas.openxmlformats.org/officeDocument/2006/relationships/image" Target="../media/image5.jpg"/><Relationship Id="rId3" Type="http://schemas.openxmlformats.org/officeDocument/2006/relationships/hyperlink" Target="#'DR Median'!A7"/><Relationship Id="rId21" Type="http://schemas.openxmlformats.org/officeDocument/2006/relationships/chart" Target="../charts/chart63.xml"/><Relationship Id="rId7" Type="http://schemas.openxmlformats.org/officeDocument/2006/relationships/hyperlink" Target="#'DR Reopened'!A7"/><Relationship Id="rId12" Type="http://schemas.openxmlformats.org/officeDocument/2006/relationships/image" Target="../media/image7.jpg"/><Relationship Id="rId17" Type="http://schemas.openxmlformats.org/officeDocument/2006/relationships/hyperlink" Target="#'DR WOW'!A7"/><Relationship Id="rId25" Type="http://schemas.openxmlformats.org/officeDocument/2006/relationships/chart" Target="../charts/chart67.xml"/><Relationship Id="rId2" Type="http://schemas.openxmlformats.org/officeDocument/2006/relationships/hyperlink" Target="#'DR Defects Density'!A7"/><Relationship Id="rId16" Type="http://schemas.openxmlformats.org/officeDocument/2006/relationships/image" Target="../media/image2.jpg"/><Relationship Id="rId20" Type="http://schemas.openxmlformats.org/officeDocument/2006/relationships/image" Target="../media/image3.jpg"/><Relationship Id="rId1" Type="http://schemas.openxmlformats.org/officeDocument/2006/relationships/image" Target="../media/image1.jpeg"/><Relationship Id="rId6" Type="http://schemas.openxmlformats.org/officeDocument/2006/relationships/hyperlink" Target="#Dashboard!A1"/><Relationship Id="rId11" Type="http://schemas.openxmlformats.org/officeDocument/2006/relationships/hyperlink" Target="#'DR Core'!A7"/><Relationship Id="rId24" Type="http://schemas.openxmlformats.org/officeDocument/2006/relationships/chart" Target="../charts/chart66.xml"/><Relationship Id="rId5" Type="http://schemas.openxmlformats.org/officeDocument/2006/relationships/hyperlink" Target="#'DR Defects Density'!A6"/><Relationship Id="rId15" Type="http://schemas.openxmlformats.org/officeDocument/2006/relationships/hyperlink" Target="#'DR Coles'!A7"/><Relationship Id="rId23" Type="http://schemas.openxmlformats.org/officeDocument/2006/relationships/chart" Target="../charts/chart65.xml"/><Relationship Id="rId10" Type="http://schemas.openxmlformats.org/officeDocument/2006/relationships/image" Target="../media/image4.jpg"/><Relationship Id="rId19" Type="http://schemas.openxmlformats.org/officeDocument/2006/relationships/hyperlink" Target="#'DR SSL'!A7"/><Relationship Id="rId4" Type="http://schemas.openxmlformats.org/officeDocument/2006/relationships/hyperlink" Target="#'DR Escaping Core'!A7"/><Relationship Id="rId9" Type="http://schemas.openxmlformats.org/officeDocument/2006/relationships/hyperlink" Target="#'DR WFM'!A7"/><Relationship Id="rId14" Type="http://schemas.openxmlformats.org/officeDocument/2006/relationships/image" Target="../media/image6.jpg"/><Relationship Id="rId22" Type="http://schemas.openxmlformats.org/officeDocument/2006/relationships/chart" Target="../charts/chart64.xm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'DR Regression'!A7"/><Relationship Id="rId13" Type="http://schemas.openxmlformats.org/officeDocument/2006/relationships/hyperlink" Target="#'DR Coles'!A7"/><Relationship Id="rId18" Type="http://schemas.openxmlformats.org/officeDocument/2006/relationships/image" Target="../media/image3.jpg"/><Relationship Id="rId3" Type="http://schemas.openxmlformats.org/officeDocument/2006/relationships/hyperlink" Target="#'DR Median'!A7"/><Relationship Id="rId21" Type="http://schemas.openxmlformats.org/officeDocument/2006/relationships/chart" Target="../charts/chart68.xml"/><Relationship Id="rId7" Type="http://schemas.openxmlformats.org/officeDocument/2006/relationships/hyperlink" Target="#'DR Reopened'!A7"/><Relationship Id="rId12" Type="http://schemas.openxmlformats.org/officeDocument/2006/relationships/image" Target="../media/image6.jpg"/><Relationship Id="rId17" Type="http://schemas.openxmlformats.org/officeDocument/2006/relationships/hyperlink" Target="#'DR SSL'!A7"/><Relationship Id="rId25" Type="http://schemas.openxmlformats.org/officeDocument/2006/relationships/chart" Target="../charts/chart72.xml"/><Relationship Id="rId2" Type="http://schemas.openxmlformats.org/officeDocument/2006/relationships/hyperlink" Target="#'DR Defects Density'!A7"/><Relationship Id="rId16" Type="http://schemas.openxmlformats.org/officeDocument/2006/relationships/image" Target="../media/image5.jpg"/><Relationship Id="rId20" Type="http://schemas.openxmlformats.org/officeDocument/2006/relationships/image" Target="../media/image4.jpg"/><Relationship Id="rId1" Type="http://schemas.openxmlformats.org/officeDocument/2006/relationships/image" Target="../media/image1.jpeg"/><Relationship Id="rId6" Type="http://schemas.openxmlformats.org/officeDocument/2006/relationships/hyperlink" Target="#Dashboard!A1"/><Relationship Id="rId11" Type="http://schemas.openxmlformats.org/officeDocument/2006/relationships/hyperlink" Target="#'DR Target'!A7"/><Relationship Id="rId24" Type="http://schemas.openxmlformats.org/officeDocument/2006/relationships/chart" Target="../charts/chart71.xml"/><Relationship Id="rId5" Type="http://schemas.openxmlformats.org/officeDocument/2006/relationships/hyperlink" Target="#'DR Defects Density'!A6"/><Relationship Id="rId15" Type="http://schemas.openxmlformats.org/officeDocument/2006/relationships/hyperlink" Target="#'DR WOW'!A7"/><Relationship Id="rId23" Type="http://schemas.openxmlformats.org/officeDocument/2006/relationships/chart" Target="../charts/chart70.xml"/><Relationship Id="rId10" Type="http://schemas.openxmlformats.org/officeDocument/2006/relationships/image" Target="../media/image7.jpg"/><Relationship Id="rId19" Type="http://schemas.openxmlformats.org/officeDocument/2006/relationships/hyperlink" Target="#'DR WFM'!A7"/><Relationship Id="rId4" Type="http://schemas.openxmlformats.org/officeDocument/2006/relationships/hyperlink" Target="#'DR Escaping Core'!A7"/><Relationship Id="rId9" Type="http://schemas.openxmlformats.org/officeDocument/2006/relationships/hyperlink" Target="#'DR Core'!A7"/><Relationship Id="rId14" Type="http://schemas.openxmlformats.org/officeDocument/2006/relationships/image" Target="../media/image2.jpg"/><Relationship Id="rId22" Type="http://schemas.openxmlformats.org/officeDocument/2006/relationships/chart" Target="../charts/chart69.xm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'DR Target'!A7"/><Relationship Id="rId13" Type="http://schemas.openxmlformats.org/officeDocument/2006/relationships/image" Target="../media/image5.jpg"/><Relationship Id="rId18" Type="http://schemas.openxmlformats.org/officeDocument/2006/relationships/hyperlink" Target="#'DR Core'!A7"/><Relationship Id="rId3" Type="http://schemas.openxmlformats.org/officeDocument/2006/relationships/hyperlink" Target="#'DR Median'!A7"/><Relationship Id="rId21" Type="http://schemas.openxmlformats.org/officeDocument/2006/relationships/chart" Target="../charts/chart74.xml"/><Relationship Id="rId7" Type="http://schemas.openxmlformats.org/officeDocument/2006/relationships/hyperlink" Target="#'DR Regression'!A7"/><Relationship Id="rId12" Type="http://schemas.openxmlformats.org/officeDocument/2006/relationships/hyperlink" Target="#'DR WOW'!A7"/><Relationship Id="rId17" Type="http://schemas.openxmlformats.org/officeDocument/2006/relationships/image" Target="../media/image4.jpg"/><Relationship Id="rId2" Type="http://schemas.openxmlformats.org/officeDocument/2006/relationships/hyperlink" Target="#'DR Defects Density'!A7"/><Relationship Id="rId16" Type="http://schemas.openxmlformats.org/officeDocument/2006/relationships/hyperlink" Target="#'DR WFM'!A7"/><Relationship Id="rId20" Type="http://schemas.openxmlformats.org/officeDocument/2006/relationships/chart" Target="../charts/chart73.xml"/><Relationship Id="rId1" Type="http://schemas.openxmlformats.org/officeDocument/2006/relationships/image" Target="../media/image1.jpeg"/><Relationship Id="rId6" Type="http://schemas.openxmlformats.org/officeDocument/2006/relationships/hyperlink" Target="#'DR Reopened'!A7"/><Relationship Id="rId11" Type="http://schemas.openxmlformats.org/officeDocument/2006/relationships/image" Target="../media/image2.jpg"/><Relationship Id="rId5" Type="http://schemas.openxmlformats.org/officeDocument/2006/relationships/hyperlink" Target="#Dashboard!A1"/><Relationship Id="rId15" Type="http://schemas.openxmlformats.org/officeDocument/2006/relationships/image" Target="../media/image3.jpg"/><Relationship Id="rId10" Type="http://schemas.openxmlformats.org/officeDocument/2006/relationships/hyperlink" Target="#'DR Coles'!A7"/><Relationship Id="rId19" Type="http://schemas.openxmlformats.org/officeDocument/2006/relationships/image" Target="../media/image7.jpg"/><Relationship Id="rId4" Type="http://schemas.openxmlformats.org/officeDocument/2006/relationships/hyperlink" Target="#'DR Defects Density'!A6"/><Relationship Id="rId9" Type="http://schemas.openxmlformats.org/officeDocument/2006/relationships/image" Target="../media/image6.jpg"/><Relationship Id="rId14" Type="http://schemas.openxmlformats.org/officeDocument/2006/relationships/hyperlink" Target="#'DR SSL'!A7"/><Relationship Id="rId22" Type="http://schemas.openxmlformats.org/officeDocument/2006/relationships/chart" Target="../charts/chart7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72</xdr:row>
      <xdr:rowOff>34170</xdr:rowOff>
    </xdr:from>
    <xdr:to>
      <xdr:col>5</xdr:col>
      <xdr:colOff>342901</xdr:colOff>
      <xdr:row>73</xdr:row>
      <xdr:rowOff>626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clrChange>
            <a:clrFrom>
              <a:srgbClr val="7DC243"/>
            </a:clrFrom>
            <a:clrTo>
              <a:srgbClr val="7DC243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 l="15730" t="38153" r="13916" b="38388"/>
        <a:stretch/>
      </xdr:blipFill>
      <xdr:spPr>
        <a:xfrm>
          <a:off x="95250" y="11816595"/>
          <a:ext cx="1828801" cy="471281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9</xdr:row>
      <xdr:rowOff>11962</xdr:rowOff>
    </xdr:from>
    <xdr:to>
      <xdr:col>3</xdr:col>
      <xdr:colOff>414225</xdr:colOff>
      <xdr:row>13</xdr:row>
      <xdr:rowOff>149962</xdr:rowOff>
    </xdr:to>
    <xdr:sp macro="" textlink="DDD!A8">
      <xdr:nvSpPr>
        <xdr:cNvPr id="3" name="KPI Oval Reopen">
          <a:hlinkClick xmlns:r="http://schemas.openxmlformats.org/officeDocument/2006/relationships" r:id="rId2" tooltip="Projects Defects Density"/>
        </xdr:cNvPr>
        <xdr:cNvSpPr>
          <a:spLocks noChangeArrowheads="1" noTextEdit="1"/>
        </xdr:cNvSpPr>
      </xdr:nvSpPr>
      <xdr:spPr bwMode="auto">
        <a:xfrm>
          <a:off x="352425" y="1916962"/>
          <a:ext cx="900000" cy="900000"/>
        </a:xfrm>
        <a:prstGeom prst="ellipse">
          <a:avLst/>
        </a:prstGeom>
        <a:gradFill flip="none" rotWithShape="1">
          <a:gsLst>
            <a:gs pos="0">
              <a:srgbClr val="FFC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3C1E0A45-4ADA-49B1-B325-64AD83FC423F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2.38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</xdr:col>
      <xdr:colOff>257175</xdr:colOff>
      <xdr:row>35</xdr:row>
      <xdr:rowOff>11962</xdr:rowOff>
    </xdr:from>
    <xdr:to>
      <xdr:col>3</xdr:col>
      <xdr:colOff>414225</xdr:colOff>
      <xdr:row>39</xdr:row>
      <xdr:rowOff>149962</xdr:rowOff>
    </xdr:to>
    <xdr:sp macro="" textlink="Regression!A8">
      <xdr:nvSpPr>
        <xdr:cNvPr id="4" name="KPI Oval Reopen">
          <a:hlinkClick xmlns:r="http://schemas.openxmlformats.org/officeDocument/2006/relationships" r:id="rId3" tooltip="Projects Regression Defects"/>
        </xdr:cNvPr>
        <xdr:cNvSpPr>
          <a:spLocks noChangeArrowheads="1" noTextEdit="1"/>
        </xdr:cNvSpPr>
      </xdr:nvSpPr>
      <xdr:spPr bwMode="auto">
        <a:xfrm>
          <a:off x="352425" y="6088912"/>
          <a:ext cx="900000" cy="900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fld id="{2ED25AD3-7BD8-4154-8D89-03DDF3DFBB60}" type="TxLink"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19%</a:t>
          </a:fld>
          <a:endParaRPr lang="en-US" sz="1100"/>
        </a:p>
      </xdr:txBody>
    </xdr:sp>
    <xdr:clientData/>
  </xdr:twoCellAnchor>
  <xdr:twoCellAnchor>
    <xdr:from>
      <xdr:col>1</xdr:col>
      <xdr:colOff>257175</xdr:colOff>
      <xdr:row>61</xdr:row>
      <xdr:rowOff>11962</xdr:rowOff>
    </xdr:from>
    <xdr:to>
      <xdr:col>3</xdr:col>
      <xdr:colOff>414225</xdr:colOff>
      <xdr:row>65</xdr:row>
      <xdr:rowOff>149962</xdr:rowOff>
    </xdr:to>
    <xdr:sp macro="" textlink="Core!A8">
      <xdr:nvSpPr>
        <xdr:cNvPr id="5" name="KPI Oval Reopen"/>
        <xdr:cNvSpPr>
          <a:spLocks noChangeArrowheads="1" noTextEdit="1"/>
        </xdr:cNvSpPr>
      </xdr:nvSpPr>
      <xdr:spPr bwMode="auto">
        <a:xfrm>
          <a:off x="352425" y="10270387"/>
          <a:ext cx="900000" cy="900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fld id="{6A8D3AEF-4A8E-409D-838D-D538EA8AEE8A}" type="TxLink"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22%</a:t>
          </a:fld>
          <a:endParaRPr lang="en-US" sz="1100"/>
        </a:p>
      </xdr:txBody>
    </xdr:sp>
    <xdr:clientData/>
  </xdr:twoCellAnchor>
  <xdr:twoCellAnchor>
    <xdr:from>
      <xdr:col>1</xdr:col>
      <xdr:colOff>257175</xdr:colOff>
      <xdr:row>22</xdr:row>
      <xdr:rowOff>51707</xdr:rowOff>
    </xdr:from>
    <xdr:to>
      <xdr:col>3</xdr:col>
      <xdr:colOff>518432</xdr:colOff>
      <xdr:row>26</xdr:row>
      <xdr:rowOff>186418</xdr:rowOff>
    </xdr:to>
    <xdr:sp macro="" textlink="Reopened!A8">
      <xdr:nvSpPr>
        <xdr:cNvPr id="6" name="KPI Oval INAB">
          <a:hlinkClick xmlns:r="http://schemas.openxmlformats.org/officeDocument/2006/relationships" r:id="rId4" tooltip="Projects Defects Reopened"/>
        </xdr:cNvPr>
        <xdr:cNvSpPr>
          <a:spLocks noChangeArrowheads="1" noTextEdit="1"/>
        </xdr:cNvSpPr>
      </xdr:nvSpPr>
      <xdr:spPr bwMode="auto">
        <a:xfrm>
          <a:off x="352425" y="4042682"/>
          <a:ext cx="1004207" cy="896711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6A24E3C5-38B1-4C15-9FB6-F353CE041445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24%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</xdr:col>
      <xdr:colOff>257175</xdr:colOff>
      <xdr:row>47</xdr:row>
      <xdr:rowOff>180975</xdr:rowOff>
    </xdr:from>
    <xdr:to>
      <xdr:col>3</xdr:col>
      <xdr:colOff>518432</xdr:colOff>
      <xdr:row>52</xdr:row>
      <xdr:rowOff>125186</xdr:rowOff>
    </xdr:to>
    <xdr:sp macro="" textlink="Median!A8">
      <xdr:nvSpPr>
        <xdr:cNvPr id="7" name="KPI Oval PDR">
          <a:hlinkClick xmlns:r="http://schemas.openxmlformats.org/officeDocument/2006/relationships" r:id="rId5" tooltip="Projects Median Defects Aging"/>
        </xdr:cNvPr>
        <xdr:cNvSpPr>
          <a:spLocks noChangeArrowheads="1" noTextEdit="1"/>
        </xdr:cNvSpPr>
      </xdr:nvSpPr>
      <xdr:spPr bwMode="auto">
        <a:xfrm>
          <a:off x="352425" y="8153400"/>
          <a:ext cx="1004207" cy="896711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5E101A81-6856-4E0F-8ED4-12C9C825C590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3.71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23</xdr:col>
      <xdr:colOff>38100</xdr:colOff>
      <xdr:row>21</xdr:row>
      <xdr:rowOff>94275</xdr:rowOff>
    </xdr:from>
    <xdr:to>
      <xdr:col>43</xdr:col>
      <xdr:colOff>618600</xdr:colOff>
      <xdr:row>29</xdr:row>
      <xdr:rowOff>116417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38100</xdr:colOff>
      <xdr:row>47</xdr:row>
      <xdr:rowOff>46650</xdr:rowOff>
    </xdr:from>
    <xdr:to>
      <xdr:col>43</xdr:col>
      <xdr:colOff>618600</xdr:colOff>
      <xdr:row>55</xdr:row>
      <xdr:rowOff>95250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19050</xdr:colOff>
      <xdr:row>8</xdr:row>
      <xdr:rowOff>38100</xdr:rowOff>
    </xdr:from>
    <xdr:to>
      <xdr:col>17</xdr:col>
      <xdr:colOff>619124</xdr:colOff>
      <xdr:row>15</xdr:row>
      <xdr:rowOff>36318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609600</xdr:colOff>
      <xdr:row>8</xdr:row>
      <xdr:rowOff>38100</xdr:rowOff>
    </xdr:from>
    <xdr:to>
      <xdr:col>22</xdr:col>
      <xdr:colOff>50800</xdr:colOff>
      <xdr:row>15</xdr:row>
      <xdr:rowOff>36318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622300</xdr:colOff>
      <xdr:row>34</xdr:row>
      <xdr:rowOff>58882</xdr:rowOff>
    </xdr:from>
    <xdr:to>
      <xdr:col>22</xdr:col>
      <xdr:colOff>63500</xdr:colOff>
      <xdr:row>41</xdr:row>
      <xdr:rowOff>57101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23</xdr:col>
      <xdr:colOff>38100</xdr:colOff>
      <xdr:row>8</xdr:row>
      <xdr:rowOff>38100</xdr:rowOff>
    </xdr:from>
    <xdr:to>
      <xdr:col>43</xdr:col>
      <xdr:colOff>618600</xdr:colOff>
      <xdr:row>16</xdr:row>
      <xdr:rowOff>127000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23</xdr:col>
      <xdr:colOff>38100</xdr:colOff>
      <xdr:row>34</xdr:row>
      <xdr:rowOff>43295</xdr:rowOff>
    </xdr:from>
    <xdr:to>
      <xdr:col>43</xdr:col>
      <xdr:colOff>618600</xdr:colOff>
      <xdr:row>42</xdr:row>
      <xdr:rowOff>169419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49696</xdr:colOff>
      <xdr:row>60</xdr:row>
      <xdr:rowOff>31750</xdr:rowOff>
    </xdr:from>
    <xdr:to>
      <xdr:col>21</xdr:col>
      <xdr:colOff>629477</xdr:colOff>
      <xdr:row>68</xdr:row>
      <xdr:rowOff>148349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539749</xdr:colOff>
      <xdr:row>15</xdr:row>
      <xdr:rowOff>35718</xdr:rowOff>
    </xdr:from>
    <xdr:to>
      <xdr:col>7</xdr:col>
      <xdr:colOff>603250</xdr:colOff>
      <xdr:row>16</xdr:row>
      <xdr:rowOff>74083</xdr:rowOff>
    </xdr:to>
    <xdr:sp macro="" textlink="">
      <xdr:nvSpPr>
        <xdr:cNvPr id="11" name="Rounded Rectangle 10">
          <a:hlinkClick xmlns:r="http://schemas.openxmlformats.org/officeDocument/2006/relationships" r:id="rId14" tooltip="Target KPIs"/>
        </xdr:cNvPr>
        <xdr:cNvSpPr/>
      </xdr:nvSpPr>
      <xdr:spPr>
        <a:xfrm>
          <a:off x="2111374" y="3059906"/>
          <a:ext cx="801689" cy="19314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338667</xdr:colOff>
      <xdr:row>13</xdr:row>
      <xdr:rowOff>63500</xdr:rowOff>
    </xdr:from>
    <xdr:to>
      <xdr:col>21</xdr:col>
      <xdr:colOff>402168</xdr:colOff>
      <xdr:row>16</xdr:row>
      <xdr:rowOff>74083</xdr:rowOff>
    </xdr:to>
    <xdr:sp macro="" textlink="">
      <xdr:nvSpPr>
        <xdr:cNvPr id="36" name="Rounded Rectangle 35">
          <a:hlinkClick xmlns:r="http://schemas.openxmlformats.org/officeDocument/2006/relationships" r:id="rId15" tooltip="Core KPIs"/>
        </xdr:cNvPr>
        <xdr:cNvSpPr/>
      </xdr:nvSpPr>
      <xdr:spPr>
        <a:xfrm>
          <a:off x="7101417" y="2730500"/>
          <a:ext cx="804334" cy="20108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218017</xdr:colOff>
      <xdr:row>65</xdr:row>
      <xdr:rowOff>59266</xdr:rowOff>
    </xdr:from>
    <xdr:to>
      <xdr:col>15</xdr:col>
      <xdr:colOff>281518</xdr:colOff>
      <xdr:row>68</xdr:row>
      <xdr:rowOff>69849</xdr:rowOff>
    </xdr:to>
    <xdr:sp macro="" textlink="">
      <xdr:nvSpPr>
        <xdr:cNvPr id="58" name="Rounded Rectangle 57">
          <a:hlinkClick xmlns:r="http://schemas.openxmlformats.org/officeDocument/2006/relationships" r:id="rId16" tooltip="Sainsbury's KPIs"/>
        </xdr:cNvPr>
        <xdr:cNvSpPr/>
      </xdr:nvSpPr>
      <xdr:spPr>
        <a:xfrm>
          <a:off x="4758267" y="11076516"/>
          <a:ext cx="804334" cy="20108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370417</xdr:colOff>
      <xdr:row>65</xdr:row>
      <xdr:rowOff>59266</xdr:rowOff>
    </xdr:from>
    <xdr:to>
      <xdr:col>17</xdr:col>
      <xdr:colOff>433917</xdr:colOff>
      <xdr:row>68</xdr:row>
      <xdr:rowOff>69849</xdr:rowOff>
    </xdr:to>
    <xdr:sp macro="" textlink="">
      <xdr:nvSpPr>
        <xdr:cNvPr id="59" name="Rounded Rectangle 58">
          <a:hlinkClick xmlns:r="http://schemas.openxmlformats.org/officeDocument/2006/relationships" r:id="rId17" tooltip="Whole Foods Market KPIs"/>
        </xdr:cNvPr>
        <xdr:cNvSpPr/>
      </xdr:nvSpPr>
      <xdr:spPr>
        <a:xfrm>
          <a:off x="5651500" y="11076516"/>
          <a:ext cx="804334" cy="20108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264583</xdr:colOff>
      <xdr:row>14</xdr:row>
      <xdr:rowOff>31750</xdr:rowOff>
    </xdr:from>
    <xdr:to>
      <xdr:col>1</xdr:col>
      <xdr:colOff>336583</xdr:colOff>
      <xdr:row>14</xdr:row>
      <xdr:rowOff>103750</xdr:rowOff>
    </xdr:to>
    <xdr:sp macro="" textlink="">
      <xdr:nvSpPr>
        <xdr:cNvPr id="60" name="Oval 59"/>
        <xdr:cNvSpPr/>
      </xdr:nvSpPr>
      <xdr:spPr>
        <a:xfrm>
          <a:off x="359833" y="2889250"/>
          <a:ext cx="72000" cy="72000"/>
        </a:xfrm>
        <a:prstGeom prst="ellipse">
          <a:avLst/>
        </a:prstGeom>
        <a:gradFill>
          <a:gsLst>
            <a:gs pos="0">
              <a:srgbClr val="00B050"/>
            </a:gs>
            <a:gs pos="10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264583</xdr:colOff>
      <xdr:row>15</xdr:row>
      <xdr:rowOff>31750</xdr:rowOff>
    </xdr:from>
    <xdr:to>
      <xdr:col>1</xdr:col>
      <xdr:colOff>336583</xdr:colOff>
      <xdr:row>15</xdr:row>
      <xdr:rowOff>103750</xdr:rowOff>
    </xdr:to>
    <xdr:sp macro="" textlink="">
      <xdr:nvSpPr>
        <xdr:cNvPr id="61" name="Oval 60"/>
        <xdr:cNvSpPr/>
      </xdr:nvSpPr>
      <xdr:spPr>
        <a:xfrm>
          <a:off x="359833" y="3037417"/>
          <a:ext cx="72000" cy="72000"/>
        </a:xfrm>
        <a:prstGeom prst="ellipse">
          <a:avLst/>
        </a:prstGeom>
        <a:gradFill>
          <a:gsLst>
            <a:gs pos="0">
              <a:srgbClr val="FFC000"/>
            </a:gs>
            <a:gs pos="10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264583</xdr:colOff>
      <xdr:row>16</xdr:row>
      <xdr:rowOff>31752</xdr:rowOff>
    </xdr:from>
    <xdr:to>
      <xdr:col>1</xdr:col>
      <xdr:colOff>336583</xdr:colOff>
      <xdr:row>16</xdr:row>
      <xdr:rowOff>103752</xdr:rowOff>
    </xdr:to>
    <xdr:sp macro="" textlink="">
      <xdr:nvSpPr>
        <xdr:cNvPr id="62" name="Oval 61"/>
        <xdr:cNvSpPr/>
      </xdr:nvSpPr>
      <xdr:spPr>
        <a:xfrm>
          <a:off x="359833" y="3185585"/>
          <a:ext cx="72000" cy="72000"/>
        </a:xfrm>
        <a:prstGeom prst="ellipse">
          <a:avLst/>
        </a:prstGeom>
        <a:gradFill>
          <a:gsLst>
            <a:gs pos="0">
              <a:srgbClr val="FF0000"/>
            </a:gs>
            <a:gs pos="10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264583</xdr:colOff>
      <xdr:row>27</xdr:row>
      <xdr:rowOff>21166</xdr:rowOff>
    </xdr:from>
    <xdr:to>
      <xdr:col>1</xdr:col>
      <xdr:colOff>336583</xdr:colOff>
      <xdr:row>27</xdr:row>
      <xdr:rowOff>93166</xdr:rowOff>
    </xdr:to>
    <xdr:sp macro="" textlink="">
      <xdr:nvSpPr>
        <xdr:cNvPr id="63" name="Oval 62"/>
        <xdr:cNvSpPr/>
      </xdr:nvSpPr>
      <xdr:spPr>
        <a:xfrm>
          <a:off x="359833" y="5217583"/>
          <a:ext cx="72000" cy="72000"/>
        </a:xfrm>
        <a:prstGeom prst="ellipse">
          <a:avLst/>
        </a:prstGeom>
        <a:gradFill>
          <a:gsLst>
            <a:gs pos="0">
              <a:srgbClr val="00B050"/>
            </a:gs>
            <a:gs pos="10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264583</xdr:colOff>
      <xdr:row>28</xdr:row>
      <xdr:rowOff>21167</xdr:rowOff>
    </xdr:from>
    <xdr:to>
      <xdr:col>1</xdr:col>
      <xdr:colOff>336583</xdr:colOff>
      <xdr:row>28</xdr:row>
      <xdr:rowOff>93167</xdr:rowOff>
    </xdr:to>
    <xdr:sp macro="" textlink="">
      <xdr:nvSpPr>
        <xdr:cNvPr id="64" name="Oval 63"/>
        <xdr:cNvSpPr/>
      </xdr:nvSpPr>
      <xdr:spPr>
        <a:xfrm>
          <a:off x="359833" y="5365750"/>
          <a:ext cx="72000" cy="72000"/>
        </a:xfrm>
        <a:prstGeom prst="ellipse">
          <a:avLst/>
        </a:prstGeom>
        <a:gradFill>
          <a:gsLst>
            <a:gs pos="0">
              <a:srgbClr val="FFC000"/>
            </a:gs>
            <a:gs pos="10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264583</xdr:colOff>
      <xdr:row>29</xdr:row>
      <xdr:rowOff>52917</xdr:rowOff>
    </xdr:from>
    <xdr:to>
      <xdr:col>1</xdr:col>
      <xdr:colOff>336583</xdr:colOff>
      <xdr:row>29</xdr:row>
      <xdr:rowOff>124917</xdr:rowOff>
    </xdr:to>
    <xdr:sp macro="" textlink="">
      <xdr:nvSpPr>
        <xdr:cNvPr id="65" name="Oval 64"/>
        <xdr:cNvSpPr/>
      </xdr:nvSpPr>
      <xdr:spPr>
        <a:xfrm>
          <a:off x="359833" y="5545667"/>
          <a:ext cx="72000" cy="72000"/>
        </a:xfrm>
        <a:prstGeom prst="ellipse">
          <a:avLst/>
        </a:prstGeom>
        <a:gradFill>
          <a:gsLst>
            <a:gs pos="0">
              <a:srgbClr val="FF0000"/>
            </a:gs>
            <a:gs pos="10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264583</xdr:colOff>
      <xdr:row>40</xdr:row>
      <xdr:rowOff>31749</xdr:rowOff>
    </xdr:from>
    <xdr:to>
      <xdr:col>1</xdr:col>
      <xdr:colOff>336583</xdr:colOff>
      <xdr:row>40</xdr:row>
      <xdr:rowOff>103749</xdr:rowOff>
    </xdr:to>
    <xdr:sp macro="" textlink="">
      <xdr:nvSpPr>
        <xdr:cNvPr id="66" name="Oval 65"/>
        <xdr:cNvSpPr/>
      </xdr:nvSpPr>
      <xdr:spPr>
        <a:xfrm>
          <a:off x="359833" y="7567082"/>
          <a:ext cx="72000" cy="72000"/>
        </a:xfrm>
        <a:prstGeom prst="ellipse">
          <a:avLst/>
        </a:prstGeom>
        <a:gradFill>
          <a:gsLst>
            <a:gs pos="0">
              <a:srgbClr val="00B050"/>
            </a:gs>
            <a:gs pos="10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264583</xdr:colOff>
      <xdr:row>41</xdr:row>
      <xdr:rowOff>31749</xdr:rowOff>
    </xdr:from>
    <xdr:to>
      <xdr:col>1</xdr:col>
      <xdr:colOff>336583</xdr:colOff>
      <xdr:row>41</xdr:row>
      <xdr:rowOff>103749</xdr:rowOff>
    </xdr:to>
    <xdr:sp macro="" textlink="">
      <xdr:nvSpPr>
        <xdr:cNvPr id="67" name="Oval 66"/>
        <xdr:cNvSpPr/>
      </xdr:nvSpPr>
      <xdr:spPr>
        <a:xfrm>
          <a:off x="359833" y="7715249"/>
          <a:ext cx="72000" cy="72000"/>
        </a:xfrm>
        <a:prstGeom prst="ellipse">
          <a:avLst/>
        </a:prstGeom>
        <a:gradFill>
          <a:gsLst>
            <a:gs pos="0">
              <a:srgbClr val="FFC000"/>
            </a:gs>
            <a:gs pos="10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264583</xdr:colOff>
      <xdr:row>42</xdr:row>
      <xdr:rowOff>63499</xdr:rowOff>
    </xdr:from>
    <xdr:to>
      <xdr:col>1</xdr:col>
      <xdr:colOff>336583</xdr:colOff>
      <xdr:row>42</xdr:row>
      <xdr:rowOff>135499</xdr:rowOff>
    </xdr:to>
    <xdr:sp macro="" textlink="">
      <xdr:nvSpPr>
        <xdr:cNvPr id="68" name="Oval 67"/>
        <xdr:cNvSpPr/>
      </xdr:nvSpPr>
      <xdr:spPr>
        <a:xfrm>
          <a:off x="359833" y="7895166"/>
          <a:ext cx="72000" cy="72000"/>
        </a:xfrm>
        <a:prstGeom prst="ellipse">
          <a:avLst/>
        </a:prstGeom>
        <a:gradFill>
          <a:gsLst>
            <a:gs pos="0">
              <a:srgbClr val="FF0000"/>
            </a:gs>
            <a:gs pos="10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264583</xdr:colOff>
      <xdr:row>53</xdr:row>
      <xdr:rowOff>31749</xdr:rowOff>
    </xdr:from>
    <xdr:to>
      <xdr:col>1</xdr:col>
      <xdr:colOff>336583</xdr:colOff>
      <xdr:row>53</xdr:row>
      <xdr:rowOff>103749</xdr:rowOff>
    </xdr:to>
    <xdr:sp macro="" textlink="">
      <xdr:nvSpPr>
        <xdr:cNvPr id="69" name="Oval 68"/>
        <xdr:cNvSpPr/>
      </xdr:nvSpPr>
      <xdr:spPr>
        <a:xfrm>
          <a:off x="359833" y="9905999"/>
          <a:ext cx="72000" cy="72000"/>
        </a:xfrm>
        <a:prstGeom prst="ellipse">
          <a:avLst/>
        </a:prstGeom>
        <a:gradFill>
          <a:gsLst>
            <a:gs pos="0">
              <a:srgbClr val="00B050"/>
            </a:gs>
            <a:gs pos="10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264583</xdr:colOff>
      <xdr:row>54</xdr:row>
      <xdr:rowOff>31749</xdr:rowOff>
    </xdr:from>
    <xdr:to>
      <xdr:col>1</xdr:col>
      <xdr:colOff>336583</xdr:colOff>
      <xdr:row>54</xdr:row>
      <xdr:rowOff>103749</xdr:rowOff>
    </xdr:to>
    <xdr:sp macro="" textlink="">
      <xdr:nvSpPr>
        <xdr:cNvPr id="70" name="Oval 69"/>
        <xdr:cNvSpPr/>
      </xdr:nvSpPr>
      <xdr:spPr>
        <a:xfrm>
          <a:off x="359833" y="10054166"/>
          <a:ext cx="72000" cy="72000"/>
        </a:xfrm>
        <a:prstGeom prst="ellipse">
          <a:avLst/>
        </a:prstGeom>
        <a:gradFill>
          <a:gsLst>
            <a:gs pos="0">
              <a:srgbClr val="FFC000"/>
            </a:gs>
            <a:gs pos="10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264583</xdr:colOff>
      <xdr:row>55</xdr:row>
      <xdr:rowOff>31751</xdr:rowOff>
    </xdr:from>
    <xdr:to>
      <xdr:col>1</xdr:col>
      <xdr:colOff>336583</xdr:colOff>
      <xdr:row>55</xdr:row>
      <xdr:rowOff>103751</xdr:rowOff>
    </xdr:to>
    <xdr:sp macro="" textlink="">
      <xdr:nvSpPr>
        <xdr:cNvPr id="71" name="Oval 70"/>
        <xdr:cNvSpPr/>
      </xdr:nvSpPr>
      <xdr:spPr>
        <a:xfrm>
          <a:off x="359833" y="10202334"/>
          <a:ext cx="72000" cy="72000"/>
        </a:xfrm>
        <a:prstGeom prst="ellipse">
          <a:avLst/>
        </a:prstGeom>
        <a:gradFill>
          <a:gsLst>
            <a:gs pos="0">
              <a:srgbClr val="FF0000"/>
            </a:gs>
            <a:gs pos="10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264583</xdr:colOff>
      <xdr:row>66</xdr:row>
      <xdr:rowOff>21166</xdr:rowOff>
    </xdr:from>
    <xdr:to>
      <xdr:col>1</xdr:col>
      <xdr:colOff>336583</xdr:colOff>
      <xdr:row>66</xdr:row>
      <xdr:rowOff>93166</xdr:rowOff>
    </xdr:to>
    <xdr:sp macro="" textlink="">
      <xdr:nvSpPr>
        <xdr:cNvPr id="72" name="Oval 71"/>
        <xdr:cNvSpPr/>
      </xdr:nvSpPr>
      <xdr:spPr>
        <a:xfrm>
          <a:off x="359833" y="12244916"/>
          <a:ext cx="72000" cy="72000"/>
        </a:xfrm>
        <a:prstGeom prst="ellipse">
          <a:avLst/>
        </a:prstGeom>
        <a:gradFill>
          <a:gsLst>
            <a:gs pos="0">
              <a:srgbClr val="00B050"/>
            </a:gs>
            <a:gs pos="10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264583</xdr:colOff>
      <xdr:row>67</xdr:row>
      <xdr:rowOff>21166</xdr:rowOff>
    </xdr:from>
    <xdr:to>
      <xdr:col>1</xdr:col>
      <xdr:colOff>336583</xdr:colOff>
      <xdr:row>67</xdr:row>
      <xdr:rowOff>93166</xdr:rowOff>
    </xdr:to>
    <xdr:sp macro="" textlink="">
      <xdr:nvSpPr>
        <xdr:cNvPr id="73" name="Oval 72"/>
        <xdr:cNvSpPr/>
      </xdr:nvSpPr>
      <xdr:spPr>
        <a:xfrm>
          <a:off x="359833" y="12393083"/>
          <a:ext cx="72000" cy="72000"/>
        </a:xfrm>
        <a:prstGeom prst="ellipse">
          <a:avLst/>
        </a:prstGeom>
        <a:gradFill>
          <a:gsLst>
            <a:gs pos="0">
              <a:srgbClr val="FFC000"/>
            </a:gs>
            <a:gs pos="10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264583</xdr:colOff>
      <xdr:row>68</xdr:row>
      <xdr:rowOff>21168</xdr:rowOff>
    </xdr:from>
    <xdr:to>
      <xdr:col>1</xdr:col>
      <xdr:colOff>336583</xdr:colOff>
      <xdr:row>68</xdr:row>
      <xdr:rowOff>93168</xdr:rowOff>
    </xdr:to>
    <xdr:sp macro="" textlink="">
      <xdr:nvSpPr>
        <xdr:cNvPr id="74" name="Oval 73"/>
        <xdr:cNvSpPr/>
      </xdr:nvSpPr>
      <xdr:spPr>
        <a:xfrm>
          <a:off x="359833" y="12541251"/>
          <a:ext cx="72000" cy="72000"/>
        </a:xfrm>
        <a:prstGeom prst="ellipse">
          <a:avLst/>
        </a:prstGeom>
        <a:gradFill>
          <a:gsLst>
            <a:gs pos="0">
              <a:srgbClr val="FF0000"/>
            </a:gs>
            <a:gs pos="10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416765</xdr:colOff>
      <xdr:row>3</xdr:row>
      <xdr:rowOff>71429</xdr:rowOff>
    </xdr:from>
    <xdr:to>
      <xdr:col>21</xdr:col>
      <xdr:colOff>5582</xdr:colOff>
      <xdr:row>5</xdr:row>
      <xdr:rowOff>82124</xdr:rowOff>
    </xdr:to>
    <xdr:sp macro="" textlink="">
      <xdr:nvSpPr>
        <xdr:cNvPr id="75" name="Rounded Rectangle 74" hidden="1">
          <a:hlinkClick xmlns:r="http://schemas.openxmlformats.org/officeDocument/2006/relationships" r:id="rId18" tooltip="Dev KPI"/>
        </xdr:cNvPr>
        <xdr:cNvSpPr/>
      </xdr:nvSpPr>
      <xdr:spPr>
        <a:xfrm>
          <a:off x="6417515" y="940585"/>
          <a:ext cx="1065192" cy="296445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Dev KPI</a:t>
          </a:r>
        </a:p>
      </xdr:txBody>
    </xdr:sp>
    <xdr:clientData/>
  </xdr:twoCellAnchor>
  <xdr:twoCellAnchor>
    <xdr:from>
      <xdr:col>21</xdr:col>
      <xdr:colOff>199393</xdr:colOff>
      <xdr:row>3</xdr:row>
      <xdr:rowOff>71429</xdr:rowOff>
    </xdr:from>
    <xdr:to>
      <xdr:col>23</xdr:col>
      <xdr:colOff>526397</xdr:colOff>
      <xdr:row>5</xdr:row>
      <xdr:rowOff>82124</xdr:rowOff>
    </xdr:to>
    <xdr:sp macro="" textlink="">
      <xdr:nvSpPr>
        <xdr:cNvPr id="76" name="Rounded Rectangle 75" hidden="1"/>
        <xdr:cNvSpPr/>
      </xdr:nvSpPr>
      <xdr:spPr>
        <a:xfrm>
          <a:off x="7676518" y="940585"/>
          <a:ext cx="1065192" cy="29644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rgbClr val="54B94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SME KPI</a:t>
          </a:r>
        </a:p>
      </xdr:txBody>
    </xdr:sp>
    <xdr:clientData/>
  </xdr:twoCellAnchor>
  <xdr:twoCellAnchor>
    <xdr:from>
      <xdr:col>24</xdr:col>
      <xdr:colOff>77271</xdr:colOff>
      <xdr:row>3</xdr:row>
      <xdr:rowOff>71429</xdr:rowOff>
    </xdr:from>
    <xdr:to>
      <xdr:col>27</xdr:col>
      <xdr:colOff>309025</xdr:colOff>
      <xdr:row>5</xdr:row>
      <xdr:rowOff>82124</xdr:rowOff>
    </xdr:to>
    <xdr:sp macro="" textlink="">
      <xdr:nvSpPr>
        <xdr:cNvPr id="77" name="Rounded Rectangle 76" hidden="1"/>
        <xdr:cNvSpPr/>
      </xdr:nvSpPr>
      <xdr:spPr>
        <a:xfrm>
          <a:off x="8935521" y="940585"/>
          <a:ext cx="1065192" cy="29644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rgbClr val="54B94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BA KPI</a:t>
          </a:r>
        </a:p>
      </xdr:txBody>
    </xdr:sp>
    <xdr:clientData/>
  </xdr:twoCellAnchor>
  <xdr:twoCellAnchor>
    <xdr:from>
      <xdr:col>41</xdr:col>
      <xdr:colOff>371533</xdr:colOff>
      <xdr:row>3</xdr:row>
      <xdr:rowOff>71429</xdr:rowOff>
    </xdr:from>
    <xdr:to>
      <xdr:col>44</xdr:col>
      <xdr:colOff>55600</xdr:colOff>
      <xdr:row>5</xdr:row>
      <xdr:rowOff>82124</xdr:rowOff>
    </xdr:to>
    <xdr:sp macro="" textlink="">
      <xdr:nvSpPr>
        <xdr:cNvPr id="80" name="Rounded Rectangle 79" hidden="1"/>
        <xdr:cNvSpPr/>
      </xdr:nvSpPr>
      <xdr:spPr>
        <a:xfrm>
          <a:off x="15230533" y="940585"/>
          <a:ext cx="1065192" cy="29644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rgbClr val="54B94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Progress</a:t>
          </a:r>
        </a:p>
      </xdr:txBody>
    </xdr:sp>
    <xdr:clientData/>
  </xdr:twoCellAnchor>
  <xdr:twoCellAnchor>
    <xdr:from>
      <xdr:col>27</xdr:col>
      <xdr:colOff>502836</xdr:colOff>
      <xdr:row>3</xdr:row>
      <xdr:rowOff>71429</xdr:rowOff>
    </xdr:from>
    <xdr:to>
      <xdr:col>31</xdr:col>
      <xdr:colOff>91653</xdr:colOff>
      <xdr:row>5</xdr:row>
      <xdr:rowOff>82124</xdr:rowOff>
    </xdr:to>
    <xdr:sp macro="" textlink="">
      <xdr:nvSpPr>
        <xdr:cNvPr id="82" name="Rounded Rectangle 81" hidden="1"/>
        <xdr:cNvSpPr/>
      </xdr:nvSpPr>
      <xdr:spPr>
        <a:xfrm>
          <a:off x="10194524" y="940585"/>
          <a:ext cx="1065192" cy="29644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rgbClr val="54B94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CPO KPI</a:t>
          </a:r>
        </a:p>
      </xdr:txBody>
    </xdr:sp>
    <xdr:clientData/>
  </xdr:twoCellAnchor>
  <xdr:twoCellAnchor>
    <xdr:from>
      <xdr:col>35</xdr:col>
      <xdr:colOff>68092</xdr:colOff>
      <xdr:row>3</xdr:row>
      <xdr:rowOff>71429</xdr:rowOff>
    </xdr:from>
    <xdr:to>
      <xdr:col>37</xdr:col>
      <xdr:colOff>395097</xdr:colOff>
      <xdr:row>5</xdr:row>
      <xdr:rowOff>82124</xdr:rowOff>
    </xdr:to>
    <xdr:sp macro="" textlink="">
      <xdr:nvSpPr>
        <xdr:cNvPr id="83" name="Rounded Rectangle 82" hidden="1"/>
        <xdr:cNvSpPr/>
      </xdr:nvSpPr>
      <xdr:spPr>
        <a:xfrm>
          <a:off x="12712530" y="940585"/>
          <a:ext cx="1065192" cy="29644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rgbClr val="54B94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PM KPI</a:t>
          </a:r>
        </a:p>
      </xdr:txBody>
    </xdr:sp>
    <xdr:clientData/>
  </xdr:twoCellAnchor>
  <xdr:twoCellAnchor>
    <xdr:from>
      <xdr:col>37</xdr:col>
      <xdr:colOff>588908</xdr:colOff>
      <xdr:row>3</xdr:row>
      <xdr:rowOff>71429</xdr:rowOff>
    </xdr:from>
    <xdr:to>
      <xdr:col>41</xdr:col>
      <xdr:colOff>177725</xdr:colOff>
      <xdr:row>5</xdr:row>
      <xdr:rowOff>82124</xdr:rowOff>
    </xdr:to>
    <xdr:sp macro="" textlink="">
      <xdr:nvSpPr>
        <xdr:cNvPr id="84" name="Rounded Rectangle 83" hidden="1"/>
        <xdr:cNvSpPr/>
      </xdr:nvSpPr>
      <xdr:spPr>
        <a:xfrm>
          <a:off x="13971533" y="940585"/>
          <a:ext cx="1065192" cy="29644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rgbClr val="54B94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Customer KPI</a:t>
          </a:r>
        </a:p>
      </xdr:txBody>
    </xdr:sp>
    <xdr:clientData/>
  </xdr:twoCellAnchor>
  <xdr:twoCellAnchor>
    <xdr:from>
      <xdr:col>31</xdr:col>
      <xdr:colOff>285464</xdr:colOff>
      <xdr:row>3</xdr:row>
      <xdr:rowOff>71429</xdr:rowOff>
    </xdr:from>
    <xdr:to>
      <xdr:col>33</xdr:col>
      <xdr:colOff>612469</xdr:colOff>
      <xdr:row>5</xdr:row>
      <xdr:rowOff>82124</xdr:rowOff>
    </xdr:to>
    <xdr:sp macro="" textlink="">
      <xdr:nvSpPr>
        <xdr:cNvPr id="85" name="Rounded Rectangle 84" hidden="1"/>
        <xdr:cNvSpPr/>
      </xdr:nvSpPr>
      <xdr:spPr>
        <a:xfrm>
          <a:off x="11453527" y="940585"/>
          <a:ext cx="1065192" cy="29644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rgbClr val="54B94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Testing  KPI</a:t>
          </a:r>
        </a:p>
      </xdr:txBody>
    </xdr:sp>
    <xdr:clientData/>
  </xdr:twoCellAnchor>
  <xdr:twoCellAnchor>
    <xdr:from>
      <xdr:col>9</xdr:col>
      <xdr:colOff>13477</xdr:colOff>
      <xdr:row>15</xdr:row>
      <xdr:rowOff>11908</xdr:rowOff>
    </xdr:from>
    <xdr:to>
      <xdr:col>10</xdr:col>
      <xdr:colOff>92208</xdr:colOff>
      <xdr:row>16</xdr:row>
      <xdr:rowOff>72964</xdr:rowOff>
    </xdr:to>
    <xdr:sp macro="" textlink="">
      <xdr:nvSpPr>
        <xdr:cNvPr id="78" name="Rounded Rectangle 77"/>
        <xdr:cNvSpPr/>
      </xdr:nvSpPr>
      <xdr:spPr>
        <a:xfrm>
          <a:off x="3061477" y="3036096"/>
          <a:ext cx="721669" cy="215837"/>
        </a:xfrm>
        <a:prstGeom prst="roundRect">
          <a:avLst/>
        </a:prstGeom>
        <a:blipFill dpi="0" rotWithShape="1">
          <a:blip xmlns:r="http://schemas.openxmlformats.org/officeDocument/2006/relationships" r:embed="rId19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294272</xdr:colOff>
      <xdr:row>15</xdr:row>
      <xdr:rowOff>11910</xdr:rowOff>
    </xdr:from>
    <xdr:to>
      <xdr:col>15</xdr:col>
      <xdr:colOff>264708</xdr:colOff>
      <xdr:row>16</xdr:row>
      <xdr:rowOff>69472</xdr:rowOff>
    </xdr:to>
    <xdr:sp macro="" textlink="">
      <xdr:nvSpPr>
        <xdr:cNvPr id="79" name="Rounded Rectangle 78"/>
        <xdr:cNvSpPr/>
      </xdr:nvSpPr>
      <xdr:spPr>
        <a:xfrm>
          <a:off x="4818647" y="3036098"/>
          <a:ext cx="708624" cy="212343"/>
        </a:xfrm>
        <a:prstGeom prst="roundRect">
          <a:avLst/>
        </a:prstGeom>
        <a:blipFill dpi="0" rotWithShape="1">
          <a:blip xmlns:r="http://schemas.openxmlformats.org/officeDocument/2006/relationships" r:embed="rId20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448333</xdr:colOff>
      <xdr:row>15</xdr:row>
      <xdr:rowOff>11911</xdr:rowOff>
    </xdr:from>
    <xdr:to>
      <xdr:col>17</xdr:col>
      <xdr:colOff>411764</xdr:colOff>
      <xdr:row>16</xdr:row>
      <xdr:rowOff>68179</xdr:rowOff>
    </xdr:to>
    <xdr:sp macro="" textlink="">
      <xdr:nvSpPr>
        <xdr:cNvPr id="81" name="Rounded Rectangle 80"/>
        <xdr:cNvSpPr/>
      </xdr:nvSpPr>
      <xdr:spPr>
        <a:xfrm>
          <a:off x="5710896" y="3036099"/>
          <a:ext cx="701618" cy="211049"/>
        </a:xfrm>
        <a:prstGeom prst="roundRect">
          <a:avLst/>
        </a:prstGeom>
        <a:blipFill dpi="0" rotWithShape="1">
          <a:blip xmlns:r="http://schemas.openxmlformats.org/officeDocument/2006/relationships" r:embed="rId21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123263</xdr:colOff>
      <xdr:row>15</xdr:row>
      <xdr:rowOff>11910</xdr:rowOff>
    </xdr:from>
    <xdr:to>
      <xdr:col>13</xdr:col>
      <xdr:colOff>98011</xdr:colOff>
      <xdr:row>16</xdr:row>
      <xdr:rowOff>69472</xdr:rowOff>
    </xdr:to>
    <xdr:sp macro="" textlink="">
      <xdr:nvSpPr>
        <xdr:cNvPr id="86" name="Rounded Rectangle 85"/>
        <xdr:cNvSpPr/>
      </xdr:nvSpPr>
      <xdr:spPr>
        <a:xfrm>
          <a:off x="3909451" y="3036098"/>
          <a:ext cx="712935" cy="212343"/>
        </a:xfrm>
        <a:prstGeom prst="roundRect">
          <a:avLst/>
        </a:prstGeom>
        <a:blipFill dpi="0" rotWithShape="1">
          <a:blip xmlns:r="http://schemas.openxmlformats.org/officeDocument/2006/relationships" r:embed="rId2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535784</xdr:colOff>
      <xdr:row>15</xdr:row>
      <xdr:rowOff>11908</xdr:rowOff>
    </xdr:from>
    <xdr:to>
      <xdr:col>7</xdr:col>
      <xdr:colOff>579436</xdr:colOff>
      <xdr:row>16</xdr:row>
      <xdr:rowOff>113829</xdr:rowOff>
    </xdr:to>
    <xdr:sp macro="" textlink="">
      <xdr:nvSpPr>
        <xdr:cNvPr id="87" name="Rounded Rectangle 86"/>
        <xdr:cNvSpPr/>
      </xdr:nvSpPr>
      <xdr:spPr>
        <a:xfrm>
          <a:off x="2107409" y="3036096"/>
          <a:ext cx="781840" cy="256702"/>
        </a:xfrm>
        <a:prstGeom prst="roundRect">
          <a:avLst/>
        </a:prstGeom>
        <a:blipFill dpi="0" rotWithShape="1">
          <a:blip xmlns:r="http://schemas.openxmlformats.org/officeDocument/2006/relationships" r:embed="rId23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333376</xdr:colOff>
      <xdr:row>15</xdr:row>
      <xdr:rowOff>11911</xdr:rowOff>
    </xdr:from>
    <xdr:to>
      <xdr:col>21</xdr:col>
      <xdr:colOff>434760</xdr:colOff>
      <xdr:row>16</xdr:row>
      <xdr:rowOff>85184</xdr:rowOff>
    </xdr:to>
    <xdr:sp macro="" textlink="">
      <xdr:nvSpPr>
        <xdr:cNvPr id="88" name="Rounded Rectangle 87"/>
        <xdr:cNvSpPr/>
      </xdr:nvSpPr>
      <xdr:spPr>
        <a:xfrm>
          <a:off x="7072314" y="3036099"/>
          <a:ext cx="839571" cy="228054"/>
        </a:xfrm>
        <a:prstGeom prst="roundRect">
          <a:avLst/>
        </a:prstGeom>
        <a:blipFill dpi="0" rotWithShape="1">
          <a:blip xmlns:r="http://schemas.openxmlformats.org/officeDocument/2006/relationships" r:embed="rId24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34</xdr:row>
      <xdr:rowOff>58882</xdr:rowOff>
    </xdr:from>
    <xdr:to>
      <xdr:col>17</xdr:col>
      <xdr:colOff>619124</xdr:colOff>
      <xdr:row>41</xdr:row>
      <xdr:rowOff>57101</xdr:rowOff>
    </xdr:to>
    <xdr:graphicFrame macro="">
      <xdr:nvGraphicFramePr>
        <xdr:cNvPr id="89" name="Chart 8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9</xdr:col>
      <xdr:colOff>23005</xdr:colOff>
      <xdr:row>41</xdr:row>
      <xdr:rowOff>33243</xdr:rowOff>
    </xdr:from>
    <xdr:to>
      <xdr:col>11</xdr:col>
      <xdr:colOff>6486</xdr:colOff>
      <xdr:row>42</xdr:row>
      <xdr:rowOff>94299</xdr:rowOff>
    </xdr:to>
    <xdr:sp macro="" textlink="">
      <xdr:nvSpPr>
        <xdr:cNvPr id="90" name="Rounded Rectangle 89"/>
        <xdr:cNvSpPr/>
      </xdr:nvSpPr>
      <xdr:spPr>
        <a:xfrm>
          <a:off x="3071005" y="7796118"/>
          <a:ext cx="721669" cy="215837"/>
        </a:xfrm>
        <a:prstGeom prst="roundRect">
          <a:avLst/>
        </a:prstGeom>
        <a:blipFill dpi="0" rotWithShape="1">
          <a:blip xmlns:r="http://schemas.openxmlformats.org/officeDocument/2006/relationships" r:embed="rId19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303800</xdr:colOff>
      <xdr:row>41</xdr:row>
      <xdr:rowOff>33245</xdr:rowOff>
    </xdr:from>
    <xdr:to>
      <xdr:col>15</xdr:col>
      <xdr:colOff>274236</xdr:colOff>
      <xdr:row>42</xdr:row>
      <xdr:rowOff>90807</xdr:rowOff>
    </xdr:to>
    <xdr:sp macro="" textlink="">
      <xdr:nvSpPr>
        <xdr:cNvPr id="91" name="Rounded Rectangle 90"/>
        <xdr:cNvSpPr/>
      </xdr:nvSpPr>
      <xdr:spPr>
        <a:xfrm>
          <a:off x="4828175" y="7796120"/>
          <a:ext cx="708624" cy="212343"/>
        </a:xfrm>
        <a:prstGeom prst="roundRect">
          <a:avLst/>
        </a:prstGeom>
        <a:blipFill dpi="0" rotWithShape="1">
          <a:blip xmlns:r="http://schemas.openxmlformats.org/officeDocument/2006/relationships" r:embed="rId20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457861</xdr:colOff>
      <xdr:row>41</xdr:row>
      <xdr:rowOff>33246</xdr:rowOff>
    </xdr:from>
    <xdr:to>
      <xdr:col>17</xdr:col>
      <xdr:colOff>421292</xdr:colOff>
      <xdr:row>42</xdr:row>
      <xdr:rowOff>89514</xdr:rowOff>
    </xdr:to>
    <xdr:sp macro="" textlink="">
      <xdr:nvSpPr>
        <xdr:cNvPr id="92" name="Rounded Rectangle 91"/>
        <xdr:cNvSpPr/>
      </xdr:nvSpPr>
      <xdr:spPr>
        <a:xfrm>
          <a:off x="5720424" y="7796121"/>
          <a:ext cx="701618" cy="211049"/>
        </a:xfrm>
        <a:prstGeom prst="roundRect">
          <a:avLst/>
        </a:prstGeom>
        <a:blipFill dpi="0" rotWithShape="1">
          <a:blip xmlns:r="http://schemas.openxmlformats.org/officeDocument/2006/relationships" r:embed="rId21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132791</xdr:colOff>
      <xdr:row>41</xdr:row>
      <xdr:rowOff>33245</xdr:rowOff>
    </xdr:from>
    <xdr:to>
      <xdr:col>13</xdr:col>
      <xdr:colOff>107539</xdr:colOff>
      <xdr:row>42</xdr:row>
      <xdr:rowOff>90807</xdr:rowOff>
    </xdr:to>
    <xdr:sp macro="" textlink="">
      <xdr:nvSpPr>
        <xdr:cNvPr id="93" name="Rounded Rectangle 92"/>
        <xdr:cNvSpPr/>
      </xdr:nvSpPr>
      <xdr:spPr>
        <a:xfrm>
          <a:off x="3918979" y="7796120"/>
          <a:ext cx="712935" cy="212343"/>
        </a:xfrm>
        <a:prstGeom prst="roundRect">
          <a:avLst/>
        </a:prstGeom>
        <a:blipFill dpi="0" rotWithShape="1">
          <a:blip xmlns:r="http://schemas.openxmlformats.org/officeDocument/2006/relationships" r:embed="rId2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545312</xdr:colOff>
      <xdr:row>41</xdr:row>
      <xdr:rowOff>33243</xdr:rowOff>
    </xdr:from>
    <xdr:to>
      <xdr:col>7</xdr:col>
      <xdr:colOff>588964</xdr:colOff>
      <xdr:row>42</xdr:row>
      <xdr:rowOff>135164</xdr:rowOff>
    </xdr:to>
    <xdr:sp macro="" textlink="">
      <xdr:nvSpPr>
        <xdr:cNvPr id="94" name="Rounded Rectangle 93"/>
        <xdr:cNvSpPr/>
      </xdr:nvSpPr>
      <xdr:spPr>
        <a:xfrm>
          <a:off x="2116937" y="7796118"/>
          <a:ext cx="781840" cy="256702"/>
        </a:xfrm>
        <a:prstGeom prst="roundRect">
          <a:avLst/>
        </a:prstGeom>
        <a:blipFill dpi="0" rotWithShape="1">
          <a:blip xmlns:r="http://schemas.openxmlformats.org/officeDocument/2006/relationships" r:embed="rId23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342904</xdr:colOff>
      <xdr:row>41</xdr:row>
      <xdr:rowOff>33246</xdr:rowOff>
    </xdr:from>
    <xdr:to>
      <xdr:col>21</xdr:col>
      <xdr:colOff>444288</xdr:colOff>
      <xdr:row>42</xdr:row>
      <xdr:rowOff>106519</xdr:rowOff>
    </xdr:to>
    <xdr:sp macro="" textlink="">
      <xdr:nvSpPr>
        <xdr:cNvPr id="95" name="Rounded Rectangle 94"/>
        <xdr:cNvSpPr/>
      </xdr:nvSpPr>
      <xdr:spPr>
        <a:xfrm>
          <a:off x="7200904" y="7821334"/>
          <a:ext cx="852178" cy="230156"/>
        </a:xfrm>
        <a:prstGeom prst="roundRect">
          <a:avLst/>
        </a:prstGeom>
        <a:blipFill dpi="0" rotWithShape="1">
          <a:blip xmlns:r="http://schemas.openxmlformats.org/officeDocument/2006/relationships" r:embed="rId24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47</xdr:row>
      <xdr:rowOff>57981</xdr:rowOff>
    </xdr:from>
    <xdr:to>
      <xdr:col>17</xdr:col>
      <xdr:colOff>600074</xdr:colOff>
      <xdr:row>54</xdr:row>
      <xdr:rowOff>56199</xdr:rowOff>
    </xdr:to>
    <xdr:graphicFrame macro="">
      <xdr:nvGraphicFramePr>
        <xdr:cNvPr id="97" name="Chart 9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17</xdr:col>
      <xdr:colOff>590550</xdr:colOff>
      <xdr:row>47</xdr:row>
      <xdr:rowOff>57981</xdr:rowOff>
    </xdr:from>
    <xdr:to>
      <xdr:col>22</xdr:col>
      <xdr:colOff>31750</xdr:colOff>
      <xdr:row>54</xdr:row>
      <xdr:rowOff>56199</xdr:rowOff>
    </xdr:to>
    <xdr:graphicFrame macro="">
      <xdr:nvGraphicFramePr>
        <xdr:cNvPr id="98" name="Chart 9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27</xdr:col>
      <xdr:colOff>228289</xdr:colOff>
      <xdr:row>66</xdr:row>
      <xdr:rowOff>65407</xdr:rowOff>
    </xdr:from>
    <xdr:to>
      <xdr:col>29</xdr:col>
      <xdr:colOff>207629</xdr:colOff>
      <xdr:row>67</xdr:row>
      <xdr:rowOff>126464</xdr:rowOff>
    </xdr:to>
    <xdr:sp macro="" textlink="">
      <xdr:nvSpPr>
        <xdr:cNvPr id="99" name="Rounded Rectangle 98" hidden="1">
          <a:hlinkClick xmlns:r="http://schemas.openxmlformats.org/officeDocument/2006/relationships" r:id="rId28" tooltip="Coles KPIs"/>
        </xdr:cNvPr>
        <xdr:cNvSpPr/>
      </xdr:nvSpPr>
      <xdr:spPr>
        <a:xfrm>
          <a:off x="10089465" y="12459113"/>
          <a:ext cx="730135" cy="217939"/>
        </a:xfrm>
        <a:prstGeom prst="roundRect">
          <a:avLst/>
        </a:prstGeom>
        <a:blipFill dpi="0" rotWithShape="1">
          <a:blip xmlns:r="http://schemas.openxmlformats.org/officeDocument/2006/relationships" r:embed="rId19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510546</xdr:colOff>
      <xdr:row>66</xdr:row>
      <xdr:rowOff>65409</xdr:rowOff>
    </xdr:from>
    <xdr:to>
      <xdr:col>33</xdr:col>
      <xdr:colOff>480982</xdr:colOff>
      <xdr:row>67</xdr:row>
      <xdr:rowOff>122972</xdr:rowOff>
    </xdr:to>
    <xdr:sp macro="" textlink="">
      <xdr:nvSpPr>
        <xdr:cNvPr id="100" name="Rounded Rectangle 99" hidden="1">
          <a:hlinkClick xmlns:r="http://schemas.openxmlformats.org/officeDocument/2006/relationships" r:id="rId29" tooltip="Sainsbury's KPIs"/>
        </xdr:cNvPr>
        <xdr:cNvSpPr/>
      </xdr:nvSpPr>
      <xdr:spPr>
        <a:xfrm>
          <a:off x="11873311" y="12459115"/>
          <a:ext cx="721230" cy="214445"/>
        </a:xfrm>
        <a:prstGeom prst="roundRect">
          <a:avLst/>
        </a:prstGeom>
        <a:blipFill dpi="0" rotWithShape="1">
          <a:blip xmlns:r="http://schemas.openxmlformats.org/officeDocument/2006/relationships" r:embed="rId20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14666</xdr:colOff>
      <xdr:row>66</xdr:row>
      <xdr:rowOff>65410</xdr:rowOff>
    </xdr:from>
    <xdr:to>
      <xdr:col>35</xdr:col>
      <xdr:colOff>628038</xdr:colOff>
      <xdr:row>67</xdr:row>
      <xdr:rowOff>121679</xdr:rowOff>
    </xdr:to>
    <xdr:sp macro="" textlink="">
      <xdr:nvSpPr>
        <xdr:cNvPr id="101" name="Rounded Rectangle 100" hidden="1">
          <a:hlinkClick xmlns:r="http://schemas.openxmlformats.org/officeDocument/2006/relationships" r:id="rId30" tooltip="Whole Foods Market KPIs"/>
        </xdr:cNvPr>
        <xdr:cNvSpPr/>
      </xdr:nvSpPr>
      <xdr:spPr>
        <a:xfrm>
          <a:off x="12778166" y="12459116"/>
          <a:ext cx="714225" cy="213151"/>
        </a:xfrm>
        <a:prstGeom prst="roundRect">
          <a:avLst/>
        </a:prstGeom>
        <a:blipFill dpi="0" rotWithShape="1">
          <a:blip xmlns:r="http://schemas.openxmlformats.org/officeDocument/2006/relationships" r:embed="rId21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339537</xdr:colOff>
      <xdr:row>66</xdr:row>
      <xdr:rowOff>65409</xdr:rowOff>
    </xdr:from>
    <xdr:to>
      <xdr:col>31</xdr:col>
      <xdr:colOff>314285</xdr:colOff>
      <xdr:row>67</xdr:row>
      <xdr:rowOff>122972</xdr:rowOff>
    </xdr:to>
    <xdr:sp macro="" textlink="">
      <xdr:nvSpPr>
        <xdr:cNvPr id="102" name="Rounded Rectangle 101" hidden="1">
          <a:hlinkClick xmlns:r="http://schemas.openxmlformats.org/officeDocument/2006/relationships" r:id="rId31" tooltip="Woolworths KPIs"/>
        </xdr:cNvPr>
        <xdr:cNvSpPr/>
      </xdr:nvSpPr>
      <xdr:spPr>
        <a:xfrm>
          <a:off x="10951508" y="12459115"/>
          <a:ext cx="725542" cy="214445"/>
        </a:xfrm>
        <a:prstGeom prst="roundRect">
          <a:avLst/>
        </a:prstGeom>
        <a:blipFill dpi="0" rotWithShape="1">
          <a:blip xmlns:r="http://schemas.openxmlformats.org/officeDocument/2006/relationships" r:embed="rId2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1264</xdr:colOff>
      <xdr:row>66</xdr:row>
      <xdr:rowOff>65407</xdr:rowOff>
    </xdr:from>
    <xdr:to>
      <xdr:col>27</xdr:col>
      <xdr:colOff>44916</xdr:colOff>
      <xdr:row>68</xdr:row>
      <xdr:rowOff>10446</xdr:rowOff>
    </xdr:to>
    <xdr:sp macro="" textlink="">
      <xdr:nvSpPr>
        <xdr:cNvPr id="103" name="Rounded Rectangle 102" hidden="1">
          <a:hlinkClick xmlns:r="http://schemas.openxmlformats.org/officeDocument/2006/relationships" r:id="rId32" tooltip="Target KPIs"/>
        </xdr:cNvPr>
        <xdr:cNvSpPr/>
      </xdr:nvSpPr>
      <xdr:spPr>
        <a:xfrm>
          <a:off x="9111646" y="12459113"/>
          <a:ext cx="794446" cy="258804"/>
        </a:xfrm>
        <a:prstGeom prst="roundRect">
          <a:avLst/>
        </a:prstGeom>
        <a:blipFill dpi="0" rotWithShape="1">
          <a:blip xmlns:r="http://schemas.openxmlformats.org/officeDocument/2006/relationships" r:embed="rId23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549650</xdr:colOff>
      <xdr:row>66</xdr:row>
      <xdr:rowOff>65410</xdr:rowOff>
    </xdr:from>
    <xdr:to>
      <xdr:col>40</xdr:col>
      <xdr:colOff>1093</xdr:colOff>
      <xdr:row>67</xdr:row>
      <xdr:rowOff>138684</xdr:rowOff>
    </xdr:to>
    <xdr:sp macro="" textlink="">
      <xdr:nvSpPr>
        <xdr:cNvPr id="104" name="Rounded Rectangle 103" hidden="1">
          <a:hlinkClick xmlns:r="http://schemas.openxmlformats.org/officeDocument/2006/relationships" r:id="rId33" tooltip="Coles KPIs"/>
        </xdr:cNvPr>
        <xdr:cNvSpPr/>
      </xdr:nvSpPr>
      <xdr:spPr>
        <a:xfrm>
          <a:off x="14164797" y="12459116"/>
          <a:ext cx="852178" cy="230156"/>
        </a:xfrm>
        <a:prstGeom prst="roundRect">
          <a:avLst/>
        </a:prstGeom>
        <a:blipFill dpi="0" rotWithShape="1">
          <a:blip xmlns:r="http://schemas.openxmlformats.org/officeDocument/2006/relationships" r:embed="rId24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609600</xdr:colOff>
      <xdr:row>21</xdr:row>
      <xdr:rowOff>85076</xdr:rowOff>
    </xdr:from>
    <xdr:to>
      <xdr:col>22</xdr:col>
      <xdr:colOff>50800</xdr:colOff>
      <xdr:row>28</xdr:row>
      <xdr:rowOff>83295</xdr:rowOff>
    </xdr:to>
    <xdr:graphicFrame macro="">
      <xdr:nvGraphicFramePr>
        <xdr:cNvPr id="96" name="Chart 9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5</xdr:col>
      <xdr:colOff>19050</xdr:colOff>
      <xdr:row>21</xdr:row>
      <xdr:rowOff>85076</xdr:rowOff>
    </xdr:from>
    <xdr:to>
      <xdr:col>17</xdr:col>
      <xdr:colOff>619124</xdr:colOff>
      <xdr:row>28</xdr:row>
      <xdr:rowOff>83295</xdr:rowOff>
    </xdr:to>
    <xdr:graphicFrame macro="">
      <xdr:nvGraphicFramePr>
        <xdr:cNvPr id="105" name="Chart 10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8</xdr:col>
      <xdr:colOff>83514</xdr:colOff>
      <xdr:row>28</xdr:row>
      <xdr:rowOff>34626</xdr:rowOff>
    </xdr:from>
    <xdr:to>
      <xdr:col>10</xdr:col>
      <xdr:colOff>61392</xdr:colOff>
      <xdr:row>29</xdr:row>
      <xdr:rowOff>105206</xdr:rowOff>
    </xdr:to>
    <xdr:sp macro="" textlink="">
      <xdr:nvSpPr>
        <xdr:cNvPr id="106" name="Rounded Rectangle 105"/>
        <xdr:cNvSpPr/>
      </xdr:nvSpPr>
      <xdr:spPr>
        <a:xfrm>
          <a:off x="3086690" y="5447067"/>
          <a:ext cx="728673" cy="227463"/>
        </a:xfrm>
        <a:prstGeom prst="roundRect">
          <a:avLst/>
        </a:prstGeom>
        <a:blipFill dpi="0" rotWithShape="1">
          <a:blip xmlns:r="http://schemas.openxmlformats.org/officeDocument/2006/relationships" r:embed="rId19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263456</xdr:colOff>
      <xdr:row>28</xdr:row>
      <xdr:rowOff>34628</xdr:rowOff>
    </xdr:from>
    <xdr:to>
      <xdr:col>15</xdr:col>
      <xdr:colOff>233892</xdr:colOff>
      <xdr:row>29</xdr:row>
      <xdr:rowOff>101714</xdr:rowOff>
    </xdr:to>
    <xdr:sp macro="" textlink="">
      <xdr:nvSpPr>
        <xdr:cNvPr id="107" name="Rounded Rectangle 106"/>
        <xdr:cNvSpPr/>
      </xdr:nvSpPr>
      <xdr:spPr>
        <a:xfrm>
          <a:off x="4869074" y="5447069"/>
          <a:ext cx="721230" cy="223969"/>
        </a:xfrm>
        <a:prstGeom prst="roundRect">
          <a:avLst/>
        </a:prstGeom>
        <a:blipFill dpi="0" rotWithShape="1">
          <a:blip xmlns:r="http://schemas.openxmlformats.org/officeDocument/2006/relationships" r:embed="rId20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417517</xdr:colOff>
      <xdr:row>28</xdr:row>
      <xdr:rowOff>34629</xdr:rowOff>
    </xdr:from>
    <xdr:to>
      <xdr:col>17</xdr:col>
      <xdr:colOff>380948</xdr:colOff>
      <xdr:row>29</xdr:row>
      <xdr:rowOff>90896</xdr:rowOff>
    </xdr:to>
    <xdr:sp macro="" textlink="">
      <xdr:nvSpPr>
        <xdr:cNvPr id="108" name="Rounded Rectangle 107"/>
        <xdr:cNvSpPr/>
      </xdr:nvSpPr>
      <xdr:spPr>
        <a:xfrm>
          <a:off x="5773929" y="5447070"/>
          <a:ext cx="714225" cy="213150"/>
        </a:xfrm>
        <a:prstGeom prst="roundRect">
          <a:avLst/>
        </a:prstGeom>
        <a:blipFill dpi="0" rotWithShape="1">
          <a:blip xmlns:r="http://schemas.openxmlformats.org/officeDocument/2006/relationships" r:embed="rId21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92447</xdr:colOff>
      <xdr:row>28</xdr:row>
      <xdr:rowOff>34628</xdr:rowOff>
    </xdr:from>
    <xdr:to>
      <xdr:col>13</xdr:col>
      <xdr:colOff>67195</xdr:colOff>
      <xdr:row>29</xdr:row>
      <xdr:rowOff>101714</xdr:rowOff>
    </xdr:to>
    <xdr:sp macro="" textlink="">
      <xdr:nvSpPr>
        <xdr:cNvPr id="109" name="Rounded Rectangle 108"/>
        <xdr:cNvSpPr/>
      </xdr:nvSpPr>
      <xdr:spPr>
        <a:xfrm>
          <a:off x="3947271" y="5447069"/>
          <a:ext cx="725542" cy="223969"/>
        </a:xfrm>
        <a:prstGeom prst="roundRect">
          <a:avLst/>
        </a:prstGeom>
        <a:blipFill dpi="0" rotWithShape="1">
          <a:blip xmlns:r="http://schemas.openxmlformats.org/officeDocument/2006/relationships" r:embed="rId2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504968</xdr:colOff>
      <xdr:row>28</xdr:row>
      <xdr:rowOff>34626</xdr:rowOff>
    </xdr:from>
    <xdr:to>
      <xdr:col>7</xdr:col>
      <xdr:colOff>548620</xdr:colOff>
      <xdr:row>29</xdr:row>
      <xdr:rowOff>146071</xdr:rowOff>
    </xdr:to>
    <xdr:sp macro="" textlink="">
      <xdr:nvSpPr>
        <xdr:cNvPr id="110" name="Rounded Rectangle 109"/>
        <xdr:cNvSpPr/>
      </xdr:nvSpPr>
      <xdr:spPr>
        <a:xfrm>
          <a:off x="2107409" y="5447067"/>
          <a:ext cx="794446" cy="268328"/>
        </a:xfrm>
        <a:prstGeom prst="roundRect">
          <a:avLst/>
        </a:prstGeom>
        <a:blipFill dpi="0" rotWithShape="1">
          <a:blip xmlns:r="http://schemas.openxmlformats.org/officeDocument/2006/relationships" r:embed="rId23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302560</xdr:colOff>
      <xdr:row>28</xdr:row>
      <xdr:rowOff>34629</xdr:rowOff>
    </xdr:from>
    <xdr:to>
      <xdr:col>21</xdr:col>
      <xdr:colOff>403944</xdr:colOff>
      <xdr:row>29</xdr:row>
      <xdr:rowOff>117426</xdr:rowOff>
    </xdr:to>
    <xdr:sp macro="" textlink="">
      <xdr:nvSpPr>
        <xdr:cNvPr id="111" name="Rounded Rectangle 110"/>
        <xdr:cNvSpPr/>
      </xdr:nvSpPr>
      <xdr:spPr>
        <a:xfrm>
          <a:off x="7160560" y="5447070"/>
          <a:ext cx="852178" cy="239680"/>
        </a:xfrm>
        <a:prstGeom prst="roundRect">
          <a:avLst/>
        </a:prstGeom>
        <a:blipFill dpi="0" rotWithShape="1">
          <a:blip xmlns:r="http://schemas.openxmlformats.org/officeDocument/2006/relationships" r:embed="rId24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4368</xdr:colOff>
      <xdr:row>53</xdr:row>
      <xdr:rowOff>156881</xdr:rowOff>
    </xdr:from>
    <xdr:to>
      <xdr:col>10</xdr:col>
      <xdr:colOff>88702</xdr:colOff>
      <xdr:row>55</xdr:row>
      <xdr:rowOff>61055</xdr:rowOff>
    </xdr:to>
    <xdr:sp macro="" textlink="">
      <xdr:nvSpPr>
        <xdr:cNvPr id="112" name="Rounded Rectangle 111"/>
        <xdr:cNvSpPr/>
      </xdr:nvSpPr>
      <xdr:spPr>
        <a:xfrm>
          <a:off x="3108397" y="10163734"/>
          <a:ext cx="734276" cy="217939"/>
        </a:xfrm>
        <a:prstGeom prst="roundRect">
          <a:avLst/>
        </a:prstGeom>
        <a:blipFill dpi="0" rotWithShape="1">
          <a:blip xmlns:r="http://schemas.openxmlformats.org/officeDocument/2006/relationships" r:embed="rId19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285163</xdr:colOff>
      <xdr:row>54</xdr:row>
      <xdr:rowOff>1</xdr:rowOff>
    </xdr:from>
    <xdr:to>
      <xdr:col>15</xdr:col>
      <xdr:colOff>255599</xdr:colOff>
      <xdr:row>55</xdr:row>
      <xdr:rowOff>57563</xdr:rowOff>
    </xdr:to>
    <xdr:sp macro="" textlink="">
      <xdr:nvSpPr>
        <xdr:cNvPr id="113" name="Rounded Rectangle 112"/>
        <xdr:cNvSpPr/>
      </xdr:nvSpPr>
      <xdr:spPr>
        <a:xfrm>
          <a:off x="4890781" y="10163736"/>
          <a:ext cx="721230" cy="214445"/>
        </a:xfrm>
        <a:prstGeom prst="roundRect">
          <a:avLst/>
        </a:prstGeom>
        <a:blipFill dpi="0" rotWithShape="1">
          <a:blip xmlns:r="http://schemas.openxmlformats.org/officeDocument/2006/relationships" r:embed="rId20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439224</xdr:colOff>
      <xdr:row>54</xdr:row>
      <xdr:rowOff>2</xdr:rowOff>
    </xdr:from>
    <xdr:to>
      <xdr:col>17</xdr:col>
      <xdr:colOff>402655</xdr:colOff>
      <xdr:row>55</xdr:row>
      <xdr:rowOff>56270</xdr:rowOff>
    </xdr:to>
    <xdr:sp macro="" textlink="">
      <xdr:nvSpPr>
        <xdr:cNvPr id="114" name="Rounded Rectangle 113"/>
        <xdr:cNvSpPr/>
      </xdr:nvSpPr>
      <xdr:spPr>
        <a:xfrm>
          <a:off x="5795636" y="10163737"/>
          <a:ext cx="714225" cy="213151"/>
        </a:xfrm>
        <a:prstGeom prst="roundRect">
          <a:avLst/>
        </a:prstGeom>
        <a:blipFill dpi="0" rotWithShape="1">
          <a:blip xmlns:r="http://schemas.openxmlformats.org/officeDocument/2006/relationships" r:embed="rId21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114154</xdr:colOff>
      <xdr:row>54</xdr:row>
      <xdr:rowOff>1</xdr:rowOff>
    </xdr:from>
    <xdr:to>
      <xdr:col>13</xdr:col>
      <xdr:colOff>88902</xdr:colOff>
      <xdr:row>55</xdr:row>
      <xdr:rowOff>57563</xdr:rowOff>
    </xdr:to>
    <xdr:sp macro="" textlink="">
      <xdr:nvSpPr>
        <xdr:cNvPr id="115" name="Rounded Rectangle 114"/>
        <xdr:cNvSpPr/>
      </xdr:nvSpPr>
      <xdr:spPr>
        <a:xfrm>
          <a:off x="3968978" y="10163736"/>
          <a:ext cx="725542" cy="214445"/>
        </a:xfrm>
        <a:prstGeom prst="roundRect">
          <a:avLst/>
        </a:prstGeom>
        <a:blipFill dpi="0" rotWithShape="1">
          <a:blip xmlns:r="http://schemas.openxmlformats.org/officeDocument/2006/relationships" r:embed="rId2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526675</xdr:colOff>
      <xdr:row>53</xdr:row>
      <xdr:rowOff>156881</xdr:rowOff>
    </xdr:from>
    <xdr:to>
      <xdr:col>7</xdr:col>
      <xdr:colOff>570327</xdr:colOff>
      <xdr:row>55</xdr:row>
      <xdr:rowOff>101920</xdr:rowOff>
    </xdr:to>
    <xdr:sp macro="" textlink="">
      <xdr:nvSpPr>
        <xdr:cNvPr id="116" name="Rounded Rectangle 115"/>
        <xdr:cNvSpPr/>
      </xdr:nvSpPr>
      <xdr:spPr>
        <a:xfrm>
          <a:off x="2129116" y="10163734"/>
          <a:ext cx="794446" cy="258804"/>
        </a:xfrm>
        <a:prstGeom prst="roundRect">
          <a:avLst/>
        </a:prstGeom>
        <a:blipFill dpi="0" rotWithShape="1">
          <a:blip xmlns:r="http://schemas.openxmlformats.org/officeDocument/2006/relationships" r:embed="rId23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324267</xdr:colOff>
      <xdr:row>54</xdr:row>
      <xdr:rowOff>2</xdr:rowOff>
    </xdr:from>
    <xdr:to>
      <xdr:col>21</xdr:col>
      <xdr:colOff>425651</xdr:colOff>
      <xdr:row>55</xdr:row>
      <xdr:rowOff>73275</xdr:rowOff>
    </xdr:to>
    <xdr:sp macro="" textlink="">
      <xdr:nvSpPr>
        <xdr:cNvPr id="117" name="Rounded Rectangle 116"/>
        <xdr:cNvSpPr/>
      </xdr:nvSpPr>
      <xdr:spPr>
        <a:xfrm>
          <a:off x="7182267" y="10163737"/>
          <a:ext cx="852178" cy="230156"/>
        </a:xfrm>
        <a:prstGeom prst="roundRect">
          <a:avLst/>
        </a:prstGeom>
        <a:blipFill dpi="0" rotWithShape="1">
          <a:blip xmlns:r="http://schemas.openxmlformats.org/officeDocument/2006/relationships" r:embed="rId24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904876</xdr:rowOff>
    </xdr:from>
    <xdr:to>
      <xdr:col>32</xdr:col>
      <xdr:colOff>84668</xdr:colOff>
      <xdr:row>100</xdr:row>
      <xdr:rowOff>117786</xdr:rowOff>
    </xdr:to>
    <xdr:sp macro="" textlink="">
      <xdr:nvSpPr>
        <xdr:cNvPr id="2" name="Rectangle 1"/>
        <xdr:cNvSpPr/>
      </xdr:nvSpPr>
      <xdr:spPr>
        <a:xfrm>
          <a:off x="95250" y="1990726"/>
          <a:ext cx="11324168" cy="13929035"/>
        </a:xfrm>
        <a:prstGeom prst="rect">
          <a:avLst/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10</xdr:col>
      <xdr:colOff>522871</xdr:colOff>
      <xdr:row>5</xdr:row>
      <xdr:rowOff>5953</xdr:rowOff>
    </xdr:from>
    <xdr:to>
      <xdr:col>15</xdr:col>
      <xdr:colOff>23558</xdr:colOff>
      <xdr:row>5</xdr:row>
      <xdr:rowOff>797953</xdr:rowOff>
    </xdr:to>
    <xdr:sp macro="" textlink="">
      <xdr:nvSpPr>
        <xdr:cNvPr id="3" name="Pentagon 2"/>
        <xdr:cNvSpPr/>
      </xdr:nvSpPr>
      <xdr:spPr>
        <a:xfrm>
          <a:off x="3666121" y="1089422"/>
          <a:ext cx="1620000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 editAs="oneCell">
    <xdr:from>
      <xdr:col>1</xdr:col>
      <xdr:colOff>35720</xdr:colOff>
      <xdr:row>106</xdr:row>
      <xdr:rowOff>22264</xdr:rowOff>
    </xdr:from>
    <xdr:to>
      <xdr:col>6</xdr:col>
      <xdr:colOff>283371</xdr:colOff>
      <xdr:row>106</xdr:row>
      <xdr:rowOff>488782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clrChange>
            <a:clrFrom>
              <a:srgbClr val="7DC243"/>
            </a:clrFrom>
            <a:clrTo>
              <a:srgbClr val="7DC243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 l="15730" t="38153" r="13916" b="38388"/>
        <a:stretch/>
      </xdr:blipFill>
      <xdr:spPr>
        <a:xfrm>
          <a:off x="130970" y="16681489"/>
          <a:ext cx="1828801" cy="466518"/>
        </a:xfrm>
        <a:prstGeom prst="rect">
          <a:avLst/>
        </a:prstGeom>
      </xdr:spPr>
    </xdr:pic>
    <xdr:clientData/>
  </xdr:twoCellAnchor>
  <xdr:twoCellAnchor>
    <xdr:from>
      <xdr:col>26</xdr:col>
      <xdr:colOff>10946</xdr:colOff>
      <xdr:row>1</xdr:row>
      <xdr:rowOff>317221</xdr:rowOff>
    </xdr:from>
    <xdr:to>
      <xdr:col>28</xdr:col>
      <xdr:colOff>342553</xdr:colOff>
      <xdr:row>2</xdr:row>
      <xdr:rowOff>161228</xdr:rowOff>
    </xdr:to>
    <xdr:sp macro="" textlink="">
      <xdr:nvSpPr>
        <xdr:cNvPr id="8" name="Rounded Rectangle 7" hidden="1">
          <a:hlinkClick xmlns:r="http://schemas.openxmlformats.org/officeDocument/2006/relationships" r:id="rId2" tooltip="Dev KPI"/>
        </xdr:cNvPr>
        <xdr:cNvSpPr/>
      </xdr:nvSpPr>
      <xdr:spPr>
        <a:xfrm>
          <a:off x="9116846" y="517246"/>
          <a:ext cx="1074557" cy="291682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Dev KPI</a:t>
          </a:r>
        </a:p>
      </xdr:txBody>
    </xdr:sp>
    <xdr:clientData/>
  </xdr:twoCellAnchor>
  <xdr:twoCellAnchor>
    <xdr:from>
      <xdr:col>28</xdr:col>
      <xdr:colOff>449096</xdr:colOff>
      <xdr:row>1</xdr:row>
      <xdr:rowOff>319944</xdr:rowOff>
    </xdr:from>
    <xdr:to>
      <xdr:col>32</xdr:col>
      <xdr:colOff>37913</xdr:colOff>
      <xdr:row>2</xdr:row>
      <xdr:rowOff>163951</xdr:rowOff>
    </xdr:to>
    <xdr:sp macro="" textlink="">
      <xdr:nvSpPr>
        <xdr:cNvPr id="9" name="Rounded Rectangle 8">
          <a:hlinkClick xmlns:r="http://schemas.openxmlformats.org/officeDocument/2006/relationships" r:id="rId3" tooltip="Back to Dashboard"/>
        </xdr:cNvPr>
        <xdr:cNvSpPr/>
      </xdr:nvSpPr>
      <xdr:spPr>
        <a:xfrm>
          <a:off x="10297946" y="519969"/>
          <a:ext cx="1074717" cy="291682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>
    <xdr:from>
      <xdr:col>6</xdr:col>
      <xdr:colOff>290574</xdr:colOff>
      <xdr:row>5</xdr:row>
      <xdr:rowOff>5953</xdr:rowOff>
    </xdr:from>
    <xdr:to>
      <xdr:col>10</xdr:col>
      <xdr:colOff>434199</xdr:colOff>
      <xdr:row>5</xdr:row>
      <xdr:rowOff>797953</xdr:rowOff>
    </xdr:to>
    <xdr:sp macro="" textlink="">
      <xdr:nvSpPr>
        <xdr:cNvPr id="17" name="Pentagon 16"/>
        <xdr:cNvSpPr/>
      </xdr:nvSpPr>
      <xdr:spPr>
        <a:xfrm>
          <a:off x="1957449" y="1089422"/>
          <a:ext cx="1620000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</xdr:col>
      <xdr:colOff>265052</xdr:colOff>
      <xdr:row>33</xdr:row>
      <xdr:rowOff>178365</xdr:rowOff>
    </xdr:from>
    <xdr:to>
      <xdr:col>4</xdr:col>
      <xdr:colOff>459720</xdr:colOff>
      <xdr:row>35</xdr:row>
      <xdr:rowOff>173105</xdr:rowOff>
    </xdr:to>
    <xdr:sp macro="" textlink="">
      <xdr:nvSpPr>
        <xdr:cNvPr id="18" name="Rounded Rectangle 17">
          <a:hlinkClick xmlns:r="http://schemas.openxmlformats.org/officeDocument/2006/relationships" r:id="rId4" tooltip="Coles KPIs"/>
        </xdr:cNvPr>
        <xdr:cNvSpPr/>
      </xdr:nvSpPr>
      <xdr:spPr>
        <a:xfrm>
          <a:off x="455552" y="6333896"/>
          <a:ext cx="932856" cy="280490"/>
        </a:xfrm>
        <a:prstGeom prst="roundRect">
          <a:avLst/>
        </a:prstGeom>
        <a:blipFill dpi="0" rotWithShape="1">
          <a:blip xmlns:r="http://schemas.openxmlformats.org/officeDocument/2006/relationships" r:embed="rId5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16980</xdr:colOff>
      <xdr:row>5</xdr:row>
      <xdr:rowOff>5953</xdr:rowOff>
    </xdr:from>
    <xdr:to>
      <xdr:col>20</xdr:col>
      <xdr:colOff>160605</xdr:colOff>
      <xdr:row>5</xdr:row>
      <xdr:rowOff>797953</xdr:rowOff>
    </xdr:to>
    <xdr:sp macro="" textlink="">
      <xdr:nvSpPr>
        <xdr:cNvPr id="19" name="Pentagon 18"/>
        <xdr:cNvSpPr/>
      </xdr:nvSpPr>
      <xdr:spPr>
        <a:xfrm>
          <a:off x="5374793" y="1089422"/>
          <a:ext cx="1620000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</xdr:col>
      <xdr:colOff>267124</xdr:colOff>
      <xdr:row>69</xdr:row>
      <xdr:rowOff>81184</xdr:rowOff>
    </xdr:from>
    <xdr:to>
      <xdr:col>4</xdr:col>
      <xdr:colOff>444843</xdr:colOff>
      <xdr:row>71</xdr:row>
      <xdr:rowOff>71380</xdr:rowOff>
    </xdr:to>
    <xdr:sp macro="" textlink="">
      <xdr:nvSpPr>
        <xdr:cNvPr id="22" name="Rounded Rectangle 21">
          <a:hlinkClick xmlns:r="http://schemas.openxmlformats.org/officeDocument/2006/relationships" r:id="rId6" tooltip="Sainsbury's KPIs"/>
        </xdr:cNvPr>
        <xdr:cNvSpPr/>
      </xdr:nvSpPr>
      <xdr:spPr>
        <a:xfrm>
          <a:off x="468830" y="11679272"/>
          <a:ext cx="928513" cy="281549"/>
        </a:xfrm>
        <a:prstGeom prst="roundRect">
          <a:avLst/>
        </a:prstGeom>
        <a:blipFill dpi="0" rotWithShape="1">
          <a:blip xmlns:r="http://schemas.openxmlformats.org/officeDocument/2006/relationships" r:embed="rId7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358647</xdr:colOff>
      <xdr:row>87</xdr:row>
      <xdr:rowOff>89588</xdr:rowOff>
    </xdr:from>
    <xdr:to>
      <xdr:col>4</xdr:col>
      <xdr:colOff>527263</xdr:colOff>
      <xdr:row>89</xdr:row>
      <xdr:rowOff>68577</xdr:rowOff>
    </xdr:to>
    <xdr:sp macro="" textlink="">
      <xdr:nvSpPr>
        <xdr:cNvPr id="23" name="Rounded Rectangle 22">
          <a:hlinkClick xmlns:r="http://schemas.openxmlformats.org/officeDocument/2006/relationships" r:id="rId8" tooltip="Whole Foods Market KPIs"/>
        </xdr:cNvPr>
        <xdr:cNvSpPr/>
      </xdr:nvSpPr>
      <xdr:spPr>
        <a:xfrm>
          <a:off x="560353" y="14354676"/>
          <a:ext cx="919410" cy="281548"/>
        </a:xfrm>
        <a:prstGeom prst="roundRect">
          <a:avLst/>
        </a:prstGeom>
        <a:blipFill dpi="0" rotWithShape="1">
          <a:blip xmlns:r="http://schemas.openxmlformats.org/officeDocument/2006/relationships" r:embed="rId9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221825</xdr:colOff>
      <xdr:row>52</xdr:row>
      <xdr:rowOff>39163</xdr:rowOff>
    </xdr:from>
    <xdr:to>
      <xdr:col>4</xdr:col>
      <xdr:colOff>405146</xdr:colOff>
      <xdr:row>54</xdr:row>
      <xdr:rowOff>29358</xdr:rowOff>
    </xdr:to>
    <xdr:sp macro="" textlink="">
      <xdr:nvSpPr>
        <xdr:cNvPr id="25" name="Rounded Rectangle 24">
          <a:hlinkClick xmlns:r="http://schemas.openxmlformats.org/officeDocument/2006/relationships" r:id="rId10" tooltip="Woolworths KPIs"/>
        </xdr:cNvPr>
        <xdr:cNvSpPr/>
      </xdr:nvSpPr>
      <xdr:spPr>
        <a:xfrm>
          <a:off x="423531" y="9138339"/>
          <a:ext cx="934115" cy="281548"/>
        </a:xfrm>
        <a:prstGeom prst="roundRect">
          <a:avLst/>
        </a:prstGeom>
        <a:blipFill dpi="0" rotWithShape="1">
          <a:blip xmlns:r="http://schemas.openxmlformats.org/officeDocument/2006/relationships" r:embed="rId11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58277</xdr:colOff>
      <xdr:row>4</xdr:row>
      <xdr:rowOff>113112</xdr:rowOff>
    </xdr:from>
    <xdr:to>
      <xdr:col>6</xdr:col>
      <xdr:colOff>221029</xdr:colOff>
      <xdr:row>6</xdr:row>
      <xdr:rowOff>36914</xdr:rowOff>
    </xdr:to>
    <xdr:grpSp>
      <xdr:nvGrpSpPr>
        <xdr:cNvPr id="26" name="Group 25"/>
        <xdr:cNvGrpSpPr/>
      </xdr:nvGrpSpPr>
      <xdr:grpSpPr>
        <a:xfrm>
          <a:off x="248777" y="1077518"/>
          <a:ext cx="1639127" cy="1185865"/>
          <a:chOff x="247650" y="1083469"/>
          <a:chExt cx="1639127" cy="1185865"/>
        </a:xfrm>
      </xdr:grpSpPr>
      <xdr:sp macro="" textlink="">
        <xdr:nvSpPr>
          <xdr:cNvPr id="27" name="Pentagon 26"/>
          <xdr:cNvSpPr/>
        </xdr:nvSpPr>
        <xdr:spPr>
          <a:xfrm rot="5400000">
            <a:off x="561692" y="770554"/>
            <a:ext cx="994170" cy="1620000"/>
          </a:xfrm>
          <a:prstGeom prst="homePlate">
            <a:avLst>
              <a:gd name="adj" fmla="val 20334"/>
            </a:avLst>
          </a:prstGeom>
          <a:solidFill>
            <a:schemeClr val="bg1">
              <a:lumMod val="85000"/>
            </a:schemeClr>
          </a:solidFill>
          <a:ln w="28575">
            <a:solidFill>
              <a:srgbClr val="54B948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400" b="1"/>
          </a:p>
        </xdr:txBody>
      </xdr:sp>
      <xdr:sp macro="" textlink="">
        <xdr:nvSpPr>
          <xdr:cNvPr id="28" name="Chevron 27"/>
          <xdr:cNvSpPr/>
        </xdr:nvSpPr>
        <xdr:spPr>
          <a:xfrm rot="5400000">
            <a:off x="882567" y="1283124"/>
            <a:ext cx="361945" cy="1610475"/>
          </a:xfrm>
          <a:prstGeom prst="chevron">
            <a:avLst>
              <a:gd name="adj" fmla="val 53585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29" name="Straight Connector 28"/>
          <xdr:cNvCxnSpPr/>
        </xdr:nvCxnSpPr>
        <xdr:spPr>
          <a:xfrm>
            <a:off x="247650" y="1988343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  <xdr:cxnSp macro="">
        <xdr:nvCxnSpPr>
          <xdr:cNvPr id="30" name="Straight Connector 29"/>
          <xdr:cNvCxnSpPr/>
        </xdr:nvCxnSpPr>
        <xdr:spPr>
          <a:xfrm flipV="1">
            <a:off x="1058777" y="1988344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</xdr:grpSp>
    <xdr:clientData/>
  </xdr:twoCellAnchor>
  <xdr:twoCellAnchor>
    <xdr:from>
      <xdr:col>2</xdr:col>
      <xdr:colOff>172261</xdr:colOff>
      <xdr:row>15</xdr:row>
      <xdr:rowOff>23583</xdr:rowOff>
    </xdr:from>
    <xdr:to>
      <xdr:col>4</xdr:col>
      <xdr:colOff>445104</xdr:colOff>
      <xdr:row>17</xdr:row>
      <xdr:rowOff>71428</xdr:rowOff>
    </xdr:to>
    <xdr:sp macro="" textlink="">
      <xdr:nvSpPr>
        <xdr:cNvPr id="31" name="Rounded Rectangle 30">
          <a:hlinkClick xmlns:r="http://schemas.openxmlformats.org/officeDocument/2006/relationships" r:id="rId12" tooltip="Target KPIs"/>
        </xdr:cNvPr>
        <xdr:cNvSpPr/>
      </xdr:nvSpPr>
      <xdr:spPr>
        <a:xfrm>
          <a:off x="362761" y="3535927"/>
          <a:ext cx="1011031" cy="333595"/>
        </a:xfrm>
        <a:prstGeom prst="roundRect">
          <a:avLst/>
        </a:prstGeom>
        <a:blipFill dpi="0" rotWithShape="1">
          <a:blip xmlns:r="http://schemas.openxmlformats.org/officeDocument/2006/relationships" r:embed="rId13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476251</xdr:colOff>
      <xdr:row>5</xdr:row>
      <xdr:rowOff>83344</xdr:rowOff>
    </xdr:from>
    <xdr:to>
      <xdr:col>4</xdr:col>
      <xdr:colOff>386063</xdr:colOff>
      <xdr:row>5</xdr:row>
      <xdr:rowOff>731344</xdr:rowOff>
    </xdr:to>
    <xdr:sp macro="" textlink="DDD!A8">
      <xdr:nvSpPr>
        <xdr:cNvPr id="32" name="KPI Oval Reopen">
          <a:hlinkClick xmlns:r="http://schemas.openxmlformats.org/officeDocument/2006/relationships" r:id="rId14" tooltip="Projects Defects Density"/>
        </xdr:cNvPr>
        <xdr:cNvSpPr>
          <a:spLocks noChangeArrowheads="1" noTextEdit="1"/>
        </xdr:cNvSpPr>
      </xdr:nvSpPr>
      <xdr:spPr bwMode="auto">
        <a:xfrm>
          <a:off x="666751" y="1166813"/>
          <a:ext cx="648000" cy="648000"/>
        </a:xfrm>
        <a:prstGeom prst="ellipse">
          <a:avLst/>
        </a:prstGeom>
        <a:gradFill flip="none" rotWithShape="1">
          <a:gsLst>
            <a:gs pos="0">
              <a:srgbClr val="FFC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78D15D5C-B907-46BB-B105-5C977F23C728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2.38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</xdr:col>
      <xdr:colOff>47627</xdr:colOff>
      <xdr:row>2</xdr:row>
      <xdr:rowOff>202407</xdr:rowOff>
    </xdr:from>
    <xdr:to>
      <xdr:col>4</xdr:col>
      <xdr:colOff>583408</xdr:colOff>
      <xdr:row>5</xdr:row>
      <xdr:rowOff>35718</xdr:rowOff>
    </xdr:to>
    <xdr:sp macro="" textlink="">
      <xdr:nvSpPr>
        <xdr:cNvPr id="33" name="TextBox 32"/>
        <xdr:cNvSpPr txBox="1"/>
      </xdr:nvSpPr>
      <xdr:spPr>
        <a:xfrm>
          <a:off x="142877" y="857251"/>
          <a:ext cx="1369219" cy="261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Defects Density </a:t>
          </a:r>
          <a:endParaRPr lang="en-US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38386</xdr:colOff>
      <xdr:row>5</xdr:row>
      <xdr:rowOff>77953</xdr:rowOff>
    </xdr:from>
    <xdr:to>
      <xdr:col>9</xdr:col>
      <xdr:colOff>43449</xdr:colOff>
      <xdr:row>5</xdr:row>
      <xdr:rowOff>725953</xdr:rowOff>
    </xdr:to>
    <xdr:sp macro="" textlink="Reopened!A8">
      <xdr:nvSpPr>
        <xdr:cNvPr id="34" name="KPI Oval INAB">
          <a:hlinkClick xmlns:r="http://schemas.openxmlformats.org/officeDocument/2006/relationships" r:id="rId15" tooltip="Projects Defects Reopened"/>
        </xdr:cNvPr>
        <xdr:cNvSpPr>
          <a:spLocks noChangeArrowheads="1" noTextEdit="1"/>
        </xdr:cNvSpPr>
      </xdr:nvSpPr>
      <xdr:spPr bwMode="auto">
        <a:xfrm>
          <a:off x="2443449" y="1161422"/>
          <a:ext cx="648000" cy="648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1E5F36A9-A0B1-4C9D-B088-2729AD2BFAA4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24%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190501</xdr:colOff>
      <xdr:row>2</xdr:row>
      <xdr:rowOff>202407</xdr:rowOff>
    </xdr:from>
    <xdr:to>
      <xdr:col>10</xdr:col>
      <xdr:colOff>83345</xdr:colOff>
      <xdr:row>5</xdr:row>
      <xdr:rowOff>35718</xdr:rowOff>
    </xdr:to>
    <xdr:sp macro="" textlink="">
      <xdr:nvSpPr>
        <xdr:cNvPr id="35" name="TextBox 34"/>
        <xdr:cNvSpPr txBox="1"/>
      </xdr:nvSpPr>
      <xdr:spPr>
        <a:xfrm>
          <a:off x="1857376" y="857251"/>
          <a:ext cx="1369219" cy="261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Reopened</a:t>
          </a:r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426246</xdr:colOff>
      <xdr:row>2</xdr:row>
      <xdr:rowOff>202407</xdr:rowOff>
    </xdr:from>
    <xdr:to>
      <xdr:col>14</xdr:col>
      <xdr:colOff>319090</xdr:colOff>
      <xdr:row>5</xdr:row>
      <xdr:rowOff>35718</xdr:rowOff>
    </xdr:to>
    <xdr:sp macro="" textlink="">
      <xdr:nvSpPr>
        <xdr:cNvPr id="36" name="TextBox 35"/>
        <xdr:cNvSpPr txBox="1"/>
      </xdr:nvSpPr>
      <xdr:spPr>
        <a:xfrm>
          <a:off x="3569496" y="857251"/>
          <a:ext cx="1369219" cy="261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Regression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7147</xdr:colOff>
      <xdr:row>2</xdr:row>
      <xdr:rowOff>202407</xdr:rowOff>
    </xdr:from>
    <xdr:to>
      <xdr:col>18</xdr:col>
      <xdr:colOff>542929</xdr:colOff>
      <xdr:row>5</xdr:row>
      <xdr:rowOff>35718</xdr:rowOff>
    </xdr:to>
    <xdr:sp macro="" textlink="">
      <xdr:nvSpPr>
        <xdr:cNvPr id="37" name="TextBox 36"/>
        <xdr:cNvSpPr txBox="1"/>
      </xdr:nvSpPr>
      <xdr:spPr>
        <a:xfrm>
          <a:off x="5269710" y="857251"/>
          <a:ext cx="1369219" cy="261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Median Aging</a:t>
          </a:r>
        </a:p>
      </xdr:txBody>
    </xdr:sp>
    <xdr:clientData/>
  </xdr:twoCellAnchor>
  <xdr:twoCellAnchor>
    <xdr:from>
      <xdr:col>12</xdr:col>
      <xdr:colOff>270683</xdr:colOff>
      <xdr:row>5</xdr:row>
      <xdr:rowOff>77953</xdr:rowOff>
    </xdr:from>
    <xdr:to>
      <xdr:col>14</xdr:col>
      <xdr:colOff>180496</xdr:colOff>
      <xdr:row>5</xdr:row>
      <xdr:rowOff>725953</xdr:rowOff>
    </xdr:to>
    <xdr:sp macro="" textlink="Regression!A8">
      <xdr:nvSpPr>
        <xdr:cNvPr id="40" name="KPI Oval Reopen">
          <a:hlinkClick xmlns:r="http://schemas.openxmlformats.org/officeDocument/2006/relationships" r:id="rId16" tooltip="Projects Regression Defects"/>
        </xdr:cNvPr>
        <xdr:cNvSpPr>
          <a:spLocks noChangeArrowheads="1" noTextEdit="1"/>
        </xdr:cNvSpPr>
      </xdr:nvSpPr>
      <xdr:spPr bwMode="auto">
        <a:xfrm>
          <a:off x="4152121" y="1161422"/>
          <a:ext cx="648000" cy="648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fld id="{4679591F-5A83-4C3D-B0E3-15017AD0FF7B}" type="TxLink"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19%</a:t>
          </a:fld>
          <a:endParaRPr lang="en-US" sz="1100"/>
        </a:p>
      </xdr:txBody>
    </xdr:sp>
    <xdr:clientData/>
  </xdr:twoCellAnchor>
  <xdr:twoCellAnchor>
    <xdr:from>
      <xdr:col>16</xdr:col>
      <xdr:colOff>502980</xdr:colOff>
      <xdr:row>5</xdr:row>
      <xdr:rowOff>77953</xdr:rowOff>
    </xdr:from>
    <xdr:to>
      <xdr:col>18</xdr:col>
      <xdr:colOff>412793</xdr:colOff>
      <xdr:row>5</xdr:row>
      <xdr:rowOff>725953</xdr:rowOff>
    </xdr:to>
    <xdr:sp macro="" textlink="Median!A8">
      <xdr:nvSpPr>
        <xdr:cNvPr id="41" name="KPI Oval PDR">
          <a:hlinkClick xmlns:r="http://schemas.openxmlformats.org/officeDocument/2006/relationships" r:id="rId17" tooltip="Projects Median Defects Aging"/>
        </xdr:cNvPr>
        <xdr:cNvSpPr>
          <a:spLocks noChangeArrowheads="1" noTextEdit="1"/>
        </xdr:cNvSpPr>
      </xdr:nvSpPr>
      <xdr:spPr bwMode="auto">
        <a:xfrm>
          <a:off x="5860793" y="1161422"/>
          <a:ext cx="648000" cy="648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5E101A81-6856-4E0F-8ED4-12C9C825C590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3.71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476810</xdr:colOff>
      <xdr:row>96</xdr:row>
      <xdr:rowOff>24093</xdr:rowOff>
    </xdr:from>
    <xdr:to>
      <xdr:col>31</xdr:col>
      <xdr:colOff>47622</xdr:colOff>
      <xdr:row>98</xdr:row>
      <xdr:rowOff>0</xdr:rowOff>
    </xdr:to>
    <xdr:graphicFrame macro="">
      <xdr:nvGraphicFramePr>
        <xdr:cNvPr id="50" name="Chart 4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416718</xdr:colOff>
      <xdr:row>11</xdr:row>
      <xdr:rowOff>2377</xdr:rowOff>
    </xdr:from>
    <xdr:to>
      <xdr:col>30</xdr:col>
      <xdr:colOff>639993</xdr:colOff>
      <xdr:row>23</xdr:row>
      <xdr:rowOff>161925</xdr:rowOff>
    </xdr:to>
    <xdr:grpSp>
      <xdr:nvGrpSpPr>
        <xdr:cNvPr id="5" name="Group 4"/>
        <xdr:cNvGrpSpPr/>
      </xdr:nvGrpSpPr>
      <xdr:grpSpPr>
        <a:xfrm>
          <a:off x="2083593" y="2931315"/>
          <a:ext cx="9081525" cy="1897860"/>
          <a:chOff x="12346781" y="3679031"/>
          <a:chExt cx="9081465" cy="2837110"/>
        </a:xfrm>
      </xdr:grpSpPr>
      <xdr:graphicFrame macro="">
        <xdr:nvGraphicFramePr>
          <xdr:cNvPr id="43" name="Chart 42"/>
          <xdr:cNvGraphicFramePr>
            <a:graphicFrameLocks/>
          </xdr:cNvGraphicFramePr>
        </xdr:nvGraphicFramePr>
        <xdr:xfrm>
          <a:off x="12346781" y="3679031"/>
          <a:ext cx="9072000" cy="27979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9"/>
          </a:graphicData>
        </a:graphic>
      </xdr:graphicFrame>
      <xdr:graphicFrame macro="">
        <xdr:nvGraphicFramePr>
          <xdr:cNvPr id="39" name="Chart 38"/>
          <xdr:cNvGraphicFramePr>
            <a:graphicFrameLocks/>
          </xdr:cNvGraphicFramePr>
        </xdr:nvGraphicFramePr>
        <xdr:xfrm>
          <a:off x="12356246" y="5179978"/>
          <a:ext cx="9072000" cy="13361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0"/>
          </a:graphicData>
        </a:graphic>
      </xdr:graphicFrame>
    </xdr:grpSp>
    <xdr:clientData/>
  </xdr:twoCellAnchor>
  <xdr:twoCellAnchor>
    <xdr:from>
      <xdr:col>6</xdr:col>
      <xdr:colOff>416718</xdr:colOff>
      <xdr:row>29</xdr:row>
      <xdr:rowOff>0</xdr:rowOff>
    </xdr:from>
    <xdr:to>
      <xdr:col>30</xdr:col>
      <xdr:colOff>639993</xdr:colOff>
      <xdr:row>41</xdr:row>
      <xdr:rowOff>159548</xdr:rowOff>
    </xdr:to>
    <xdr:grpSp>
      <xdr:nvGrpSpPr>
        <xdr:cNvPr id="58" name="Group 57"/>
        <xdr:cNvGrpSpPr/>
      </xdr:nvGrpSpPr>
      <xdr:grpSpPr>
        <a:xfrm>
          <a:off x="2083593" y="5560219"/>
          <a:ext cx="9081525" cy="1897860"/>
          <a:chOff x="12346781" y="3679031"/>
          <a:chExt cx="9081465" cy="2837110"/>
        </a:xfrm>
      </xdr:grpSpPr>
      <xdr:graphicFrame macro="">
        <xdr:nvGraphicFramePr>
          <xdr:cNvPr id="59" name="Chart 58"/>
          <xdr:cNvGraphicFramePr>
            <a:graphicFrameLocks/>
          </xdr:cNvGraphicFramePr>
        </xdr:nvGraphicFramePr>
        <xdr:xfrm>
          <a:off x="12346781" y="3679031"/>
          <a:ext cx="9072000" cy="27979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1"/>
          </a:graphicData>
        </a:graphic>
      </xdr:graphicFrame>
      <xdr:graphicFrame macro="">
        <xdr:nvGraphicFramePr>
          <xdr:cNvPr id="60" name="Chart 59"/>
          <xdr:cNvGraphicFramePr>
            <a:graphicFrameLocks/>
          </xdr:cNvGraphicFramePr>
        </xdr:nvGraphicFramePr>
        <xdr:xfrm>
          <a:off x="12356246" y="5179978"/>
          <a:ext cx="9072000" cy="13361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2"/>
          </a:graphicData>
        </a:graphic>
      </xdr:graphicFrame>
    </xdr:grpSp>
    <xdr:clientData/>
  </xdr:twoCellAnchor>
  <xdr:twoCellAnchor>
    <xdr:from>
      <xdr:col>6</xdr:col>
      <xdr:colOff>416718</xdr:colOff>
      <xdr:row>47</xdr:row>
      <xdr:rowOff>0</xdr:rowOff>
    </xdr:from>
    <xdr:to>
      <xdr:col>30</xdr:col>
      <xdr:colOff>639993</xdr:colOff>
      <xdr:row>59</xdr:row>
      <xdr:rowOff>159548</xdr:rowOff>
    </xdr:to>
    <xdr:grpSp>
      <xdr:nvGrpSpPr>
        <xdr:cNvPr id="61" name="Group 60"/>
        <xdr:cNvGrpSpPr/>
      </xdr:nvGrpSpPr>
      <xdr:grpSpPr>
        <a:xfrm>
          <a:off x="2083593" y="8191500"/>
          <a:ext cx="9081525" cy="1897861"/>
          <a:chOff x="12346781" y="3679031"/>
          <a:chExt cx="9081465" cy="2837110"/>
        </a:xfrm>
      </xdr:grpSpPr>
      <xdr:graphicFrame macro="">
        <xdr:nvGraphicFramePr>
          <xdr:cNvPr id="62" name="Chart 61"/>
          <xdr:cNvGraphicFramePr>
            <a:graphicFrameLocks/>
          </xdr:cNvGraphicFramePr>
        </xdr:nvGraphicFramePr>
        <xdr:xfrm>
          <a:off x="12346781" y="3679031"/>
          <a:ext cx="9072000" cy="27979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3"/>
          </a:graphicData>
        </a:graphic>
      </xdr:graphicFrame>
      <xdr:graphicFrame macro="">
        <xdr:nvGraphicFramePr>
          <xdr:cNvPr id="63" name="Chart 62"/>
          <xdr:cNvGraphicFramePr>
            <a:graphicFrameLocks/>
          </xdr:cNvGraphicFramePr>
        </xdr:nvGraphicFramePr>
        <xdr:xfrm>
          <a:off x="12356246" y="5179978"/>
          <a:ext cx="9072000" cy="13361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4"/>
          </a:graphicData>
        </a:graphic>
      </xdr:graphicFrame>
    </xdr:grpSp>
    <xdr:clientData/>
  </xdr:twoCellAnchor>
  <xdr:twoCellAnchor>
    <xdr:from>
      <xdr:col>6</xdr:col>
      <xdr:colOff>416718</xdr:colOff>
      <xdr:row>65</xdr:row>
      <xdr:rowOff>0</xdr:rowOff>
    </xdr:from>
    <xdr:to>
      <xdr:col>30</xdr:col>
      <xdr:colOff>639993</xdr:colOff>
      <xdr:row>77</xdr:row>
      <xdr:rowOff>159548</xdr:rowOff>
    </xdr:to>
    <xdr:grpSp>
      <xdr:nvGrpSpPr>
        <xdr:cNvPr id="64" name="Group 63"/>
        <xdr:cNvGrpSpPr/>
      </xdr:nvGrpSpPr>
      <xdr:grpSpPr>
        <a:xfrm>
          <a:off x="2083593" y="10822781"/>
          <a:ext cx="9081525" cy="1897861"/>
          <a:chOff x="12346781" y="3679031"/>
          <a:chExt cx="9081465" cy="2837110"/>
        </a:xfrm>
      </xdr:grpSpPr>
      <xdr:graphicFrame macro="">
        <xdr:nvGraphicFramePr>
          <xdr:cNvPr id="65" name="Chart 64"/>
          <xdr:cNvGraphicFramePr>
            <a:graphicFrameLocks/>
          </xdr:cNvGraphicFramePr>
        </xdr:nvGraphicFramePr>
        <xdr:xfrm>
          <a:off x="12346781" y="3679031"/>
          <a:ext cx="9072000" cy="27979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5"/>
          </a:graphicData>
        </a:graphic>
      </xdr:graphicFrame>
      <xdr:graphicFrame macro="">
        <xdr:nvGraphicFramePr>
          <xdr:cNvPr id="66" name="Chart 65"/>
          <xdr:cNvGraphicFramePr>
            <a:graphicFrameLocks/>
          </xdr:cNvGraphicFramePr>
        </xdr:nvGraphicFramePr>
        <xdr:xfrm>
          <a:off x="12356246" y="5179978"/>
          <a:ext cx="9072000" cy="13361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6"/>
          </a:graphicData>
        </a:graphic>
      </xdr:graphicFrame>
    </xdr:grpSp>
    <xdr:clientData/>
  </xdr:twoCellAnchor>
  <xdr:twoCellAnchor>
    <xdr:from>
      <xdr:col>6</xdr:col>
      <xdr:colOff>416718</xdr:colOff>
      <xdr:row>83</xdr:row>
      <xdr:rowOff>0</xdr:rowOff>
    </xdr:from>
    <xdr:to>
      <xdr:col>30</xdr:col>
      <xdr:colOff>639993</xdr:colOff>
      <xdr:row>95</xdr:row>
      <xdr:rowOff>159548</xdr:rowOff>
    </xdr:to>
    <xdr:grpSp>
      <xdr:nvGrpSpPr>
        <xdr:cNvPr id="67" name="Group 66"/>
        <xdr:cNvGrpSpPr/>
      </xdr:nvGrpSpPr>
      <xdr:grpSpPr>
        <a:xfrm>
          <a:off x="2083593" y="13454063"/>
          <a:ext cx="9081525" cy="1897860"/>
          <a:chOff x="12346781" y="3679031"/>
          <a:chExt cx="9081465" cy="2837110"/>
        </a:xfrm>
      </xdr:grpSpPr>
      <xdr:graphicFrame macro="">
        <xdr:nvGraphicFramePr>
          <xdr:cNvPr id="68" name="Chart 67"/>
          <xdr:cNvGraphicFramePr>
            <a:graphicFrameLocks/>
          </xdr:cNvGraphicFramePr>
        </xdr:nvGraphicFramePr>
        <xdr:xfrm>
          <a:off x="12346781" y="3679031"/>
          <a:ext cx="9072000" cy="27979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7"/>
          </a:graphicData>
        </a:graphic>
      </xdr:graphicFrame>
      <xdr:graphicFrame macro="">
        <xdr:nvGraphicFramePr>
          <xdr:cNvPr id="69" name="Chart 68"/>
          <xdr:cNvGraphicFramePr>
            <a:graphicFrameLocks/>
          </xdr:cNvGraphicFramePr>
        </xdr:nvGraphicFramePr>
        <xdr:xfrm>
          <a:off x="12356246" y="5179978"/>
          <a:ext cx="9072000" cy="13361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8"/>
          </a:graphicData>
        </a:graphic>
      </xdr:graphicFrame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904876</xdr:rowOff>
    </xdr:from>
    <xdr:to>
      <xdr:col>32</xdr:col>
      <xdr:colOff>84668</xdr:colOff>
      <xdr:row>100</xdr:row>
      <xdr:rowOff>117786</xdr:rowOff>
    </xdr:to>
    <xdr:sp macro="" textlink="">
      <xdr:nvSpPr>
        <xdr:cNvPr id="2" name="Rectangle 1"/>
        <xdr:cNvSpPr/>
      </xdr:nvSpPr>
      <xdr:spPr>
        <a:xfrm>
          <a:off x="95250" y="1990726"/>
          <a:ext cx="11324168" cy="13929035"/>
        </a:xfrm>
        <a:prstGeom prst="rect">
          <a:avLst/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10</xdr:col>
      <xdr:colOff>522871</xdr:colOff>
      <xdr:row>5</xdr:row>
      <xdr:rowOff>5953</xdr:rowOff>
    </xdr:from>
    <xdr:to>
      <xdr:col>15</xdr:col>
      <xdr:colOff>23558</xdr:colOff>
      <xdr:row>5</xdr:row>
      <xdr:rowOff>797953</xdr:rowOff>
    </xdr:to>
    <xdr:sp macro="" textlink="">
      <xdr:nvSpPr>
        <xdr:cNvPr id="3" name="Pentagon 2"/>
        <xdr:cNvSpPr/>
      </xdr:nvSpPr>
      <xdr:spPr>
        <a:xfrm>
          <a:off x="3685171" y="1091803"/>
          <a:ext cx="1634287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 editAs="oneCell">
    <xdr:from>
      <xdr:col>1</xdr:col>
      <xdr:colOff>35720</xdr:colOff>
      <xdr:row>106</xdr:row>
      <xdr:rowOff>22264</xdr:rowOff>
    </xdr:from>
    <xdr:to>
      <xdr:col>6</xdr:col>
      <xdr:colOff>283371</xdr:colOff>
      <xdr:row>106</xdr:row>
      <xdr:rowOff>488782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clrChange>
            <a:clrFrom>
              <a:srgbClr val="7DC243"/>
            </a:clrFrom>
            <a:clrTo>
              <a:srgbClr val="7DC243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 l="15730" t="38153" r="13916" b="38388"/>
        <a:stretch/>
      </xdr:blipFill>
      <xdr:spPr>
        <a:xfrm>
          <a:off x="130970" y="16681489"/>
          <a:ext cx="1828801" cy="466518"/>
        </a:xfrm>
        <a:prstGeom prst="rect">
          <a:avLst/>
        </a:prstGeom>
      </xdr:spPr>
    </xdr:pic>
    <xdr:clientData/>
  </xdr:twoCellAnchor>
  <xdr:twoCellAnchor>
    <xdr:from>
      <xdr:col>26</xdr:col>
      <xdr:colOff>10946</xdr:colOff>
      <xdr:row>1</xdr:row>
      <xdr:rowOff>317221</xdr:rowOff>
    </xdr:from>
    <xdr:to>
      <xdr:col>28</xdr:col>
      <xdr:colOff>342553</xdr:colOff>
      <xdr:row>2</xdr:row>
      <xdr:rowOff>161228</xdr:rowOff>
    </xdr:to>
    <xdr:sp macro="" textlink="">
      <xdr:nvSpPr>
        <xdr:cNvPr id="5" name="Rounded Rectangle 4" hidden="1">
          <a:hlinkClick xmlns:r="http://schemas.openxmlformats.org/officeDocument/2006/relationships" r:id="rId2" tooltip="Dev KPI"/>
        </xdr:cNvPr>
        <xdr:cNvSpPr/>
      </xdr:nvSpPr>
      <xdr:spPr>
        <a:xfrm>
          <a:off x="9116846" y="517246"/>
          <a:ext cx="1074557" cy="291682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Dev KPI</a:t>
          </a:r>
        </a:p>
      </xdr:txBody>
    </xdr:sp>
    <xdr:clientData/>
  </xdr:twoCellAnchor>
  <xdr:twoCellAnchor>
    <xdr:from>
      <xdr:col>28</xdr:col>
      <xdr:colOff>449096</xdr:colOff>
      <xdr:row>1</xdr:row>
      <xdr:rowOff>319944</xdr:rowOff>
    </xdr:from>
    <xdr:to>
      <xdr:col>32</xdr:col>
      <xdr:colOff>37913</xdr:colOff>
      <xdr:row>2</xdr:row>
      <xdr:rowOff>163951</xdr:rowOff>
    </xdr:to>
    <xdr:sp macro="" textlink="">
      <xdr:nvSpPr>
        <xdr:cNvPr id="6" name="Rounded Rectangle 5">
          <a:hlinkClick xmlns:r="http://schemas.openxmlformats.org/officeDocument/2006/relationships" r:id="rId3" tooltip="Back to Dashboard"/>
        </xdr:cNvPr>
        <xdr:cNvSpPr/>
      </xdr:nvSpPr>
      <xdr:spPr>
        <a:xfrm>
          <a:off x="10297946" y="519969"/>
          <a:ext cx="1074717" cy="291682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>
    <xdr:from>
      <xdr:col>2</xdr:col>
      <xdr:colOff>265052</xdr:colOff>
      <xdr:row>33</xdr:row>
      <xdr:rowOff>178365</xdr:rowOff>
    </xdr:from>
    <xdr:to>
      <xdr:col>4</xdr:col>
      <xdr:colOff>459720</xdr:colOff>
      <xdr:row>35</xdr:row>
      <xdr:rowOff>173105</xdr:rowOff>
    </xdr:to>
    <xdr:sp macro="" textlink="">
      <xdr:nvSpPr>
        <xdr:cNvPr id="8" name="Rounded Rectangle 7">
          <a:hlinkClick xmlns:r="http://schemas.openxmlformats.org/officeDocument/2006/relationships" r:id="rId4" tooltip="Coles KPIs"/>
        </xdr:cNvPr>
        <xdr:cNvSpPr/>
      </xdr:nvSpPr>
      <xdr:spPr>
        <a:xfrm>
          <a:off x="455552" y="6312465"/>
          <a:ext cx="937618" cy="280490"/>
        </a:xfrm>
        <a:prstGeom prst="roundRect">
          <a:avLst/>
        </a:prstGeom>
        <a:blipFill dpi="0" rotWithShape="1">
          <a:blip xmlns:r="http://schemas.openxmlformats.org/officeDocument/2006/relationships" r:embed="rId5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16980</xdr:colOff>
      <xdr:row>5</xdr:row>
      <xdr:rowOff>5953</xdr:rowOff>
    </xdr:from>
    <xdr:to>
      <xdr:col>20</xdr:col>
      <xdr:colOff>160605</xdr:colOff>
      <xdr:row>5</xdr:row>
      <xdr:rowOff>797953</xdr:rowOff>
    </xdr:to>
    <xdr:sp macro="" textlink="">
      <xdr:nvSpPr>
        <xdr:cNvPr id="9" name="Pentagon 8"/>
        <xdr:cNvSpPr/>
      </xdr:nvSpPr>
      <xdr:spPr>
        <a:xfrm>
          <a:off x="5408130" y="1091803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</xdr:col>
      <xdr:colOff>267124</xdr:colOff>
      <xdr:row>69</xdr:row>
      <xdr:rowOff>81184</xdr:rowOff>
    </xdr:from>
    <xdr:to>
      <xdr:col>4</xdr:col>
      <xdr:colOff>444843</xdr:colOff>
      <xdr:row>71</xdr:row>
      <xdr:rowOff>71380</xdr:rowOff>
    </xdr:to>
    <xdr:sp macro="" textlink="">
      <xdr:nvSpPr>
        <xdr:cNvPr id="11" name="Rounded Rectangle 10">
          <a:hlinkClick xmlns:r="http://schemas.openxmlformats.org/officeDocument/2006/relationships" r:id="rId6" tooltip="Sainsbury's KPIs"/>
        </xdr:cNvPr>
        <xdr:cNvSpPr/>
      </xdr:nvSpPr>
      <xdr:spPr>
        <a:xfrm>
          <a:off x="457624" y="11454034"/>
          <a:ext cx="920669" cy="275946"/>
        </a:xfrm>
        <a:prstGeom prst="roundRect">
          <a:avLst/>
        </a:prstGeom>
        <a:blipFill dpi="0" rotWithShape="1">
          <a:blip xmlns:r="http://schemas.openxmlformats.org/officeDocument/2006/relationships" r:embed="rId7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358647</xdr:colOff>
      <xdr:row>87</xdr:row>
      <xdr:rowOff>89588</xdr:rowOff>
    </xdr:from>
    <xdr:to>
      <xdr:col>4</xdr:col>
      <xdr:colOff>527263</xdr:colOff>
      <xdr:row>89</xdr:row>
      <xdr:rowOff>68577</xdr:rowOff>
    </xdr:to>
    <xdr:sp macro="" textlink="">
      <xdr:nvSpPr>
        <xdr:cNvPr id="12" name="Rounded Rectangle 11">
          <a:hlinkClick xmlns:r="http://schemas.openxmlformats.org/officeDocument/2006/relationships" r:id="rId8" tooltip="Whole Foods Market KPIs"/>
        </xdr:cNvPr>
        <xdr:cNvSpPr/>
      </xdr:nvSpPr>
      <xdr:spPr>
        <a:xfrm>
          <a:off x="549147" y="14072288"/>
          <a:ext cx="911566" cy="274264"/>
        </a:xfrm>
        <a:prstGeom prst="roundRect">
          <a:avLst/>
        </a:prstGeom>
        <a:blipFill dpi="0" rotWithShape="1">
          <a:blip xmlns:r="http://schemas.openxmlformats.org/officeDocument/2006/relationships" r:embed="rId9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221825</xdr:colOff>
      <xdr:row>52</xdr:row>
      <xdr:rowOff>39163</xdr:rowOff>
    </xdr:from>
    <xdr:to>
      <xdr:col>4</xdr:col>
      <xdr:colOff>405146</xdr:colOff>
      <xdr:row>54</xdr:row>
      <xdr:rowOff>29358</xdr:rowOff>
    </xdr:to>
    <xdr:sp macro="" textlink="">
      <xdr:nvSpPr>
        <xdr:cNvPr id="13" name="Rounded Rectangle 12">
          <a:hlinkClick xmlns:r="http://schemas.openxmlformats.org/officeDocument/2006/relationships" r:id="rId10" tooltip="Woolworths KPIs"/>
        </xdr:cNvPr>
        <xdr:cNvSpPr/>
      </xdr:nvSpPr>
      <xdr:spPr>
        <a:xfrm>
          <a:off x="412325" y="8973613"/>
          <a:ext cx="926271" cy="275945"/>
        </a:xfrm>
        <a:prstGeom prst="roundRect">
          <a:avLst/>
        </a:prstGeom>
        <a:blipFill dpi="0" rotWithShape="1">
          <a:blip xmlns:r="http://schemas.openxmlformats.org/officeDocument/2006/relationships" r:embed="rId11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271447</xdr:colOff>
      <xdr:row>4</xdr:row>
      <xdr:rowOff>113112</xdr:rowOff>
    </xdr:from>
    <xdr:to>
      <xdr:col>10</xdr:col>
      <xdr:colOff>434199</xdr:colOff>
      <xdr:row>6</xdr:row>
      <xdr:rowOff>36914</xdr:rowOff>
    </xdr:to>
    <xdr:grpSp>
      <xdr:nvGrpSpPr>
        <xdr:cNvPr id="14" name="Group 13"/>
        <xdr:cNvGrpSpPr/>
      </xdr:nvGrpSpPr>
      <xdr:grpSpPr>
        <a:xfrm>
          <a:off x="1938322" y="1077518"/>
          <a:ext cx="1639127" cy="1185865"/>
          <a:chOff x="247650" y="1083469"/>
          <a:chExt cx="1639127" cy="1185865"/>
        </a:xfrm>
      </xdr:grpSpPr>
      <xdr:sp macro="" textlink="">
        <xdr:nvSpPr>
          <xdr:cNvPr id="15" name="Pentagon 14"/>
          <xdr:cNvSpPr/>
        </xdr:nvSpPr>
        <xdr:spPr>
          <a:xfrm rot="5400000">
            <a:off x="561692" y="770554"/>
            <a:ext cx="994170" cy="1620000"/>
          </a:xfrm>
          <a:prstGeom prst="homePlate">
            <a:avLst>
              <a:gd name="adj" fmla="val 20334"/>
            </a:avLst>
          </a:prstGeom>
          <a:solidFill>
            <a:schemeClr val="bg1">
              <a:lumMod val="85000"/>
            </a:schemeClr>
          </a:solidFill>
          <a:ln w="28575">
            <a:solidFill>
              <a:srgbClr val="54B948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400" b="1"/>
          </a:p>
        </xdr:txBody>
      </xdr:sp>
      <xdr:sp macro="" textlink="">
        <xdr:nvSpPr>
          <xdr:cNvPr id="16" name="Chevron 15"/>
          <xdr:cNvSpPr/>
        </xdr:nvSpPr>
        <xdr:spPr>
          <a:xfrm rot="5400000">
            <a:off x="882567" y="1283124"/>
            <a:ext cx="361945" cy="1610475"/>
          </a:xfrm>
          <a:prstGeom prst="chevron">
            <a:avLst>
              <a:gd name="adj" fmla="val 53585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7" name="Straight Connector 16"/>
          <xdr:cNvCxnSpPr/>
        </xdr:nvCxnSpPr>
        <xdr:spPr>
          <a:xfrm>
            <a:off x="247650" y="1988343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  <xdr:cxnSp macro="">
        <xdr:nvCxnSpPr>
          <xdr:cNvPr id="18" name="Straight Connector 17"/>
          <xdr:cNvCxnSpPr/>
        </xdr:nvCxnSpPr>
        <xdr:spPr>
          <a:xfrm flipV="1">
            <a:off x="1058777" y="1988344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</xdr:grpSp>
    <xdr:clientData/>
  </xdr:twoCellAnchor>
  <xdr:twoCellAnchor>
    <xdr:from>
      <xdr:col>2</xdr:col>
      <xdr:colOff>172261</xdr:colOff>
      <xdr:row>15</xdr:row>
      <xdr:rowOff>23583</xdr:rowOff>
    </xdr:from>
    <xdr:to>
      <xdr:col>4</xdr:col>
      <xdr:colOff>445104</xdr:colOff>
      <xdr:row>17</xdr:row>
      <xdr:rowOff>71428</xdr:rowOff>
    </xdr:to>
    <xdr:sp macro="" textlink="">
      <xdr:nvSpPr>
        <xdr:cNvPr id="19" name="Rounded Rectangle 18">
          <a:hlinkClick xmlns:r="http://schemas.openxmlformats.org/officeDocument/2006/relationships" r:id="rId12" tooltip="Target KPIs"/>
        </xdr:cNvPr>
        <xdr:cNvSpPr/>
      </xdr:nvSpPr>
      <xdr:spPr>
        <a:xfrm>
          <a:off x="362761" y="3528783"/>
          <a:ext cx="1015793" cy="333595"/>
        </a:xfrm>
        <a:prstGeom prst="roundRect">
          <a:avLst/>
        </a:prstGeom>
        <a:blipFill dpi="0" rotWithShape="1">
          <a:blip xmlns:r="http://schemas.openxmlformats.org/officeDocument/2006/relationships" r:embed="rId13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47627</xdr:colOff>
      <xdr:row>2</xdr:row>
      <xdr:rowOff>202407</xdr:rowOff>
    </xdr:from>
    <xdr:to>
      <xdr:col>4</xdr:col>
      <xdr:colOff>583408</xdr:colOff>
      <xdr:row>5</xdr:row>
      <xdr:rowOff>35718</xdr:rowOff>
    </xdr:to>
    <xdr:sp macro="" textlink="">
      <xdr:nvSpPr>
        <xdr:cNvPr id="21" name="TextBox 20"/>
        <xdr:cNvSpPr txBox="1"/>
      </xdr:nvSpPr>
      <xdr:spPr>
        <a:xfrm>
          <a:off x="142877" y="850107"/>
          <a:ext cx="1373981" cy="27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Defects Density </a:t>
          </a:r>
          <a:endParaRPr lang="en-US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38386</xdr:colOff>
      <xdr:row>5</xdr:row>
      <xdr:rowOff>77953</xdr:rowOff>
    </xdr:from>
    <xdr:to>
      <xdr:col>9</xdr:col>
      <xdr:colOff>43449</xdr:colOff>
      <xdr:row>5</xdr:row>
      <xdr:rowOff>725953</xdr:rowOff>
    </xdr:to>
    <xdr:sp macro="" textlink="Reopened!A8">
      <xdr:nvSpPr>
        <xdr:cNvPr id="22" name="KPI Oval INAB">
          <a:hlinkClick xmlns:r="http://schemas.openxmlformats.org/officeDocument/2006/relationships" r:id="rId14" tooltip="Projects Defects Reopened"/>
        </xdr:cNvPr>
        <xdr:cNvSpPr>
          <a:spLocks noChangeArrowheads="1" noTextEdit="1"/>
        </xdr:cNvSpPr>
      </xdr:nvSpPr>
      <xdr:spPr bwMode="auto">
        <a:xfrm>
          <a:off x="2457736" y="1163803"/>
          <a:ext cx="652763" cy="648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1E5F36A9-A0B1-4C9D-B088-2729AD2BFAA4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24%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190501</xdr:colOff>
      <xdr:row>2</xdr:row>
      <xdr:rowOff>202407</xdr:rowOff>
    </xdr:from>
    <xdr:to>
      <xdr:col>10</xdr:col>
      <xdr:colOff>83345</xdr:colOff>
      <xdr:row>5</xdr:row>
      <xdr:rowOff>35718</xdr:rowOff>
    </xdr:to>
    <xdr:sp macro="" textlink="">
      <xdr:nvSpPr>
        <xdr:cNvPr id="23" name="TextBox 22"/>
        <xdr:cNvSpPr txBox="1"/>
      </xdr:nvSpPr>
      <xdr:spPr>
        <a:xfrm>
          <a:off x="1866901" y="850107"/>
          <a:ext cx="1378744" cy="27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Reopened</a:t>
          </a:r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426246</xdr:colOff>
      <xdr:row>2</xdr:row>
      <xdr:rowOff>202407</xdr:rowOff>
    </xdr:from>
    <xdr:to>
      <xdr:col>14</xdr:col>
      <xdr:colOff>319090</xdr:colOff>
      <xdr:row>5</xdr:row>
      <xdr:rowOff>35718</xdr:rowOff>
    </xdr:to>
    <xdr:sp macro="" textlink="">
      <xdr:nvSpPr>
        <xdr:cNvPr id="24" name="TextBox 23"/>
        <xdr:cNvSpPr txBox="1"/>
      </xdr:nvSpPr>
      <xdr:spPr>
        <a:xfrm>
          <a:off x="3588546" y="850107"/>
          <a:ext cx="1378744" cy="27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Regression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7147</xdr:colOff>
      <xdr:row>2</xdr:row>
      <xdr:rowOff>202407</xdr:rowOff>
    </xdr:from>
    <xdr:to>
      <xdr:col>18</xdr:col>
      <xdr:colOff>542929</xdr:colOff>
      <xdr:row>5</xdr:row>
      <xdr:rowOff>35718</xdr:rowOff>
    </xdr:to>
    <xdr:sp macro="" textlink="">
      <xdr:nvSpPr>
        <xdr:cNvPr id="25" name="TextBox 24"/>
        <xdr:cNvSpPr txBox="1"/>
      </xdr:nvSpPr>
      <xdr:spPr>
        <a:xfrm>
          <a:off x="5303047" y="850107"/>
          <a:ext cx="1373982" cy="27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Median Aging</a:t>
          </a:r>
        </a:p>
      </xdr:txBody>
    </xdr:sp>
    <xdr:clientData/>
  </xdr:twoCellAnchor>
  <xdr:twoCellAnchor>
    <xdr:from>
      <xdr:col>12</xdr:col>
      <xdr:colOff>270683</xdr:colOff>
      <xdr:row>5</xdr:row>
      <xdr:rowOff>77953</xdr:rowOff>
    </xdr:from>
    <xdr:to>
      <xdr:col>14</xdr:col>
      <xdr:colOff>180496</xdr:colOff>
      <xdr:row>5</xdr:row>
      <xdr:rowOff>725953</xdr:rowOff>
    </xdr:to>
    <xdr:sp macro="" textlink="Regression!A8">
      <xdr:nvSpPr>
        <xdr:cNvPr id="27" name="KPI Oval Reopen">
          <a:hlinkClick xmlns:r="http://schemas.openxmlformats.org/officeDocument/2006/relationships" r:id="rId15" tooltip="Projects Regression Defects"/>
        </xdr:cNvPr>
        <xdr:cNvSpPr>
          <a:spLocks noChangeArrowheads="1" noTextEdit="1"/>
        </xdr:cNvSpPr>
      </xdr:nvSpPr>
      <xdr:spPr bwMode="auto">
        <a:xfrm>
          <a:off x="4175933" y="1163803"/>
          <a:ext cx="652763" cy="648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fld id="{4679591F-5A83-4C3D-B0E3-15017AD0FF7B}" type="TxLink"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19%</a:t>
          </a:fld>
          <a:endParaRPr lang="en-US" sz="1100"/>
        </a:p>
      </xdr:txBody>
    </xdr:sp>
    <xdr:clientData/>
  </xdr:twoCellAnchor>
  <xdr:twoCellAnchor>
    <xdr:from>
      <xdr:col>16</xdr:col>
      <xdr:colOff>502980</xdr:colOff>
      <xdr:row>5</xdr:row>
      <xdr:rowOff>77953</xdr:rowOff>
    </xdr:from>
    <xdr:to>
      <xdr:col>18</xdr:col>
      <xdr:colOff>412793</xdr:colOff>
      <xdr:row>5</xdr:row>
      <xdr:rowOff>725953</xdr:rowOff>
    </xdr:to>
    <xdr:sp macro="" textlink="Median!A8">
      <xdr:nvSpPr>
        <xdr:cNvPr id="28" name="KPI Oval PDR">
          <a:hlinkClick xmlns:r="http://schemas.openxmlformats.org/officeDocument/2006/relationships" r:id="rId16" tooltip="Projects Median Defects Aging"/>
        </xdr:cNvPr>
        <xdr:cNvSpPr>
          <a:spLocks noChangeArrowheads="1" noTextEdit="1"/>
        </xdr:cNvSpPr>
      </xdr:nvSpPr>
      <xdr:spPr bwMode="auto">
        <a:xfrm>
          <a:off x="5894130" y="1163803"/>
          <a:ext cx="652763" cy="648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5E101A81-6856-4E0F-8ED4-12C9C825C590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3.71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58277</xdr:colOff>
      <xdr:row>4</xdr:row>
      <xdr:rowOff>113112</xdr:rowOff>
    </xdr:from>
    <xdr:to>
      <xdr:col>6</xdr:col>
      <xdr:colOff>201902</xdr:colOff>
      <xdr:row>5</xdr:row>
      <xdr:rowOff>786049</xdr:rowOff>
    </xdr:to>
    <xdr:sp macro="" textlink="">
      <xdr:nvSpPr>
        <xdr:cNvPr id="35" name="Pentagon 34"/>
        <xdr:cNvSpPr/>
      </xdr:nvSpPr>
      <xdr:spPr>
        <a:xfrm>
          <a:off x="248777" y="1077518"/>
          <a:ext cx="1620000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</xdr:col>
      <xdr:colOff>476251</xdr:colOff>
      <xdr:row>5</xdr:row>
      <xdr:rowOff>83344</xdr:rowOff>
    </xdr:from>
    <xdr:to>
      <xdr:col>4</xdr:col>
      <xdr:colOff>386063</xdr:colOff>
      <xdr:row>5</xdr:row>
      <xdr:rowOff>731344</xdr:rowOff>
    </xdr:to>
    <xdr:sp macro="" textlink="DDD!A8">
      <xdr:nvSpPr>
        <xdr:cNvPr id="20" name="KPI Oval Reopen">
          <a:hlinkClick xmlns:r="http://schemas.openxmlformats.org/officeDocument/2006/relationships" r:id="rId17" tooltip="Projects Defects Density"/>
        </xdr:cNvPr>
        <xdr:cNvSpPr>
          <a:spLocks noChangeArrowheads="1" noTextEdit="1"/>
        </xdr:cNvSpPr>
      </xdr:nvSpPr>
      <xdr:spPr bwMode="auto">
        <a:xfrm>
          <a:off x="666751" y="1169194"/>
          <a:ext cx="652762" cy="648000"/>
        </a:xfrm>
        <a:prstGeom prst="ellipse">
          <a:avLst/>
        </a:prstGeom>
        <a:gradFill flip="none" rotWithShape="1">
          <a:gsLst>
            <a:gs pos="0">
              <a:srgbClr val="FFC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78D15D5C-B907-46BB-B105-5C977F23C728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2.38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250031</xdr:colOff>
      <xdr:row>10</xdr:row>
      <xdr:rowOff>11907</xdr:rowOff>
    </xdr:from>
    <xdr:to>
      <xdr:col>30</xdr:col>
      <xdr:colOff>599282</xdr:colOff>
      <xdr:row>24</xdr:row>
      <xdr:rowOff>1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250031</xdr:colOff>
      <xdr:row>28</xdr:row>
      <xdr:rowOff>38366</xdr:rowOff>
    </xdr:from>
    <xdr:to>
      <xdr:col>30</xdr:col>
      <xdr:colOff>599282</xdr:colOff>
      <xdr:row>41</xdr:row>
      <xdr:rowOff>166688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</xdr:col>
      <xdr:colOff>250031</xdr:colOff>
      <xdr:row>46</xdr:row>
      <xdr:rowOff>31752</xdr:rowOff>
    </xdr:from>
    <xdr:to>
      <xdr:col>30</xdr:col>
      <xdr:colOff>599282</xdr:colOff>
      <xdr:row>59</xdr:row>
      <xdr:rowOff>178593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6</xdr:col>
      <xdr:colOff>250031</xdr:colOff>
      <xdr:row>64</xdr:row>
      <xdr:rowOff>39690</xdr:rowOff>
    </xdr:from>
    <xdr:to>
      <xdr:col>30</xdr:col>
      <xdr:colOff>599282</xdr:colOff>
      <xdr:row>78</xdr:row>
      <xdr:rowOff>0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</xdr:col>
      <xdr:colOff>250031</xdr:colOff>
      <xdr:row>82</xdr:row>
      <xdr:rowOff>43658</xdr:rowOff>
    </xdr:from>
    <xdr:to>
      <xdr:col>30</xdr:col>
      <xdr:colOff>599282</xdr:colOff>
      <xdr:row>96</xdr:row>
      <xdr:rowOff>0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904876</xdr:rowOff>
    </xdr:from>
    <xdr:to>
      <xdr:col>32</xdr:col>
      <xdr:colOff>84668</xdr:colOff>
      <xdr:row>100</xdr:row>
      <xdr:rowOff>117786</xdr:rowOff>
    </xdr:to>
    <xdr:sp macro="" textlink="">
      <xdr:nvSpPr>
        <xdr:cNvPr id="2" name="Rectangle 1"/>
        <xdr:cNvSpPr/>
      </xdr:nvSpPr>
      <xdr:spPr>
        <a:xfrm>
          <a:off x="95250" y="1990726"/>
          <a:ext cx="11324168" cy="13929035"/>
        </a:xfrm>
        <a:prstGeom prst="rect">
          <a:avLst/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 editAs="oneCell">
    <xdr:from>
      <xdr:col>1</xdr:col>
      <xdr:colOff>35720</xdr:colOff>
      <xdr:row>106</xdr:row>
      <xdr:rowOff>22264</xdr:rowOff>
    </xdr:from>
    <xdr:to>
      <xdr:col>6</xdr:col>
      <xdr:colOff>283371</xdr:colOff>
      <xdr:row>106</xdr:row>
      <xdr:rowOff>488782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clrChange>
            <a:clrFrom>
              <a:srgbClr val="7DC243"/>
            </a:clrFrom>
            <a:clrTo>
              <a:srgbClr val="7DC243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 l="15730" t="38153" r="13916" b="38388"/>
        <a:stretch/>
      </xdr:blipFill>
      <xdr:spPr>
        <a:xfrm>
          <a:off x="130970" y="16681489"/>
          <a:ext cx="1828801" cy="466518"/>
        </a:xfrm>
        <a:prstGeom prst="rect">
          <a:avLst/>
        </a:prstGeom>
      </xdr:spPr>
    </xdr:pic>
    <xdr:clientData/>
  </xdr:twoCellAnchor>
  <xdr:twoCellAnchor>
    <xdr:from>
      <xdr:col>26</xdr:col>
      <xdr:colOff>10946</xdr:colOff>
      <xdr:row>1</xdr:row>
      <xdr:rowOff>317221</xdr:rowOff>
    </xdr:from>
    <xdr:to>
      <xdr:col>28</xdr:col>
      <xdr:colOff>342553</xdr:colOff>
      <xdr:row>2</xdr:row>
      <xdr:rowOff>161228</xdr:rowOff>
    </xdr:to>
    <xdr:sp macro="" textlink="">
      <xdr:nvSpPr>
        <xdr:cNvPr id="5" name="Rounded Rectangle 4" hidden="1">
          <a:hlinkClick xmlns:r="http://schemas.openxmlformats.org/officeDocument/2006/relationships" r:id="rId2" tooltip="Dev KPI"/>
        </xdr:cNvPr>
        <xdr:cNvSpPr/>
      </xdr:nvSpPr>
      <xdr:spPr>
        <a:xfrm>
          <a:off x="9116846" y="517246"/>
          <a:ext cx="1074557" cy="291682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Dev KPI</a:t>
          </a:r>
        </a:p>
      </xdr:txBody>
    </xdr:sp>
    <xdr:clientData/>
  </xdr:twoCellAnchor>
  <xdr:twoCellAnchor>
    <xdr:from>
      <xdr:col>28</xdr:col>
      <xdr:colOff>449096</xdr:colOff>
      <xdr:row>1</xdr:row>
      <xdr:rowOff>319944</xdr:rowOff>
    </xdr:from>
    <xdr:to>
      <xdr:col>32</xdr:col>
      <xdr:colOff>37913</xdr:colOff>
      <xdr:row>2</xdr:row>
      <xdr:rowOff>163951</xdr:rowOff>
    </xdr:to>
    <xdr:sp macro="" textlink="">
      <xdr:nvSpPr>
        <xdr:cNvPr id="6" name="Rounded Rectangle 5">
          <a:hlinkClick xmlns:r="http://schemas.openxmlformats.org/officeDocument/2006/relationships" r:id="rId3" tooltip="Back to Dashboard"/>
        </xdr:cNvPr>
        <xdr:cNvSpPr/>
      </xdr:nvSpPr>
      <xdr:spPr>
        <a:xfrm>
          <a:off x="10297946" y="519969"/>
          <a:ext cx="1074717" cy="291682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>
    <xdr:from>
      <xdr:col>2</xdr:col>
      <xdr:colOff>265052</xdr:colOff>
      <xdr:row>33</xdr:row>
      <xdr:rowOff>178365</xdr:rowOff>
    </xdr:from>
    <xdr:to>
      <xdr:col>4</xdr:col>
      <xdr:colOff>459720</xdr:colOff>
      <xdr:row>35</xdr:row>
      <xdr:rowOff>173105</xdr:rowOff>
    </xdr:to>
    <xdr:sp macro="" textlink="">
      <xdr:nvSpPr>
        <xdr:cNvPr id="7" name="Rounded Rectangle 6">
          <a:hlinkClick xmlns:r="http://schemas.openxmlformats.org/officeDocument/2006/relationships" r:id="rId4" tooltip="Coles KPIs"/>
        </xdr:cNvPr>
        <xdr:cNvSpPr/>
      </xdr:nvSpPr>
      <xdr:spPr>
        <a:xfrm>
          <a:off x="455552" y="6312465"/>
          <a:ext cx="937618" cy="280490"/>
        </a:xfrm>
        <a:prstGeom prst="roundRect">
          <a:avLst/>
        </a:prstGeom>
        <a:blipFill dpi="0" rotWithShape="1">
          <a:blip xmlns:r="http://schemas.openxmlformats.org/officeDocument/2006/relationships" r:embed="rId5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16980</xdr:colOff>
      <xdr:row>5</xdr:row>
      <xdr:rowOff>5953</xdr:rowOff>
    </xdr:from>
    <xdr:to>
      <xdr:col>20</xdr:col>
      <xdr:colOff>160605</xdr:colOff>
      <xdr:row>5</xdr:row>
      <xdr:rowOff>797953</xdr:rowOff>
    </xdr:to>
    <xdr:sp macro="" textlink="">
      <xdr:nvSpPr>
        <xdr:cNvPr id="8" name="Pentagon 7"/>
        <xdr:cNvSpPr/>
      </xdr:nvSpPr>
      <xdr:spPr>
        <a:xfrm>
          <a:off x="5408130" y="1091803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</xdr:col>
      <xdr:colOff>267124</xdr:colOff>
      <xdr:row>69</xdr:row>
      <xdr:rowOff>81184</xdr:rowOff>
    </xdr:from>
    <xdr:to>
      <xdr:col>4</xdr:col>
      <xdr:colOff>444843</xdr:colOff>
      <xdr:row>71</xdr:row>
      <xdr:rowOff>71380</xdr:rowOff>
    </xdr:to>
    <xdr:sp macro="" textlink="">
      <xdr:nvSpPr>
        <xdr:cNvPr id="10" name="Rounded Rectangle 9">
          <a:hlinkClick xmlns:r="http://schemas.openxmlformats.org/officeDocument/2006/relationships" r:id="rId6" tooltip="Sainsbury's KPIs"/>
        </xdr:cNvPr>
        <xdr:cNvSpPr/>
      </xdr:nvSpPr>
      <xdr:spPr>
        <a:xfrm>
          <a:off x="457624" y="11454034"/>
          <a:ext cx="920669" cy="275946"/>
        </a:xfrm>
        <a:prstGeom prst="roundRect">
          <a:avLst/>
        </a:prstGeom>
        <a:blipFill dpi="0" rotWithShape="1">
          <a:blip xmlns:r="http://schemas.openxmlformats.org/officeDocument/2006/relationships" r:embed="rId7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358647</xdr:colOff>
      <xdr:row>87</xdr:row>
      <xdr:rowOff>89588</xdr:rowOff>
    </xdr:from>
    <xdr:to>
      <xdr:col>4</xdr:col>
      <xdr:colOff>527263</xdr:colOff>
      <xdr:row>89</xdr:row>
      <xdr:rowOff>68577</xdr:rowOff>
    </xdr:to>
    <xdr:sp macro="" textlink="">
      <xdr:nvSpPr>
        <xdr:cNvPr id="11" name="Rounded Rectangle 10">
          <a:hlinkClick xmlns:r="http://schemas.openxmlformats.org/officeDocument/2006/relationships" r:id="rId8" tooltip="Whole Foods Market KPIs"/>
        </xdr:cNvPr>
        <xdr:cNvSpPr/>
      </xdr:nvSpPr>
      <xdr:spPr>
        <a:xfrm>
          <a:off x="549147" y="14072288"/>
          <a:ext cx="911566" cy="274264"/>
        </a:xfrm>
        <a:prstGeom prst="roundRect">
          <a:avLst/>
        </a:prstGeom>
        <a:blipFill dpi="0" rotWithShape="1">
          <a:blip xmlns:r="http://schemas.openxmlformats.org/officeDocument/2006/relationships" r:embed="rId9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221825</xdr:colOff>
      <xdr:row>52</xdr:row>
      <xdr:rowOff>39163</xdr:rowOff>
    </xdr:from>
    <xdr:to>
      <xdr:col>4</xdr:col>
      <xdr:colOff>405146</xdr:colOff>
      <xdr:row>54</xdr:row>
      <xdr:rowOff>29358</xdr:rowOff>
    </xdr:to>
    <xdr:sp macro="" textlink="">
      <xdr:nvSpPr>
        <xdr:cNvPr id="12" name="Rounded Rectangle 11">
          <a:hlinkClick xmlns:r="http://schemas.openxmlformats.org/officeDocument/2006/relationships" r:id="rId10" tooltip="Woolworths KPIs"/>
        </xdr:cNvPr>
        <xdr:cNvSpPr/>
      </xdr:nvSpPr>
      <xdr:spPr>
        <a:xfrm>
          <a:off x="412325" y="8973613"/>
          <a:ext cx="926271" cy="275945"/>
        </a:xfrm>
        <a:prstGeom prst="roundRect">
          <a:avLst/>
        </a:prstGeom>
        <a:blipFill dpi="0" rotWithShape="1">
          <a:blip xmlns:r="http://schemas.openxmlformats.org/officeDocument/2006/relationships" r:embed="rId11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503744</xdr:colOff>
      <xdr:row>4</xdr:row>
      <xdr:rowOff>113112</xdr:rowOff>
    </xdr:from>
    <xdr:to>
      <xdr:col>15</xdr:col>
      <xdr:colOff>23558</xdr:colOff>
      <xdr:row>6</xdr:row>
      <xdr:rowOff>36914</xdr:rowOff>
    </xdr:to>
    <xdr:grpSp>
      <xdr:nvGrpSpPr>
        <xdr:cNvPr id="13" name="Group 12"/>
        <xdr:cNvGrpSpPr/>
      </xdr:nvGrpSpPr>
      <xdr:grpSpPr>
        <a:xfrm>
          <a:off x="3646994" y="1077518"/>
          <a:ext cx="1639127" cy="1185865"/>
          <a:chOff x="247650" y="1083469"/>
          <a:chExt cx="1639127" cy="1185865"/>
        </a:xfrm>
      </xdr:grpSpPr>
      <xdr:sp macro="" textlink="">
        <xdr:nvSpPr>
          <xdr:cNvPr id="14" name="Pentagon 13"/>
          <xdr:cNvSpPr/>
        </xdr:nvSpPr>
        <xdr:spPr>
          <a:xfrm rot="5400000">
            <a:off x="561692" y="770554"/>
            <a:ext cx="994170" cy="1620000"/>
          </a:xfrm>
          <a:prstGeom prst="homePlate">
            <a:avLst>
              <a:gd name="adj" fmla="val 20334"/>
            </a:avLst>
          </a:prstGeom>
          <a:solidFill>
            <a:schemeClr val="bg1">
              <a:lumMod val="85000"/>
            </a:schemeClr>
          </a:solidFill>
          <a:ln w="28575">
            <a:solidFill>
              <a:srgbClr val="54B948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400" b="1"/>
          </a:p>
        </xdr:txBody>
      </xdr:sp>
      <xdr:sp macro="" textlink="">
        <xdr:nvSpPr>
          <xdr:cNvPr id="15" name="Chevron 14"/>
          <xdr:cNvSpPr/>
        </xdr:nvSpPr>
        <xdr:spPr>
          <a:xfrm rot="5400000">
            <a:off x="882567" y="1283124"/>
            <a:ext cx="361945" cy="1610475"/>
          </a:xfrm>
          <a:prstGeom prst="chevron">
            <a:avLst>
              <a:gd name="adj" fmla="val 53585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6" name="Straight Connector 15"/>
          <xdr:cNvCxnSpPr/>
        </xdr:nvCxnSpPr>
        <xdr:spPr>
          <a:xfrm>
            <a:off x="247650" y="1988343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  <xdr:cxnSp macro="">
        <xdr:nvCxnSpPr>
          <xdr:cNvPr id="17" name="Straight Connector 16"/>
          <xdr:cNvCxnSpPr/>
        </xdr:nvCxnSpPr>
        <xdr:spPr>
          <a:xfrm flipV="1">
            <a:off x="1058777" y="1988344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</xdr:grpSp>
    <xdr:clientData/>
  </xdr:twoCellAnchor>
  <xdr:twoCellAnchor>
    <xdr:from>
      <xdr:col>2</xdr:col>
      <xdr:colOff>172261</xdr:colOff>
      <xdr:row>15</xdr:row>
      <xdr:rowOff>23583</xdr:rowOff>
    </xdr:from>
    <xdr:to>
      <xdr:col>4</xdr:col>
      <xdr:colOff>445104</xdr:colOff>
      <xdr:row>17</xdr:row>
      <xdr:rowOff>71428</xdr:rowOff>
    </xdr:to>
    <xdr:sp macro="" textlink="">
      <xdr:nvSpPr>
        <xdr:cNvPr id="18" name="Rounded Rectangle 17">
          <a:hlinkClick xmlns:r="http://schemas.openxmlformats.org/officeDocument/2006/relationships" r:id="rId12" tooltip="Target KPIs"/>
        </xdr:cNvPr>
        <xdr:cNvSpPr/>
      </xdr:nvSpPr>
      <xdr:spPr>
        <a:xfrm>
          <a:off x="362761" y="3528783"/>
          <a:ext cx="1015793" cy="333595"/>
        </a:xfrm>
        <a:prstGeom prst="roundRect">
          <a:avLst/>
        </a:prstGeom>
        <a:blipFill dpi="0" rotWithShape="1">
          <a:blip xmlns:r="http://schemas.openxmlformats.org/officeDocument/2006/relationships" r:embed="rId13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47627</xdr:colOff>
      <xdr:row>2</xdr:row>
      <xdr:rowOff>202407</xdr:rowOff>
    </xdr:from>
    <xdr:to>
      <xdr:col>4</xdr:col>
      <xdr:colOff>583408</xdr:colOff>
      <xdr:row>5</xdr:row>
      <xdr:rowOff>35718</xdr:rowOff>
    </xdr:to>
    <xdr:sp macro="" textlink="">
      <xdr:nvSpPr>
        <xdr:cNvPr id="19" name="TextBox 18"/>
        <xdr:cNvSpPr txBox="1"/>
      </xdr:nvSpPr>
      <xdr:spPr>
        <a:xfrm>
          <a:off x="142877" y="850107"/>
          <a:ext cx="1373981" cy="27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Defects Density </a:t>
          </a:r>
          <a:endParaRPr lang="en-US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190501</xdr:colOff>
      <xdr:row>2</xdr:row>
      <xdr:rowOff>202407</xdr:rowOff>
    </xdr:from>
    <xdr:to>
      <xdr:col>10</xdr:col>
      <xdr:colOff>83345</xdr:colOff>
      <xdr:row>5</xdr:row>
      <xdr:rowOff>35718</xdr:rowOff>
    </xdr:to>
    <xdr:sp macro="" textlink="">
      <xdr:nvSpPr>
        <xdr:cNvPr id="21" name="TextBox 20"/>
        <xdr:cNvSpPr txBox="1"/>
      </xdr:nvSpPr>
      <xdr:spPr>
        <a:xfrm>
          <a:off x="1866901" y="850107"/>
          <a:ext cx="1378744" cy="27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Reopened</a:t>
          </a:r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426246</xdr:colOff>
      <xdr:row>2</xdr:row>
      <xdr:rowOff>202407</xdr:rowOff>
    </xdr:from>
    <xdr:to>
      <xdr:col>14</xdr:col>
      <xdr:colOff>319090</xdr:colOff>
      <xdr:row>5</xdr:row>
      <xdr:rowOff>35718</xdr:rowOff>
    </xdr:to>
    <xdr:sp macro="" textlink="">
      <xdr:nvSpPr>
        <xdr:cNvPr id="22" name="TextBox 21"/>
        <xdr:cNvSpPr txBox="1"/>
      </xdr:nvSpPr>
      <xdr:spPr>
        <a:xfrm>
          <a:off x="3588546" y="850107"/>
          <a:ext cx="1378744" cy="27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Regression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7147</xdr:colOff>
      <xdr:row>2</xdr:row>
      <xdr:rowOff>202407</xdr:rowOff>
    </xdr:from>
    <xdr:to>
      <xdr:col>18</xdr:col>
      <xdr:colOff>542929</xdr:colOff>
      <xdr:row>5</xdr:row>
      <xdr:rowOff>35718</xdr:rowOff>
    </xdr:to>
    <xdr:sp macro="" textlink="">
      <xdr:nvSpPr>
        <xdr:cNvPr id="23" name="TextBox 22"/>
        <xdr:cNvSpPr txBox="1"/>
      </xdr:nvSpPr>
      <xdr:spPr>
        <a:xfrm>
          <a:off x="5303047" y="850107"/>
          <a:ext cx="1373982" cy="27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Median Aging</a:t>
          </a:r>
        </a:p>
      </xdr:txBody>
    </xdr:sp>
    <xdr:clientData/>
  </xdr:twoCellAnchor>
  <xdr:twoCellAnchor>
    <xdr:from>
      <xdr:col>12</xdr:col>
      <xdr:colOff>270683</xdr:colOff>
      <xdr:row>5</xdr:row>
      <xdr:rowOff>77953</xdr:rowOff>
    </xdr:from>
    <xdr:to>
      <xdr:col>14</xdr:col>
      <xdr:colOff>180496</xdr:colOff>
      <xdr:row>5</xdr:row>
      <xdr:rowOff>725953</xdr:rowOff>
    </xdr:to>
    <xdr:sp macro="" textlink="Regression!A8">
      <xdr:nvSpPr>
        <xdr:cNvPr id="25" name="KPI Oval Reopen">
          <a:hlinkClick xmlns:r="http://schemas.openxmlformats.org/officeDocument/2006/relationships" r:id="rId14" tooltip="Projects Regression Defects"/>
        </xdr:cNvPr>
        <xdr:cNvSpPr>
          <a:spLocks noChangeArrowheads="1" noTextEdit="1"/>
        </xdr:cNvSpPr>
      </xdr:nvSpPr>
      <xdr:spPr bwMode="auto">
        <a:xfrm>
          <a:off x="4175933" y="1163803"/>
          <a:ext cx="652763" cy="648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fld id="{4679591F-5A83-4C3D-B0E3-15017AD0FF7B}" type="TxLink"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19%</a:t>
          </a:fld>
          <a:endParaRPr lang="en-US" sz="1100"/>
        </a:p>
      </xdr:txBody>
    </xdr:sp>
    <xdr:clientData/>
  </xdr:twoCellAnchor>
  <xdr:twoCellAnchor>
    <xdr:from>
      <xdr:col>16</xdr:col>
      <xdr:colOff>502980</xdr:colOff>
      <xdr:row>5</xdr:row>
      <xdr:rowOff>77953</xdr:rowOff>
    </xdr:from>
    <xdr:to>
      <xdr:col>18</xdr:col>
      <xdr:colOff>412793</xdr:colOff>
      <xdr:row>5</xdr:row>
      <xdr:rowOff>725953</xdr:rowOff>
    </xdr:to>
    <xdr:sp macro="" textlink="Median!A8">
      <xdr:nvSpPr>
        <xdr:cNvPr id="26" name="KPI Oval PDR">
          <a:hlinkClick xmlns:r="http://schemas.openxmlformats.org/officeDocument/2006/relationships" r:id="rId15" tooltip="Projects Median Defects Aging"/>
        </xdr:cNvPr>
        <xdr:cNvSpPr>
          <a:spLocks noChangeArrowheads="1" noTextEdit="1"/>
        </xdr:cNvSpPr>
      </xdr:nvSpPr>
      <xdr:spPr bwMode="auto">
        <a:xfrm>
          <a:off x="5894130" y="1163803"/>
          <a:ext cx="652763" cy="648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5E101A81-6856-4E0F-8ED4-12C9C825C590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3.71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58277</xdr:colOff>
      <xdr:row>4</xdr:row>
      <xdr:rowOff>113112</xdr:rowOff>
    </xdr:from>
    <xdr:to>
      <xdr:col>6</xdr:col>
      <xdr:colOff>201902</xdr:colOff>
      <xdr:row>5</xdr:row>
      <xdr:rowOff>786049</xdr:rowOff>
    </xdr:to>
    <xdr:sp macro="" textlink="">
      <xdr:nvSpPr>
        <xdr:cNvPr id="28" name="Pentagon 27"/>
        <xdr:cNvSpPr/>
      </xdr:nvSpPr>
      <xdr:spPr>
        <a:xfrm>
          <a:off x="248777" y="1075137"/>
          <a:ext cx="1629525" cy="796762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</xdr:col>
      <xdr:colOff>476251</xdr:colOff>
      <xdr:row>5</xdr:row>
      <xdr:rowOff>83344</xdr:rowOff>
    </xdr:from>
    <xdr:to>
      <xdr:col>4</xdr:col>
      <xdr:colOff>386063</xdr:colOff>
      <xdr:row>5</xdr:row>
      <xdr:rowOff>731344</xdr:rowOff>
    </xdr:to>
    <xdr:sp macro="" textlink="DDD!A8">
      <xdr:nvSpPr>
        <xdr:cNvPr id="29" name="KPI Oval Reopen">
          <a:hlinkClick xmlns:r="http://schemas.openxmlformats.org/officeDocument/2006/relationships" r:id="rId16" tooltip="Projects Defects Density"/>
        </xdr:cNvPr>
        <xdr:cNvSpPr>
          <a:spLocks noChangeArrowheads="1" noTextEdit="1"/>
        </xdr:cNvSpPr>
      </xdr:nvSpPr>
      <xdr:spPr bwMode="auto">
        <a:xfrm>
          <a:off x="666751" y="1169194"/>
          <a:ext cx="652762" cy="648000"/>
        </a:xfrm>
        <a:prstGeom prst="ellipse">
          <a:avLst/>
        </a:prstGeom>
        <a:gradFill flip="none" rotWithShape="1">
          <a:gsLst>
            <a:gs pos="0">
              <a:srgbClr val="FFC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78D15D5C-B907-46BB-B105-5C977F23C728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2.38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271447</xdr:colOff>
      <xdr:row>4</xdr:row>
      <xdr:rowOff>113112</xdr:rowOff>
    </xdr:from>
    <xdr:to>
      <xdr:col>10</xdr:col>
      <xdr:colOff>415072</xdr:colOff>
      <xdr:row>5</xdr:row>
      <xdr:rowOff>786049</xdr:rowOff>
    </xdr:to>
    <xdr:sp macro="" textlink="">
      <xdr:nvSpPr>
        <xdr:cNvPr id="35" name="Pentagon 34"/>
        <xdr:cNvSpPr/>
      </xdr:nvSpPr>
      <xdr:spPr>
        <a:xfrm>
          <a:off x="1938322" y="1077518"/>
          <a:ext cx="1620000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8</xdr:col>
      <xdr:colOff>38386</xdr:colOff>
      <xdr:row>5</xdr:row>
      <xdr:rowOff>77953</xdr:rowOff>
    </xdr:from>
    <xdr:to>
      <xdr:col>9</xdr:col>
      <xdr:colOff>43449</xdr:colOff>
      <xdr:row>5</xdr:row>
      <xdr:rowOff>725953</xdr:rowOff>
    </xdr:to>
    <xdr:sp macro="" textlink="Reopened!A8">
      <xdr:nvSpPr>
        <xdr:cNvPr id="20" name="KPI Oval INAB">
          <a:hlinkClick xmlns:r="http://schemas.openxmlformats.org/officeDocument/2006/relationships" r:id="rId17" tooltip="Projects Defects Reopened"/>
        </xdr:cNvPr>
        <xdr:cNvSpPr>
          <a:spLocks noChangeArrowheads="1" noTextEdit="1"/>
        </xdr:cNvSpPr>
      </xdr:nvSpPr>
      <xdr:spPr bwMode="auto">
        <a:xfrm>
          <a:off x="2457736" y="1163803"/>
          <a:ext cx="652763" cy="648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1E5F36A9-A0B1-4C9D-B088-2729AD2BFAA4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24%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250031</xdr:colOff>
      <xdr:row>10</xdr:row>
      <xdr:rowOff>35718</xdr:rowOff>
    </xdr:from>
    <xdr:to>
      <xdr:col>30</xdr:col>
      <xdr:colOff>571781</xdr:colOff>
      <xdr:row>23</xdr:row>
      <xdr:rowOff>110156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250031</xdr:colOff>
      <xdr:row>28</xdr:row>
      <xdr:rowOff>89963</xdr:rowOff>
    </xdr:from>
    <xdr:to>
      <xdr:col>30</xdr:col>
      <xdr:colOff>571781</xdr:colOff>
      <xdr:row>41</xdr:row>
      <xdr:rowOff>164401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</xdr:col>
      <xdr:colOff>250031</xdr:colOff>
      <xdr:row>47</xdr:row>
      <xdr:rowOff>10</xdr:rowOff>
    </xdr:from>
    <xdr:to>
      <xdr:col>30</xdr:col>
      <xdr:colOff>571781</xdr:colOff>
      <xdr:row>59</xdr:row>
      <xdr:rowOff>169697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6</xdr:col>
      <xdr:colOff>250031</xdr:colOff>
      <xdr:row>65</xdr:row>
      <xdr:rowOff>5308</xdr:rowOff>
    </xdr:from>
    <xdr:to>
      <xdr:col>30</xdr:col>
      <xdr:colOff>571781</xdr:colOff>
      <xdr:row>77</xdr:row>
      <xdr:rowOff>174995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</xdr:col>
      <xdr:colOff>250031</xdr:colOff>
      <xdr:row>82</xdr:row>
      <xdr:rowOff>84688</xdr:rowOff>
    </xdr:from>
    <xdr:to>
      <xdr:col>30</xdr:col>
      <xdr:colOff>571781</xdr:colOff>
      <xdr:row>95</xdr:row>
      <xdr:rowOff>159126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6</xdr:col>
      <xdr:colOff>240050</xdr:colOff>
      <xdr:row>100</xdr:row>
      <xdr:rowOff>161786</xdr:rowOff>
    </xdr:from>
    <xdr:to>
      <xdr:col>30</xdr:col>
      <xdr:colOff>489131</xdr:colOff>
      <xdr:row>102</xdr:row>
      <xdr:rowOff>106558</xdr:rowOff>
    </xdr:to>
    <xdr:graphicFrame macro="">
      <xdr:nvGraphicFramePr>
        <xdr:cNvPr id="41" name="Chart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904876</xdr:rowOff>
    </xdr:from>
    <xdr:to>
      <xdr:col>32</xdr:col>
      <xdr:colOff>84668</xdr:colOff>
      <xdr:row>100</xdr:row>
      <xdr:rowOff>117786</xdr:rowOff>
    </xdr:to>
    <xdr:sp macro="" textlink="">
      <xdr:nvSpPr>
        <xdr:cNvPr id="2" name="Rectangle 1"/>
        <xdr:cNvSpPr/>
      </xdr:nvSpPr>
      <xdr:spPr>
        <a:xfrm>
          <a:off x="95250" y="1990726"/>
          <a:ext cx="11324168" cy="13929035"/>
        </a:xfrm>
        <a:prstGeom prst="rect">
          <a:avLst/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 editAs="oneCell">
    <xdr:from>
      <xdr:col>1</xdr:col>
      <xdr:colOff>35720</xdr:colOff>
      <xdr:row>106</xdr:row>
      <xdr:rowOff>22264</xdr:rowOff>
    </xdr:from>
    <xdr:to>
      <xdr:col>6</xdr:col>
      <xdr:colOff>283371</xdr:colOff>
      <xdr:row>106</xdr:row>
      <xdr:rowOff>488782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clrChange>
            <a:clrFrom>
              <a:srgbClr val="7DC243"/>
            </a:clrFrom>
            <a:clrTo>
              <a:srgbClr val="7DC243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 l="15730" t="38153" r="13916" b="38388"/>
        <a:stretch/>
      </xdr:blipFill>
      <xdr:spPr>
        <a:xfrm>
          <a:off x="130970" y="16681489"/>
          <a:ext cx="1828801" cy="466518"/>
        </a:xfrm>
        <a:prstGeom prst="rect">
          <a:avLst/>
        </a:prstGeom>
      </xdr:spPr>
    </xdr:pic>
    <xdr:clientData/>
  </xdr:twoCellAnchor>
  <xdr:twoCellAnchor>
    <xdr:from>
      <xdr:col>26</xdr:col>
      <xdr:colOff>10946</xdr:colOff>
      <xdr:row>1</xdr:row>
      <xdr:rowOff>317221</xdr:rowOff>
    </xdr:from>
    <xdr:to>
      <xdr:col>28</xdr:col>
      <xdr:colOff>342553</xdr:colOff>
      <xdr:row>2</xdr:row>
      <xdr:rowOff>161228</xdr:rowOff>
    </xdr:to>
    <xdr:sp macro="" textlink="">
      <xdr:nvSpPr>
        <xdr:cNvPr id="4" name="Rounded Rectangle 3" hidden="1">
          <a:hlinkClick xmlns:r="http://schemas.openxmlformats.org/officeDocument/2006/relationships" r:id="rId2" tooltip="Dev KPI"/>
        </xdr:cNvPr>
        <xdr:cNvSpPr/>
      </xdr:nvSpPr>
      <xdr:spPr>
        <a:xfrm>
          <a:off x="9116846" y="517246"/>
          <a:ext cx="1074557" cy="291682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Dev KPI</a:t>
          </a:r>
        </a:p>
      </xdr:txBody>
    </xdr:sp>
    <xdr:clientData/>
  </xdr:twoCellAnchor>
  <xdr:twoCellAnchor>
    <xdr:from>
      <xdr:col>28</xdr:col>
      <xdr:colOff>449096</xdr:colOff>
      <xdr:row>1</xdr:row>
      <xdr:rowOff>319944</xdr:rowOff>
    </xdr:from>
    <xdr:to>
      <xdr:col>32</xdr:col>
      <xdr:colOff>37913</xdr:colOff>
      <xdr:row>2</xdr:row>
      <xdr:rowOff>163951</xdr:rowOff>
    </xdr:to>
    <xdr:sp macro="" textlink="">
      <xdr:nvSpPr>
        <xdr:cNvPr id="5" name="Rounded Rectangle 4">
          <a:hlinkClick xmlns:r="http://schemas.openxmlformats.org/officeDocument/2006/relationships" r:id="rId3" tooltip="Back to Dashboard"/>
        </xdr:cNvPr>
        <xdr:cNvSpPr/>
      </xdr:nvSpPr>
      <xdr:spPr>
        <a:xfrm>
          <a:off x="10297946" y="519969"/>
          <a:ext cx="1074717" cy="291682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>
    <xdr:from>
      <xdr:col>2</xdr:col>
      <xdr:colOff>265052</xdr:colOff>
      <xdr:row>33</xdr:row>
      <xdr:rowOff>178365</xdr:rowOff>
    </xdr:from>
    <xdr:to>
      <xdr:col>4</xdr:col>
      <xdr:colOff>459720</xdr:colOff>
      <xdr:row>35</xdr:row>
      <xdr:rowOff>173105</xdr:rowOff>
    </xdr:to>
    <xdr:sp macro="" textlink="">
      <xdr:nvSpPr>
        <xdr:cNvPr id="6" name="Rounded Rectangle 5">
          <a:hlinkClick xmlns:r="http://schemas.openxmlformats.org/officeDocument/2006/relationships" r:id="rId4" tooltip="Coles KPIs"/>
        </xdr:cNvPr>
        <xdr:cNvSpPr/>
      </xdr:nvSpPr>
      <xdr:spPr>
        <a:xfrm>
          <a:off x="455552" y="6312465"/>
          <a:ext cx="937618" cy="280490"/>
        </a:xfrm>
        <a:prstGeom prst="roundRect">
          <a:avLst/>
        </a:prstGeom>
        <a:blipFill dpi="0" rotWithShape="1">
          <a:blip xmlns:r="http://schemas.openxmlformats.org/officeDocument/2006/relationships" r:embed="rId5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267124</xdr:colOff>
      <xdr:row>69</xdr:row>
      <xdr:rowOff>81184</xdr:rowOff>
    </xdr:from>
    <xdr:to>
      <xdr:col>4</xdr:col>
      <xdr:colOff>444843</xdr:colOff>
      <xdr:row>71</xdr:row>
      <xdr:rowOff>71380</xdr:rowOff>
    </xdr:to>
    <xdr:sp macro="" textlink="">
      <xdr:nvSpPr>
        <xdr:cNvPr id="9" name="Rounded Rectangle 8">
          <a:hlinkClick xmlns:r="http://schemas.openxmlformats.org/officeDocument/2006/relationships" r:id="rId6" tooltip="Sainsbury's KPIs"/>
        </xdr:cNvPr>
        <xdr:cNvSpPr/>
      </xdr:nvSpPr>
      <xdr:spPr>
        <a:xfrm>
          <a:off x="457624" y="11454034"/>
          <a:ext cx="920669" cy="275946"/>
        </a:xfrm>
        <a:prstGeom prst="roundRect">
          <a:avLst/>
        </a:prstGeom>
        <a:blipFill dpi="0" rotWithShape="1">
          <a:blip xmlns:r="http://schemas.openxmlformats.org/officeDocument/2006/relationships" r:embed="rId7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358647</xdr:colOff>
      <xdr:row>87</xdr:row>
      <xdr:rowOff>89588</xdr:rowOff>
    </xdr:from>
    <xdr:to>
      <xdr:col>4</xdr:col>
      <xdr:colOff>527263</xdr:colOff>
      <xdr:row>89</xdr:row>
      <xdr:rowOff>68577</xdr:rowOff>
    </xdr:to>
    <xdr:sp macro="" textlink="">
      <xdr:nvSpPr>
        <xdr:cNvPr id="10" name="Rounded Rectangle 9">
          <a:hlinkClick xmlns:r="http://schemas.openxmlformats.org/officeDocument/2006/relationships" r:id="rId8" tooltip="Whole Foods Market KPIs"/>
        </xdr:cNvPr>
        <xdr:cNvSpPr/>
      </xdr:nvSpPr>
      <xdr:spPr>
        <a:xfrm>
          <a:off x="549147" y="14072288"/>
          <a:ext cx="911566" cy="274264"/>
        </a:xfrm>
        <a:prstGeom prst="roundRect">
          <a:avLst/>
        </a:prstGeom>
        <a:blipFill dpi="0" rotWithShape="1">
          <a:blip xmlns:r="http://schemas.openxmlformats.org/officeDocument/2006/relationships" r:embed="rId9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221825</xdr:colOff>
      <xdr:row>52</xdr:row>
      <xdr:rowOff>39163</xdr:rowOff>
    </xdr:from>
    <xdr:to>
      <xdr:col>4</xdr:col>
      <xdr:colOff>405146</xdr:colOff>
      <xdr:row>54</xdr:row>
      <xdr:rowOff>29358</xdr:rowOff>
    </xdr:to>
    <xdr:sp macro="" textlink="">
      <xdr:nvSpPr>
        <xdr:cNvPr id="11" name="Rounded Rectangle 10">
          <a:hlinkClick xmlns:r="http://schemas.openxmlformats.org/officeDocument/2006/relationships" r:id="rId10" tooltip="Woolworths KPIs"/>
        </xdr:cNvPr>
        <xdr:cNvSpPr/>
      </xdr:nvSpPr>
      <xdr:spPr>
        <a:xfrm>
          <a:off x="412325" y="8973613"/>
          <a:ext cx="926271" cy="275945"/>
        </a:xfrm>
        <a:prstGeom prst="roundRect">
          <a:avLst/>
        </a:prstGeom>
        <a:blipFill dpi="0" rotWithShape="1">
          <a:blip xmlns:r="http://schemas.openxmlformats.org/officeDocument/2006/relationships" r:embed="rId11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93103</xdr:colOff>
      <xdr:row>4</xdr:row>
      <xdr:rowOff>113112</xdr:rowOff>
    </xdr:from>
    <xdr:to>
      <xdr:col>20</xdr:col>
      <xdr:colOff>160605</xdr:colOff>
      <xdr:row>6</xdr:row>
      <xdr:rowOff>36914</xdr:rowOff>
    </xdr:to>
    <xdr:grpSp>
      <xdr:nvGrpSpPr>
        <xdr:cNvPr id="12" name="Group 11"/>
        <xdr:cNvGrpSpPr/>
      </xdr:nvGrpSpPr>
      <xdr:grpSpPr>
        <a:xfrm>
          <a:off x="5355666" y="1077518"/>
          <a:ext cx="1639127" cy="1185865"/>
          <a:chOff x="247650" y="1083469"/>
          <a:chExt cx="1639127" cy="1185865"/>
        </a:xfrm>
      </xdr:grpSpPr>
      <xdr:sp macro="" textlink="">
        <xdr:nvSpPr>
          <xdr:cNvPr id="13" name="Pentagon 12"/>
          <xdr:cNvSpPr/>
        </xdr:nvSpPr>
        <xdr:spPr>
          <a:xfrm rot="5400000">
            <a:off x="561692" y="770554"/>
            <a:ext cx="994170" cy="1620000"/>
          </a:xfrm>
          <a:prstGeom prst="homePlate">
            <a:avLst>
              <a:gd name="adj" fmla="val 20334"/>
            </a:avLst>
          </a:prstGeom>
          <a:solidFill>
            <a:schemeClr val="bg1">
              <a:lumMod val="85000"/>
            </a:schemeClr>
          </a:solidFill>
          <a:ln w="28575">
            <a:solidFill>
              <a:srgbClr val="54B948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400" b="1"/>
          </a:p>
        </xdr:txBody>
      </xdr:sp>
      <xdr:sp macro="" textlink="">
        <xdr:nvSpPr>
          <xdr:cNvPr id="14" name="Chevron 13"/>
          <xdr:cNvSpPr/>
        </xdr:nvSpPr>
        <xdr:spPr>
          <a:xfrm rot="5400000">
            <a:off x="882567" y="1283124"/>
            <a:ext cx="361945" cy="1610475"/>
          </a:xfrm>
          <a:prstGeom prst="chevron">
            <a:avLst>
              <a:gd name="adj" fmla="val 53585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5" name="Straight Connector 14"/>
          <xdr:cNvCxnSpPr/>
        </xdr:nvCxnSpPr>
        <xdr:spPr>
          <a:xfrm>
            <a:off x="247650" y="1988343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  <xdr:cxnSp macro="">
        <xdr:nvCxnSpPr>
          <xdr:cNvPr id="16" name="Straight Connector 15"/>
          <xdr:cNvCxnSpPr/>
        </xdr:nvCxnSpPr>
        <xdr:spPr>
          <a:xfrm flipV="1">
            <a:off x="1058777" y="1988344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</xdr:grpSp>
    <xdr:clientData/>
  </xdr:twoCellAnchor>
  <xdr:twoCellAnchor>
    <xdr:from>
      <xdr:col>2</xdr:col>
      <xdr:colOff>172261</xdr:colOff>
      <xdr:row>15</xdr:row>
      <xdr:rowOff>23583</xdr:rowOff>
    </xdr:from>
    <xdr:to>
      <xdr:col>4</xdr:col>
      <xdr:colOff>445104</xdr:colOff>
      <xdr:row>17</xdr:row>
      <xdr:rowOff>71428</xdr:rowOff>
    </xdr:to>
    <xdr:sp macro="" textlink="">
      <xdr:nvSpPr>
        <xdr:cNvPr id="17" name="Rounded Rectangle 16">
          <a:hlinkClick xmlns:r="http://schemas.openxmlformats.org/officeDocument/2006/relationships" r:id="rId12" tooltip="Target KPIs"/>
        </xdr:cNvPr>
        <xdr:cNvSpPr/>
      </xdr:nvSpPr>
      <xdr:spPr>
        <a:xfrm>
          <a:off x="362761" y="3528783"/>
          <a:ext cx="1015793" cy="333595"/>
        </a:xfrm>
        <a:prstGeom prst="roundRect">
          <a:avLst/>
        </a:prstGeom>
        <a:blipFill dpi="0" rotWithShape="1">
          <a:blip xmlns:r="http://schemas.openxmlformats.org/officeDocument/2006/relationships" r:embed="rId13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47627</xdr:colOff>
      <xdr:row>2</xdr:row>
      <xdr:rowOff>202407</xdr:rowOff>
    </xdr:from>
    <xdr:to>
      <xdr:col>4</xdr:col>
      <xdr:colOff>583408</xdr:colOff>
      <xdr:row>5</xdr:row>
      <xdr:rowOff>35718</xdr:rowOff>
    </xdr:to>
    <xdr:sp macro="" textlink="">
      <xdr:nvSpPr>
        <xdr:cNvPr id="18" name="TextBox 17"/>
        <xdr:cNvSpPr txBox="1"/>
      </xdr:nvSpPr>
      <xdr:spPr>
        <a:xfrm>
          <a:off x="142877" y="850107"/>
          <a:ext cx="1373981" cy="27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Defects Density </a:t>
          </a:r>
          <a:endParaRPr lang="en-US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190501</xdr:colOff>
      <xdr:row>2</xdr:row>
      <xdr:rowOff>202407</xdr:rowOff>
    </xdr:from>
    <xdr:to>
      <xdr:col>10</xdr:col>
      <xdr:colOff>83345</xdr:colOff>
      <xdr:row>5</xdr:row>
      <xdr:rowOff>35718</xdr:rowOff>
    </xdr:to>
    <xdr:sp macro="" textlink="">
      <xdr:nvSpPr>
        <xdr:cNvPr id="19" name="TextBox 18"/>
        <xdr:cNvSpPr txBox="1"/>
      </xdr:nvSpPr>
      <xdr:spPr>
        <a:xfrm>
          <a:off x="1866901" y="850107"/>
          <a:ext cx="1378744" cy="27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Reopened</a:t>
          </a:r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426246</xdr:colOff>
      <xdr:row>2</xdr:row>
      <xdr:rowOff>202407</xdr:rowOff>
    </xdr:from>
    <xdr:to>
      <xdr:col>14</xdr:col>
      <xdr:colOff>319090</xdr:colOff>
      <xdr:row>5</xdr:row>
      <xdr:rowOff>35718</xdr:rowOff>
    </xdr:to>
    <xdr:sp macro="" textlink="">
      <xdr:nvSpPr>
        <xdr:cNvPr id="20" name="TextBox 19"/>
        <xdr:cNvSpPr txBox="1"/>
      </xdr:nvSpPr>
      <xdr:spPr>
        <a:xfrm>
          <a:off x="3588546" y="850107"/>
          <a:ext cx="1378744" cy="27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Regression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7147</xdr:colOff>
      <xdr:row>2</xdr:row>
      <xdr:rowOff>202407</xdr:rowOff>
    </xdr:from>
    <xdr:to>
      <xdr:col>18</xdr:col>
      <xdr:colOff>542929</xdr:colOff>
      <xdr:row>5</xdr:row>
      <xdr:rowOff>35718</xdr:rowOff>
    </xdr:to>
    <xdr:sp macro="" textlink="">
      <xdr:nvSpPr>
        <xdr:cNvPr id="21" name="TextBox 20"/>
        <xdr:cNvSpPr txBox="1"/>
      </xdr:nvSpPr>
      <xdr:spPr>
        <a:xfrm>
          <a:off x="5303047" y="850107"/>
          <a:ext cx="1373982" cy="27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Median Aging</a:t>
          </a:r>
        </a:p>
      </xdr:txBody>
    </xdr:sp>
    <xdr:clientData/>
  </xdr:twoCellAnchor>
  <xdr:twoCellAnchor>
    <xdr:from>
      <xdr:col>16</xdr:col>
      <xdr:colOff>502980</xdr:colOff>
      <xdr:row>5</xdr:row>
      <xdr:rowOff>77953</xdr:rowOff>
    </xdr:from>
    <xdr:to>
      <xdr:col>18</xdr:col>
      <xdr:colOff>412793</xdr:colOff>
      <xdr:row>5</xdr:row>
      <xdr:rowOff>725953</xdr:rowOff>
    </xdr:to>
    <xdr:sp macro="" textlink="Median!A8">
      <xdr:nvSpPr>
        <xdr:cNvPr id="24" name="KPI Oval PDR">
          <a:hlinkClick xmlns:r="http://schemas.openxmlformats.org/officeDocument/2006/relationships" r:id="rId14" tooltip="Projects Median Defects Aging"/>
        </xdr:cNvPr>
        <xdr:cNvSpPr>
          <a:spLocks noChangeArrowheads="1" noTextEdit="1"/>
        </xdr:cNvSpPr>
      </xdr:nvSpPr>
      <xdr:spPr bwMode="auto">
        <a:xfrm>
          <a:off x="5894130" y="1163803"/>
          <a:ext cx="652763" cy="648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5E101A81-6856-4E0F-8ED4-12C9C825C590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3.71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58277</xdr:colOff>
      <xdr:row>4</xdr:row>
      <xdr:rowOff>113112</xdr:rowOff>
    </xdr:from>
    <xdr:to>
      <xdr:col>6</xdr:col>
      <xdr:colOff>201902</xdr:colOff>
      <xdr:row>5</xdr:row>
      <xdr:rowOff>786049</xdr:rowOff>
    </xdr:to>
    <xdr:sp macro="" textlink="">
      <xdr:nvSpPr>
        <xdr:cNvPr id="26" name="Pentagon 25"/>
        <xdr:cNvSpPr/>
      </xdr:nvSpPr>
      <xdr:spPr>
        <a:xfrm>
          <a:off x="248777" y="1075137"/>
          <a:ext cx="1629525" cy="796762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</xdr:col>
      <xdr:colOff>476251</xdr:colOff>
      <xdr:row>5</xdr:row>
      <xdr:rowOff>83344</xdr:rowOff>
    </xdr:from>
    <xdr:to>
      <xdr:col>4</xdr:col>
      <xdr:colOff>386063</xdr:colOff>
      <xdr:row>5</xdr:row>
      <xdr:rowOff>731344</xdr:rowOff>
    </xdr:to>
    <xdr:sp macro="" textlink="DDD!A8">
      <xdr:nvSpPr>
        <xdr:cNvPr id="27" name="KPI Oval Reopen">
          <a:hlinkClick xmlns:r="http://schemas.openxmlformats.org/officeDocument/2006/relationships" r:id="rId14" tooltip="Projects Defects Density"/>
        </xdr:cNvPr>
        <xdr:cNvSpPr>
          <a:spLocks noChangeArrowheads="1" noTextEdit="1"/>
        </xdr:cNvSpPr>
      </xdr:nvSpPr>
      <xdr:spPr bwMode="auto">
        <a:xfrm>
          <a:off x="666751" y="1169194"/>
          <a:ext cx="652762" cy="648000"/>
        </a:xfrm>
        <a:prstGeom prst="ellipse">
          <a:avLst/>
        </a:prstGeom>
        <a:gradFill flip="none" rotWithShape="1">
          <a:gsLst>
            <a:gs pos="0">
              <a:srgbClr val="FFC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78D15D5C-B907-46BB-B105-5C977F23C728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2.38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271447</xdr:colOff>
      <xdr:row>4</xdr:row>
      <xdr:rowOff>113112</xdr:rowOff>
    </xdr:from>
    <xdr:to>
      <xdr:col>10</xdr:col>
      <xdr:colOff>415072</xdr:colOff>
      <xdr:row>5</xdr:row>
      <xdr:rowOff>786049</xdr:rowOff>
    </xdr:to>
    <xdr:sp macro="" textlink="">
      <xdr:nvSpPr>
        <xdr:cNvPr id="28" name="Pentagon 27"/>
        <xdr:cNvSpPr/>
      </xdr:nvSpPr>
      <xdr:spPr>
        <a:xfrm>
          <a:off x="1947847" y="1075137"/>
          <a:ext cx="1629525" cy="796762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8</xdr:col>
      <xdr:colOff>38386</xdr:colOff>
      <xdr:row>5</xdr:row>
      <xdr:rowOff>77953</xdr:rowOff>
    </xdr:from>
    <xdr:to>
      <xdr:col>9</xdr:col>
      <xdr:colOff>43449</xdr:colOff>
      <xdr:row>5</xdr:row>
      <xdr:rowOff>725953</xdr:rowOff>
    </xdr:to>
    <xdr:sp macro="" textlink="Reopened!A8">
      <xdr:nvSpPr>
        <xdr:cNvPr id="29" name="KPI Oval INAB">
          <a:hlinkClick xmlns:r="http://schemas.openxmlformats.org/officeDocument/2006/relationships" r:id="rId15" tooltip="Projects Defects Reopened"/>
        </xdr:cNvPr>
        <xdr:cNvSpPr>
          <a:spLocks noChangeArrowheads="1" noTextEdit="1"/>
        </xdr:cNvSpPr>
      </xdr:nvSpPr>
      <xdr:spPr bwMode="auto">
        <a:xfrm>
          <a:off x="2457736" y="1163803"/>
          <a:ext cx="652763" cy="648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1E5F36A9-A0B1-4C9D-B088-2729AD2BFAA4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24%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10</xdr:col>
      <xdr:colOff>503744</xdr:colOff>
      <xdr:row>4</xdr:row>
      <xdr:rowOff>113112</xdr:rowOff>
    </xdr:from>
    <xdr:to>
      <xdr:col>15</xdr:col>
      <xdr:colOff>4431</xdr:colOff>
      <xdr:row>5</xdr:row>
      <xdr:rowOff>786049</xdr:rowOff>
    </xdr:to>
    <xdr:sp macro="" textlink="">
      <xdr:nvSpPr>
        <xdr:cNvPr id="35" name="Pentagon 34"/>
        <xdr:cNvSpPr/>
      </xdr:nvSpPr>
      <xdr:spPr>
        <a:xfrm>
          <a:off x="3646994" y="1077518"/>
          <a:ext cx="1620000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12</xdr:col>
      <xdr:colOff>270683</xdr:colOff>
      <xdr:row>5</xdr:row>
      <xdr:rowOff>77953</xdr:rowOff>
    </xdr:from>
    <xdr:to>
      <xdr:col>14</xdr:col>
      <xdr:colOff>180496</xdr:colOff>
      <xdr:row>5</xdr:row>
      <xdr:rowOff>725953</xdr:rowOff>
    </xdr:to>
    <xdr:sp macro="" textlink="Regression!A8">
      <xdr:nvSpPr>
        <xdr:cNvPr id="23" name="KPI Oval Reopen">
          <a:hlinkClick xmlns:r="http://schemas.openxmlformats.org/officeDocument/2006/relationships" r:id="rId16" tooltip="Projects Regression Defects"/>
        </xdr:cNvPr>
        <xdr:cNvSpPr>
          <a:spLocks noChangeArrowheads="1" noTextEdit="1"/>
        </xdr:cNvSpPr>
      </xdr:nvSpPr>
      <xdr:spPr bwMode="auto">
        <a:xfrm>
          <a:off x="4175933" y="1163803"/>
          <a:ext cx="652763" cy="648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fld id="{4679591F-5A83-4C3D-B0E3-15017AD0FF7B}" type="TxLink"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19%</a:t>
          </a:fld>
          <a:endParaRPr lang="en-US" sz="1100"/>
        </a:p>
      </xdr:txBody>
    </xdr:sp>
    <xdr:clientData/>
  </xdr:twoCellAnchor>
  <xdr:twoCellAnchor>
    <xdr:from>
      <xdr:col>6</xdr:col>
      <xdr:colOff>226318</xdr:colOff>
      <xdr:row>10</xdr:row>
      <xdr:rowOff>71437</xdr:rowOff>
    </xdr:from>
    <xdr:to>
      <xdr:col>28</xdr:col>
      <xdr:colOff>26255</xdr:colOff>
      <xdr:row>23</xdr:row>
      <xdr:rowOff>109875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226319</xdr:colOff>
      <xdr:row>28</xdr:row>
      <xdr:rowOff>93932</xdr:rowOff>
    </xdr:from>
    <xdr:to>
      <xdr:col>28</xdr:col>
      <xdr:colOff>26256</xdr:colOff>
      <xdr:row>41</xdr:row>
      <xdr:rowOff>132370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226319</xdr:colOff>
      <xdr:row>82</xdr:row>
      <xdr:rowOff>86012</xdr:rowOff>
    </xdr:from>
    <xdr:to>
      <xdr:col>28</xdr:col>
      <xdr:colOff>26256</xdr:colOff>
      <xdr:row>95</xdr:row>
      <xdr:rowOff>124450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</xdr:col>
      <xdr:colOff>226319</xdr:colOff>
      <xdr:row>64</xdr:row>
      <xdr:rowOff>91298</xdr:rowOff>
    </xdr:from>
    <xdr:to>
      <xdr:col>28</xdr:col>
      <xdr:colOff>26256</xdr:colOff>
      <xdr:row>77</xdr:row>
      <xdr:rowOff>129736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6</xdr:col>
      <xdr:colOff>226319</xdr:colOff>
      <xdr:row>46</xdr:row>
      <xdr:rowOff>86002</xdr:rowOff>
    </xdr:from>
    <xdr:to>
      <xdr:col>28</xdr:col>
      <xdr:colOff>26256</xdr:colOff>
      <xdr:row>59</xdr:row>
      <xdr:rowOff>124438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904876</xdr:rowOff>
    </xdr:from>
    <xdr:to>
      <xdr:col>32</xdr:col>
      <xdr:colOff>84668</xdr:colOff>
      <xdr:row>100</xdr:row>
      <xdr:rowOff>117786</xdr:rowOff>
    </xdr:to>
    <xdr:sp macro="" textlink="">
      <xdr:nvSpPr>
        <xdr:cNvPr id="2" name="Rectangle 1"/>
        <xdr:cNvSpPr/>
      </xdr:nvSpPr>
      <xdr:spPr>
        <a:xfrm>
          <a:off x="95250" y="1990726"/>
          <a:ext cx="11324168" cy="13929035"/>
        </a:xfrm>
        <a:prstGeom prst="rect">
          <a:avLst/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10</xdr:col>
      <xdr:colOff>522871</xdr:colOff>
      <xdr:row>5</xdr:row>
      <xdr:rowOff>5953</xdr:rowOff>
    </xdr:from>
    <xdr:to>
      <xdr:col>15</xdr:col>
      <xdr:colOff>23558</xdr:colOff>
      <xdr:row>5</xdr:row>
      <xdr:rowOff>797953</xdr:rowOff>
    </xdr:to>
    <xdr:sp macro="" textlink="">
      <xdr:nvSpPr>
        <xdr:cNvPr id="3" name="Pentagon 2"/>
        <xdr:cNvSpPr/>
      </xdr:nvSpPr>
      <xdr:spPr>
        <a:xfrm>
          <a:off x="3685171" y="1091803"/>
          <a:ext cx="1634287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 editAs="oneCell">
    <xdr:from>
      <xdr:col>1</xdr:col>
      <xdr:colOff>35720</xdr:colOff>
      <xdr:row>106</xdr:row>
      <xdr:rowOff>22264</xdr:rowOff>
    </xdr:from>
    <xdr:to>
      <xdr:col>6</xdr:col>
      <xdr:colOff>283371</xdr:colOff>
      <xdr:row>106</xdr:row>
      <xdr:rowOff>488782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clrChange>
            <a:clrFrom>
              <a:srgbClr val="7DC243"/>
            </a:clrFrom>
            <a:clrTo>
              <a:srgbClr val="7DC243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 l="15730" t="38153" r="13916" b="38388"/>
        <a:stretch/>
      </xdr:blipFill>
      <xdr:spPr>
        <a:xfrm>
          <a:off x="130970" y="16681489"/>
          <a:ext cx="1828801" cy="466518"/>
        </a:xfrm>
        <a:prstGeom prst="rect">
          <a:avLst/>
        </a:prstGeom>
      </xdr:spPr>
    </xdr:pic>
    <xdr:clientData/>
  </xdr:twoCellAnchor>
  <xdr:twoCellAnchor>
    <xdr:from>
      <xdr:col>26</xdr:col>
      <xdr:colOff>10946</xdr:colOff>
      <xdr:row>1</xdr:row>
      <xdr:rowOff>317221</xdr:rowOff>
    </xdr:from>
    <xdr:to>
      <xdr:col>28</xdr:col>
      <xdr:colOff>342553</xdr:colOff>
      <xdr:row>2</xdr:row>
      <xdr:rowOff>161228</xdr:rowOff>
    </xdr:to>
    <xdr:sp macro="" textlink="">
      <xdr:nvSpPr>
        <xdr:cNvPr id="5" name="Rounded Rectangle 4">
          <a:hlinkClick xmlns:r="http://schemas.openxmlformats.org/officeDocument/2006/relationships" r:id="rId2" tooltip="Dev KPI"/>
        </xdr:cNvPr>
        <xdr:cNvSpPr/>
      </xdr:nvSpPr>
      <xdr:spPr>
        <a:xfrm>
          <a:off x="9116846" y="517246"/>
          <a:ext cx="1074557" cy="291682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Dev KPI</a:t>
          </a:r>
        </a:p>
      </xdr:txBody>
    </xdr:sp>
    <xdr:clientData/>
  </xdr:twoCellAnchor>
  <xdr:twoCellAnchor>
    <xdr:from>
      <xdr:col>28</xdr:col>
      <xdr:colOff>449096</xdr:colOff>
      <xdr:row>1</xdr:row>
      <xdr:rowOff>319944</xdr:rowOff>
    </xdr:from>
    <xdr:to>
      <xdr:col>32</xdr:col>
      <xdr:colOff>37913</xdr:colOff>
      <xdr:row>2</xdr:row>
      <xdr:rowOff>163951</xdr:rowOff>
    </xdr:to>
    <xdr:sp macro="" textlink="">
      <xdr:nvSpPr>
        <xdr:cNvPr id="6" name="Rounded Rectangle 5">
          <a:hlinkClick xmlns:r="http://schemas.openxmlformats.org/officeDocument/2006/relationships" r:id="rId3" tooltip="Back to Dashboard"/>
        </xdr:cNvPr>
        <xdr:cNvSpPr/>
      </xdr:nvSpPr>
      <xdr:spPr>
        <a:xfrm>
          <a:off x="10297946" y="519969"/>
          <a:ext cx="1074717" cy="291682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>
    <xdr:from>
      <xdr:col>2</xdr:col>
      <xdr:colOff>265052</xdr:colOff>
      <xdr:row>33</xdr:row>
      <xdr:rowOff>178365</xdr:rowOff>
    </xdr:from>
    <xdr:to>
      <xdr:col>4</xdr:col>
      <xdr:colOff>459720</xdr:colOff>
      <xdr:row>35</xdr:row>
      <xdr:rowOff>173105</xdr:rowOff>
    </xdr:to>
    <xdr:sp macro="" textlink="">
      <xdr:nvSpPr>
        <xdr:cNvPr id="7" name="Rounded Rectangle 6">
          <a:hlinkClick xmlns:r="http://schemas.openxmlformats.org/officeDocument/2006/relationships" r:id="rId4" tooltip="Coles KPIs"/>
        </xdr:cNvPr>
        <xdr:cNvSpPr/>
      </xdr:nvSpPr>
      <xdr:spPr>
        <a:xfrm>
          <a:off x="455552" y="6312465"/>
          <a:ext cx="937618" cy="280490"/>
        </a:xfrm>
        <a:prstGeom prst="roundRect">
          <a:avLst/>
        </a:prstGeom>
        <a:blipFill dpi="0" rotWithShape="1">
          <a:blip xmlns:r="http://schemas.openxmlformats.org/officeDocument/2006/relationships" r:embed="rId5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16980</xdr:colOff>
      <xdr:row>5</xdr:row>
      <xdr:rowOff>5953</xdr:rowOff>
    </xdr:from>
    <xdr:to>
      <xdr:col>20</xdr:col>
      <xdr:colOff>160605</xdr:colOff>
      <xdr:row>5</xdr:row>
      <xdr:rowOff>797953</xdr:rowOff>
    </xdr:to>
    <xdr:sp macro="" textlink="">
      <xdr:nvSpPr>
        <xdr:cNvPr id="8" name="Pentagon 7"/>
        <xdr:cNvSpPr/>
      </xdr:nvSpPr>
      <xdr:spPr>
        <a:xfrm>
          <a:off x="5408130" y="1091803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</xdr:col>
      <xdr:colOff>267124</xdr:colOff>
      <xdr:row>69</xdr:row>
      <xdr:rowOff>81184</xdr:rowOff>
    </xdr:from>
    <xdr:to>
      <xdr:col>4</xdr:col>
      <xdr:colOff>444843</xdr:colOff>
      <xdr:row>71</xdr:row>
      <xdr:rowOff>71380</xdr:rowOff>
    </xdr:to>
    <xdr:sp macro="" textlink="">
      <xdr:nvSpPr>
        <xdr:cNvPr id="10" name="Rounded Rectangle 9">
          <a:hlinkClick xmlns:r="http://schemas.openxmlformats.org/officeDocument/2006/relationships" r:id="rId6" tooltip="Sainsbury's KPIs"/>
        </xdr:cNvPr>
        <xdr:cNvSpPr/>
      </xdr:nvSpPr>
      <xdr:spPr>
        <a:xfrm>
          <a:off x="457624" y="11454034"/>
          <a:ext cx="920669" cy="275946"/>
        </a:xfrm>
        <a:prstGeom prst="roundRect">
          <a:avLst/>
        </a:prstGeom>
        <a:blipFill dpi="0" rotWithShape="1">
          <a:blip xmlns:r="http://schemas.openxmlformats.org/officeDocument/2006/relationships" r:embed="rId7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358647</xdr:colOff>
      <xdr:row>87</xdr:row>
      <xdr:rowOff>89588</xdr:rowOff>
    </xdr:from>
    <xdr:to>
      <xdr:col>4</xdr:col>
      <xdr:colOff>527263</xdr:colOff>
      <xdr:row>89</xdr:row>
      <xdr:rowOff>68577</xdr:rowOff>
    </xdr:to>
    <xdr:sp macro="" textlink="">
      <xdr:nvSpPr>
        <xdr:cNvPr id="11" name="Rounded Rectangle 10">
          <a:hlinkClick xmlns:r="http://schemas.openxmlformats.org/officeDocument/2006/relationships" r:id="rId8" tooltip="Whole Foods Market KPIs"/>
        </xdr:cNvPr>
        <xdr:cNvSpPr/>
      </xdr:nvSpPr>
      <xdr:spPr>
        <a:xfrm>
          <a:off x="549147" y="14072288"/>
          <a:ext cx="911566" cy="274264"/>
        </a:xfrm>
        <a:prstGeom prst="roundRect">
          <a:avLst/>
        </a:prstGeom>
        <a:blipFill dpi="0" rotWithShape="1">
          <a:blip xmlns:r="http://schemas.openxmlformats.org/officeDocument/2006/relationships" r:embed="rId9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221825</xdr:colOff>
      <xdr:row>52</xdr:row>
      <xdr:rowOff>39163</xdr:rowOff>
    </xdr:from>
    <xdr:to>
      <xdr:col>4</xdr:col>
      <xdr:colOff>405146</xdr:colOff>
      <xdr:row>54</xdr:row>
      <xdr:rowOff>29358</xdr:rowOff>
    </xdr:to>
    <xdr:sp macro="" textlink="">
      <xdr:nvSpPr>
        <xdr:cNvPr id="12" name="Rounded Rectangle 11">
          <a:hlinkClick xmlns:r="http://schemas.openxmlformats.org/officeDocument/2006/relationships" r:id="rId10" tooltip="Woolworths KPIs"/>
        </xdr:cNvPr>
        <xdr:cNvSpPr/>
      </xdr:nvSpPr>
      <xdr:spPr>
        <a:xfrm>
          <a:off x="412325" y="8973613"/>
          <a:ext cx="926271" cy="275945"/>
        </a:xfrm>
        <a:prstGeom prst="roundRect">
          <a:avLst/>
        </a:prstGeom>
        <a:blipFill dpi="0" rotWithShape="1">
          <a:blip xmlns:r="http://schemas.openxmlformats.org/officeDocument/2006/relationships" r:embed="rId11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230150</xdr:colOff>
      <xdr:row>4</xdr:row>
      <xdr:rowOff>113112</xdr:rowOff>
    </xdr:from>
    <xdr:to>
      <xdr:col>24</xdr:col>
      <xdr:colOff>392902</xdr:colOff>
      <xdr:row>6</xdr:row>
      <xdr:rowOff>36914</xdr:rowOff>
    </xdr:to>
    <xdr:grpSp>
      <xdr:nvGrpSpPr>
        <xdr:cNvPr id="13" name="Group 12"/>
        <xdr:cNvGrpSpPr/>
      </xdr:nvGrpSpPr>
      <xdr:grpSpPr>
        <a:xfrm>
          <a:off x="7064338" y="1077518"/>
          <a:ext cx="1639127" cy="1185865"/>
          <a:chOff x="247650" y="1083469"/>
          <a:chExt cx="1639127" cy="1185865"/>
        </a:xfrm>
      </xdr:grpSpPr>
      <xdr:sp macro="" textlink="">
        <xdr:nvSpPr>
          <xdr:cNvPr id="14" name="Pentagon 13"/>
          <xdr:cNvSpPr/>
        </xdr:nvSpPr>
        <xdr:spPr>
          <a:xfrm rot="5400000">
            <a:off x="561692" y="770554"/>
            <a:ext cx="994170" cy="1620000"/>
          </a:xfrm>
          <a:prstGeom prst="homePlate">
            <a:avLst>
              <a:gd name="adj" fmla="val 20334"/>
            </a:avLst>
          </a:prstGeom>
          <a:solidFill>
            <a:schemeClr val="bg1">
              <a:lumMod val="85000"/>
            </a:schemeClr>
          </a:solidFill>
          <a:ln w="28575">
            <a:solidFill>
              <a:srgbClr val="54B948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400" b="1"/>
          </a:p>
        </xdr:txBody>
      </xdr:sp>
      <xdr:sp macro="" textlink="">
        <xdr:nvSpPr>
          <xdr:cNvPr id="15" name="Chevron 14"/>
          <xdr:cNvSpPr/>
        </xdr:nvSpPr>
        <xdr:spPr>
          <a:xfrm rot="5400000">
            <a:off x="882567" y="1283124"/>
            <a:ext cx="361945" cy="1610475"/>
          </a:xfrm>
          <a:prstGeom prst="chevron">
            <a:avLst>
              <a:gd name="adj" fmla="val 53585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6" name="Straight Connector 15"/>
          <xdr:cNvCxnSpPr/>
        </xdr:nvCxnSpPr>
        <xdr:spPr>
          <a:xfrm>
            <a:off x="247650" y="1988343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  <xdr:cxnSp macro="">
        <xdr:nvCxnSpPr>
          <xdr:cNvPr id="17" name="Straight Connector 16"/>
          <xdr:cNvCxnSpPr/>
        </xdr:nvCxnSpPr>
        <xdr:spPr>
          <a:xfrm flipV="1">
            <a:off x="1058777" y="1988344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</xdr:grpSp>
    <xdr:clientData/>
  </xdr:twoCellAnchor>
  <xdr:twoCellAnchor>
    <xdr:from>
      <xdr:col>2</xdr:col>
      <xdr:colOff>172261</xdr:colOff>
      <xdr:row>15</xdr:row>
      <xdr:rowOff>23583</xdr:rowOff>
    </xdr:from>
    <xdr:to>
      <xdr:col>4</xdr:col>
      <xdr:colOff>445104</xdr:colOff>
      <xdr:row>17</xdr:row>
      <xdr:rowOff>71428</xdr:rowOff>
    </xdr:to>
    <xdr:sp macro="" textlink="">
      <xdr:nvSpPr>
        <xdr:cNvPr id="18" name="Rounded Rectangle 17">
          <a:hlinkClick xmlns:r="http://schemas.openxmlformats.org/officeDocument/2006/relationships" r:id="rId12" tooltip="Target KPIs"/>
        </xdr:cNvPr>
        <xdr:cNvSpPr/>
      </xdr:nvSpPr>
      <xdr:spPr>
        <a:xfrm>
          <a:off x="362761" y="3528783"/>
          <a:ext cx="1015793" cy="333595"/>
        </a:xfrm>
        <a:prstGeom prst="roundRect">
          <a:avLst/>
        </a:prstGeom>
        <a:blipFill dpi="0" rotWithShape="1">
          <a:blip xmlns:r="http://schemas.openxmlformats.org/officeDocument/2006/relationships" r:embed="rId13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47627</xdr:colOff>
      <xdr:row>2</xdr:row>
      <xdr:rowOff>202407</xdr:rowOff>
    </xdr:from>
    <xdr:to>
      <xdr:col>4</xdr:col>
      <xdr:colOff>583408</xdr:colOff>
      <xdr:row>5</xdr:row>
      <xdr:rowOff>35718</xdr:rowOff>
    </xdr:to>
    <xdr:sp macro="" textlink="">
      <xdr:nvSpPr>
        <xdr:cNvPr id="19" name="TextBox 18"/>
        <xdr:cNvSpPr txBox="1"/>
      </xdr:nvSpPr>
      <xdr:spPr>
        <a:xfrm>
          <a:off x="142877" y="850107"/>
          <a:ext cx="1373981" cy="27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Defects Density </a:t>
          </a:r>
          <a:endParaRPr lang="en-US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190501</xdr:colOff>
      <xdr:row>2</xdr:row>
      <xdr:rowOff>202407</xdr:rowOff>
    </xdr:from>
    <xdr:to>
      <xdr:col>10</xdr:col>
      <xdr:colOff>83345</xdr:colOff>
      <xdr:row>5</xdr:row>
      <xdr:rowOff>35718</xdr:rowOff>
    </xdr:to>
    <xdr:sp macro="" textlink="">
      <xdr:nvSpPr>
        <xdr:cNvPr id="21" name="TextBox 20"/>
        <xdr:cNvSpPr txBox="1"/>
      </xdr:nvSpPr>
      <xdr:spPr>
        <a:xfrm>
          <a:off x="1866901" y="850107"/>
          <a:ext cx="1378744" cy="27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Reopened</a:t>
          </a:r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426246</xdr:colOff>
      <xdr:row>2</xdr:row>
      <xdr:rowOff>202407</xdr:rowOff>
    </xdr:from>
    <xdr:to>
      <xdr:col>14</xdr:col>
      <xdr:colOff>319090</xdr:colOff>
      <xdr:row>5</xdr:row>
      <xdr:rowOff>35718</xdr:rowOff>
    </xdr:to>
    <xdr:sp macro="" textlink="">
      <xdr:nvSpPr>
        <xdr:cNvPr id="22" name="TextBox 21"/>
        <xdr:cNvSpPr txBox="1"/>
      </xdr:nvSpPr>
      <xdr:spPr>
        <a:xfrm>
          <a:off x="3588546" y="850107"/>
          <a:ext cx="1378744" cy="27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Regression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7147</xdr:colOff>
      <xdr:row>2</xdr:row>
      <xdr:rowOff>202407</xdr:rowOff>
    </xdr:from>
    <xdr:to>
      <xdr:col>18</xdr:col>
      <xdr:colOff>542929</xdr:colOff>
      <xdr:row>5</xdr:row>
      <xdr:rowOff>35718</xdr:rowOff>
    </xdr:to>
    <xdr:sp macro="" textlink="">
      <xdr:nvSpPr>
        <xdr:cNvPr id="23" name="TextBox 22"/>
        <xdr:cNvSpPr txBox="1"/>
      </xdr:nvSpPr>
      <xdr:spPr>
        <a:xfrm>
          <a:off x="5303047" y="850107"/>
          <a:ext cx="1373982" cy="27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Median Aging</a:t>
          </a:r>
        </a:p>
      </xdr:txBody>
    </xdr:sp>
    <xdr:clientData/>
  </xdr:twoCellAnchor>
  <xdr:twoCellAnchor>
    <xdr:from>
      <xdr:col>20</xdr:col>
      <xdr:colOff>159545</xdr:colOff>
      <xdr:row>2</xdr:row>
      <xdr:rowOff>202407</xdr:rowOff>
    </xdr:from>
    <xdr:to>
      <xdr:col>24</xdr:col>
      <xdr:colOff>52389</xdr:colOff>
      <xdr:row>5</xdr:row>
      <xdr:rowOff>35718</xdr:rowOff>
    </xdr:to>
    <xdr:sp macro="" textlink="">
      <xdr:nvSpPr>
        <xdr:cNvPr id="24" name="TextBox 23"/>
        <xdr:cNvSpPr txBox="1"/>
      </xdr:nvSpPr>
      <xdr:spPr>
        <a:xfrm>
          <a:off x="7036595" y="850107"/>
          <a:ext cx="1378744" cy="27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Escaping Core</a:t>
          </a:r>
        </a:p>
      </xdr:txBody>
    </xdr:sp>
    <xdr:clientData/>
  </xdr:twoCellAnchor>
  <xdr:twoCellAnchor>
    <xdr:from>
      <xdr:col>12</xdr:col>
      <xdr:colOff>270683</xdr:colOff>
      <xdr:row>5</xdr:row>
      <xdr:rowOff>77953</xdr:rowOff>
    </xdr:from>
    <xdr:to>
      <xdr:col>14</xdr:col>
      <xdr:colOff>180496</xdr:colOff>
      <xdr:row>5</xdr:row>
      <xdr:rowOff>725953</xdr:rowOff>
    </xdr:to>
    <xdr:sp macro="" textlink="Regression!A8">
      <xdr:nvSpPr>
        <xdr:cNvPr id="25" name="KPI Oval Reopen">
          <a:hlinkClick xmlns:r="http://schemas.openxmlformats.org/officeDocument/2006/relationships" r:id="rId14" tooltip="Projects Regression Defects"/>
        </xdr:cNvPr>
        <xdr:cNvSpPr>
          <a:spLocks noChangeArrowheads="1" noTextEdit="1"/>
        </xdr:cNvSpPr>
      </xdr:nvSpPr>
      <xdr:spPr bwMode="auto">
        <a:xfrm>
          <a:off x="4175933" y="1163803"/>
          <a:ext cx="652763" cy="648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fld id="{4679591F-5A83-4C3D-B0E3-15017AD0FF7B}" type="TxLink"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19%</a:t>
          </a:fld>
          <a:endParaRPr lang="en-US" sz="1100"/>
        </a:p>
      </xdr:txBody>
    </xdr:sp>
    <xdr:clientData/>
  </xdr:twoCellAnchor>
  <xdr:twoCellAnchor>
    <xdr:from>
      <xdr:col>16</xdr:col>
      <xdr:colOff>502980</xdr:colOff>
      <xdr:row>5</xdr:row>
      <xdr:rowOff>77953</xdr:rowOff>
    </xdr:from>
    <xdr:to>
      <xdr:col>18</xdr:col>
      <xdr:colOff>412793</xdr:colOff>
      <xdr:row>5</xdr:row>
      <xdr:rowOff>725953</xdr:rowOff>
    </xdr:to>
    <xdr:sp macro="" textlink="Median!A8">
      <xdr:nvSpPr>
        <xdr:cNvPr id="26" name="KPI Oval PDR">
          <a:hlinkClick xmlns:r="http://schemas.openxmlformats.org/officeDocument/2006/relationships" r:id="rId15" tooltip="Projects Median Defects Aging"/>
        </xdr:cNvPr>
        <xdr:cNvSpPr>
          <a:spLocks noChangeArrowheads="1" noTextEdit="1"/>
        </xdr:cNvSpPr>
      </xdr:nvSpPr>
      <xdr:spPr bwMode="auto">
        <a:xfrm>
          <a:off x="5894130" y="1163803"/>
          <a:ext cx="652763" cy="648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5E101A81-6856-4E0F-8ED4-12C9C825C590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3.71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21</xdr:col>
      <xdr:colOff>92340</xdr:colOff>
      <xdr:row>5</xdr:row>
      <xdr:rowOff>77953</xdr:rowOff>
    </xdr:from>
    <xdr:to>
      <xdr:col>23</xdr:col>
      <xdr:colOff>2152</xdr:colOff>
      <xdr:row>5</xdr:row>
      <xdr:rowOff>725953</xdr:rowOff>
    </xdr:to>
    <xdr:sp macro="" textlink="Core!A8">
      <xdr:nvSpPr>
        <xdr:cNvPr id="27" name="KPI Oval Reopen">
          <a:hlinkClick xmlns:r="http://schemas.openxmlformats.org/officeDocument/2006/relationships" r:id="rId16" tooltip="Projects Core Escaping Defects"/>
        </xdr:cNvPr>
        <xdr:cNvSpPr>
          <a:spLocks noChangeArrowheads="1" noTextEdit="1"/>
        </xdr:cNvSpPr>
      </xdr:nvSpPr>
      <xdr:spPr bwMode="auto">
        <a:xfrm>
          <a:off x="7617090" y="1163803"/>
          <a:ext cx="652762" cy="648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fld id="{6A8D3AEF-4A8E-409D-838D-D538EA8AEE8A}" type="TxLink"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22%</a:t>
          </a:fld>
          <a:endParaRPr lang="en-US" sz="1100"/>
        </a:p>
      </xdr:txBody>
    </xdr:sp>
    <xdr:clientData/>
  </xdr:twoCellAnchor>
  <xdr:twoCellAnchor>
    <xdr:from>
      <xdr:col>2</xdr:col>
      <xdr:colOff>58277</xdr:colOff>
      <xdr:row>4</xdr:row>
      <xdr:rowOff>113112</xdr:rowOff>
    </xdr:from>
    <xdr:to>
      <xdr:col>6</xdr:col>
      <xdr:colOff>201902</xdr:colOff>
      <xdr:row>5</xdr:row>
      <xdr:rowOff>786049</xdr:rowOff>
    </xdr:to>
    <xdr:sp macro="" textlink="">
      <xdr:nvSpPr>
        <xdr:cNvPr id="28" name="Pentagon 27"/>
        <xdr:cNvSpPr/>
      </xdr:nvSpPr>
      <xdr:spPr>
        <a:xfrm>
          <a:off x="248777" y="1075137"/>
          <a:ext cx="1629525" cy="796762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</xdr:col>
      <xdr:colOff>476251</xdr:colOff>
      <xdr:row>5</xdr:row>
      <xdr:rowOff>83344</xdr:rowOff>
    </xdr:from>
    <xdr:to>
      <xdr:col>4</xdr:col>
      <xdr:colOff>386063</xdr:colOff>
      <xdr:row>5</xdr:row>
      <xdr:rowOff>731344</xdr:rowOff>
    </xdr:to>
    <xdr:sp macro="" textlink="DDD!A8">
      <xdr:nvSpPr>
        <xdr:cNvPr id="29" name="KPI Oval Reopen">
          <a:hlinkClick xmlns:r="http://schemas.openxmlformats.org/officeDocument/2006/relationships" r:id="rId17" tooltip="Projects Defects Density"/>
        </xdr:cNvPr>
        <xdr:cNvSpPr>
          <a:spLocks noChangeArrowheads="1" noTextEdit="1"/>
        </xdr:cNvSpPr>
      </xdr:nvSpPr>
      <xdr:spPr bwMode="auto">
        <a:xfrm>
          <a:off x="666751" y="1169194"/>
          <a:ext cx="652762" cy="648000"/>
        </a:xfrm>
        <a:prstGeom prst="ellipse">
          <a:avLst/>
        </a:prstGeom>
        <a:gradFill flip="none" rotWithShape="1">
          <a:gsLst>
            <a:gs pos="0">
              <a:srgbClr val="FFC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78D15D5C-B907-46BB-B105-5C977F23C728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2.38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271447</xdr:colOff>
      <xdr:row>4</xdr:row>
      <xdr:rowOff>113112</xdr:rowOff>
    </xdr:from>
    <xdr:to>
      <xdr:col>10</xdr:col>
      <xdr:colOff>415072</xdr:colOff>
      <xdr:row>5</xdr:row>
      <xdr:rowOff>786049</xdr:rowOff>
    </xdr:to>
    <xdr:sp macro="" textlink="">
      <xdr:nvSpPr>
        <xdr:cNvPr id="35" name="Pentagon 34"/>
        <xdr:cNvSpPr/>
      </xdr:nvSpPr>
      <xdr:spPr>
        <a:xfrm>
          <a:off x="1938322" y="1077518"/>
          <a:ext cx="1620000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8</xdr:col>
      <xdr:colOff>38386</xdr:colOff>
      <xdr:row>5</xdr:row>
      <xdr:rowOff>77953</xdr:rowOff>
    </xdr:from>
    <xdr:to>
      <xdr:col>9</xdr:col>
      <xdr:colOff>43449</xdr:colOff>
      <xdr:row>5</xdr:row>
      <xdr:rowOff>725953</xdr:rowOff>
    </xdr:to>
    <xdr:sp macro="" textlink="Reopened!A8">
      <xdr:nvSpPr>
        <xdr:cNvPr id="20" name="KPI Oval INAB">
          <a:hlinkClick xmlns:r="http://schemas.openxmlformats.org/officeDocument/2006/relationships" r:id="rId18" tooltip="Projects Defects Reopened"/>
        </xdr:cNvPr>
        <xdr:cNvSpPr>
          <a:spLocks noChangeArrowheads="1" noTextEdit="1"/>
        </xdr:cNvSpPr>
      </xdr:nvSpPr>
      <xdr:spPr bwMode="auto">
        <a:xfrm>
          <a:off x="2457736" y="1163803"/>
          <a:ext cx="652763" cy="648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1E5F36A9-A0B1-4C9D-B088-2729AD2BFAA4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24%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250041</xdr:colOff>
      <xdr:row>10</xdr:row>
      <xdr:rowOff>23812</xdr:rowOff>
    </xdr:from>
    <xdr:to>
      <xdr:col>30</xdr:col>
      <xdr:colOff>571791</xdr:colOff>
      <xdr:row>23</xdr:row>
      <xdr:rowOff>134250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</xdr:col>
      <xdr:colOff>250041</xdr:colOff>
      <xdr:row>28</xdr:row>
      <xdr:rowOff>87318</xdr:rowOff>
    </xdr:from>
    <xdr:to>
      <xdr:col>30</xdr:col>
      <xdr:colOff>571791</xdr:colOff>
      <xdr:row>42</xdr:row>
      <xdr:rowOff>7256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6</xdr:col>
      <xdr:colOff>250041</xdr:colOff>
      <xdr:row>46</xdr:row>
      <xdr:rowOff>92615</xdr:rowOff>
    </xdr:from>
    <xdr:to>
      <xdr:col>30</xdr:col>
      <xdr:colOff>571791</xdr:colOff>
      <xdr:row>60</xdr:row>
      <xdr:rowOff>12552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</xdr:col>
      <xdr:colOff>250041</xdr:colOff>
      <xdr:row>64</xdr:row>
      <xdr:rowOff>87330</xdr:rowOff>
    </xdr:from>
    <xdr:to>
      <xdr:col>30</xdr:col>
      <xdr:colOff>571791</xdr:colOff>
      <xdr:row>78</xdr:row>
      <xdr:rowOff>7267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6</xdr:col>
      <xdr:colOff>250041</xdr:colOff>
      <xdr:row>82</xdr:row>
      <xdr:rowOff>93949</xdr:rowOff>
    </xdr:from>
    <xdr:to>
      <xdr:col>30</xdr:col>
      <xdr:colOff>571791</xdr:colOff>
      <xdr:row>96</xdr:row>
      <xdr:rowOff>13887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904876</xdr:rowOff>
    </xdr:from>
    <xdr:to>
      <xdr:col>32</xdr:col>
      <xdr:colOff>84668</xdr:colOff>
      <xdr:row>100</xdr:row>
      <xdr:rowOff>117786</xdr:rowOff>
    </xdr:to>
    <xdr:sp macro="" textlink="">
      <xdr:nvSpPr>
        <xdr:cNvPr id="52" name="Rectangle 51"/>
        <xdr:cNvSpPr/>
      </xdr:nvSpPr>
      <xdr:spPr>
        <a:xfrm>
          <a:off x="95250" y="1988345"/>
          <a:ext cx="11252731" cy="13988566"/>
        </a:xfrm>
        <a:prstGeom prst="rect">
          <a:avLst/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10</xdr:col>
      <xdr:colOff>522871</xdr:colOff>
      <xdr:row>5</xdr:row>
      <xdr:rowOff>5953</xdr:rowOff>
    </xdr:from>
    <xdr:to>
      <xdr:col>15</xdr:col>
      <xdr:colOff>23558</xdr:colOff>
      <xdr:row>5</xdr:row>
      <xdr:rowOff>797953</xdr:rowOff>
    </xdr:to>
    <xdr:sp macro="" textlink="">
      <xdr:nvSpPr>
        <xdr:cNvPr id="53" name="Pentagon 52"/>
        <xdr:cNvSpPr/>
      </xdr:nvSpPr>
      <xdr:spPr>
        <a:xfrm>
          <a:off x="3666121" y="1077516"/>
          <a:ext cx="1620000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 editAs="oneCell">
    <xdr:from>
      <xdr:col>1</xdr:col>
      <xdr:colOff>35720</xdr:colOff>
      <xdr:row>106</xdr:row>
      <xdr:rowOff>22264</xdr:rowOff>
    </xdr:from>
    <xdr:to>
      <xdr:col>6</xdr:col>
      <xdr:colOff>283371</xdr:colOff>
      <xdr:row>106</xdr:row>
      <xdr:rowOff>488782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clrChange>
            <a:clrFrom>
              <a:srgbClr val="7DC243"/>
            </a:clrFrom>
            <a:clrTo>
              <a:srgbClr val="7DC243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 l="15730" t="38153" r="13916" b="38388"/>
        <a:stretch/>
      </xdr:blipFill>
      <xdr:spPr>
        <a:xfrm>
          <a:off x="130970" y="16738639"/>
          <a:ext cx="1819276" cy="466518"/>
        </a:xfrm>
        <a:prstGeom prst="rect">
          <a:avLst/>
        </a:prstGeom>
      </xdr:spPr>
    </xdr:pic>
    <xdr:clientData/>
  </xdr:twoCellAnchor>
  <xdr:twoCellAnchor>
    <xdr:from>
      <xdr:col>2</xdr:col>
      <xdr:colOff>284959</xdr:colOff>
      <xdr:row>13</xdr:row>
      <xdr:rowOff>160579</xdr:rowOff>
    </xdr:from>
    <xdr:to>
      <xdr:col>4</xdr:col>
      <xdr:colOff>400566</xdr:colOff>
      <xdr:row>19</xdr:row>
      <xdr:rowOff>167329</xdr:rowOff>
    </xdr:to>
    <xdr:sp macro="" textlink="DDD!A8">
      <xdr:nvSpPr>
        <xdr:cNvPr id="17" name="KPI Oval Reopen">
          <a:hlinkClick xmlns:r="http://schemas.openxmlformats.org/officeDocument/2006/relationships" r:id="rId2" tooltip="Projects Defects Density"/>
        </xdr:cNvPr>
        <xdr:cNvSpPr>
          <a:spLocks noChangeArrowheads="1" noTextEdit="1"/>
        </xdr:cNvSpPr>
      </xdr:nvSpPr>
      <xdr:spPr bwMode="auto">
        <a:xfrm>
          <a:off x="475459" y="3385472"/>
          <a:ext cx="864000" cy="864000"/>
        </a:xfrm>
        <a:prstGeom prst="ellipse">
          <a:avLst/>
        </a:prstGeom>
        <a:gradFill flip="none" rotWithShape="1">
          <a:gsLst>
            <a:gs pos="0">
              <a:srgbClr val="FFC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78D15D5C-B907-46BB-B105-5C977F23C728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2.38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312160</xdr:colOff>
      <xdr:row>67</xdr:row>
      <xdr:rowOff>158045</xdr:rowOff>
    </xdr:from>
    <xdr:to>
      <xdr:col>4</xdr:col>
      <xdr:colOff>437972</xdr:colOff>
      <xdr:row>73</xdr:row>
      <xdr:rowOff>152889</xdr:rowOff>
    </xdr:to>
    <xdr:sp macro="" textlink="Median!A8">
      <xdr:nvSpPr>
        <xdr:cNvPr id="22" name="KPI Oval PDR">
          <a:hlinkClick xmlns:r="http://schemas.openxmlformats.org/officeDocument/2006/relationships" r:id="rId3" tooltip="Projects Median Defects Aging"/>
        </xdr:cNvPr>
        <xdr:cNvSpPr>
          <a:spLocks noChangeArrowheads="1" noTextEdit="1"/>
        </xdr:cNvSpPr>
      </xdr:nvSpPr>
      <xdr:spPr bwMode="auto">
        <a:xfrm>
          <a:off x="502660" y="11278483"/>
          <a:ext cx="864000" cy="864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5E101A81-6856-4E0F-8ED4-12C9C825C590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3.71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312160</xdr:colOff>
      <xdr:row>85</xdr:row>
      <xdr:rowOff>29601</xdr:rowOff>
    </xdr:from>
    <xdr:to>
      <xdr:col>4</xdr:col>
      <xdr:colOff>437972</xdr:colOff>
      <xdr:row>91</xdr:row>
      <xdr:rowOff>24445</xdr:rowOff>
    </xdr:to>
    <xdr:sp macro="" textlink="Core!A8">
      <xdr:nvSpPr>
        <xdr:cNvPr id="24" name="KPI Oval Reopen">
          <a:hlinkClick xmlns:r="http://schemas.openxmlformats.org/officeDocument/2006/relationships" r:id="rId4" tooltip="Projects Core Escaping Defects"/>
        </xdr:cNvPr>
        <xdr:cNvSpPr>
          <a:spLocks noChangeArrowheads="1" noTextEdit="1"/>
        </xdr:cNvSpPr>
      </xdr:nvSpPr>
      <xdr:spPr bwMode="auto">
        <a:xfrm>
          <a:off x="502660" y="13781320"/>
          <a:ext cx="864000" cy="864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fld id="{6A8D3AEF-4A8E-409D-838D-D538EA8AEE8A}" type="TxLink"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22%</a:t>
          </a:fld>
          <a:endParaRPr lang="en-US" sz="1100"/>
        </a:p>
      </xdr:txBody>
    </xdr:sp>
    <xdr:clientData/>
  </xdr:twoCellAnchor>
  <xdr:twoCellAnchor>
    <xdr:from>
      <xdr:col>26</xdr:col>
      <xdr:colOff>10946</xdr:colOff>
      <xdr:row>1</xdr:row>
      <xdr:rowOff>317221</xdr:rowOff>
    </xdr:from>
    <xdr:to>
      <xdr:col>28</xdr:col>
      <xdr:colOff>342553</xdr:colOff>
      <xdr:row>2</xdr:row>
      <xdr:rowOff>161228</xdr:rowOff>
    </xdr:to>
    <xdr:sp macro="" textlink="">
      <xdr:nvSpPr>
        <xdr:cNvPr id="26" name="Rounded Rectangle 25">
          <a:hlinkClick xmlns:r="http://schemas.openxmlformats.org/officeDocument/2006/relationships" r:id="rId5" tooltip="Dev KPI"/>
        </xdr:cNvPr>
        <xdr:cNvSpPr/>
      </xdr:nvSpPr>
      <xdr:spPr>
        <a:xfrm>
          <a:off x="9059696" y="519627"/>
          <a:ext cx="1069795" cy="296445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Dev KPI</a:t>
          </a:r>
        </a:p>
      </xdr:txBody>
    </xdr:sp>
    <xdr:clientData/>
  </xdr:twoCellAnchor>
  <xdr:twoCellAnchor>
    <xdr:from>
      <xdr:col>28</xdr:col>
      <xdr:colOff>449096</xdr:colOff>
      <xdr:row>1</xdr:row>
      <xdr:rowOff>319944</xdr:rowOff>
    </xdr:from>
    <xdr:to>
      <xdr:col>32</xdr:col>
      <xdr:colOff>37913</xdr:colOff>
      <xdr:row>2</xdr:row>
      <xdr:rowOff>163951</xdr:rowOff>
    </xdr:to>
    <xdr:sp macro="" textlink="">
      <xdr:nvSpPr>
        <xdr:cNvPr id="27" name="Rounded Rectangle 26">
          <a:hlinkClick xmlns:r="http://schemas.openxmlformats.org/officeDocument/2006/relationships" r:id="rId6" tooltip="Back to Dashboard"/>
        </xdr:cNvPr>
        <xdr:cNvSpPr/>
      </xdr:nvSpPr>
      <xdr:spPr>
        <a:xfrm>
          <a:off x="10236034" y="522350"/>
          <a:ext cx="1065192" cy="296445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>
    <xdr:from>
      <xdr:col>2</xdr:col>
      <xdr:colOff>312160</xdr:colOff>
      <xdr:row>32</xdr:row>
      <xdr:rowOff>13436</xdr:rowOff>
    </xdr:from>
    <xdr:to>
      <xdr:col>4</xdr:col>
      <xdr:colOff>427767</xdr:colOff>
      <xdr:row>38</xdr:row>
      <xdr:rowOff>20186</xdr:rowOff>
    </xdr:to>
    <xdr:sp macro="" textlink="Reopened!A8">
      <xdr:nvSpPr>
        <xdr:cNvPr id="30" name="KPI Oval INAB">
          <a:hlinkClick xmlns:r="http://schemas.openxmlformats.org/officeDocument/2006/relationships" r:id="rId7" tooltip="Projects Defects Reopened"/>
        </xdr:cNvPr>
        <xdr:cNvSpPr>
          <a:spLocks noChangeArrowheads="1" noTextEdit="1"/>
        </xdr:cNvSpPr>
      </xdr:nvSpPr>
      <xdr:spPr bwMode="auto">
        <a:xfrm>
          <a:off x="502660" y="6073717"/>
          <a:ext cx="853795" cy="864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1E5F36A9-A0B1-4C9D-B088-2729AD2BFAA4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24%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312160</xdr:colOff>
      <xdr:row>50</xdr:row>
      <xdr:rowOff>63157</xdr:rowOff>
    </xdr:from>
    <xdr:to>
      <xdr:col>4</xdr:col>
      <xdr:colOff>437972</xdr:colOff>
      <xdr:row>56</xdr:row>
      <xdr:rowOff>58000</xdr:rowOff>
    </xdr:to>
    <xdr:sp macro="" textlink="Regression!A8">
      <xdr:nvSpPr>
        <xdr:cNvPr id="31" name="KPI Oval Reopen">
          <a:hlinkClick xmlns:r="http://schemas.openxmlformats.org/officeDocument/2006/relationships" r:id="rId8" tooltip="Projects Regression Defects"/>
        </xdr:cNvPr>
        <xdr:cNvSpPr>
          <a:spLocks noChangeArrowheads="1" noTextEdit="1"/>
        </xdr:cNvSpPr>
      </xdr:nvSpPr>
      <xdr:spPr bwMode="auto">
        <a:xfrm>
          <a:off x="502660" y="8742813"/>
          <a:ext cx="864000" cy="864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fld id="{4679591F-5A83-4C3D-B0E3-15017AD0FF7B}" type="TxLink"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19%</a:t>
          </a:fld>
          <a:endParaRPr lang="en-US" sz="1100"/>
        </a:p>
      </xdr:txBody>
    </xdr:sp>
    <xdr:clientData/>
  </xdr:twoCellAnchor>
  <xdr:twoCellAnchor>
    <xdr:from>
      <xdr:col>6</xdr:col>
      <xdr:colOff>23813</xdr:colOff>
      <xdr:row>46</xdr:row>
      <xdr:rowOff>21167</xdr:rowOff>
    </xdr:from>
    <xdr:to>
      <xdr:col>30</xdr:col>
      <xdr:colOff>345563</xdr:colOff>
      <xdr:row>59</xdr:row>
      <xdr:rowOff>148167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95250</xdr:colOff>
      <xdr:row>64</xdr:row>
      <xdr:rowOff>10584</xdr:rowOff>
    </xdr:from>
    <xdr:to>
      <xdr:col>27</xdr:col>
      <xdr:colOff>0</xdr:colOff>
      <xdr:row>78</xdr:row>
      <xdr:rowOff>10583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47625</xdr:colOff>
      <xdr:row>83</xdr:row>
      <xdr:rowOff>-1</xdr:rowOff>
    </xdr:from>
    <xdr:to>
      <xdr:col>30</xdr:col>
      <xdr:colOff>369375</xdr:colOff>
      <xdr:row>95</xdr:row>
      <xdr:rowOff>158750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81643</xdr:colOff>
      <xdr:row>28</xdr:row>
      <xdr:rowOff>52918</xdr:rowOff>
    </xdr:from>
    <xdr:to>
      <xdr:col>30</xdr:col>
      <xdr:colOff>403393</xdr:colOff>
      <xdr:row>41</xdr:row>
      <xdr:rowOff>158751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290574</xdr:colOff>
      <xdr:row>5</xdr:row>
      <xdr:rowOff>5953</xdr:rowOff>
    </xdr:from>
    <xdr:to>
      <xdr:col>10</xdr:col>
      <xdr:colOff>434199</xdr:colOff>
      <xdr:row>5</xdr:row>
      <xdr:rowOff>797953</xdr:rowOff>
    </xdr:to>
    <xdr:sp macro="" textlink="">
      <xdr:nvSpPr>
        <xdr:cNvPr id="49" name="Pentagon 48"/>
        <xdr:cNvSpPr/>
      </xdr:nvSpPr>
      <xdr:spPr>
        <a:xfrm>
          <a:off x="1957449" y="1077516"/>
          <a:ext cx="1620000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6</xdr:col>
      <xdr:colOff>634146</xdr:colOff>
      <xdr:row>5</xdr:row>
      <xdr:rowOff>261708</xdr:rowOff>
    </xdr:from>
    <xdr:to>
      <xdr:col>10</xdr:col>
      <xdr:colOff>90627</xdr:colOff>
      <xdr:row>5</xdr:row>
      <xdr:rowOff>542198</xdr:rowOff>
    </xdr:to>
    <xdr:sp macro="" textlink="">
      <xdr:nvSpPr>
        <xdr:cNvPr id="7" name="Rounded Rectangle 6">
          <a:hlinkClick xmlns:r="http://schemas.openxmlformats.org/officeDocument/2006/relationships" r:id="rId13" tooltip="Coles KPIs"/>
        </xdr:cNvPr>
        <xdr:cNvSpPr/>
      </xdr:nvSpPr>
      <xdr:spPr>
        <a:xfrm>
          <a:off x="2301021" y="1333271"/>
          <a:ext cx="932856" cy="280490"/>
        </a:xfrm>
        <a:prstGeom prst="roundRect">
          <a:avLst/>
        </a:prstGeom>
        <a:blipFill dpi="0" rotWithShape="1">
          <a:blip xmlns:r="http://schemas.openxmlformats.org/officeDocument/2006/relationships" r:embed="rId14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16980</xdr:colOff>
      <xdr:row>5</xdr:row>
      <xdr:rowOff>5953</xdr:rowOff>
    </xdr:from>
    <xdr:to>
      <xdr:col>20</xdr:col>
      <xdr:colOff>160605</xdr:colOff>
      <xdr:row>5</xdr:row>
      <xdr:rowOff>797953</xdr:rowOff>
    </xdr:to>
    <xdr:sp macro="" textlink="">
      <xdr:nvSpPr>
        <xdr:cNvPr id="54" name="Pentagon 53"/>
        <xdr:cNvSpPr/>
      </xdr:nvSpPr>
      <xdr:spPr>
        <a:xfrm>
          <a:off x="5374793" y="1077516"/>
          <a:ext cx="1620000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20</xdr:col>
      <xdr:colOff>249277</xdr:colOff>
      <xdr:row>5</xdr:row>
      <xdr:rowOff>5953</xdr:rowOff>
    </xdr:from>
    <xdr:to>
      <xdr:col>24</xdr:col>
      <xdr:colOff>392902</xdr:colOff>
      <xdr:row>5</xdr:row>
      <xdr:rowOff>797953</xdr:rowOff>
    </xdr:to>
    <xdr:sp macro="" textlink="">
      <xdr:nvSpPr>
        <xdr:cNvPr id="55" name="Pentagon 54"/>
        <xdr:cNvSpPr/>
      </xdr:nvSpPr>
      <xdr:spPr>
        <a:xfrm>
          <a:off x="7083465" y="1077516"/>
          <a:ext cx="1620000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24</xdr:col>
      <xdr:colOff>481573</xdr:colOff>
      <xdr:row>5</xdr:row>
      <xdr:rowOff>5953</xdr:rowOff>
    </xdr:from>
    <xdr:to>
      <xdr:col>28</xdr:col>
      <xdr:colOff>625198</xdr:colOff>
      <xdr:row>5</xdr:row>
      <xdr:rowOff>797953</xdr:rowOff>
    </xdr:to>
    <xdr:sp macro="" textlink="">
      <xdr:nvSpPr>
        <xdr:cNvPr id="56" name="Pentagon 55"/>
        <xdr:cNvSpPr/>
      </xdr:nvSpPr>
      <xdr:spPr>
        <a:xfrm>
          <a:off x="8792136" y="1077516"/>
          <a:ext cx="1620000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16</xdr:col>
      <xdr:colOff>361673</xdr:colOff>
      <xdr:row>5</xdr:row>
      <xdr:rowOff>261179</xdr:rowOff>
    </xdr:from>
    <xdr:to>
      <xdr:col>18</xdr:col>
      <xdr:colOff>554101</xdr:colOff>
      <xdr:row>5</xdr:row>
      <xdr:rowOff>542728</xdr:rowOff>
    </xdr:to>
    <xdr:sp macro="" textlink="">
      <xdr:nvSpPr>
        <xdr:cNvPr id="3" name="Rounded Rectangle 2">
          <a:hlinkClick xmlns:r="http://schemas.openxmlformats.org/officeDocument/2006/relationships" r:id="rId15" tooltip="Sainsbury's KPIs"/>
        </xdr:cNvPr>
        <xdr:cNvSpPr/>
      </xdr:nvSpPr>
      <xdr:spPr>
        <a:xfrm>
          <a:off x="5719486" y="1332742"/>
          <a:ext cx="930615" cy="281549"/>
        </a:xfrm>
        <a:prstGeom prst="roundRect">
          <a:avLst/>
        </a:prstGeom>
        <a:blipFill dpi="0" rotWithShape="1">
          <a:blip xmlns:r="http://schemas.openxmlformats.org/officeDocument/2006/relationships" r:embed="rId16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597471</xdr:colOff>
      <xdr:row>5</xdr:row>
      <xdr:rowOff>261179</xdr:rowOff>
    </xdr:from>
    <xdr:to>
      <xdr:col>24</xdr:col>
      <xdr:colOff>44708</xdr:colOff>
      <xdr:row>5</xdr:row>
      <xdr:rowOff>542727</xdr:rowOff>
    </xdr:to>
    <xdr:sp macro="" textlink="">
      <xdr:nvSpPr>
        <xdr:cNvPr id="6" name="Rounded Rectangle 5">
          <a:hlinkClick xmlns:r="http://schemas.openxmlformats.org/officeDocument/2006/relationships" r:id="rId17" tooltip="Whole Foods Market KPIs"/>
        </xdr:cNvPr>
        <xdr:cNvSpPr/>
      </xdr:nvSpPr>
      <xdr:spPr>
        <a:xfrm>
          <a:off x="7431659" y="1332742"/>
          <a:ext cx="923612" cy="281548"/>
        </a:xfrm>
        <a:prstGeom prst="roundRect">
          <a:avLst/>
        </a:prstGeom>
        <a:blipFill dpi="0" rotWithShape="1">
          <a:blip xmlns:r="http://schemas.openxmlformats.org/officeDocument/2006/relationships" r:embed="rId18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86958</xdr:colOff>
      <xdr:row>5</xdr:row>
      <xdr:rowOff>261179</xdr:rowOff>
    </xdr:from>
    <xdr:to>
      <xdr:col>28</xdr:col>
      <xdr:colOff>281627</xdr:colOff>
      <xdr:row>5</xdr:row>
      <xdr:rowOff>542727</xdr:rowOff>
    </xdr:to>
    <xdr:sp macro="" textlink="">
      <xdr:nvSpPr>
        <xdr:cNvPr id="40" name="Rounded Rectangle 39">
          <a:hlinkClick xmlns:r="http://schemas.openxmlformats.org/officeDocument/2006/relationships" r:id="rId19" tooltip="Coles KPIs"/>
        </xdr:cNvPr>
        <xdr:cNvSpPr/>
      </xdr:nvSpPr>
      <xdr:spPr>
        <a:xfrm>
          <a:off x="9135708" y="1332742"/>
          <a:ext cx="932857" cy="281548"/>
        </a:xfrm>
        <a:prstGeom prst="roundRect">
          <a:avLst/>
        </a:prstGeom>
        <a:blipFill dpi="0" rotWithShape="1">
          <a:blip xmlns:r="http://schemas.openxmlformats.org/officeDocument/2006/relationships" r:embed="rId20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126575</xdr:colOff>
      <xdr:row>5</xdr:row>
      <xdr:rowOff>261179</xdr:rowOff>
    </xdr:from>
    <xdr:to>
      <xdr:col>14</xdr:col>
      <xdr:colOff>324605</xdr:colOff>
      <xdr:row>5</xdr:row>
      <xdr:rowOff>542727</xdr:rowOff>
    </xdr:to>
    <xdr:sp macro="" textlink="">
      <xdr:nvSpPr>
        <xdr:cNvPr id="5" name="Rounded Rectangle 4">
          <a:hlinkClick xmlns:r="http://schemas.openxmlformats.org/officeDocument/2006/relationships" r:id="rId21" tooltip="Woolworths KPIs"/>
        </xdr:cNvPr>
        <xdr:cNvSpPr/>
      </xdr:nvSpPr>
      <xdr:spPr>
        <a:xfrm>
          <a:off x="4008013" y="1332742"/>
          <a:ext cx="936217" cy="281548"/>
        </a:xfrm>
        <a:prstGeom prst="roundRect">
          <a:avLst/>
        </a:prstGeom>
        <a:blipFill dpi="0" rotWithShape="1">
          <a:blip xmlns:r="http://schemas.openxmlformats.org/officeDocument/2006/relationships" r:embed="rId2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58277</xdr:colOff>
      <xdr:row>4</xdr:row>
      <xdr:rowOff>113112</xdr:rowOff>
    </xdr:from>
    <xdr:to>
      <xdr:col>6</xdr:col>
      <xdr:colOff>221029</xdr:colOff>
      <xdr:row>6</xdr:row>
      <xdr:rowOff>36914</xdr:rowOff>
    </xdr:to>
    <xdr:grpSp>
      <xdr:nvGrpSpPr>
        <xdr:cNvPr id="59" name="Group 58"/>
        <xdr:cNvGrpSpPr/>
      </xdr:nvGrpSpPr>
      <xdr:grpSpPr>
        <a:xfrm>
          <a:off x="248777" y="1077518"/>
          <a:ext cx="1639127" cy="1185865"/>
          <a:chOff x="247650" y="1083469"/>
          <a:chExt cx="1639127" cy="1185865"/>
        </a:xfrm>
      </xdr:grpSpPr>
      <xdr:sp macro="" textlink="">
        <xdr:nvSpPr>
          <xdr:cNvPr id="60" name="Pentagon 59"/>
          <xdr:cNvSpPr/>
        </xdr:nvSpPr>
        <xdr:spPr>
          <a:xfrm rot="5400000">
            <a:off x="561692" y="770554"/>
            <a:ext cx="994170" cy="1620000"/>
          </a:xfrm>
          <a:prstGeom prst="homePlate">
            <a:avLst>
              <a:gd name="adj" fmla="val 20334"/>
            </a:avLst>
          </a:prstGeom>
          <a:solidFill>
            <a:schemeClr val="bg1">
              <a:lumMod val="85000"/>
            </a:schemeClr>
          </a:solidFill>
          <a:ln w="28575">
            <a:solidFill>
              <a:srgbClr val="54B948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400" b="1"/>
          </a:p>
        </xdr:txBody>
      </xdr:sp>
      <xdr:sp macro="" textlink="">
        <xdr:nvSpPr>
          <xdr:cNvPr id="61" name="Chevron 60"/>
          <xdr:cNvSpPr/>
        </xdr:nvSpPr>
        <xdr:spPr>
          <a:xfrm rot="5400000">
            <a:off x="882567" y="1283124"/>
            <a:ext cx="361945" cy="1610475"/>
          </a:xfrm>
          <a:prstGeom prst="chevron">
            <a:avLst>
              <a:gd name="adj" fmla="val 53585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62" name="Straight Connector 61"/>
          <xdr:cNvCxnSpPr/>
        </xdr:nvCxnSpPr>
        <xdr:spPr>
          <a:xfrm>
            <a:off x="247650" y="1988343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  <xdr:cxnSp macro="">
        <xdr:nvCxnSpPr>
          <xdr:cNvPr id="63" name="Straight Connector 62"/>
          <xdr:cNvCxnSpPr/>
        </xdr:nvCxnSpPr>
        <xdr:spPr>
          <a:xfrm flipV="1">
            <a:off x="1058777" y="1988344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</xdr:grpSp>
    <xdr:clientData/>
  </xdr:twoCellAnchor>
  <xdr:twoCellAnchor>
    <xdr:from>
      <xdr:col>2</xdr:col>
      <xdr:colOff>362761</xdr:colOff>
      <xdr:row>5</xdr:row>
      <xdr:rowOff>261708</xdr:rowOff>
    </xdr:from>
    <xdr:to>
      <xdr:col>4</xdr:col>
      <xdr:colOff>635604</xdr:colOff>
      <xdr:row>5</xdr:row>
      <xdr:rowOff>595303</xdr:rowOff>
    </xdr:to>
    <xdr:sp macro="" textlink="">
      <xdr:nvSpPr>
        <xdr:cNvPr id="48" name="Rounded Rectangle 47">
          <a:hlinkClick xmlns:r="http://schemas.openxmlformats.org/officeDocument/2006/relationships" r:id="rId23" tooltip="Target KPIs"/>
        </xdr:cNvPr>
        <xdr:cNvSpPr/>
      </xdr:nvSpPr>
      <xdr:spPr>
        <a:xfrm>
          <a:off x="553261" y="1345177"/>
          <a:ext cx="1011031" cy="333595"/>
        </a:xfrm>
        <a:prstGeom prst="roundRect">
          <a:avLst/>
        </a:prstGeom>
        <a:blipFill dpi="0" rotWithShape="1">
          <a:blip xmlns:r="http://schemas.openxmlformats.org/officeDocument/2006/relationships" r:embed="rId24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416719</xdr:colOff>
      <xdr:row>10</xdr:row>
      <xdr:rowOff>11906</xdr:rowOff>
    </xdr:from>
    <xdr:to>
      <xdr:col>30</xdr:col>
      <xdr:colOff>639994</xdr:colOff>
      <xdr:row>23</xdr:row>
      <xdr:rowOff>76204</xdr:rowOff>
    </xdr:to>
    <xdr:grpSp>
      <xdr:nvGrpSpPr>
        <xdr:cNvPr id="33" name="Group 32"/>
        <xdr:cNvGrpSpPr/>
      </xdr:nvGrpSpPr>
      <xdr:grpSpPr>
        <a:xfrm>
          <a:off x="2083594" y="2845594"/>
          <a:ext cx="9081525" cy="1897860"/>
          <a:chOff x="12346781" y="3679031"/>
          <a:chExt cx="9081465" cy="2837110"/>
        </a:xfrm>
      </xdr:grpSpPr>
      <xdr:graphicFrame macro="">
        <xdr:nvGraphicFramePr>
          <xdr:cNvPr id="38" name="Chart 37"/>
          <xdr:cNvGraphicFramePr>
            <a:graphicFrameLocks/>
          </xdr:cNvGraphicFramePr>
        </xdr:nvGraphicFramePr>
        <xdr:xfrm>
          <a:off x="12346781" y="3679031"/>
          <a:ext cx="9072000" cy="27979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5"/>
          </a:graphicData>
        </a:graphic>
      </xdr:graphicFrame>
      <xdr:graphicFrame macro="">
        <xdr:nvGraphicFramePr>
          <xdr:cNvPr id="39" name="Chart 38"/>
          <xdr:cNvGraphicFramePr>
            <a:graphicFrameLocks/>
          </xdr:cNvGraphicFramePr>
        </xdr:nvGraphicFramePr>
        <xdr:xfrm>
          <a:off x="12356246" y="5179978"/>
          <a:ext cx="9072000" cy="13361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6"/>
          </a:graphicData>
        </a:graphic>
      </xdr:graphicFrame>
    </xdr:grpSp>
    <xdr:clientData/>
  </xdr:twoCellAnchor>
  <xdr:twoCellAnchor>
    <xdr:from>
      <xdr:col>6</xdr:col>
      <xdr:colOff>416719</xdr:colOff>
      <xdr:row>22</xdr:row>
      <xdr:rowOff>11906</xdr:rowOff>
    </xdr:from>
    <xdr:to>
      <xdr:col>30</xdr:col>
      <xdr:colOff>630469</xdr:colOff>
      <xdr:row>23</xdr:row>
      <xdr:rowOff>178313</xdr:rowOff>
    </xdr:to>
    <xdr:graphicFrame macro="">
      <xdr:nvGraphicFramePr>
        <xdr:cNvPr id="41" name="Chart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904876</xdr:rowOff>
    </xdr:from>
    <xdr:to>
      <xdr:col>32</xdr:col>
      <xdr:colOff>84668</xdr:colOff>
      <xdr:row>100</xdr:row>
      <xdr:rowOff>117786</xdr:rowOff>
    </xdr:to>
    <xdr:sp macro="" textlink="">
      <xdr:nvSpPr>
        <xdr:cNvPr id="2" name="Rectangle 1"/>
        <xdr:cNvSpPr/>
      </xdr:nvSpPr>
      <xdr:spPr>
        <a:xfrm>
          <a:off x="95250" y="1990726"/>
          <a:ext cx="11324168" cy="13929035"/>
        </a:xfrm>
        <a:prstGeom prst="rect">
          <a:avLst/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10</xdr:col>
      <xdr:colOff>522871</xdr:colOff>
      <xdr:row>5</xdr:row>
      <xdr:rowOff>5953</xdr:rowOff>
    </xdr:from>
    <xdr:to>
      <xdr:col>15</xdr:col>
      <xdr:colOff>23558</xdr:colOff>
      <xdr:row>5</xdr:row>
      <xdr:rowOff>797953</xdr:rowOff>
    </xdr:to>
    <xdr:sp macro="" textlink="">
      <xdr:nvSpPr>
        <xdr:cNvPr id="3" name="Pentagon 2"/>
        <xdr:cNvSpPr/>
      </xdr:nvSpPr>
      <xdr:spPr>
        <a:xfrm>
          <a:off x="3666121" y="1089422"/>
          <a:ext cx="1620000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 editAs="oneCell">
    <xdr:from>
      <xdr:col>1</xdr:col>
      <xdr:colOff>35720</xdr:colOff>
      <xdr:row>106</xdr:row>
      <xdr:rowOff>22264</xdr:rowOff>
    </xdr:from>
    <xdr:to>
      <xdr:col>6</xdr:col>
      <xdr:colOff>283371</xdr:colOff>
      <xdr:row>106</xdr:row>
      <xdr:rowOff>488782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clrChange>
            <a:clrFrom>
              <a:srgbClr val="7DC243"/>
            </a:clrFrom>
            <a:clrTo>
              <a:srgbClr val="7DC243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 l="15730" t="38153" r="13916" b="38388"/>
        <a:stretch/>
      </xdr:blipFill>
      <xdr:spPr>
        <a:xfrm>
          <a:off x="130970" y="16681489"/>
          <a:ext cx="1828801" cy="466518"/>
        </a:xfrm>
        <a:prstGeom prst="rect">
          <a:avLst/>
        </a:prstGeom>
      </xdr:spPr>
    </xdr:pic>
    <xdr:clientData/>
  </xdr:twoCellAnchor>
  <xdr:twoCellAnchor>
    <xdr:from>
      <xdr:col>2</xdr:col>
      <xdr:colOff>284959</xdr:colOff>
      <xdr:row>13</xdr:row>
      <xdr:rowOff>160579</xdr:rowOff>
    </xdr:from>
    <xdr:to>
      <xdr:col>4</xdr:col>
      <xdr:colOff>400566</xdr:colOff>
      <xdr:row>19</xdr:row>
      <xdr:rowOff>167329</xdr:rowOff>
    </xdr:to>
    <xdr:sp macro="" textlink="DDD!A8">
      <xdr:nvSpPr>
        <xdr:cNvPr id="5" name="KPI Oval Reopen">
          <a:hlinkClick xmlns:r="http://schemas.openxmlformats.org/officeDocument/2006/relationships" r:id="rId2" tooltip="Projects Defects Density"/>
        </xdr:cNvPr>
        <xdr:cNvSpPr>
          <a:spLocks noChangeArrowheads="1" noTextEdit="1"/>
        </xdr:cNvSpPr>
      </xdr:nvSpPr>
      <xdr:spPr bwMode="auto">
        <a:xfrm>
          <a:off x="475459" y="3380029"/>
          <a:ext cx="858557" cy="864000"/>
        </a:xfrm>
        <a:prstGeom prst="ellipse">
          <a:avLst/>
        </a:prstGeom>
        <a:gradFill flip="none" rotWithShape="1">
          <a:gsLst>
            <a:gs pos="0">
              <a:srgbClr val="FFC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78D15D5C-B907-46BB-B105-5C977F23C728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2.38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312160</xdr:colOff>
      <xdr:row>67</xdr:row>
      <xdr:rowOff>158045</xdr:rowOff>
    </xdr:from>
    <xdr:to>
      <xdr:col>4</xdr:col>
      <xdr:colOff>437972</xdr:colOff>
      <xdr:row>73</xdr:row>
      <xdr:rowOff>152889</xdr:rowOff>
    </xdr:to>
    <xdr:sp macro="" textlink="Median!A8">
      <xdr:nvSpPr>
        <xdr:cNvPr id="6" name="KPI Oval PDR">
          <a:hlinkClick xmlns:r="http://schemas.openxmlformats.org/officeDocument/2006/relationships" r:id="rId3" tooltip="Projects Median Defects Aging"/>
        </xdr:cNvPr>
        <xdr:cNvSpPr>
          <a:spLocks noChangeArrowheads="1" noTextEdit="1"/>
        </xdr:cNvSpPr>
      </xdr:nvSpPr>
      <xdr:spPr bwMode="auto">
        <a:xfrm>
          <a:off x="502660" y="11235620"/>
          <a:ext cx="868762" cy="861619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5E101A81-6856-4E0F-8ED4-12C9C825C590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3.71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312160</xdr:colOff>
      <xdr:row>85</xdr:row>
      <xdr:rowOff>29601</xdr:rowOff>
    </xdr:from>
    <xdr:to>
      <xdr:col>4</xdr:col>
      <xdr:colOff>437972</xdr:colOff>
      <xdr:row>91</xdr:row>
      <xdr:rowOff>24445</xdr:rowOff>
    </xdr:to>
    <xdr:sp macro="" textlink="Core!A8">
      <xdr:nvSpPr>
        <xdr:cNvPr id="7" name="KPI Oval Reopen">
          <a:hlinkClick xmlns:r="http://schemas.openxmlformats.org/officeDocument/2006/relationships" r:id="rId4" tooltip="Projects Core Escaping Defects"/>
        </xdr:cNvPr>
        <xdr:cNvSpPr>
          <a:spLocks noChangeArrowheads="1" noTextEdit="1"/>
        </xdr:cNvSpPr>
      </xdr:nvSpPr>
      <xdr:spPr bwMode="auto">
        <a:xfrm>
          <a:off x="502660" y="13726551"/>
          <a:ext cx="868762" cy="861619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fld id="{6A8D3AEF-4A8E-409D-838D-D538EA8AEE8A}" type="TxLink"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22%</a:t>
          </a:fld>
          <a:endParaRPr lang="en-US" sz="1100"/>
        </a:p>
      </xdr:txBody>
    </xdr:sp>
    <xdr:clientData/>
  </xdr:twoCellAnchor>
  <xdr:twoCellAnchor>
    <xdr:from>
      <xdr:col>26</xdr:col>
      <xdr:colOff>10946</xdr:colOff>
      <xdr:row>1</xdr:row>
      <xdr:rowOff>317221</xdr:rowOff>
    </xdr:from>
    <xdr:to>
      <xdr:col>28</xdr:col>
      <xdr:colOff>342553</xdr:colOff>
      <xdr:row>2</xdr:row>
      <xdr:rowOff>161228</xdr:rowOff>
    </xdr:to>
    <xdr:sp macro="" textlink="">
      <xdr:nvSpPr>
        <xdr:cNvPr id="8" name="Rounded Rectangle 7">
          <a:hlinkClick xmlns:r="http://schemas.openxmlformats.org/officeDocument/2006/relationships" r:id="rId5" tooltip="Dev KPI"/>
        </xdr:cNvPr>
        <xdr:cNvSpPr/>
      </xdr:nvSpPr>
      <xdr:spPr>
        <a:xfrm>
          <a:off x="9116846" y="517246"/>
          <a:ext cx="1074557" cy="291682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Dev KPI</a:t>
          </a:r>
        </a:p>
      </xdr:txBody>
    </xdr:sp>
    <xdr:clientData/>
  </xdr:twoCellAnchor>
  <xdr:twoCellAnchor>
    <xdr:from>
      <xdr:col>28</xdr:col>
      <xdr:colOff>449096</xdr:colOff>
      <xdr:row>1</xdr:row>
      <xdr:rowOff>319944</xdr:rowOff>
    </xdr:from>
    <xdr:to>
      <xdr:col>32</xdr:col>
      <xdr:colOff>37913</xdr:colOff>
      <xdr:row>2</xdr:row>
      <xdr:rowOff>163951</xdr:rowOff>
    </xdr:to>
    <xdr:sp macro="" textlink="">
      <xdr:nvSpPr>
        <xdr:cNvPr id="9" name="Rounded Rectangle 8">
          <a:hlinkClick xmlns:r="http://schemas.openxmlformats.org/officeDocument/2006/relationships" r:id="rId6" tooltip="Back to Dashboard"/>
        </xdr:cNvPr>
        <xdr:cNvSpPr/>
      </xdr:nvSpPr>
      <xdr:spPr>
        <a:xfrm>
          <a:off x="10297946" y="519969"/>
          <a:ext cx="1074717" cy="291682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>
    <xdr:from>
      <xdr:col>2</xdr:col>
      <xdr:colOff>312160</xdr:colOff>
      <xdr:row>32</xdr:row>
      <xdr:rowOff>13436</xdr:rowOff>
    </xdr:from>
    <xdr:to>
      <xdr:col>4</xdr:col>
      <xdr:colOff>427767</xdr:colOff>
      <xdr:row>38</xdr:row>
      <xdr:rowOff>20186</xdr:rowOff>
    </xdr:to>
    <xdr:sp macro="" textlink="Reopened!A8">
      <xdr:nvSpPr>
        <xdr:cNvPr id="10" name="KPI Oval INAB">
          <a:hlinkClick xmlns:r="http://schemas.openxmlformats.org/officeDocument/2006/relationships" r:id="rId7" tooltip="Projects Defects Reopened"/>
        </xdr:cNvPr>
        <xdr:cNvSpPr>
          <a:spLocks noChangeArrowheads="1" noTextEdit="1"/>
        </xdr:cNvSpPr>
      </xdr:nvSpPr>
      <xdr:spPr bwMode="auto">
        <a:xfrm>
          <a:off x="502660" y="6052286"/>
          <a:ext cx="858557" cy="864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1E5F36A9-A0B1-4C9D-B088-2729AD2BFAA4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24%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312160</xdr:colOff>
      <xdr:row>50</xdr:row>
      <xdr:rowOff>63157</xdr:rowOff>
    </xdr:from>
    <xdr:to>
      <xdr:col>4</xdr:col>
      <xdr:colOff>437972</xdr:colOff>
      <xdr:row>56</xdr:row>
      <xdr:rowOff>58000</xdr:rowOff>
    </xdr:to>
    <xdr:sp macro="" textlink="Regression!A8">
      <xdr:nvSpPr>
        <xdr:cNvPr id="11" name="KPI Oval Reopen">
          <a:hlinkClick xmlns:r="http://schemas.openxmlformats.org/officeDocument/2006/relationships" r:id="rId8" tooltip="Projects Regression Defects"/>
        </xdr:cNvPr>
        <xdr:cNvSpPr>
          <a:spLocks noChangeArrowheads="1" noTextEdit="1"/>
        </xdr:cNvSpPr>
      </xdr:nvSpPr>
      <xdr:spPr bwMode="auto">
        <a:xfrm>
          <a:off x="502660" y="8711857"/>
          <a:ext cx="868762" cy="861618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fld id="{4679591F-5A83-4C3D-B0E3-15017AD0FF7B}" type="TxLink"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19%</a:t>
          </a:fld>
          <a:endParaRPr lang="en-US" sz="1100"/>
        </a:p>
      </xdr:txBody>
    </xdr:sp>
    <xdr:clientData/>
  </xdr:twoCellAnchor>
  <xdr:twoCellAnchor>
    <xdr:from>
      <xdr:col>6</xdr:col>
      <xdr:colOff>31750</xdr:colOff>
      <xdr:row>10</xdr:row>
      <xdr:rowOff>21166</xdr:rowOff>
    </xdr:from>
    <xdr:to>
      <xdr:col>30</xdr:col>
      <xdr:colOff>353500</xdr:colOff>
      <xdr:row>23</xdr:row>
      <xdr:rowOff>179916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23813</xdr:colOff>
      <xdr:row>46</xdr:row>
      <xdr:rowOff>21167</xdr:rowOff>
    </xdr:from>
    <xdr:to>
      <xdr:col>30</xdr:col>
      <xdr:colOff>345563</xdr:colOff>
      <xdr:row>59</xdr:row>
      <xdr:rowOff>148167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95250</xdr:colOff>
      <xdr:row>64</xdr:row>
      <xdr:rowOff>10584</xdr:rowOff>
    </xdr:from>
    <xdr:to>
      <xdr:col>27</xdr:col>
      <xdr:colOff>0</xdr:colOff>
      <xdr:row>78</xdr:row>
      <xdr:rowOff>10583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47625</xdr:colOff>
      <xdr:row>83</xdr:row>
      <xdr:rowOff>-1</xdr:rowOff>
    </xdr:from>
    <xdr:to>
      <xdr:col>30</xdr:col>
      <xdr:colOff>369375</xdr:colOff>
      <xdr:row>95</xdr:row>
      <xdr:rowOff>158750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81643</xdr:colOff>
      <xdr:row>28</xdr:row>
      <xdr:rowOff>52918</xdr:rowOff>
    </xdr:from>
    <xdr:to>
      <xdr:col>30</xdr:col>
      <xdr:colOff>403393</xdr:colOff>
      <xdr:row>41</xdr:row>
      <xdr:rowOff>158751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290574</xdr:colOff>
      <xdr:row>5</xdr:row>
      <xdr:rowOff>5953</xdr:rowOff>
    </xdr:from>
    <xdr:to>
      <xdr:col>10</xdr:col>
      <xdr:colOff>434199</xdr:colOff>
      <xdr:row>5</xdr:row>
      <xdr:rowOff>797953</xdr:rowOff>
    </xdr:to>
    <xdr:sp macro="" textlink="">
      <xdr:nvSpPr>
        <xdr:cNvPr id="19" name="Pentagon 18"/>
        <xdr:cNvSpPr/>
      </xdr:nvSpPr>
      <xdr:spPr>
        <a:xfrm>
          <a:off x="1966974" y="1091803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16</xdr:col>
      <xdr:colOff>16980</xdr:colOff>
      <xdr:row>5</xdr:row>
      <xdr:rowOff>5953</xdr:rowOff>
    </xdr:from>
    <xdr:to>
      <xdr:col>20</xdr:col>
      <xdr:colOff>160605</xdr:colOff>
      <xdr:row>5</xdr:row>
      <xdr:rowOff>797953</xdr:rowOff>
    </xdr:to>
    <xdr:sp macro="" textlink="">
      <xdr:nvSpPr>
        <xdr:cNvPr id="22" name="Pentagon 21"/>
        <xdr:cNvSpPr/>
      </xdr:nvSpPr>
      <xdr:spPr>
        <a:xfrm>
          <a:off x="5408130" y="1091803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20</xdr:col>
      <xdr:colOff>249277</xdr:colOff>
      <xdr:row>5</xdr:row>
      <xdr:rowOff>5953</xdr:rowOff>
    </xdr:from>
    <xdr:to>
      <xdr:col>24</xdr:col>
      <xdr:colOff>392902</xdr:colOff>
      <xdr:row>5</xdr:row>
      <xdr:rowOff>797953</xdr:rowOff>
    </xdr:to>
    <xdr:sp macro="" textlink="">
      <xdr:nvSpPr>
        <xdr:cNvPr id="23" name="Pentagon 22"/>
        <xdr:cNvSpPr/>
      </xdr:nvSpPr>
      <xdr:spPr>
        <a:xfrm>
          <a:off x="7126327" y="1091803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24</xdr:col>
      <xdr:colOff>481573</xdr:colOff>
      <xdr:row>5</xdr:row>
      <xdr:rowOff>5953</xdr:rowOff>
    </xdr:from>
    <xdr:to>
      <xdr:col>28</xdr:col>
      <xdr:colOff>625198</xdr:colOff>
      <xdr:row>5</xdr:row>
      <xdr:rowOff>797953</xdr:rowOff>
    </xdr:to>
    <xdr:sp macro="" textlink="">
      <xdr:nvSpPr>
        <xdr:cNvPr id="24" name="Pentagon 23"/>
        <xdr:cNvSpPr/>
      </xdr:nvSpPr>
      <xdr:spPr>
        <a:xfrm>
          <a:off x="8844523" y="1091803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16</xdr:col>
      <xdr:colOff>361673</xdr:colOff>
      <xdr:row>5</xdr:row>
      <xdr:rowOff>261179</xdr:rowOff>
    </xdr:from>
    <xdr:to>
      <xdr:col>18</xdr:col>
      <xdr:colOff>554101</xdr:colOff>
      <xdr:row>5</xdr:row>
      <xdr:rowOff>542728</xdr:rowOff>
    </xdr:to>
    <xdr:sp macro="" textlink="">
      <xdr:nvSpPr>
        <xdr:cNvPr id="25" name="Rounded Rectangle 24">
          <a:hlinkClick xmlns:r="http://schemas.openxmlformats.org/officeDocument/2006/relationships" r:id="rId14" tooltip="Sainsbury's KPIs"/>
        </xdr:cNvPr>
        <xdr:cNvSpPr/>
      </xdr:nvSpPr>
      <xdr:spPr>
        <a:xfrm>
          <a:off x="5752823" y="1347029"/>
          <a:ext cx="935378" cy="281549"/>
        </a:xfrm>
        <a:prstGeom prst="roundRect">
          <a:avLst/>
        </a:prstGeom>
        <a:blipFill dpi="0" rotWithShape="1">
          <a:blip xmlns:r="http://schemas.openxmlformats.org/officeDocument/2006/relationships" r:embed="rId15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597471</xdr:colOff>
      <xdr:row>5</xdr:row>
      <xdr:rowOff>261179</xdr:rowOff>
    </xdr:from>
    <xdr:to>
      <xdr:col>24</xdr:col>
      <xdr:colOff>44708</xdr:colOff>
      <xdr:row>5</xdr:row>
      <xdr:rowOff>542727</xdr:rowOff>
    </xdr:to>
    <xdr:sp macro="" textlink="">
      <xdr:nvSpPr>
        <xdr:cNvPr id="26" name="Rounded Rectangle 25">
          <a:hlinkClick xmlns:r="http://schemas.openxmlformats.org/officeDocument/2006/relationships" r:id="rId16" tooltip="Whole Foods Market KPIs"/>
        </xdr:cNvPr>
        <xdr:cNvSpPr/>
      </xdr:nvSpPr>
      <xdr:spPr>
        <a:xfrm>
          <a:off x="7474521" y="1347029"/>
          <a:ext cx="933137" cy="281548"/>
        </a:xfrm>
        <a:prstGeom prst="roundRect">
          <a:avLst/>
        </a:prstGeom>
        <a:blipFill dpi="0" rotWithShape="1">
          <a:blip xmlns:r="http://schemas.openxmlformats.org/officeDocument/2006/relationships" r:embed="rId17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86958</xdr:colOff>
      <xdr:row>5</xdr:row>
      <xdr:rowOff>261179</xdr:rowOff>
    </xdr:from>
    <xdr:to>
      <xdr:col>28</xdr:col>
      <xdr:colOff>281627</xdr:colOff>
      <xdr:row>5</xdr:row>
      <xdr:rowOff>542727</xdr:rowOff>
    </xdr:to>
    <xdr:sp macro="" textlink="">
      <xdr:nvSpPr>
        <xdr:cNvPr id="27" name="Rounded Rectangle 26">
          <a:hlinkClick xmlns:r="http://schemas.openxmlformats.org/officeDocument/2006/relationships" r:id="rId18" tooltip="Coles KPIs"/>
        </xdr:cNvPr>
        <xdr:cNvSpPr/>
      </xdr:nvSpPr>
      <xdr:spPr>
        <a:xfrm>
          <a:off x="9192858" y="1347029"/>
          <a:ext cx="937619" cy="281548"/>
        </a:xfrm>
        <a:prstGeom prst="roundRect">
          <a:avLst/>
        </a:prstGeom>
        <a:blipFill dpi="0" rotWithShape="1">
          <a:blip xmlns:r="http://schemas.openxmlformats.org/officeDocument/2006/relationships" r:embed="rId19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126575</xdr:colOff>
      <xdr:row>5</xdr:row>
      <xdr:rowOff>261179</xdr:rowOff>
    </xdr:from>
    <xdr:to>
      <xdr:col>14</xdr:col>
      <xdr:colOff>324605</xdr:colOff>
      <xdr:row>5</xdr:row>
      <xdr:rowOff>542727</xdr:rowOff>
    </xdr:to>
    <xdr:sp macro="" textlink="">
      <xdr:nvSpPr>
        <xdr:cNvPr id="28" name="Rounded Rectangle 27">
          <a:hlinkClick xmlns:r="http://schemas.openxmlformats.org/officeDocument/2006/relationships" r:id="rId20" tooltip="Woolworths KPIs"/>
        </xdr:cNvPr>
        <xdr:cNvSpPr/>
      </xdr:nvSpPr>
      <xdr:spPr>
        <a:xfrm>
          <a:off x="4031825" y="1347029"/>
          <a:ext cx="940980" cy="281548"/>
        </a:xfrm>
        <a:prstGeom prst="roundRect">
          <a:avLst/>
        </a:prstGeom>
        <a:blipFill dpi="0" rotWithShape="1">
          <a:blip xmlns:r="http://schemas.openxmlformats.org/officeDocument/2006/relationships" r:embed="rId21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283333</xdr:colOff>
      <xdr:row>5</xdr:row>
      <xdr:rowOff>0</xdr:rowOff>
    </xdr:from>
    <xdr:to>
      <xdr:col>10</xdr:col>
      <xdr:colOff>446085</xdr:colOff>
      <xdr:row>6</xdr:row>
      <xdr:rowOff>42865</xdr:rowOff>
    </xdr:to>
    <xdr:grpSp>
      <xdr:nvGrpSpPr>
        <xdr:cNvPr id="33" name="Group 32"/>
        <xdr:cNvGrpSpPr/>
      </xdr:nvGrpSpPr>
      <xdr:grpSpPr>
        <a:xfrm>
          <a:off x="1950208" y="1083469"/>
          <a:ext cx="1639127" cy="1185865"/>
          <a:chOff x="247650" y="1083469"/>
          <a:chExt cx="1639127" cy="1185865"/>
        </a:xfrm>
      </xdr:grpSpPr>
      <xdr:sp macro="" textlink="">
        <xdr:nvSpPr>
          <xdr:cNvPr id="17" name="Pentagon 16"/>
          <xdr:cNvSpPr/>
        </xdr:nvSpPr>
        <xdr:spPr>
          <a:xfrm rot="5400000">
            <a:off x="561692" y="770554"/>
            <a:ext cx="994170" cy="1620000"/>
          </a:xfrm>
          <a:prstGeom prst="homePlate">
            <a:avLst>
              <a:gd name="adj" fmla="val 20334"/>
            </a:avLst>
          </a:prstGeom>
          <a:solidFill>
            <a:schemeClr val="bg1">
              <a:lumMod val="85000"/>
            </a:schemeClr>
          </a:solidFill>
          <a:ln w="28575">
            <a:solidFill>
              <a:srgbClr val="54B948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400" b="1"/>
          </a:p>
        </xdr:txBody>
      </xdr:sp>
      <xdr:sp macro="" textlink="">
        <xdr:nvSpPr>
          <xdr:cNvPr id="20" name="Chevron 19"/>
          <xdr:cNvSpPr/>
        </xdr:nvSpPr>
        <xdr:spPr>
          <a:xfrm rot="5400000">
            <a:off x="882567" y="1283124"/>
            <a:ext cx="361945" cy="1610475"/>
          </a:xfrm>
          <a:prstGeom prst="chevron">
            <a:avLst>
              <a:gd name="adj" fmla="val 53585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29" name="Straight Connector 28"/>
          <xdr:cNvCxnSpPr/>
        </xdr:nvCxnSpPr>
        <xdr:spPr>
          <a:xfrm>
            <a:off x="247650" y="1988343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  <xdr:cxnSp macro="">
        <xdr:nvCxnSpPr>
          <xdr:cNvPr id="30" name="Straight Connector 29"/>
          <xdr:cNvCxnSpPr/>
        </xdr:nvCxnSpPr>
        <xdr:spPr>
          <a:xfrm flipV="1">
            <a:off x="1058777" y="1988344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</xdr:grpSp>
    <xdr:clientData/>
  </xdr:twoCellAnchor>
  <xdr:twoCellAnchor>
    <xdr:from>
      <xdr:col>2</xdr:col>
      <xdr:colOff>57150</xdr:colOff>
      <xdr:row>5</xdr:row>
      <xdr:rowOff>0</xdr:rowOff>
    </xdr:from>
    <xdr:to>
      <xdr:col>6</xdr:col>
      <xdr:colOff>200775</xdr:colOff>
      <xdr:row>5</xdr:row>
      <xdr:rowOff>792000</xdr:rowOff>
    </xdr:to>
    <xdr:sp macro="" textlink="">
      <xdr:nvSpPr>
        <xdr:cNvPr id="34" name="Pentagon 33"/>
        <xdr:cNvSpPr/>
      </xdr:nvSpPr>
      <xdr:spPr>
        <a:xfrm>
          <a:off x="247650" y="1083469"/>
          <a:ext cx="1620000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6</xdr:col>
      <xdr:colOff>634146</xdr:colOff>
      <xdr:row>5</xdr:row>
      <xdr:rowOff>261708</xdr:rowOff>
    </xdr:from>
    <xdr:to>
      <xdr:col>10</xdr:col>
      <xdr:colOff>90627</xdr:colOff>
      <xdr:row>5</xdr:row>
      <xdr:rowOff>542198</xdr:rowOff>
    </xdr:to>
    <xdr:sp macro="" textlink="">
      <xdr:nvSpPr>
        <xdr:cNvPr id="21" name="Rounded Rectangle 20">
          <a:hlinkClick xmlns:r="http://schemas.openxmlformats.org/officeDocument/2006/relationships" r:id="rId22" tooltip="Coles KPIs"/>
        </xdr:cNvPr>
        <xdr:cNvSpPr/>
      </xdr:nvSpPr>
      <xdr:spPr>
        <a:xfrm>
          <a:off x="2310546" y="1347558"/>
          <a:ext cx="942381" cy="280490"/>
        </a:xfrm>
        <a:prstGeom prst="roundRect">
          <a:avLst/>
        </a:prstGeom>
        <a:blipFill dpi="0" rotWithShape="1">
          <a:blip xmlns:r="http://schemas.openxmlformats.org/officeDocument/2006/relationships" r:embed="rId23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362761</xdr:colOff>
      <xdr:row>5</xdr:row>
      <xdr:rowOff>261708</xdr:rowOff>
    </xdr:from>
    <xdr:to>
      <xdr:col>4</xdr:col>
      <xdr:colOff>635604</xdr:colOff>
      <xdr:row>5</xdr:row>
      <xdr:rowOff>595303</xdr:rowOff>
    </xdr:to>
    <xdr:sp macro="" textlink="">
      <xdr:nvSpPr>
        <xdr:cNvPr id="18" name="Rounded Rectangle 17">
          <a:hlinkClick xmlns:r="http://schemas.openxmlformats.org/officeDocument/2006/relationships" r:id="rId24" tooltip="Target KPIs"/>
        </xdr:cNvPr>
        <xdr:cNvSpPr/>
      </xdr:nvSpPr>
      <xdr:spPr>
        <a:xfrm>
          <a:off x="553261" y="1347558"/>
          <a:ext cx="1015793" cy="333595"/>
        </a:xfrm>
        <a:prstGeom prst="roundRect">
          <a:avLst/>
        </a:prstGeom>
        <a:blipFill dpi="0" rotWithShape="1">
          <a:blip xmlns:r="http://schemas.openxmlformats.org/officeDocument/2006/relationships" r:embed="rId25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904876</xdr:rowOff>
    </xdr:from>
    <xdr:to>
      <xdr:col>32</xdr:col>
      <xdr:colOff>84668</xdr:colOff>
      <xdr:row>100</xdr:row>
      <xdr:rowOff>117786</xdr:rowOff>
    </xdr:to>
    <xdr:sp macro="" textlink="">
      <xdr:nvSpPr>
        <xdr:cNvPr id="2" name="Rectangle 1"/>
        <xdr:cNvSpPr/>
      </xdr:nvSpPr>
      <xdr:spPr>
        <a:xfrm>
          <a:off x="95250" y="1990726"/>
          <a:ext cx="11324168" cy="13929035"/>
        </a:xfrm>
        <a:prstGeom prst="rect">
          <a:avLst/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 editAs="oneCell">
    <xdr:from>
      <xdr:col>1</xdr:col>
      <xdr:colOff>35720</xdr:colOff>
      <xdr:row>106</xdr:row>
      <xdr:rowOff>22264</xdr:rowOff>
    </xdr:from>
    <xdr:to>
      <xdr:col>6</xdr:col>
      <xdr:colOff>283371</xdr:colOff>
      <xdr:row>106</xdr:row>
      <xdr:rowOff>488782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clrChange>
            <a:clrFrom>
              <a:srgbClr val="7DC243"/>
            </a:clrFrom>
            <a:clrTo>
              <a:srgbClr val="7DC243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 l="15730" t="38153" r="13916" b="38388"/>
        <a:stretch/>
      </xdr:blipFill>
      <xdr:spPr>
        <a:xfrm>
          <a:off x="130970" y="16681489"/>
          <a:ext cx="1828801" cy="466518"/>
        </a:xfrm>
        <a:prstGeom prst="rect">
          <a:avLst/>
        </a:prstGeom>
      </xdr:spPr>
    </xdr:pic>
    <xdr:clientData/>
  </xdr:twoCellAnchor>
  <xdr:twoCellAnchor>
    <xdr:from>
      <xdr:col>2</xdr:col>
      <xdr:colOff>284959</xdr:colOff>
      <xdr:row>13</xdr:row>
      <xdr:rowOff>160579</xdr:rowOff>
    </xdr:from>
    <xdr:to>
      <xdr:col>4</xdr:col>
      <xdr:colOff>400566</xdr:colOff>
      <xdr:row>19</xdr:row>
      <xdr:rowOff>167329</xdr:rowOff>
    </xdr:to>
    <xdr:sp macro="" textlink="DDD!A8">
      <xdr:nvSpPr>
        <xdr:cNvPr id="5" name="KPI Oval Reopen">
          <a:hlinkClick xmlns:r="http://schemas.openxmlformats.org/officeDocument/2006/relationships" r:id="rId2" tooltip="Projects Defects Density"/>
        </xdr:cNvPr>
        <xdr:cNvSpPr>
          <a:spLocks noChangeArrowheads="1" noTextEdit="1"/>
        </xdr:cNvSpPr>
      </xdr:nvSpPr>
      <xdr:spPr bwMode="auto">
        <a:xfrm>
          <a:off x="475459" y="3380029"/>
          <a:ext cx="858557" cy="864000"/>
        </a:xfrm>
        <a:prstGeom prst="ellipse">
          <a:avLst/>
        </a:prstGeom>
        <a:gradFill flip="none" rotWithShape="1">
          <a:gsLst>
            <a:gs pos="0">
              <a:srgbClr val="FFC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78D15D5C-B907-46BB-B105-5C977F23C728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2.38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312160</xdr:colOff>
      <xdr:row>67</xdr:row>
      <xdr:rowOff>158045</xdr:rowOff>
    </xdr:from>
    <xdr:to>
      <xdr:col>4</xdr:col>
      <xdr:colOff>437972</xdr:colOff>
      <xdr:row>73</xdr:row>
      <xdr:rowOff>152889</xdr:rowOff>
    </xdr:to>
    <xdr:sp macro="" textlink="Median!A8">
      <xdr:nvSpPr>
        <xdr:cNvPr id="6" name="KPI Oval PDR">
          <a:hlinkClick xmlns:r="http://schemas.openxmlformats.org/officeDocument/2006/relationships" r:id="rId3" tooltip="Projects Median Defects Aging"/>
        </xdr:cNvPr>
        <xdr:cNvSpPr>
          <a:spLocks noChangeArrowheads="1" noTextEdit="1"/>
        </xdr:cNvSpPr>
      </xdr:nvSpPr>
      <xdr:spPr bwMode="auto">
        <a:xfrm>
          <a:off x="502660" y="11235620"/>
          <a:ext cx="868762" cy="861619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5E101A81-6856-4E0F-8ED4-12C9C825C590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3.71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312160</xdr:colOff>
      <xdr:row>85</xdr:row>
      <xdr:rowOff>29601</xdr:rowOff>
    </xdr:from>
    <xdr:to>
      <xdr:col>4</xdr:col>
      <xdr:colOff>437972</xdr:colOff>
      <xdr:row>91</xdr:row>
      <xdr:rowOff>24445</xdr:rowOff>
    </xdr:to>
    <xdr:sp macro="" textlink="Core!A8">
      <xdr:nvSpPr>
        <xdr:cNvPr id="7" name="KPI Oval Reopen">
          <a:hlinkClick xmlns:r="http://schemas.openxmlformats.org/officeDocument/2006/relationships" r:id="rId4" tooltip="Projects Core Escaping Defects"/>
        </xdr:cNvPr>
        <xdr:cNvSpPr>
          <a:spLocks noChangeArrowheads="1" noTextEdit="1"/>
        </xdr:cNvSpPr>
      </xdr:nvSpPr>
      <xdr:spPr bwMode="auto">
        <a:xfrm>
          <a:off x="502660" y="13726551"/>
          <a:ext cx="868762" cy="861619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fld id="{6A8D3AEF-4A8E-409D-838D-D538EA8AEE8A}" type="TxLink"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22%</a:t>
          </a:fld>
          <a:endParaRPr lang="en-US" sz="1100"/>
        </a:p>
      </xdr:txBody>
    </xdr:sp>
    <xdr:clientData/>
  </xdr:twoCellAnchor>
  <xdr:twoCellAnchor>
    <xdr:from>
      <xdr:col>26</xdr:col>
      <xdr:colOff>10946</xdr:colOff>
      <xdr:row>1</xdr:row>
      <xdr:rowOff>317221</xdr:rowOff>
    </xdr:from>
    <xdr:to>
      <xdr:col>28</xdr:col>
      <xdr:colOff>342553</xdr:colOff>
      <xdr:row>2</xdr:row>
      <xdr:rowOff>161228</xdr:rowOff>
    </xdr:to>
    <xdr:sp macro="" textlink="">
      <xdr:nvSpPr>
        <xdr:cNvPr id="8" name="Rounded Rectangle 7">
          <a:hlinkClick xmlns:r="http://schemas.openxmlformats.org/officeDocument/2006/relationships" r:id="rId5" tooltip="Dev KPI"/>
        </xdr:cNvPr>
        <xdr:cNvSpPr/>
      </xdr:nvSpPr>
      <xdr:spPr>
        <a:xfrm>
          <a:off x="9116846" y="517246"/>
          <a:ext cx="1074557" cy="291682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Dev KPI</a:t>
          </a:r>
        </a:p>
      </xdr:txBody>
    </xdr:sp>
    <xdr:clientData/>
  </xdr:twoCellAnchor>
  <xdr:twoCellAnchor>
    <xdr:from>
      <xdr:col>28</xdr:col>
      <xdr:colOff>449096</xdr:colOff>
      <xdr:row>1</xdr:row>
      <xdr:rowOff>319944</xdr:rowOff>
    </xdr:from>
    <xdr:to>
      <xdr:col>32</xdr:col>
      <xdr:colOff>37913</xdr:colOff>
      <xdr:row>2</xdr:row>
      <xdr:rowOff>163951</xdr:rowOff>
    </xdr:to>
    <xdr:sp macro="" textlink="">
      <xdr:nvSpPr>
        <xdr:cNvPr id="9" name="Rounded Rectangle 8">
          <a:hlinkClick xmlns:r="http://schemas.openxmlformats.org/officeDocument/2006/relationships" r:id="rId6" tooltip="Back to Dashboard"/>
        </xdr:cNvPr>
        <xdr:cNvSpPr/>
      </xdr:nvSpPr>
      <xdr:spPr>
        <a:xfrm>
          <a:off x="10297946" y="519969"/>
          <a:ext cx="1074717" cy="291682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>
    <xdr:from>
      <xdr:col>2</xdr:col>
      <xdr:colOff>312160</xdr:colOff>
      <xdr:row>32</xdr:row>
      <xdr:rowOff>13436</xdr:rowOff>
    </xdr:from>
    <xdr:to>
      <xdr:col>4</xdr:col>
      <xdr:colOff>427767</xdr:colOff>
      <xdr:row>38</xdr:row>
      <xdr:rowOff>20186</xdr:rowOff>
    </xdr:to>
    <xdr:sp macro="" textlink="Reopened!A8">
      <xdr:nvSpPr>
        <xdr:cNvPr id="10" name="KPI Oval INAB">
          <a:hlinkClick xmlns:r="http://schemas.openxmlformats.org/officeDocument/2006/relationships" r:id="rId7" tooltip="Projects Defects Reopened"/>
        </xdr:cNvPr>
        <xdr:cNvSpPr>
          <a:spLocks noChangeArrowheads="1" noTextEdit="1"/>
        </xdr:cNvSpPr>
      </xdr:nvSpPr>
      <xdr:spPr bwMode="auto">
        <a:xfrm>
          <a:off x="502660" y="6052286"/>
          <a:ext cx="858557" cy="864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1E5F36A9-A0B1-4C9D-B088-2729AD2BFAA4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24%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312160</xdr:colOff>
      <xdr:row>50</xdr:row>
      <xdr:rowOff>63157</xdr:rowOff>
    </xdr:from>
    <xdr:to>
      <xdr:col>4</xdr:col>
      <xdr:colOff>437972</xdr:colOff>
      <xdr:row>56</xdr:row>
      <xdr:rowOff>58000</xdr:rowOff>
    </xdr:to>
    <xdr:sp macro="" textlink="Regression!A8">
      <xdr:nvSpPr>
        <xdr:cNvPr id="11" name="KPI Oval Reopen">
          <a:hlinkClick xmlns:r="http://schemas.openxmlformats.org/officeDocument/2006/relationships" r:id="rId8" tooltip="Projects Regression Defects"/>
        </xdr:cNvPr>
        <xdr:cNvSpPr>
          <a:spLocks noChangeArrowheads="1" noTextEdit="1"/>
        </xdr:cNvSpPr>
      </xdr:nvSpPr>
      <xdr:spPr bwMode="auto">
        <a:xfrm>
          <a:off x="502660" y="8711857"/>
          <a:ext cx="868762" cy="861618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fld id="{4679591F-5A83-4C3D-B0E3-15017AD0FF7B}" type="TxLink"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19%</a:t>
          </a:fld>
          <a:endParaRPr lang="en-US" sz="1100"/>
        </a:p>
      </xdr:txBody>
    </xdr:sp>
    <xdr:clientData/>
  </xdr:twoCellAnchor>
  <xdr:twoCellAnchor>
    <xdr:from>
      <xdr:col>6</xdr:col>
      <xdr:colOff>290574</xdr:colOff>
      <xdr:row>5</xdr:row>
      <xdr:rowOff>5953</xdr:rowOff>
    </xdr:from>
    <xdr:to>
      <xdr:col>10</xdr:col>
      <xdr:colOff>434199</xdr:colOff>
      <xdr:row>5</xdr:row>
      <xdr:rowOff>797953</xdr:rowOff>
    </xdr:to>
    <xdr:sp macro="" textlink="">
      <xdr:nvSpPr>
        <xdr:cNvPr id="17" name="Pentagon 16"/>
        <xdr:cNvSpPr/>
      </xdr:nvSpPr>
      <xdr:spPr>
        <a:xfrm>
          <a:off x="1966974" y="1091803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16</xdr:col>
      <xdr:colOff>16980</xdr:colOff>
      <xdr:row>5</xdr:row>
      <xdr:rowOff>5953</xdr:rowOff>
    </xdr:from>
    <xdr:to>
      <xdr:col>20</xdr:col>
      <xdr:colOff>160605</xdr:colOff>
      <xdr:row>5</xdr:row>
      <xdr:rowOff>797953</xdr:rowOff>
    </xdr:to>
    <xdr:sp macro="" textlink="">
      <xdr:nvSpPr>
        <xdr:cNvPr id="18" name="Pentagon 17"/>
        <xdr:cNvSpPr/>
      </xdr:nvSpPr>
      <xdr:spPr>
        <a:xfrm>
          <a:off x="5408130" y="1091803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20</xdr:col>
      <xdr:colOff>249277</xdr:colOff>
      <xdr:row>5</xdr:row>
      <xdr:rowOff>5953</xdr:rowOff>
    </xdr:from>
    <xdr:to>
      <xdr:col>24</xdr:col>
      <xdr:colOff>392902</xdr:colOff>
      <xdr:row>5</xdr:row>
      <xdr:rowOff>797953</xdr:rowOff>
    </xdr:to>
    <xdr:sp macro="" textlink="">
      <xdr:nvSpPr>
        <xdr:cNvPr id="19" name="Pentagon 18"/>
        <xdr:cNvSpPr/>
      </xdr:nvSpPr>
      <xdr:spPr>
        <a:xfrm>
          <a:off x="7126327" y="1091803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24</xdr:col>
      <xdr:colOff>481573</xdr:colOff>
      <xdr:row>5</xdr:row>
      <xdr:rowOff>5953</xdr:rowOff>
    </xdr:from>
    <xdr:to>
      <xdr:col>28</xdr:col>
      <xdr:colOff>625198</xdr:colOff>
      <xdr:row>5</xdr:row>
      <xdr:rowOff>797953</xdr:rowOff>
    </xdr:to>
    <xdr:sp macro="" textlink="">
      <xdr:nvSpPr>
        <xdr:cNvPr id="20" name="Pentagon 19"/>
        <xdr:cNvSpPr/>
      </xdr:nvSpPr>
      <xdr:spPr>
        <a:xfrm>
          <a:off x="8844523" y="1091803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16</xdr:col>
      <xdr:colOff>361673</xdr:colOff>
      <xdr:row>5</xdr:row>
      <xdr:rowOff>261179</xdr:rowOff>
    </xdr:from>
    <xdr:to>
      <xdr:col>18</xdr:col>
      <xdr:colOff>554101</xdr:colOff>
      <xdr:row>5</xdr:row>
      <xdr:rowOff>542728</xdr:rowOff>
    </xdr:to>
    <xdr:sp macro="" textlink="">
      <xdr:nvSpPr>
        <xdr:cNvPr id="21" name="Rounded Rectangle 20">
          <a:hlinkClick xmlns:r="http://schemas.openxmlformats.org/officeDocument/2006/relationships" r:id="rId9" tooltip="Sainsbury's KPIs"/>
        </xdr:cNvPr>
        <xdr:cNvSpPr/>
      </xdr:nvSpPr>
      <xdr:spPr>
        <a:xfrm>
          <a:off x="5752823" y="1347029"/>
          <a:ext cx="935378" cy="281549"/>
        </a:xfrm>
        <a:prstGeom prst="roundRect">
          <a:avLst/>
        </a:prstGeom>
        <a:blipFill dpi="0" rotWithShape="1">
          <a:blip xmlns:r="http://schemas.openxmlformats.org/officeDocument/2006/relationships" r:embed="rId10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597471</xdr:colOff>
      <xdr:row>5</xdr:row>
      <xdr:rowOff>261179</xdr:rowOff>
    </xdr:from>
    <xdr:to>
      <xdr:col>24</xdr:col>
      <xdr:colOff>44708</xdr:colOff>
      <xdr:row>5</xdr:row>
      <xdr:rowOff>542727</xdr:rowOff>
    </xdr:to>
    <xdr:sp macro="" textlink="">
      <xdr:nvSpPr>
        <xdr:cNvPr id="22" name="Rounded Rectangle 21">
          <a:hlinkClick xmlns:r="http://schemas.openxmlformats.org/officeDocument/2006/relationships" r:id="rId11" tooltip="Whole Foods Market KPIs"/>
        </xdr:cNvPr>
        <xdr:cNvSpPr/>
      </xdr:nvSpPr>
      <xdr:spPr>
        <a:xfrm>
          <a:off x="7474521" y="1347029"/>
          <a:ext cx="933137" cy="281548"/>
        </a:xfrm>
        <a:prstGeom prst="roundRect">
          <a:avLst/>
        </a:prstGeom>
        <a:blipFill dpi="0" rotWithShape="1">
          <a:blip xmlns:r="http://schemas.openxmlformats.org/officeDocument/2006/relationships" r:embed="rId1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86958</xdr:colOff>
      <xdr:row>5</xdr:row>
      <xdr:rowOff>261179</xdr:rowOff>
    </xdr:from>
    <xdr:to>
      <xdr:col>28</xdr:col>
      <xdr:colOff>281627</xdr:colOff>
      <xdr:row>5</xdr:row>
      <xdr:rowOff>542727</xdr:rowOff>
    </xdr:to>
    <xdr:sp macro="" textlink="">
      <xdr:nvSpPr>
        <xdr:cNvPr id="23" name="Rounded Rectangle 22">
          <a:hlinkClick xmlns:r="http://schemas.openxmlformats.org/officeDocument/2006/relationships" r:id="rId13" tooltip="Coles KPIs"/>
        </xdr:cNvPr>
        <xdr:cNvSpPr/>
      </xdr:nvSpPr>
      <xdr:spPr>
        <a:xfrm>
          <a:off x="9192858" y="1347029"/>
          <a:ext cx="937619" cy="281548"/>
        </a:xfrm>
        <a:prstGeom prst="roundRect">
          <a:avLst/>
        </a:prstGeom>
        <a:blipFill dpi="0" rotWithShape="1">
          <a:blip xmlns:r="http://schemas.openxmlformats.org/officeDocument/2006/relationships" r:embed="rId14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503744</xdr:colOff>
      <xdr:row>5</xdr:row>
      <xdr:rowOff>0</xdr:rowOff>
    </xdr:from>
    <xdr:to>
      <xdr:col>15</xdr:col>
      <xdr:colOff>23558</xdr:colOff>
      <xdr:row>6</xdr:row>
      <xdr:rowOff>42865</xdr:rowOff>
    </xdr:to>
    <xdr:grpSp>
      <xdr:nvGrpSpPr>
        <xdr:cNvPr id="25" name="Group 24"/>
        <xdr:cNvGrpSpPr/>
      </xdr:nvGrpSpPr>
      <xdr:grpSpPr>
        <a:xfrm>
          <a:off x="3646994" y="1083469"/>
          <a:ext cx="1639127" cy="1185865"/>
          <a:chOff x="247650" y="1083469"/>
          <a:chExt cx="1639127" cy="1185865"/>
        </a:xfrm>
      </xdr:grpSpPr>
      <xdr:sp macro="" textlink="">
        <xdr:nvSpPr>
          <xdr:cNvPr id="26" name="Pentagon 25"/>
          <xdr:cNvSpPr/>
        </xdr:nvSpPr>
        <xdr:spPr>
          <a:xfrm rot="5400000">
            <a:off x="561692" y="770554"/>
            <a:ext cx="994170" cy="1620000"/>
          </a:xfrm>
          <a:prstGeom prst="homePlate">
            <a:avLst>
              <a:gd name="adj" fmla="val 20334"/>
            </a:avLst>
          </a:prstGeom>
          <a:solidFill>
            <a:schemeClr val="bg1">
              <a:lumMod val="85000"/>
            </a:schemeClr>
          </a:solidFill>
          <a:ln w="28575">
            <a:solidFill>
              <a:srgbClr val="54B948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400" b="1"/>
          </a:p>
        </xdr:txBody>
      </xdr:sp>
      <xdr:sp macro="" textlink="">
        <xdr:nvSpPr>
          <xdr:cNvPr id="27" name="Chevron 26"/>
          <xdr:cNvSpPr/>
        </xdr:nvSpPr>
        <xdr:spPr>
          <a:xfrm rot="5400000">
            <a:off x="882567" y="1283124"/>
            <a:ext cx="361945" cy="1610475"/>
          </a:xfrm>
          <a:prstGeom prst="chevron">
            <a:avLst>
              <a:gd name="adj" fmla="val 53585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28" name="Straight Connector 27"/>
          <xdr:cNvCxnSpPr/>
        </xdr:nvCxnSpPr>
        <xdr:spPr>
          <a:xfrm>
            <a:off x="247650" y="1988343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  <xdr:cxnSp macro="">
        <xdr:nvCxnSpPr>
          <xdr:cNvPr id="29" name="Straight Connector 28"/>
          <xdr:cNvCxnSpPr/>
        </xdr:nvCxnSpPr>
        <xdr:spPr>
          <a:xfrm flipV="1">
            <a:off x="1058777" y="1988344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</xdr:grpSp>
    <xdr:clientData/>
  </xdr:twoCellAnchor>
  <xdr:twoCellAnchor>
    <xdr:from>
      <xdr:col>2</xdr:col>
      <xdr:colOff>57150</xdr:colOff>
      <xdr:row>5</xdr:row>
      <xdr:rowOff>0</xdr:rowOff>
    </xdr:from>
    <xdr:to>
      <xdr:col>6</xdr:col>
      <xdr:colOff>200775</xdr:colOff>
      <xdr:row>5</xdr:row>
      <xdr:rowOff>792000</xdr:rowOff>
    </xdr:to>
    <xdr:sp macro="" textlink="">
      <xdr:nvSpPr>
        <xdr:cNvPr id="30" name="Pentagon 29"/>
        <xdr:cNvSpPr/>
      </xdr:nvSpPr>
      <xdr:spPr>
        <a:xfrm>
          <a:off x="247650" y="1085850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</xdr:col>
      <xdr:colOff>362761</xdr:colOff>
      <xdr:row>5</xdr:row>
      <xdr:rowOff>261708</xdr:rowOff>
    </xdr:from>
    <xdr:to>
      <xdr:col>4</xdr:col>
      <xdr:colOff>635604</xdr:colOff>
      <xdr:row>5</xdr:row>
      <xdr:rowOff>595303</xdr:rowOff>
    </xdr:to>
    <xdr:sp macro="" textlink="">
      <xdr:nvSpPr>
        <xdr:cNvPr id="32" name="Rounded Rectangle 31">
          <a:hlinkClick xmlns:r="http://schemas.openxmlformats.org/officeDocument/2006/relationships" r:id="rId15" tooltip="Target KPIs"/>
        </xdr:cNvPr>
        <xdr:cNvSpPr/>
      </xdr:nvSpPr>
      <xdr:spPr>
        <a:xfrm>
          <a:off x="553261" y="1347558"/>
          <a:ext cx="1015793" cy="333595"/>
        </a:xfrm>
        <a:prstGeom prst="roundRect">
          <a:avLst/>
        </a:prstGeom>
        <a:blipFill dpi="0" rotWithShape="1">
          <a:blip xmlns:r="http://schemas.openxmlformats.org/officeDocument/2006/relationships" r:embed="rId16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283333</xdr:colOff>
      <xdr:row>5</xdr:row>
      <xdr:rowOff>0</xdr:rowOff>
    </xdr:from>
    <xdr:to>
      <xdr:col>10</xdr:col>
      <xdr:colOff>426958</xdr:colOff>
      <xdr:row>5</xdr:row>
      <xdr:rowOff>792000</xdr:rowOff>
    </xdr:to>
    <xdr:sp macro="" textlink="">
      <xdr:nvSpPr>
        <xdr:cNvPr id="33" name="Pentagon 32"/>
        <xdr:cNvSpPr/>
      </xdr:nvSpPr>
      <xdr:spPr>
        <a:xfrm>
          <a:off x="1950208" y="1083469"/>
          <a:ext cx="1620000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12</xdr:col>
      <xdr:colOff>126575</xdr:colOff>
      <xdr:row>5</xdr:row>
      <xdr:rowOff>261179</xdr:rowOff>
    </xdr:from>
    <xdr:to>
      <xdr:col>14</xdr:col>
      <xdr:colOff>324605</xdr:colOff>
      <xdr:row>5</xdr:row>
      <xdr:rowOff>542727</xdr:rowOff>
    </xdr:to>
    <xdr:sp macro="" textlink="">
      <xdr:nvSpPr>
        <xdr:cNvPr id="24" name="Rounded Rectangle 23">
          <a:hlinkClick xmlns:r="http://schemas.openxmlformats.org/officeDocument/2006/relationships" r:id="rId17" tooltip="Woolworths KPIs"/>
        </xdr:cNvPr>
        <xdr:cNvSpPr/>
      </xdr:nvSpPr>
      <xdr:spPr>
        <a:xfrm>
          <a:off x="4031825" y="1347029"/>
          <a:ext cx="940980" cy="281548"/>
        </a:xfrm>
        <a:prstGeom prst="roundRect">
          <a:avLst/>
        </a:prstGeom>
        <a:blipFill dpi="0" rotWithShape="1">
          <a:blip xmlns:r="http://schemas.openxmlformats.org/officeDocument/2006/relationships" r:embed="rId18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634146</xdr:colOff>
      <xdr:row>5</xdr:row>
      <xdr:rowOff>261708</xdr:rowOff>
    </xdr:from>
    <xdr:to>
      <xdr:col>10</xdr:col>
      <xdr:colOff>90627</xdr:colOff>
      <xdr:row>5</xdr:row>
      <xdr:rowOff>542198</xdr:rowOff>
    </xdr:to>
    <xdr:sp macro="" textlink="">
      <xdr:nvSpPr>
        <xdr:cNvPr id="31" name="Rounded Rectangle 30">
          <a:hlinkClick xmlns:r="http://schemas.openxmlformats.org/officeDocument/2006/relationships" r:id="rId19" tooltip="Coles KPIs"/>
        </xdr:cNvPr>
        <xdr:cNvSpPr/>
      </xdr:nvSpPr>
      <xdr:spPr>
        <a:xfrm>
          <a:off x="2310546" y="1347558"/>
          <a:ext cx="942381" cy="280490"/>
        </a:xfrm>
        <a:prstGeom prst="roundRect">
          <a:avLst/>
        </a:prstGeom>
        <a:blipFill dpi="0" rotWithShape="1">
          <a:blip xmlns:r="http://schemas.openxmlformats.org/officeDocument/2006/relationships" r:embed="rId20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21169</xdr:colOff>
      <xdr:row>10</xdr:row>
      <xdr:rowOff>23813</xdr:rowOff>
    </xdr:from>
    <xdr:to>
      <xdr:col>30</xdr:col>
      <xdr:colOff>342919</xdr:colOff>
      <xdr:row>23</xdr:row>
      <xdr:rowOff>170251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</xdr:col>
      <xdr:colOff>5</xdr:colOff>
      <xdr:row>46</xdr:row>
      <xdr:rowOff>10586</xdr:rowOff>
    </xdr:from>
    <xdr:to>
      <xdr:col>30</xdr:col>
      <xdr:colOff>321755</xdr:colOff>
      <xdr:row>59</xdr:row>
      <xdr:rowOff>157023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6</xdr:col>
      <xdr:colOff>42336</xdr:colOff>
      <xdr:row>63</xdr:row>
      <xdr:rowOff>207700</xdr:rowOff>
    </xdr:from>
    <xdr:to>
      <xdr:col>26</xdr:col>
      <xdr:colOff>580461</xdr:colOff>
      <xdr:row>77</xdr:row>
      <xdr:rowOff>139825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</xdr:col>
      <xdr:colOff>10588</xdr:colOff>
      <xdr:row>82</xdr:row>
      <xdr:rowOff>47626</xdr:rowOff>
    </xdr:from>
    <xdr:to>
      <xdr:col>30</xdr:col>
      <xdr:colOff>332338</xdr:colOff>
      <xdr:row>96</xdr:row>
      <xdr:rowOff>3564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</xdr:col>
      <xdr:colOff>31754</xdr:colOff>
      <xdr:row>28</xdr:row>
      <xdr:rowOff>27782</xdr:rowOff>
    </xdr:from>
    <xdr:to>
      <xdr:col>30</xdr:col>
      <xdr:colOff>353504</xdr:colOff>
      <xdr:row>41</xdr:row>
      <xdr:rowOff>174220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904876</xdr:rowOff>
    </xdr:from>
    <xdr:to>
      <xdr:col>32</xdr:col>
      <xdr:colOff>84668</xdr:colOff>
      <xdr:row>100</xdr:row>
      <xdr:rowOff>117786</xdr:rowOff>
    </xdr:to>
    <xdr:sp macro="" textlink="">
      <xdr:nvSpPr>
        <xdr:cNvPr id="2" name="Rectangle 1"/>
        <xdr:cNvSpPr/>
      </xdr:nvSpPr>
      <xdr:spPr>
        <a:xfrm>
          <a:off x="95250" y="1990726"/>
          <a:ext cx="11324168" cy="13929035"/>
        </a:xfrm>
        <a:prstGeom prst="rect">
          <a:avLst/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 editAs="oneCell">
    <xdr:from>
      <xdr:col>1</xdr:col>
      <xdr:colOff>35720</xdr:colOff>
      <xdr:row>106</xdr:row>
      <xdr:rowOff>22264</xdr:rowOff>
    </xdr:from>
    <xdr:to>
      <xdr:col>6</xdr:col>
      <xdr:colOff>283371</xdr:colOff>
      <xdr:row>106</xdr:row>
      <xdr:rowOff>488782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clrChange>
            <a:clrFrom>
              <a:srgbClr val="7DC243"/>
            </a:clrFrom>
            <a:clrTo>
              <a:srgbClr val="7DC243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 l="15730" t="38153" r="13916" b="38388"/>
        <a:stretch/>
      </xdr:blipFill>
      <xdr:spPr>
        <a:xfrm>
          <a:off x="130970" y="16681489"/>
          <a:ext cx="1828801" cy="466518"/>
        </a:xfrm>
        <a:prstGeom prst="rect">
          <a:avLst/>
        </a:prstGeom>
      </xdr:spPr>
    </xdr:pic>
    <xdr:clientData/>
  </xdr:twoCellAnchor>
  <xdr:twoCellAnchor>
    <xdr:from>
      <xdr:col>2</xdr:col>
      <xdr:colOff>284959</xdr:colOff>
      <xdr:row>13</xdr:row>
      <xdr:rowOff>160579</xdr:rowOff>
    </xdr:from>
    <xdr:to>
      <xdr:col>4</xdr:col>
      <xdr:colOff>400566</xdr:colOff>
      <xdr:row>19</xdr:row>
      <xdr:rowOff>167329</xdr:rowOff>
    </xdr:to>
    <xdr:sp macro="" textlink="DDD!A8">
      <xdr:nvSpPr>
        <xdr:cNvPr id="4" name="KPI Oval Reopen">
          <a:hlinkClick xmlns:r="http://schemas.openxmlformats.org/officeDocument/2006/relationships" r:id="rId2" tooltip="Projects Defects Density"/>
        </xdr:cNvPr>
        <xdr:cNvSpPr>
          <a:spLocks noChangeArrowheads="1" noTextEdit="1"/>
        </xdr:cNvSpPr>
      </xdr:nvSpPr>
      <xdr:spPr bwMode="auto">
        <a:xfrm>
          <a:off x="475459" y="3380029"/>
          <a:ext cx="858557" cy="864000"/>
        </a:xfrm>
        <a:prstGeom prst="ellipse">
          <a:avLst/>
        </a:prstGeom>
        <a:gradFill flip="none" rotWithShape="1">
          <a:gsLst>
            <a:gs pos="0">
              <a:srgbClr val="FFC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78D15D5C-B907-46BB-B105-5C977F23C728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2.38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312160</xdr:colOff>
      <xdr:row>67</xdr:row>
      <xdr:rowOff>158045</xdr:rowOff>
    </xdr:from>
    <xdr:to>
      <xdr:col>4</xdr:col>
      <xdr:colOff>437972</xdr:colOff>
      <xdr:row>73</xdr:row>
      <xdr:rowOff>152889</xdr:rowOff>
    </xdr:to>
    <xdr:sp macro="" textlink="Median!A8">
      <xdr:nvSpPr>
        <xdr:cNvPr id="5" name="KPI Oval PDR">
          <a:hlinkClick xmlns:r="http://schemas.openxmlformats.org/officeDocument/2006/relationships" r:id="rId3" tooltip="Projects Median Defects Aging"/>
        </xdr:cNvPr>
        <xdr:cNvSpPr>
          <a:spLocks noChangeArrowheads="1" noTextEdit="1"/>
        </xdr:cNvSpPr>
      </xdr:nvSpPr>
      <xdr:spPr bwMode="auto">
        <a:xfrm>
          <a:off x="502660" y="11235620"/>
          <a:ext cx="868762" cy="861619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5E101A81-6856-4E0F-8ED4-12C9C825C590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3.71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312160</xdr:colOff>
      <xdr:row>85</xdr:row>
      <xdr:rowOff>29601</xdr:rowOff>
    </xdr:from>
    <xdr:to>
      <xdr:col>4</xdr:col>
      <xdr:colOff>437972</xdr:colOff>
      <xdr:row>91</xdr:row>
      <xdr:rowOff>24445</xdr:rowOff>
    </xdr:to>
    <xdr:sp macro="" textlink="Core!A8">
      <xdr:nvSpPr>
        <xdr:cNvPr id="6" name="KPI Oval Reopen">
          <a:hlinkClick xmlns:r="http://schemas.openxmlformats.org/officeDocument/2006/relationships" r:id="rId4" tooltip="Projects Core Escaping Defects"/>
        </xdr:cNvPr>
        <xdr:cNvSpPr>
          <a:spLocks noChangeArrowheads="1" noTextEdit="1"/>
        </xdr:cNvSpPr>
      </xdr:nvSpPr>
      <xdr:spPr bwMode="auto">
        <a:xfrm>
          <a:off x="502660" y="13726551"/>
          <a:ext cx="868762" cy="861619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fld id="{6A8D3AEF-4A8E-409D-838D-D538EA8AEE8A}" type="TxLink"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22%</a:t>
          </a:fld>
          <a:endParaRPr lang="en-US" sz="1100"/>
        </a:p>
      </xdr:txBody>
    </xdr:sp>
    <xdr:clientData/>
  </xdr:twoCellAnchor>
  <xdr:twoCellAnchor>
    <xdr:from>
      <xdr:col>26</xdr:col>
      <xdr:colOff>10946</xdr:colOff>
      <xdr:row>1</xdr:row>
      <xdr:rowOff>317221</xdr:rowOff>
    </xdr:from>
    <xdr:to>
      <xdr:col>28</xdr:col>
      <xdr:colOff>342553</xdr:colOff>
      <xdr:row>2</xdr:row>
      <xdr:rowOff>161228</xdr:rowOff>
    </xdr:to>
    <xdr:sp macro="" textlink="">
      <xdr:nvSpPr>
        <xdr:cNvPr id="7" name="Rounded Rectangle 6">
          <a:hlinkClick xmlns:r="http://schemas.openxmlformats.org/officeDocument/2006/relationships" r:id="rId5" tooltip="Dev KPI"/>
        </xdr:cNvPr>
        <xdr:cNvSpPr/>
      </xdr:nvSpPr>
      <xdr:spPr>
        <a:xfrm>
          <a:off x="9116846" y="517246"/>
          <a:ext cx="1074557" cy="291682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Dev KPI</a:t>
          </a:r>
        </a:p>
      </xdr:txBody>
    </xdr:sp>
    <xdr:clientData/>
  </xdr:twoCellAnchor>
  <xdr:twoCellAnchor>
    <xdr:from>
      <xdr:col>28</xdr:col>
      <xdr:colOff>449096</xdr:colOff>
      <xdr:row>1</xdr:row>
      <xdr:rowOff>319944</xdr:rowOff>
    </xdr:from>
    <xdr:to>
      <xdr:col>32</xdr:col>
      <xdr:colOff>37913</xdr:colOff>
      <xdr:row>2</xdr:row>
      <xdr:rowOff>163951</xdr:rowOff>
    </xdr:to>
    <xdr:sp macro="" textlink="">
      <xdr:nvSpPr>
        <xdr:cNvPr id="8" name="Rounded Rectangle 7">
          <a:hlinkClick xmlns:r="http://schemas.openxmlformats.org/officeDocument/2006/relationships" r:id="rId6" tooltip="Back to Dashboard"/>
        </xdr:cNvPr>
        <xdr:cNvSpPr/>
      </xdr:nvSpPr>
      <xdr:spPr>
        <a:xfrm>
          <a:off x="10297946" y="519969"/>
          <a:ext cx="1074717" cy="291682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>
    <xdr:from>
      <xdr:col>2</xdr:col>
      <xdr:colOff>312160</xdr:colOff>
      <xdr:row>32</xdr:row>
      <xdr:rowOff>13436</xdr:rowOff>
    </xdr:from>
    <xdr:to>
      <xdr:col>4</xdr:col>
      <xdr:colOff>427767</xdr:colOff>
      <xdr:row>38</xdr:row>
      <xdr:rowOff>20186</xdr:rowOff>
    </xdr:to>
    <xdr:sp macro="" textlink="Reopened!A8">
      <xdr:nvSpPr>
        <xdr:cNvPr id="9" name="KPI Oval INAB">
          <a:hlinkClick xmlns:r="http://schemas.openxmlformats.org/officeDocument/2006/relationships" r:id="rId7" tooltip="Projects Defects Reopened"/>
        </xdr:cNvPr>
        <xdr:cNvSpPr>
          <a:spLocks noChangeArrowheads="1" noTextEdit="1"/>
        </xdr:cNvSpPr>
      </xdr:nvSpPr>
      <xdr:spPr bwMode="auto">
        <a:xfrm>
          <a:off x="502660" y="6052286"/>
          <a:ext cx="858557" cy="864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1E5F36A9-A0B1-4C9D-B088-2729AD2BFAA4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24%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312160</xdr:colOff>
      <xdr:row>50</xdr:row>
      <xdr:rowOff>63157</xdr:rowOff>
    </xdr:from>
    <xdr:to>
      <xdr:col>4</xdr:col>
      <xdr:colOff>437972</xdr:colOff>
      <xdr:row>56</xdr:row>
      <xdr:rowOff>58000</xdr:rowOff>
    </xdr:to>
    <xdr:sp macro="" textlink="Regression!A8">
      <xdr:nvSpPr>
        <xdr:cNvPr id="10" name="KPI Oval Reopen">
          <a:hlinkClick xmlns:r="http://schemas.openxmlformats.org/officeDocument/2006/relationships" r:id="rId8" tooltip="Projects Regression Defects"/>
        </xdr:cNvPr>
        <xdr:cNvSpPr>
          <a:spLocks noChangeArrowheads="1" noTextEdit="1"/>
        </xdr:cNvSpPr>
      </xdr:nvSpPr>
      <xdr:spPr bwMode="auto">
        <a:xfrm>
          <a:off x="502660" y="8711857"/>
          <a:ext cx="868762" cy="861618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fld id="{4679591F-5A83-4C3D-B0E3-15017AD0FF7B}" type="TxLink"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19%</a:t>
          </a:fld>
          <a:endParaRPr lang="en-US" sz="1100"/>
        </a:p>
      </xdr:txBody>
    </xdr:sp>
    <xdr:clientData/>
  </xdr:twoCellAnchor>
  <xdr:twoCellAnchor>
    <xdr:from>
      <xdr:col>6</xdr:col>
      <xdr:colOff>290574</xdr:colOff>
      <xdr:row>5</xdr:row>
      <xdr:rowOff>5953</xdr:rowOff>
    </xdr:from>
    <xdr:to>
      <xdr:col>10</xdr:col>
      <xdr:colOff>434199</xdr:colOff>
      <xdr:row>5</xdr:row>
      <xdr:rowOff>797953</xdr:rowOff>
    </xdr:to>
    <xdr:sp macro="" textlink="">
      <xdr:nvSpPr>
        <xdr:cNvPr id="11" name="Pentagon 10"/>
        <xdr:cNvSpPr/>
      </xdr:nvSpPr>
      <xdr:spPr>
        <a:xfrm>
          <a:off x="1966974" y="1091803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20</xdr:col>
      <xdr:colOff>249277</xdr:colOff>
      <xdr:row>5</xdr:row>
      <xdr:rowOff>5953</xdr:rowOff>
    </xdr:from>
    <xdr:to>
      <xdr:col>24</xdr:col>
      <xdr:colOff>392902</xdr:colOff>
      <xdr:row>5</xdr:row>
      <xdr:rowOff>797953</xdr:rowOff>
    </xdr:to>
    <xdr:sp macro="" textlink="">
      <xdr:nvSpPr>
        <xdr:cNvPr id="13" name="Pentagon 12"/>
        <xdr:cNvSpPr/>
      </xdr:nvSpPr>
      <xdr:spPr>
        <a:xfrm>
          <a:off x="7126327" y="1091803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24</xdr:col>
      <xdr:colOff>481573</xdr:colOff>
      <xdr:row>5</xdr:row>
      <xdr:rowOff>5953</xdr:rowOff>
    </xdr:from>
    <xdr:to>
      <xdr:col>28</xdr:col>
      <xdr:colOff>625198</xdr:colOff>
      <xdr:row>5</xdr:row>
      <xdr:rowOff>797953</xdr:rowOff>
    </xdr:to>
    <xdr:sp macro="" textlink="">
      <xdr:nvSpPr>
        <xdr:cNvPr id="14" name="Pentagon 13"/>
        <xdr:cNvSpPr/>
      </xdr:nvSpPr>
      <xdr:spPr>
        <a:xfrm>
          <a:off x="8844523" y="1091803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20</xdr:col>
      <xdr:colOff>597471</xdr:colOff>
      <xdr:row>5</xdr:row>
      <xdr:rowOff>261179</xdr:rowOff>
    </xdr:from>
    <xdr:to>
      <xdr:col>24</xdr:col>
      <xdr:colOff>44708</xdr:colOff>
      <xdr:row>5</xdr:row>
      <xdr:rowOff>542727</xdr:rowOff>
    </xdr:to>
    <xdr:sp macro="" textlink="">
      <xdr:nvSpPr>
        <xdr:cNvPr id="16" name="Rounded Rectangle 15">
          <a:hlinkClick xmlns:r="http://schemas.openxmlformats.org/officeDocument/2006/relationships" r:id="rId9" tooltip="Whole Foods Market KPIs"/>
        </xdr:cNvPr>
        <xdr:cNvSpPr/>
      </xdr:nvSpPr>
      <xdr:spPr>
        <a:xfrm>
          <a:off x="7474521" y="1347029"/>
          <a:ext cx="933137" cy="281548"/>
        </a:xfrm>
        <a:prstGeom prst="roundRect">
          <a:avLst/>
        </a:prstGeom>
        <a:blipFill dpi="0" rotWithShape="1">
          <a:blip xmlns:r="http://schemas.openxmlformats.org/officeDocument/2006/relationships" r:embed="rId10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86958</xdr:colOff>
      <xdr:row>5</xdr:row>
      <xdr:rowOff>261179</xdr:rowOff>
    </xdr:from>
    <xdr:to>
      <xdr:col>28</xdr:col>
      <xdr:colOff>281627</xdr:colOff>
      <xdr:row>5</xdr:row>
      <xdr:rowOff>542727</xdr:rowOff>
    </xdr:to>
    <xdr:sp macro="" textlink="">
      <xdr:nvSpPr>
        <xdr:cNvPr id="17" name="Rounded Rectangle 16">
          <a:hlinkClick xmlns:r="http://schemas.openxmlformats.org/officeDocument/2006/relationships" r:id="rId11" tooltip="Coles KPIs"/>
        </xdr:cNvPr>
        <xdr:cNvSpPr/>
      </xdr:nvSpPr>
      <xdr:spPr>
        <a:xfrm>
          <a:off x="9192858" y="1347029"/>
          <a:ext cx="937619" cy="281548"/>
        </a:xfrm>
        <a:prstGeom prst="roundRect">
          <a:avLst/>
        </a:prstGeom>
        <a:blipFill dpi="0" rotWithShape="1">
          <a:blip xmlns:r="http://schemas.openxmlformats.org/officeDocument/2006/relationships" r:embed="rId1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93103</xdr:colOff>
      <xdr:row>5</xdr:row>
      <xdr:rowOff>0</xdr:rowOff>
    </xdr:from>
    <xdr:to>
      <xdr:col>20</xdr:col>
      <xdr:colOff>160605</xdr:colOff>
      <xdr:row>6</xdr:row>
      <xdr:rowOff>42865</xdr:rowOff>
    </xdr:to>
    <xdr:grpSp>
      <xdr:nvGrpSpPr>
        <xdr:cNvPr id="18" name="Group 17"/>
        <xdr:cNvGrpSpPr/>
      </xdr:nvGrpSpPr>
      <xdr:grpSpPr>
        <a:xfrm>
          <a:off x="5355666" y="1083469"/>
          <a:ext cx="1639127" cy="1185865"/>
          <a:chOff x="247650" y="1083469"/>
          <a:chExt cx="1639127" cy="1185865"/>
        </a:xfrm>
      </xdr:grpSpPr>
      <xdr:sp macro="" textlink="">
        <xdr:nvSpPr>
          <xdr:cNvPr id="19" name="Pentagon 18"/>
          <xdr:cNvSpPr/>
        </xdr:nvSpPr>
        <xdr:spPr>
          <a:xfrm rot="5400000">
            <a:off x="561692" y="770554"/>
            <a:ext cx="994170" cy="1620000"/>
          </a:xfrm>
          <a:prstGeom prst="homePlate">
            <a:avLst>
              <a:gd name="adj" fmla="val 20334"/>
            </a:avLst>
          </a:prstGeom>
          <a:solidFill>
            <a:schemeClr val="bg1">
              <a:lumMod val="85000"/>
            </a:schemeClr>
          </a:solidFill>
          <a:ln w="28575">
            <a:solidFill>
              <a:srgbClr val="54B948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400" b="1"/>
          </a:p>
        </xdr:txBody>
      </xdr:sp>
      <xdr:sp macro="" textlink="">
        <xdr:nvSpPr>
          <xdr:cNvPr id="20" name="Chevron 19"/>
          <xdr:cNvSpPr/>
        </xdr:nvSpPr>
        <xdr:spPr>
          <a:xfrm rot="5400000">
            <a:off x="882567" y="1283124"/>
            <a:ext cx="361945" cy="1610475"/>
          </a:xfrm>
          <a:prstGeom prst="chevron">
            <a:avLst>
              <a:gd name="adj" fmla="val 53585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21" name="Straight Connector 20"/>
          <xdr:cNvCxnSpPr/>
        </xdr:nvCxnSpPr>
        <xdr:spPr>
          <a:xfrm>
            <a:off x="247650" y="1988343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  <xdr:cxnSp macro="">
        <xdr:nvCxnSpPr>
          <xdr:cNvPr id="22" name="Straight Connector 21"/>
          <xdr:cNvCxnSpPr/>
        </xdr:nvCxnSpPr>
        <xdr:spPr>
          <a:xfrm flipV="1">
            <a:off x="1058777" y="1988344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</xdr:grpSp>
    <xdr:clientData/>
  </xdr:twoCellAnchor>
  <xdr:twoCellAnchor>
    <xdr:from>
      <xdr:col>2</xdr:col>
      <xdr:colOff>57150</xdr:colOff>
      <xdr:row>5</xdr:row>
      <xdr:rowOff>0</xdr:rowOff>
    </xdr:from>
    <xdr:to>
      <xdr:col>6</xdr:col>
      <xdr:colOff>200775</xdr:colOff>
      <xdr:row>5</xdr:row>
      <xdr:rowOff>792000</xdr:rowOff>
    </xdr:to>
    <xdr:sp macro="" textlink="">
      <xdr:nvSpPr>
        <xdr:cNvPr id="23" name="Pentagon 22"/>
        <xdr:cNvSpPr/>
      </xdr:nvSpPr>
      <xdr:spPr>
        <a:xfrm>
          <a:off x="247650" y="1085850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</xdr:col>
      <xdr:colOff>362761</xdr:colOff>
      <xdr:row>5</xdr:row>
      <xdr:rowOff>261708</xdr:rowOff>
    </xdr:from>
    <xdr:to>
      <xdr:col>4</xdr:col>
      <xdr:colOff>635604</xdr:colOff>
      <xdr:row>5</xdr:row>
      <xdr:rowOff>595303</xdr:rowOff>
    </xdr:to>
    <xdr:sp macro="" textlink="">
      <xdr:nvSpPr>
        <xdr:cNvPr id="24" name="Rounded Rectangle 23">
          <a:hlinkClick xmlns:r="http://schemas.openxmlformats.org/officeDocument/2006/relationships" r:id="rId13" tooltip="Target KPIs"/>
        </xdr:cNvPr>
        <xdr:cNvSpPr/>
      </xdr:nvSpPr>
      <xdr:spPr>
        <a:xfrm>
          <a:off x="553261" y="1347558"/>
          <a:ext cx="1015793" cy="333595"/>
        </a:xfrm>
        <a:prstGeom prst="roundRect">
          <a:avLst/>
        </a:prstGeom>
        <a:blipFill dpi="0" rotWithShape="1">
          <a:blip xmlns:r="http://schemas.openxmlformats.org/officeDocument/2006/relationships" r:embed="rId14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283333</xdr:colOff>
      <xdr:row>5</xdr:row>
      <xdr:rowOff>0</xdr:rowOff>
    </xdr:from>
    <xdr:to>
      <xdr:col>10</xdr:col>
      <xdr:colOff>426958</xdr:colOff>
      <xdr:row>5</xdr:row>
      <xdr:rowOff>792000</xdr:rowOff>
    </xdr:to>
    <xdr:sp macro="" textlink="">
      <xdr:nvSpPr>
        <xdr:cNvPr id="25" name="Pentagon 24"/>
        <xdr:cNvSpPr/>
      </xdr:nvSpPr>
      <xdr:spPr>
        <a:xfrm>
          <a:off x="1959733" y="1085850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6</xdr:col>
      <xdr:colOff>634146</xdr:colOff>
      <xdr:row>5</xdr:row>
      <xdr:rowOff>261708</xdr:rowOff>
    </xdr:from>
    <xdr:to>
      <xdr:col>10</xdr:col>
      <xdr:colOff>90627</xdr:colOff>
      <xdr:row>5</xdr:row>
      <xdr:rowOff>542198</xdr:rowOff>
    </xdr:to>
    <xdr:sp macro="" textlink="">
      <xdr:nvSpPr>
        <xdr:cNvPr id="27" name="Rounded Rectangle 26">
          <a:hlinkClick xmlns:r="http://schemas.openxmlformats.org/officeDocument/2006/relationships" r:id="rId15" tooltip="Coles KPIs"/>
        </xdr:cNvPr>
        <xdr:cNvSpPr/>
      </xdr:nvSpPr>
      <xdr:spPr>
        <a:xfrm>
          <a:off x="2310546" y="1347558"/>
          <a:ext cx="942381" cy="280490"/>
        </a:xfrm>
        <a:prstGeom prst="roundRect">
          <a:avLst/>
        </a:prstGeom>
        <a:blipFill dpi="0" rotWithShape="1">
          <a:blip xmlns:r="http://schemas.openxmlformats.org/officeDocument/2006/relationships" r:embed="rId16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503744</xdr:colOff>
      <xdr:row>5</xdr:row>
      <xdr:rowOff>0</xdr:rowOff>
    </xdr:from>
    <xdr:to>
      <xdr:col>15</xdr:col>
      <xdr:colOff>4431</xdr:colOff>
      <xdr:row>5</xdr:row>
      <xdr:rowOff>792000</xdr:rowOff>
    </xdr:to>
    <xdr:sp macro="" textlink="">
      <xdr:nvSpPr>
        <xdr:cNvPr id="33" name="Pentagon 32"/>
        <xdr:cNvSpPr/>
      </xdr:nvSpPr>
      <xdr:spPr>
        <a:xfrm>
          <a:off x="3646994" y="1083469"/>
          <a:ext cx="1620000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12</xdr:col>
      <xdr:colOff>126575</xdr:colOff>
      <xdr:row>5</xdr:row>
      <xdr:rowOff>261179</xdr:rowOff>
    </xdr:from>
    <xdr:to>
      <xdr:col>14</xdr:col>
      <xdr:colOff>324605</xdr:colOff>
      <xdr:row>5</xdr:row>
      <xdr:rowOff>542727</xdr:rowOff>
    </xdr:to>
    <xdr:sp macro="" textlink="">
      <xdr:nvSpPr>
        <xdr:cNvPr id="26" name="Rounded Rectangle 25">
          <a:hlinkClick xmlns:r="http://schemas.openxmlformats.org/officeDocument/2006/relationships" r:id="rId17" tooltip="Woolworths KPIs"/>
        </xdr:cNvPr>
        <xdr:cNvSpPr/>
      </xdr:nvSpPr>
      <xdr:spPr>
        <a:xfrm>
          <a:off x="4031825" y="1347029"/>
          <a:ext cx="940980" cy="281548"/>
        </a:xfrm>
        <a:prstGeom prst="roundRect">
          <a:avLst/>
        </a:prstGeom>
        <a:blipFill dpi="0" rotWithShape="1">
          <a:blip xmlns:r="http://schemas.openxmlformats.org/officeDocument/2006/relationships" r:embed="rId18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361673</xdr:colOff>
      <xdr:row>5</xdr:row>
      <xdr:rowOff>261179</xdr:rowOff>
    </xdr:from>
    <xdr:to>
      <xdr:col>18</xdr:col>
      <xdr:colOff>554101</xdr:colOff>
      <xdr:row>5</xdr:row>
      <xdr:rowOff>542728</xdr:rowOff>
    </xdr:to>
    <xdr:sp macro="" textlink="">
      <xdr:nvSpPr>
        <xdr:cNvPr id="15" name="Rounded Rectangle 14">
          <a:hlinkClick xmlns:r="http://schemas.openxmlformats.org/officeDocument/2006/relationships" r:id="rId19" tooltip="Sainsbury's KPIs"/>
        </xdr:cNvPr>
        <xdr:cNvSpPr/>
      </xdr:nvSpPr>
      <xdr:spPr>
        <a:xfrm>
          <a:off x="5752823" y="1347029"/>
          <a:ext cx="935378" cy="281549"/>
        </a:xfrm>
        <a:prstGeom prst="roundRect">
          <a:avLst/>
        </a:prstGeom>
        <a:blipFill dpi="0" rotWithShape="1">
          <a:blip xmlns:r="http://schemas.openxmlformats.org/officeDocument/2006/relationships" r:embed="rId20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21169</xdr:colOff>
      <xdr:row>10</xdr:row>
      <xdr:rowOff>35720</xdr:rowOff>
    </xdr:from>
    <xdr:to>
      <xdr:col>30</xdr:col>
      <xdr:colOff>342919</xdr:colOff>
      <xdr:row>23</xdr:row>
      <xdr:rowOff>182158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</xdr:col>
      <xdr:colOff>21169</xdr:colOff>
      <xdr:row>46</xdr:row>
      <xdr:rowOff>22493</xdr:rowOff>
    </xdr:from>
    <xdr:to>
      <xdr:col>30</xdr:col>
      <xdr:colOff>342919</xdr:colOff>
      <xdr:row>59</xdr:row>
      <xdr:rowOff>168930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6</xdr:col>
      <xdr:colOff>21169</xdr:colOff>
      <xdr:row>64</xdr:row>
      <xdr:rowOff>29107</xdr:rowOff>
    </xdr:from>
    <xdr:to>
      <xdr:col>26</xdr:col>
      <xdr:colOff>559294</xdr:colOff>
      <xdr:row>77</xdr:row>
      <xdr:rowOff>175544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</xdr:col>
      <xdr:colOff>21169</xdr:colOff>
      <xdr:row>82</xdr:row>
      <xdr:rowOff>35721</xdr:rowOff>
    </xdr:from>
    <xdr:to>
      <xdr:col>30</xdr:col>
      <xdr:colOff>342919</xdr:colOff>
      <xdr:row>95</xdr:row>
      <xdr:rowOff>182159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</xdr:col>
      <xdr:colOff>21169</xdr:colOff>
      <xdr:row>28</xdr:row>
      <xdr:rowOff>31753</xdr:rowOff>
    </xdr:from>
    <xdr:to>
      <xdr:col>30</xdr:col>
      <xdr:colOff>342919</xdr:colOff>
      <xdr:row>41</xdr:row>
      <xdr:rowOff>178191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904876</xdr:rowOff>
    </xdr:from>
    <xdr:to>
      <xdr:col>32</xdr:col>
      <xdr:colOff>84668</xdr:colOff>
      <xdr:row>100</xdr:row>
      <xdr:rowOff>117786</xdr:rowOff>
    </xdr:to>
    <xdr:sp macro="" textlink="">
      <xdr:nvSpPr>
        <xdr:cNvPr id="2" name="Rectangle 1"/>
        <xdr:cNvSpPr/>
      </xdr:nvSpPr>
      <xdr:spPr>
        <a:xfrm>
          <a:off x="95250" y="1990726"/>
          <a:ext cx="11324168" cy="13929035"/>
        </a:xfrm>
        <a:prstGeom prst="rect">
          <a:avLst/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 editAs="oneCell">
    <xdr:from>
      <xdr:col>1</xdr:col>
      <xdr:colOff>35720</xdr:colOff>
      <xdr:row>106</xdr:row>
      <xdr:rowOff>22264</xdr:rowOff>
    </xdr:from>
    <xdr:to>
      <xdr:col>6</xdr:col>
      <xdr:colOff>283371</xdr:colOff>
      <xdr:row>106</xdr:row>
      <xdr:rowOff>488782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clrChange>
            <a:clrFrom>
              <a:srgbClr val="7DC243"/>
            </a:clrFrom>
            <a:clrTo>
              <a:srgbClr val="7DC243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 l="15730" t="38153" r="13916" b="38388"/>
        <a:stretch/>
      </xdr:blipFill>
      <xdr:spPr>
        <a:xfrm>
          <a:off x="130970" y="16681489"/>
          <a:ext cx="1828801" cy="466518"/>
        </a:xfrm>
        <a:prstGeom prst="rect">
          <a:avLst/>
        </a:prstGeom>
      </xdr:spPr>
    </xdr:pic>
    <xdr:clientData/>
  </xdr:twoCellAnchor>
  <xdr:twoCellAnchor>
    <xdr:from>
      <xdr:col>2</xdr:col>
      <xdr:colOff>284959</xdr:colOff>
      <xdr:row>13</xdr:row>
      <xdr:rowOff>160579</xdr:rowOff>
    </xdr:from>
    <xdr:to>
      <xdr:col>4</xdr:col>
      <xdr:colOff>400566</xdr:colOff>
      <xdr:row>19</xdr:row>
      <xdr:rowOff>167329</xdr:rowOff>
    </xdr:to>
    <xdr:sp macro="" textlink="DDD!A8">
      <xdr:nvSpPr>
        <xdr:cNvPr id="4" name="KPI Oval Reopen">
          <a:hlinkClick xmlns:r="http://schemas.openxmlformats.org/officeDocument/2006/relationships" r:id="rId2" tooltip="Projects Defects Density"/>
        </xdr:cNvPr>
        <xdr:cNvSpPr>
          <a:spLocks noChangeArrowheads="1" noTextEdit="1"/>
        </xdr:cNvSpPr>
      </xdr:nvSpPr>
      <xdr:spPr bwMode="auto">
        <a:xfrm>
          <a:off x="475459" y="3380029"/>
          <a:ext cx="858557" cy="864000"/>
        </a:xfrm>
        <a:prstGeom prst="ellipse">
          <a:avLst/>
        </a:prstGeom>
        <a:gradFill flip="none" rotWithShape="1">
          <a:gsLst>
            <a:gs pos="0">
              <a:srgbClr val="FFC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78D15D5C-B907-46BB-B105-5C977F23C728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2.38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312160</xdr:colOff>
      <xdr:row>67</xdr:row>
      <xdr:rowOff>158045</xdr:rowOff>
    </xdr:from>
    <xdr:to>
      <xdr:col>4</xdr:col>
      <xdr:colOff>437972</xdr:colOff>
      <xdr:row>73</xdr:row>
      <xdr:rowOff>152889</xdr:rowOff>
    </xdr:to>
    <xdr:sp macro="" textlink="Median!A8">
      <xdr:nvSpPr>
        <xdr:cNvPr id="5" name="KPI Oval PDR">
          <a:hlinkClick xmlns:r="http://schemas.openxmlformats.org/officeDocument/2006/relationships" r:id="rId3" tooltip="Projects Median Defects Aging"/>
        </xdr:cNvPr>
        <xdr:cNvSpPr>
          <a:spLocks noChangeArrowheads="1" noTextEdit="1"/>
        </xdr:cNvSpPr>
      </xdr:nvSpPr>
      <xdr:spPr bwMode="auto">
        <a:xfrm>
          <a:off x="502660" y="11235620"/>
          <a:ext cx="868762" cy="861619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5E101A81-6856-4E0F-8ED4-12C9C825C590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3.71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312160</xdr:colOff>
      <xdr:row>85</xdr:row>
      <xdr:rowOff>29601</xdr:rowOff>
    </xdr:from>
    <xdr:to>
      <xdr:col>4</xdr:col>
      <xdr:colOff>437972</xdr:colOff>
      <xdr:row>91</xdr:row>
      <xdr:rowOff>24445</xdr:rowOff>
    </xdr:to>
    <xdr:sp macro="" textlink="Core!A8">
      <xdr:nvSpPr>
        <xdr:cNvPr id="6" name="KPI Oval Reopen">
          <a:hlinkClick xmlns:r="http://schemas.openxmlformats.org/officeDocument/2006/relationships" r:id="rId4" tooltip="Projects Core Escaping Defects"/>
        </xdr:cNvPr>
        <xdr:cNvSpPr>
          <a:spLocks noChangeArrowheads="1" noTextEdit="1"/>
        </xdr:cNvSpPr>
      </xdr:nvSpPr>
      <xdr:spPr bwMode="auto">
        <a:xfrm>
          <a:off x="502660" y="13726551"/>
          <a:ext cx="868762" cy="861619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fld id="{6A8D3AEF-4A8E-409D-838D-D538EA8AEE8A}" type="TxLink"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22%</a:t>
          </a:fld>
          <a:endParaRPr lang="en-US" sz="1100"/>
        </a:p>
      </xdr:txBody>
    </xdr:sp>
    <xdr:clientData/>
  </xdr:twoCellAnchor>
  <xdr:twoCellAnchor>
    <xdr:from>
      <xdr:col>26</xdr:col>
      <xdr:colOff>10946</xdr:colOff>
      <xdr:row>1</xdr:row>
      <xdr:rowOff>317221</xdr:rowOff>
    </xdr:from>
    <xdr:to>
      <xdr:col>28</xdr:col>
      <xdr:colOff>342553</xdr:colOff>
      <xdr:row>2</xdr:row>
      <xdr:rowOff>161228</xdr:rowOff>
    </xdr:to>
    <xdr:sp macro="" textlink="">
      <xdr:nvSpPr>
        <xdr:cNvPr id="7" name="Rounded Rectangle 6">
          <a:hlinkClick xmlns:r="http://schemas.openxmlformats.org/officeDocument/2006/relationships" r:id="rId5" tooltip="Dev KPI"/>
        </xdr:cNvPr>
        <xdr:cNvSpPr/>
      </xdr:nvSpPr>
      <xdr:spPr>
        <a:xfrm>
          <a:off x="9116846" y="517246"/>
          <a:ext cx="1074557" cy="291682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Dev KPI</a:t>
          </a:r>
        </a:p>
      </xdr:txBody>
    </xdr:sp>
    <xdr:clientData/>
  </xdr:twoCellAnchor>
  <xdr:twoCellAnchor>
    <xdr:from>
      <xdr:col>28</xdr:col>
      <xdr:colOff>449096</xdr:colOff>
      <xdr:row>1</xdr:row>
      <xdr:rowOff>319944</xdr:rowOff>
    </xdr:from>
    <xdr:to>
      <xdr:col>32</xdr:col>
      <xdr:colOff>37913</xdr:colOff>
      <xdr:row>2</xdr:row>
      <xdr:rowOff>163951</xdr:rowOff>
    </xdr:to>
    <xdr:sp macro="" textlink="">
      <xdr:nvSpPr>
        <xdr:cNvPr id="8" name="Rounded Rectangle 7">
          <a:hlinkClick xmlns:r="http://schemas.openxmlformats.org/officeDocument/2006/relationships" r:id="rId6" tooltip="Back to Dashboard"/>
        </xdr:cNvPr>
        <xdr:cNvSpPr/>
      </xdr:nvSpPr>
      <xdr:spPr>
        <a:xfrm>
          <a:off x="10297946" y="519969"/>
          <a:ext cx="1074717" cy="291682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>
    <xdr:from>
      <xdr:col>2</xdr:col>
      <xdr:colOff>312160</xdr:colOff>
      <xdr:row>32</xdr:row>
      <xdr:rowOff>13436</xdr:rowOff>
    </xdr:from>
    <xdr:to>
      <xdr:col>4</xdr:col>
      <xdr:colOff>427767</xdr:colOff>
      <xdr:row>38</xdr:row>
      <xdr:rowOff>20186</xdr:rowOff>
    </xdr:to>
    <xdr:sp macro="" textlink="Reopened!A8">
      <xdr:nvSpPr>
        <xdr:cNvPr id="9" name="KPI Oval INAB">
          <a:hlinkClick xmlns:r="http://schemas.openxmlformats.org/officeDocument/2006/relationships" r:id="rId7" tooltip="Projects Defects Reopened"/>
        </xdr:cNvPr>
        <xdr:cNvSpPr>
          <a:spLocks noChangeArrowheads="1" noTextEdit="1"/>
        </xdr:cNvSpPr>
      </xdr:nvSpPr>
      <xdr:spPr bwMode="auto">
        <a:xfrm>
          <a:off x="502660" y="6052286"/>
          <a:ext cx="858557" cy="864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1E5F36A9-A0B1-4C9D-B088-2729AD2BFAA4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24%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312160</xdr:colOff>
      <xdr:row>50</xdr:row>
      <xdr:rowOff>63157</xdr:rowOff>
    </xdr:from>
    <xdr:to>
      <xdr:col>4</xdr:col>
      <xdr:colOff>437972</xdr:colOff>
      <xdr:row>56</xdr:row>
      <xdr:rowOff>58000</xdr:rowOff>
    </xdr:to>
    <xdr:sp macro="" textlink="Regression!A8">
      <xdr:nvSpPr>
        <xdr:cNvPr id="10" name="KPI Oval Reopen">
          <a:hlinkClick xmlns:r="http://schemas.openxmlformats.org/officeDocument/2006/relationships" r:id="rId8" tooltip="Projects Regression Defects"/>
        </xdr:cNvPr>
        <xdr:cNvSpPr>
          <a:spLocks noChangeArrowheads="1" noTextEdit="1"/>
        </xdr:cNvSpPr>
      </xdr:nvSpPr>
      <xdr:spPr bwMode="auto">
        <a:xfrm>
          <a:off x="502660" y="8711857"/>
          <a:ext cx="868762" cy="861618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fld id="{4679591F-5A83-4C3D-B0E3-15017AD0FF7B}" type="TxLink"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19%</a:t>
          </a:fld>
          <a:endParaRPr lang="en-US" sz="1100"/>
        </a:p>
      </xdr:txBody>
    </xdr:sp>
    <xdr:clientData/>
  </xdr:twoCellAnchor>
  <xdr:twoCellAnchor>
    <xdr:from>
      <xdr:col>6</xdr:col>
      <xdr:colOff>290574</xdr:colOff>
      <xdr:row>5</xdr:row>
      <xdr:rowOff>5953</xdr:rowOff>
    </xdr:from>
    <xdr:to>
      <xdr:col>10</xdr:col>
      <xdr:colOff>434199</xdr:colOff>
      <xdr:row>5</xdr:row>
      <xdr:rowOff>797953</xdr:rowOff>
    </xdr:to>
    <xdr:sp macro="" textlink="">
      <xdr:nvSpPr>
        <xdr:cNvPr id="11" name="Pentagon 10"/>
        <xdr:cNvSpPr/>
      </xdr:nvSpPr>
      <xdr:spPr>
        <a:xfrm>
          <a:off x="1966974" y="1091803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24</xdr:col>
      <xdr:colOff>481573</xdr:colOff>
      <xdr:row>5</xdr:row>
      <xdr:rowOff>5953</xdr:rowOff>
    </xdr:from>
    <xdr:to>
      <xdr:col>28</xdr:col>
      <xdr:colOff>625198</xdr:colOff>
      <xdr:row>5</xdr:row>
      <xdr:rowOff>797953</xdr:rowOff>
    </xdr:to>
    <xdr:sp macro="" textlink="">
      <xdr:nvSpPr>
        <xdr:cNvPr id="13" name="Pentagon 12"/>
        <xdr:cNvSpPr/>
      </xdr:nvSpPr>
      <xdr:spPr>
        <a:xfrm>
          <a:off x="8844523" y="1091803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26</xdr:col>
      <xdr:colOff>86958</xdr:colOff>
      <xdr:row>5</xdr:row>
      <xdr:rowOff>261179</xdr:rowOff>
    </xdr:from>
    <xdr:to>
      <xdr:col>28</xdr:col>
      <xdr:colOff>281627</xdr:colOff>
      <xdr:row>5</xdr:row>
      <xdr:rowOff>542727</xdr:rowOff>
    </xdr:to>
    <xdr:sp macro="" textlink="">
      <xdr:nvSpPr>
        <xdr:cNvPr id="15" name="Rounded Rectangle 14">
          <a:hlinkClick xmlns:r="http://schemas.openxmlformats.org/officeDocument/2006/relationships" r:id="rId9" tooltip="Coles KPIs"/>
        </xdr:cNvPr>
        <xdr:cNvSpPr/>
      </xdr:nvSpPr>
      <xdr:spPr>
        <a:xfrm>
          <a:off x="9192858" y="1347029"/>
          <a:ext cx="937619" cy="281548"/>
        </a:xfrm>
        <a:prstGeom prst="roundRect">
          <a:avLst/>
        </a:prstGeom>
        <a:blipFill dpi="0" rotWithShape="1">
          <a:blip xmlns:r="http://schemas.openxmlformats.org/officeDocument/2006/relationships" r:embed="rId10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230150</xdr:colOff>
      <xdr:row>5</xdr:row>
      <xdr:rowOff>0</xdr:rowOff>
    </xdr:from>
    <xdr:to>
      <xdr:col>24</xdr:col>
      <xdr:colOff>392902</xdr:colOff>
      <xdr:row>6</xdr:row>
      <xdr:rowOff>42865</xdr:rowOff>
    </xdr:to>
    <xdr:grpSp>
      <xdr:nvGrpSpPr>
        <xdr:cNvPr id="16" name="Group 15"/>
        <xdr:cNvGrpSpPr/>
      </xdr:nvGrpSpPr>
      <xdr:grpSpPr>
        <a:xfrm>
          <a:off x="7064338" y="1083469"/>
          <a:ext cx="1639127" cy="1185865"/>
          <a:chOff x="247650" y="1083469"/>
          <a:chExt cx="1639127" cy="1185865"/>
        </a:xfrm>
      </xdr:grpSpPr>
      <xdr:sp macro="" textlink="">
        <xdr:nvSpPr>
          <xdr:cNvPr id="17" name="Pentagon 16"/>
          <xdr:cNvSpPr/>
        </xdr:nvSpPr>
        <xdr:spPr>
          <a:xfrm rot="5400000">
            <a:off x="561692" y="770554"/>
            <a:ext cx="994170" cy="1620000"/>
          </a:xfrm>
          <a:prstGeom prst="homePlate">
            <a:avLst>
              <a:gd name="adj" fmla="val 20334"/>
            </a:avLst>
          </a:prstGeom>
          <a:solidFill>
            <a:schemeClr val="bg1">
              <a:lumMod val="85000"/>
            </a:schemeClr>
          </a:solidFill>
          <a:ln w="28575">
            <a:solidFill>
              <a:srgbClr val="54B948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400" b="1"/>
          </a:p>
        </xdr:txBody>
      </xdr:sp>
      <xdr:sp macro="" textlink="">
        <xdr:nvSpPr>
          <xdr:cNvPr id="18" name="Chevron 17"/>
          <xdr:cNvSpPr/>
        </xdr:nvSpPr>
        <xdr:spPr>
          <a:xfrm rot="5400000">
            <a:off x="882567" y="1283124"/>
            <a:ext cx="361945" cy="1610475"/>
          </a:xfrm>
          <a:prstGeom prst="chevron">
            <a:avLst>
              <a:gd name="adj" fmla="val 53585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9" name="Straight Connector 18"/>
          <xdr:cNvCxnSpPr/>
        </xdr:nvCxnSpPr>
        <xdr:spPr>
          <a:xfrm>
            <a:off x="247650" y="1988343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  <xdr:cxnSp macro="">
        <xdr:nvCxnSpPr>
          <xdr:cNvPr id="20" name="Straight Connector 19"/>
          <xdr:cNvCxnSpPr/>
        </xdr:nvCxnSpPr>
        <xdr:spPr>
          <a:xfrm flipV="1">
            <a:off x="1058777" y="1988344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</xdr:grpSp>
    <xdr:clientData/>
  </xdr:twoCellAnchor>
  <xdr:twoCellAnchor>
    <xdr:from>
      <xdr:col>2</xdr:col>
      <xdr:colOff>57150</xdr:colOff>
      <xdr:row>5</xdr:row>
      <xdr:rowOff>0</xdr:rowOff>
    </xdr:from>
    <xdr:to>
      <xdr:col>6</xdr:col>
      <xdr:colOff>200775</xdr:colOff>
      <xdr:row>5</xdr:row>
      <xdr:rowOff>792000</xdr:rowOff>
    </xdr:to>
    <xdr:sp macro="" textlink="">
      <xdr:nvSpPr>
        <xdr:cNvPr id="21" name="Pentagon 20"/>
        <xdr:cNvSpPr/>
      </xdr:nvSpPr>
      <xdr:spPr>
        <a:xfrm>
          <a:off x="247650" y="1085850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</xdr:col>
      <xdr:colOff>362761</xdr:colOff>
      <xdr:row>5</xdr:row>
      <xdr:rowOff>261708</xdr:rowOff>
    </xdr:from>
    <xdr:to>
      <xdr:col>4</xdr:col>
      <xdr:colOff>635604</xdr:colOff>
      <xdr:row>5</xdr:row>
      <xdr:rowOff>595303</xdr:rowOff>
    </xdr:to>
    <xdr:sp macro="" textlink="">
      <xdr:nvSpPr>
        <xdr:cNvPr id="22" name="Rounded Rectangle 21">
          <a:hlinkClick xmlns:r="http://schemas.openxmlformats.org/officeDocument/2006/relationships" r:id="rId11" tooltip="Target KPIs"/>
        </xdr:cNvPr>
        <xdr:cNvSpPr/>
      </xdr:nvSpPr>
      <xdr:spPr>
        <a:xfrm>
          <a:off x="553261" y="1347558"/>
          <a:ext cx="1015793" cy="333595"/>
        </a:xfrm>
        <a:prstGeom prst="roundRect">
          <a:avLst/>
        </a:prstGeom>
        <a:blipFill dpi="0" rotWithShape="1">
          <a:blip xmlns:r="http://schemas.openxmlformats.org/officeDocument/2006/relationships" r:embed="rId12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283333</xdr:colOff>
      <xdr:row>5</xdr:row>
      <xdr:rowOff>0</xdr:rowOff>
    </xdr:from>
    <xdr:to>
      <xdr:col>10</xdr:col>
      <xdr:colOff>426958</xdr:colOff>
      <xdr:row>5</xdr:row>
      <xdr:rowOff>792000</xdr:rowOff>
    </xdr:to>
    <xdr:sp macro="" textlink="">
      <xdr:nvSpPr>
        <xdr:cNvPr id="23" name="Pentagon 22"/>
        <xdr:cNvSpPr/>
      </xdr:nvSpPr>
      <xdr:spPr>
        <a:xfrm>
          <a:off x="1959733" y="1085850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6</xdr:col>
      <xdr:colOff>634146</xdr:colOff>
      <xdr:row>5</xdr:row>
      <xdr:rowOff>261708</xdr:rowOff>
    </xdr:from>
    <xdr:to>
      <xdr:col>10</xdr:col>
      <xdr:colOff>90627</xdr:colOff>
      <xdr:row>5</xdr:row>
      <xdr:rowOff>542198</xdr:rowOff>
    </xdr:to>
    <xdr:sp macro="" textlink="">
      <xdr:nvSpPr>
        <xdr:cNvPr id="24" name="Rounded Rectangle 23">
          <a:hlinkClick xmlns:r="http://schemas.openxmlformats.org/officeDocument/2006/relationships" r:id="rId13" tooltip="Coles KPIs"/>
        </xdr:cNvPr>
        <xdr:cNvSpPr/>
      </xdr:nvSpPr>
      <xdr:spPr>
        <a:xfrm>
          <a:off x="2310546" y="1347558"/>
          <a:ext cx="942381" cy="280490"/>
        </a:xfrm>
        <a:prstGeom prst="roundRect">
          <a:avLst/>
        </a:prstGeom>
        <a:blipFill dpi="0" rotWithShape="1">
          <a:blip xmlns:r="http://schemas.openxmlformats.org/officeDocument/2006/relationships" r:embed="rId14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503744</xdr:colOff>
      <xdr:row>5</xdr:row>
      <xdr:rowOff>0</xdr:rowOff>
    </xdr:from>
    <xdr:to>
      <xdr:col>15</xdr:col>
      <xdr:colOff>4431</xdr:colOff>
      <xdr:row>5</xdr:row>
      <xdr:rowOff>792000</xdr:rowOff>
    </xdr:to>
    <xdr:sp macro="" textlink="">
      <xdr:nvSpPr>
        <xdr:cNvPr id="25" name="Pentagon 24"/>
        <xdr:cNvSpPr/>
      </xdr:nvSpPr>
      <xdr:spPr>
        <a:xfrm>
          <a:off x="3666044" y="1085850"/>
          <a:ext cx="1634287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12</xdr:col>
      <xdr:colOff>126575</xdr:colOff>
      <xdr:row>5</xdr:row>
      <xdr:rowOff>261179</xdr:rowOff>
    </xdr:from>
    <xdr:to>
      <xdr:col>14</xdr:col>
      <xdr:colOff>324605</xdr:colOff>
      <xdr:row>5</xdr:row>
      <xdr:rowOff>542727</xdr:rowOff>
    </xdr:to>
    <xdr:sp macro="" textlink="">
      <xdr:nvSpPr>
        <xdr:cNvPr id="26" name="Rounded Rectangle 25">
          <a:hlinkClick xmlns:r="http://schemas.openxmlformats.org/officeDocument/2006/relationships" r:id="rId15" tooltip="Woolworths KPIs"/>
        </xdr:cNvPr>
        <xdr:cNvSpPr/>
      </xdr:nvSpPr>
      <xdr:spPr>
        <a:xfrm>
          <a:off x="4031825" y="1347029"/>
          <a:ext cx="940980" cy="281548"/>
        </a:xfrm>
        <a:prstGeom prst="roundRect">
          <a:avLst/>
        </a:prstGeom>
        <a:blipFill dpi="0" rotWithShape="1">
          <a:blip xmlns:r="http://schemas.openxmlformats.org/officeDocument/2006/relationships" r:embed="rId16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93103</xdr:colOff>
      <xdr:row>5</xdr:row>
      <xdr:rowOff>0</xdr:rowOff>
    </xdr:from>
    <xdr:to>
      <xdr:col>20</xdr:col>
      <xdr:colOff>141478</xdr:colOff>
      <xdr:row>5</xdr:row>
      <xdr:rowOff>792000</xdr:rowOff>
    </xdr:to>
    <xdr:sp macro="" textlink="">
      <xdr:nvSpPr>
        <xdr:cNvPr id="33" name="Pentagon 32"/>
        <xdr:cNvSpPr/>
      </xdr:nvSpPr>
      <xdr:spPr>
        <a:xfrm>
          <a:off x="5355666" y="1083469"/>
          <a:ext cx="1620000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16</xdr:col>
      <xdr:colOff>361673</xdr:colOff>
      <xdr:row>5</xdr:row>
      <xdr:rowOff>261179</xdr:rowOff>
    </xdr:from>
    <xdr:to>
      <xdr:col>18</xdr:col>
      <xdr:colOff>554101</xdr:colOff>
      <xdr:row>5</xdr:row>
      <xdr:rowOff>542728</xdr:rowOff>
    </xdr:to>
    <xdr:sp macro="" textlink="">
      <xdr:nvSpPr>
        <xdr:cNvPr id="27" name="Rounded Rectangle 26">
          <a:hlinkClick xmlns:r="http://schemas.openxmlformats.org/officeDocument/2006/relationships" r:id="rId17" tooltip="Sainsbury's KPIs"/>
        </xdr:cNvPr>
        <xdr:cNvSpPr/>
      </xdr:nvSpPr>
      <xdr:spPr>
        <a:xfrm>
          <a:off x="5752823" y="1347029"/>
          <a:ext cx="935378" cy="281549"/>
        </a:xfrm>
        <a:prstGeom prst="roundRect">
          <a:avLst/>
        </a:prstGeom>
        <a:blipFill dpi="0" rotWithShape="1">
          <a:blip xmlns:r="http://schemas.openxmlformats.org/officeDocument/2006/relationships" r:embed="rId18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597471</xdr:colOff>
      <xdr:row>5</xdr:row>
      <xdr:rowOff>261179</xdr:rowOff>
    </xdr:from>
    <xdr:to>
      <xdr:col>24</xdr:col>
      <xdr:colOff>44708</xdr:colOff>
      <xdr:row>5</xdr:row>
      <xdr:rowOff>542727</xdr:rowOff>
    </xdr:to>
    <xdr:sp macro="" textlink="">
      <xdr:nvSpPr>
        <xdr:cNvPr id="14" name="Rounded Rectangle 13">
          <a:hlinkClick xmlns:r="http://schemas.openxmlformats.org/officeDocument/2006/relationships" r:id="rId19" tooltip="Whole Foods Market KPIs"/>
        </xdr:cNvPr>
        <xdr:cNvSpPr/>
      </xdr:nvSpPr>
      <xdr:spPr>
        <a:xfrm>
          <a:off x="7474521" y="1347029"/>
          <a:ext cx="933137" cy="281548"/>
        </a:xfrm>
        <a:prstGeom prst="roundRect">
          <a:avLst/>
        </a:prstGeom>
        <a:blipFill dpi="0" rotWithShape="1">
          <a:blip xmlns:r="http://schemas.openxmlformats.org/officeDocument/2006/relationships" r:embed="rId20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21169</xdr:colOff>
      <xdr:row>10</xdr:row>
      <xdr:rowOff>35721</xdr:rowOff>
    </xdr:from>
    <xdr:to>
      <xdr:col>30</xdr:col>
      <xdr:colOff>342919</xdr:colOff>
      <xdr:row>23</xdr:row>
      <xdr:rowOff>182159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</xdr:col>
      <xdr:colOff>21169</xdr:colOff>
      <xdr:row>46</xdr:row>
      <xdr:rowOff>22494</xdr:rowOff>
    </xdr:from>
    <xdr:to>
      <xdr:col>30</xdr:col>
      <xdr:colOff>342919</xdr:colOff>
      <xdr:row>59</xdr:row>
      <xdr:rowOff>168931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6</xdr:col>
      <xdr:colOff>21169</xdr:colOff>
      <xdr:row>64</xdr:row>
      <xdr:rowOff>5296</xdr:rowOff>
    </xdr:from>
    <xdr:to>
      <xdr:col>26</xdr:col>
      <xdr:colOff>559294</xdr:colOff>
      <xdr:row>77</xdr:row>
      <xdr:rowOff>151733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</xdr:col>
      <xdr:colOff>21169</xdr:colOff>
      <xdr:row>82</xdr:row>
      <xdr:rowOff>35722</xdr:rowOff>
    </xdr:from>
    <xdr:to>
      <xdr:col>30</xdr:col>
      <xdr:colOff>342919</xdr:colOff>
      <xdr:row>95</xdr:row>
      <xdr:rowOff>182160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</xdr:col>
      <xdr:colOff>21169</xdr:colOff>
      <xdr:row>28</xdr:row>
      <xdr:rowOff>29107</xdr:rowOff>
    </xdr:from>
    <xdr:to>
      <xdr:col>30</xdr:col>
      <xdr:colOff>342919</xdr:colOff>
      <xdr:row>41</xdr:row>
      <xdr:rowOff>175545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904876</xdr:rowOff>
    </xdr:from>
    <xdr:to>
      <xdr:col>32</xdr:col>
      <xdr:colOff>84668</xdr:colOff>
      <xdr:row>100</xdr:row>
      <xdr:rowOff>117786</xdr:rowOff>
    </xdr:to>
    <xdr:sp macro="" textlink="">
      <xdr:nvSpPr>
        <xdr:cNvPr id="2" name="Rectangle 1"/>
        <xdr:cNvSpPr/>
      </xdr:nvSpPr>
      <xdr:spPr>
        <a:xfrm>
          <a:off x="95250" y="1990726"/>
          <a:ext cx="11324168" cy="13929035"/>
        </a:xfrm>
        <a:prstGeom prst="rect">
          <a:avLst/>
        </a:prstGeom>
        <a:noFill/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 editAs="oneCell">
    <xdr:from>
      <xdr:col>1</xdr:col>
      <xdr:colOff>35720</xdr:colOff>
      <xdr:row>106</xdr:row>
      <xdr:rowOff>22264</xdr:rowOff>
    </xdr:from>
    <xdr:to>
      <xdr:col>6</xdr:col>
      <xdr:colOff>283371</xdr:colOff>
      <xdr:row>106</xdr:row>
      <xdr:rowOff>488782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clrChange>
            <a:clrFrom>
              <a:srgbClr val="7DC243"/>
            </a:clrFrom>
            <a:clrTo>
              <a:srgbClr val="7DC243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 l="15730" t="38153" r="13916" b="38388"/>
        <a:stretch/>
      </xdr:blipFill>
      <xdr:spPr>
        <a:xfrm>
          <a:off x="130970" y="16681489"/>
          <a:ext cx="1828801" cy="466518"/>
        </a:xfrm>
        <a:prstGeom prst="rect">
          <a:avLst/>
        </a:prstGeom>
      </xdr:spPr>
    </xdr:pic>
    <xdr:clientData/>
  </xdr:twoCellAnchor>
  <xdr:twoCellAnchor>
    <xdr:from>
      <xdr:col>2</xdr:col>
      <xdr:colOff>284959</xdr:colOff>
      <xdr:row>13</xdr:row>
      <xdr:rowOff>160579</xdr:rowOff>
    </xdr:from>
    <xdr:to>
      <xdr:col>4</xdr:col>
      <xdr:colOff>400566</xdr:colOff>
      <xdr:row>19</xdr:row>
      <xdr:rowOff>167329</xdr:rowOff>
    </xdr:to>
    <xdr:sp macro="" textlink="DDD!A8">
      <xdr:nvSpPr>
        <xdr:cNvPr id="4" name="KPI Oval Reopen">
          <a:hlinkClick xmlns:r="http://schemas.openxmlformats.org/officeDocument/2006/relationships" r:id="rId2" tooltip="Projects Defects Density"/>
        </xdr:cNvPr>
        <xdr:cNvSpPr>
          <a:spLocks noChangeArrowheads="1" noTextEdit="1"/>
        </xdr:cNvSpPr>
      </xdr:nvSpPr>
      <xdr:spPr bwMode="auto">
        <a:xfrm>
          <a:off x="475459" y="3380029"/>
          <a:ext cx="858557" cy="864000"/>
        </a:xfrm>
        <a:prstGeom prst="ellipse">
          <a:avLst/>
        </a:prstGeom>
        <a:gradFill flip="none" rotWithShape="1">
          <a:gsLst>
            <a:gs pos="0">
              <a:srgbClr val="FFC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78D15D5C-B907-46BB-B105-5C977F23C728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2.38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312160</xdr:colOff>
      <xdr:row>67</xdr:row>
      <xdr:rowOff>158045</xdr:rowOff>
    </xdr:from>
    <xdr:to>
      <xdr:col>4</xdr:col>
      <xdr:colOff>437972</xdr:colOff>
      <xdr:row>73</xdr:row>
      <xdr:rowOff>152889</xdr:rowOff>
    </xdr:to>
    <xdr:sp macro="" textlink="Median!A8">
      <xdr:nvSpPr>
        <xdr:cNvPr id="5" name="KPI Oval PDR">
          <a:hlinkClick xmlns:r="http://schemas.openxmlformats.org/officeDocument/2006/relationships" r:id="rId3" tooltip="Projects Median Defects Aging"/>
        </xdr:cNvPr>
        <xdr:cNvSpPr>
          <a:spLocks noChangeArrowheads="1" noTextEdit="1"/>
        </xdr:cNvSpPr>
      </xdr:nvSpPr>
      <xdr:spPr bwMode="auto">
        <a:xfrm>
          <a:off x="502660" y="11235620"/>
          <a:ext cx="868762" cy="861619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5E101A81-6856-4E0F-8ED4-12C9C825C590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3.71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26</xdr:col>
      <xdr:colOff>10946</xdr:colOff>
      <xdr:row>1</xdr:row>
      <xdr:rowOff>317221</xdr:rowOff>
    </xdr:from>
    <xdr:to>
      <xdr:col>28</xdr:col>
      <xdr:colOff>342553</xdr:colOff>
      <xdr:row>2</xdr:row>
      <xdr:rowOff>161228</xdr:rowOff>
    </xdr:to>
    <xdr:sp macro="" textlink="">
      <xdr:nvSpPr>
        <xdr:cNvPr id="7" name="Rounded Rectangle 6">
          <a:hlinkClick xmlns:r="http://schemas.openxmlformats.org/officeDocument/2006/relationships" r:id="rId4" tooltip="Dev KPI"/>
        </xdr:cNvPr>
        <xdr:cNvSpPr/>
      </xdr:nvSpPr>
      <xdr:spPr>
        <a:xfrm>
          <a:off x="9116846" y="517246"/>
          <a:ext cx="1074557" cy="291682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Dev KPI</a:t>
          </a:r>
        </a:p>
      </xdr:txBody>
    </xdr:sp>
    <xdr:clientData/>
  </xdr:twoCellAnchor>
  <xdr:twoCellAnchor>
    <xdr:from>
      <xdr:col>28</xdr:col>
      <xdr:colOff>449096</xdr:colOff>
      <xdr:row>1</xdr:row>
      <xdr:rowOff>319944</xdr:rowOff>
    </xdr:from>
    <xdr:to>
      <xdr:col>32</xdr:col>
      <xdr:colOff>37913</xdr:colOff>
      <xdr:row>2</xdr:row>
      <xdr:rowOff>163951</xdr:rowOff>
    </xdr:to>
    <xdr:sp macro="" textlink="">
      <xdr:nvSpPr>
        <xdr:cNvPr id="8" name="Rounded Rectangle 7">
          <a:hlinkClick xmlns:r="http://schemas.openxmlformats.org/officeDocument/2006/relationships" r:id="rId5" tooltip="Back to Dashboard"/>
        </xdr:cNvPr>
        <xdr:cNvSpPr/>
      </xdr:nvSpPr>
      <xdr:spPr>
        <a:xfrm>
          <a:off x="10297946" y="519969"/>
          <a:ext cx="1074717" cy="291682"/>
        </a:xfrm>
        <a:prstGeom prst="roundRect">
          <a:avLst/>
        </a:prstGeom>
        <a:solidFill>
          <a:srgbClr val="54B948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>
    <xdr:from>
      <xdr:col>2</xdr:col>
      <xdr:colOff>312160</xdr:colOff>
      <xdr:row>32</xdr:row>
      <xdr:rowOff>13436</xdr:rowOff>
    </xdr:from>
    <xdr:to>
      <xdr:col>4</xdr:col>
      <xdr:colOff>427767</xdr:colOff>
      <xdr:row>38</xdr:row>
      <xdr:rowOff>20186</xdr:rowOff>
    </xdr:to>
    <xdr:sp macro="" textlink="Reopened!A8">
      <xdr:nvSpPr>
        <xdr:cNvPr id="9" name="KPI Oval INAB">
          <a:hlinkClick xmlns:r="http://schemas.openxmlformats.org/officeDocument/2006/relationships" r:id="rId6" tooltip="Projects Defects Reopened"/>
        </xdr:cNvPr>
        <xdr:cNvSpPr>
          <a:spLocks noChangeArrowheads="1" noTextEdit="1"/>
        </xdr:cNvSpPr>
      </xdr:nvSpPr>
      <xdr:spPr bwMode="auto">
        <a:xfrm>
          <a:off x="502660" y="6052286"/>
          <a:ext cx="858557" cy="864000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marL="0" indent="0" algn="ctr" rtl="0">
            <a:defRPr sz="1000"/>
          </a:pPr>
          <a:fld id="{1E5F36A9-A0B1-4C9D-B088-2729AD2BFAA4}" type="TxLink">
            <a:rPr lang="en-US" sz="1600" b="1" i="0" u="none" strike="noStrike" baseline="0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 rtl="0">
              <a:defRPr sz="1000"/>
            </a:pPr>
            <a:t>24%</a:t>
          </a:fld>
          <a:endParaRPr lang="en-US" sz="1600" b="1" i="0" u="none" strike="noStrike" baseline="0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312160</xdr:colOff>
      <xdr:row>50</xdr:row>
      <xdr:rowOff>63157</xdr:rowOff>
    </xdr:from>
    <xdr:to>
      <xdr:col>4</xdr:col>
      <xdr:colOff>437972</xdr:colOff>
      <xdr:row>56</xdr:row>
      <xdr:rowOff>58000</xdr:rowOff>
    </xdr:to>
    <xdr:sp macro="" textlink="Regression!A8">
      <xdr:nvSpPr>
        <xdr:cNvPr id="10" name="KPI Oval Reopen">
          <a:hlinkClick xmlns:r="http://schemas.openxmlformats.org/officeDocument/2006/relationships" r:id="rId7" tooltip="Projects Regression Defects"/>
        </xdr:cNvPr>
        <xdr:cNvSpPr>
          <a:spLocks noChangeArrowheads="1" noTextEdit="1"/>
        </xdr:cNvSpPr>
      </xdr:nvSpPr>
      <xdr:spPr bwMode="auto">
        <a:xfrm>
          <a:off x="502660" y="8711857"/>
          <a:ext cx="868762" cy="861618"/>
        </a:xfrm>
        <a:prstGeom prst="ellipse">
          <a:avLst/>
        </a:prstGeom>
        <a:gradFill flip="none" rotWithShape="1">
          <a:gsLst>
            <a:gs pos="0">
              <a:srgbClr val="FF0000"/>
            </a:gs>
            <a:gs pos="100000">
              <a:srgbClr val="FFFFFF"/>
            </a:gs>
          </a:gsLst>
          <a:lin ang="5400000" scaled="1"/>
          <a:tileRect/>
        </a:gradFill>
        <a:ln w="22225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fld id="{4679591F-5A83-4C3D-B0E3-15017AD0FF7B}" type="TxLink"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19%</a:t>
          </a:fld>
          <a:endParaRPr lang="en-US" sz="1100"/>
        </a:p>
      </xdr:txBody>
    </xdr:sp>
    <xdr:clientData/>
  </xdr:twoCellAnchor>
  <xdr:twoCellAnchor>
    <xdr:from>
      <xdr:col>6</xdr:col>
      <xdr:colOff>290574</xdr:colOff>
      <xdr:row>5</xdr:row>
      <xdr:rowOff>5953</xdr:rowOff>
    </xdr:from>
    <xdr:to>
      <xdr:col>10</xdr:col>
      <xdr:colOff>434199</xdr:colOff>
      <xdr:row>5</xdr:row>
      <xdr:rowOff>797953</xdr:rowOff>
    </xdr:to>
    <xdr:sp macro="" textlink="">
      <xdr:nvSpPr>
        <xdr:cNvPr id="11" name="Pentagon 10"/>
        <xdr:cNvSpPr/>
      </xdr:nvSpPr>
      <xdr:spPr>
        <a:xfrm>
          <a:off x="1966974" y="1091803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24</xdr:col>
      <xdr:colOff>462446</xdr:colOff>
      <xdr:row>5</xdr:row>
      <xdr:rowOff>0</xdr:rowOff>
    </xdr:from>
    <xdr:to>
      <xdr:col>28</xdr:col>
      <xdr:colOff>625198</xdr:colOff>
      <xdr:row>6</xdr:row>
      <xdr:rowOff>42865</xdr:rowOff>
    </xdr:to>
    <xdr:grpSp>
      <xdr:nvGrpSpPr>
        <xdr:cNvPr id="14" name="Group 13"/>
        <xdr:cNvGrpSpPr/>
      </xdr:nvGrpSpPr>
      <xdr:grpSpPr>
        <a:xfrm>
          <a:off x="8773009" y="1083469"/>
          <a:ext cx="1639127" cy="1185865"/>
          <a:chOff x="247650" y="1083469"/>
          <a:chExt cx="1639127" cy="1185865"/>
        </a:xfrm>
      </xdr:grpSpPr>
      <xdr:sp macro="" textlink="">
        <xdr:nvSpPr>
          <xdr:cNvPr id="15" name="Pentagon 14"/>
          <xdr:cNvSpPr/>
        </xdr:nvSpPr>
        <xdr:spPr>
          <a:xfrm rot="5400000">
            <a:off x="561692" y="770554"/>
            <a:ext cx="994170" cy="1620000"/>
          </a:xfrm>
          <a:prstGeom prst="homePlate">
            <a:avLst>
              <a:gd name="adj" fmla="val 20334"/>
            </a:avLst>
          </a:prstGeom>
          <a:solidFill>
            <a:schemeClr val="bg1">
              <a:lumMod val="85000"/>
            </a:schemeClr>
          </a:solidFill>
          <a:ln w="28575">
            <a:solidFill>
              <a:srgbClr val="54B948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400" b="1"/>
          </a:p>
        </xdr:txBody>
      </xdr:sp>
      <xdr:sp macro="" textlink="">
        <xdr:nvSpPr>
          <xdr:cNvPr id="16" name="Chevron 15"/>
          <xdr:cNvSpPr/>
        </xdr:nvSpPr>
        <xdr:spPr>
          <a:xfrm rot="5400000">
            <a:off x="882567" y="1283124"/>
            <a:ext cx="361945" cy="1610475"/>
          </a:xfrm>
          <a:prstGeom prst="chevron">
            <a:avLst>
              <a:gd name="adj" fmla="val 53585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7" name="Straight Connector 16"/>
          <xdr:cNvCxnSpPr/>
        </xdr:nvCxnSpPr>
        <xdr:spPr>
          <a:xfrm>
            <a:off x="247650" y="1988343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  <xdr:cxnSp macro="">
        <xdr:nvCxnSpPr>
          <xdr:cNvPr id="18" name="Straight Connector 17"/>
          <xdr:cNvCxnSpPr/>
        </xdr:nvCxnSpPr>
        <xdr:spPr>
          <a:xfrm flipV="1">
            <a:off x="1058777" y="1988344"/>
            <a:ext cx="828000" cy="216000"/>
          </a:xfrm>
          <a:prstGeom prst="line">
            <a:avLst/>
          </a:prstGeom>
          <a:noFill/>
          <a:ln w="285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</xdr:cxnSp>
    </xdr:grpSp>
    <xdr:clientData/>
  </xdr:twoCellAnchor>
  <xdr:twoCellAnchor>
    <xdr:from>
      <xdr:col>2</xdr:col>
      <xdr:colOff>57150</xdr:colOff>
      <xdr:row>5</xdr:row>
      <xdr:rowOff>0</xdr:rowOff>
    </xdr:from>
    <xdr:to>
      <xdr:col>6</xdr:col>
      <xdr:colOff>200775</xdr:colOff>
      <xdr:row>5</xdr:row>
      <xdr:rowOff>792000</xdr:rowOff>
    </xdr:to>
    <xdr:sp macro="" textlink="">
      <xdr:nvSpPr>
        <xdr:cNvPr id="19" name="Pentagon 18"/>
        <xdr:cNvSpPr/>
      </xdr:nvSpPr>
      <xdr:spPr>
        <a:xfrm>
          <a:off x="247650" y="1085850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</xdr:col>
      <xdr:colOff>362761</xdr:colOff>
      <xdr:row>5</xdr:row>
      <xdr:rowOff>261708</xdr:rowOff>
    </xdr:from>
    <xdr:to>
      <xdr:col>4</xdr:col>
      <xdr:colOff>635604</xdr:colOff>
      <xdr:row>5</xdr:row>
      <xdr:rowOff>595303</xdr:rowOff>
    </xdr:to>
    <xdr:sp macro="" textlink="">
      <xdr:nvSpPr>
        <xdr:cNvPr id="20" name="Rounded Rectangle 19">
          <a:hlinkClick xmlns:r="http://schemas.openxmlformats.org/officeDocument/2006/relationships" r:id="rId8" tooltip="Target KPIs"/>
        </xdr:cNvPr>
        <xdr:cNvSpPr/>
      </xdr:nvSpPr>
      <xdr:spPr>
        <a:xfrm>
          <a:off x="553261" y="1347558"/>
          <a:ext cx="1015793" cy="333595"/>
        </a:xfrm>
        <a:prstGeom prst="roundRect">
          <a:avLst/>
        </a:prstGeom>
        <a:blipFill dpi="0" rotWithShape="1">
          <a:blip xmlns:r="http://schemas.openxmlformats.org/officeDocument/2006/relationships" r:embed="rId9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283333</xdr:colOff>
      <xdr:row>5</xdr:row>
      <xdr:rowOff>0</xdr:rowOff>
    </xdr:from>
    <xdr:to>
      <xdr:col>10</xdr:col>
      <xdr:colOff>426958</xdr:colOff>
      <xdr:row>5</xdr:row>
      <xdr:rowOff>792000</xdr:rowOff>
    </xdr:to>
    <xdr:sp macro="" textlink="">
      <xdr:nvSpPr>
        <xdr:cNvPr id="21" name="Pentagon 20"/>
        <xdr:cNvSpPr/>
      </xdr:nvSpPr>
      <xdr:spPr>
        <a:xfrm>
          <a:off x="1959733" y="1085850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6</xdr:col>
      <xdr:colOff>634146</xdr:colOff>
      <xdr:row>5</xdr:row>
      <xdr:rowOff>261708</xdr:rowOff>
    </xdr:from>
    <xdr:to>
      <xdr:col>10</xdr:col>
      <xdr:colOff>90627</xdr:colOff>
      <xdr:row>5</xdr:row>
      <xdr:rowOff>542198</xdr:rowOff>
    </xdr:to>
    <xdr:sp macro="" textlink="">
      <xdr:nvSpPr>
        <xdr:cNvPr id="22" name="Rounded Rectangle 21">
          <a:hlinkClick xmlns:r="http://schemas.openxmlformats.org/officeDocument/2006/relationships" r:id="rId10" tooltip="Coles KPIs"/>
        </xdr:cNvPr>
        <xdr:cNvSpPr/>
      </xdr:nvSpPr>
      <xdr:spPr>
        <a:xfrm>
          <a:off x="2310546" y="1347558"/>
          <a:ext cx="942381" cy="280490"/>
        </a:xfrm>
        <a:prstGeom prst="roundRect">
          <a:avLst/>
        </a:prstGeom>
        <a:blipFill dpi="0" rotWithShape="1">
          <a:blip xmlns:r="http://schemas.openxmlformats.org/officeDocument/2006/relationships" r:embed="rId11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503744</xdr:colOff>
      <xdr:row>5</xdr:row>
      <xdr:rowOff>0</xdr:rowOff>
    </xdr:from>
    <xdr:to>
      <xdr:col>15</xdr:col>
      <xdr:colOff>4431</xdr:colOff>
      <xdr:row>5</xdr:row>
      <xdr:rowOff>792000</xdr:rowOff>
    </xdr:to>
    <xdr:sp macro="" textlink="">
      <xdr:nvSpPr>
        <xdr:cNvPr id="23" name="Pentagon 22"/>
        <xdr:cNvSpPr/>
      </xdr:nvSpPr>
      <xdr:spPr>
        <a:xfrm>
          <a:off x="3666044" y="1085850"/>
          <a:ext cx="1634287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12</xdr:col>
      <xdr:colOff>126575</xdr:colOff>
      <xdr:row>5</xdr:row>
      <xdr:rowOff>261179</xdr:rowOff>
    </xdr:from>
    <xdr:to>
      <xdr:col>14</xdr:col>
      <xdr:colOff>324605</xdr:colOff>
      <xdr:row>5</xdr:row>
      <xdr:rowOff>542727</xdr:rowOff>
    </xdr:to>
    <xdr:sp macro="" textlink="">
      <xdr:nvSpPr>
        <xdr:cNvPr id="24" name="Rounded Rectangle 23">
          <a:hlinkClick xmlns:r="http://schemas.openxmlformats.org/officeDocument/2006/relationships" r:id="rId12" tooltip="Woolworths KPIs"/>
        </xdr:cNvPr>
        <xdr:cNvSpPr/>
      </xdr:nvSpPr>
      <xdr:spPr>
        <a:xfrm>
          <a:off x="4031825" y="1347029"/>
          <a:ext cx="940980" cy="281548"/>
        </a:xfrm>
        <a:prstGeom prst="roundRect">
          <a:avLst/>
        </a:prstGeom>
        <a:blipFill dpi="0" rotWithShape="1">
          <a:blip xmlns:r="http://schemas.openxmlformats.org/officeDocument/2006/relationships" r:embed="rId13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93103</xdr:colOff>
      <xdr:row>5</xdr:row>
      <xdr:rowOff>0</xdr:rowOff>
    </xdr:from>
    <xdr:to>
      <xdr:col>20</xdr:col>
      <xdr:colOff>141478</xdr:colOff>
      <xdr:row>5</xdr:row>
      <xdr:rowOff>792000</xdr:rowOff>
    </xdr:to>
    <xdr:sp macro="" textlink="">
      <xdr:nvSpPr>
        <xdr:cNvPr id="25" name="Pentagon 24"/>
        <xdr:cNvSpPr/>
      </xdr:nvSpPr>
      <xdr:spPr>
        <a:xfrm>
          <a:off x="5389003" y="1085850"/>
          <a:ext cx="1629525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16</xdr:col>
      <xdr:colOff>361673</xdr:colOff>
      <xdr:row>5</xdr:row>
      <xdr:rowOff>261179</xdr:rowOff>
    </xdr:from>
    <xdr:to>
      <xdr:col>18</xdr:col>
      <xdr:colOff>554101</xdr:colOff>
      <xdr:row>5</xdr:row>
      <xdr:rowOff>542728</xdr:rowOff>
    </xdr:to>
    <xdr:sp macro="" textlink="">
      <xdr:nvSpPr>
        <xdr:cNvPr id="26" name="Rounded Rectangle 25">
          <a:hlinkClick xmlns:r="http://schemas.openxmlformats.org/officeDocument/2006/relationships" r:id="rId14" tooltip="Sainsbury's KPIs"/>
        </xdr:cNvPr>
        <xdr:cNvSpPr/>
      </xdr:nvSpPr>
      <xdr:spPr>
        <a:xfrm>
          <a:off x="5752823" y="1347029"/>
          <a:ext cx="935378" cy="281549"/>
        </a:xfrm>
        <a:prstGeom prst="roundRect">
          <a:avLst/>
        </a:prstGeom>
        <a:blipFill dpi="0" rotWithShape="1">
          <a:blip xmlns:r="http://schemas.openxmlformats.org/officeDocument/2006/relationships" r:embed="rId15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230150</xdr:colOff>
      <xdr:row>5</xdr:row>
      <xdr:rowOff>0</xdr:rowOff>
    </xdr:from>
    <xdr:to>
      <xdr:col>24</xdr:col>
      <xdr:colOff>373775</xdr:colOff>
      <xdr:row>5</xdr:row>
      <xdr:rowOff>792000</xdr:rowOff>
    </xdr:to>
    <xdr:sp macro="" textlink="">
      <xdr:nvSpPr>
        <xdr:cNvPr id="33" name="Pentagon 32"/>
        <xdr:cNvSpPr/>
      </xdr:nvSpPr>
      <xdr:spPr>
        <a:xfrm>
          <a:off x="7064338" y="1083469"/>
          <a:ext cx="1620000" cy="792000"/>
        </a:xfrm>
        <a:prstGeom prst="homePlate">
          <a:avLst>
            <a:gd name="adj" fmla="val 0"/>
          </a:avLst>
        </a:prstGeom>
        <a:ln w="28575"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20</xdr:col>
      <xdr:colOff>597471</xdr:colOff>
      <xdr:row>5</xdr:row>
      <xdr:rowOff>261179</xdr:rowOff>
    </xdr:from>
    <xdr:to>
      <xdr:col>24</xdr:col>
      <xdr:colOff>44708</xdr:colOff>
      <xdr:row>5</xdr:row>
      <xdr:rowOff>542727</xdr:rowOff>
    </xdr:to>
    <xdr:sp macro="" textlink="">
      <xdr:nvSpPr>
        <xdr:cNvPr id="27" name="Rounded Rectangle 26">
          <a:hlinkClick xmlns:r="http://schemas.openxmlformats.org/officeDocument/2006/relationships" r:id="rId16" tooltip="Whole Foods Market KPIs"/>
        </xdr:cNvPr>
        <xdr:cNvSpPr/>
      </xdr:nvSpPr>
      <xdr:spPr>
        <a:xfrm>
          <a:off x="7474521" y="1347029"/>
          <a:ext cx="933137" cy="281548"/>
        </a:xfrm>
        <a:prstGeom prst="roundRect">
          <a:avLst/>
        </a:prstGeom>
        <a:blipFill dpi="0" rotWithShape="1">
          <a:blip xmlns:r="http://schemas.openxmlformats.org/officeDocument/2006/relationships" r:embed="rId17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86958</xdr:colOff>
      <xdr:row>5</xdr:row>
      <xdr:rowOff>261179</xdr:rowOff>
    </xdr:from>
    <xdr:to>
      <xdr:col>28</xdr:col>
      <xdr:colOff>281627</xdr:colOff>
      <xdr:row>5</xdr:row>
      <xdr:rowOff>542727</xdr:rowOff>
    </xdr:to>
    <xdr:sp macro="" textlink="">
      <xdr:nvSpPr>
        <xdr:cNvPr id="13" name="Rounded Rectangle 12">
          <a:hlinkClick xmlns:r="http://schemas.openxmlformats.org/officeDocument/2006/relationships" r:id="rId18" tooltip="Coles KPIs"/>
        </xdr:cNvPr>
        <xdr:cNvSpPr/>
      </xdr:nvSpPr>
      <xdr:spPr>
        <a:xfrm>
          <a:off x="9192858" y="1347029"/>
          <a:ext cx="937619" cy="281548"/>
        </a:xfrm>
        <a:prstGeom prst="roundRect">
          <a:avLst/>
        </a:prstGeom>
        <a:blipFill dpi="0" rotWithShape="1">
          <a:blip xmlns:r="http://schemas.openxmlformats.org/officeDocument/2006/relationships" r:embed="rId19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21169</xdr:colOff>
      <xdr:row>10</xdr:row>
      <xdr:rowOff>35721</xdr:rowOff>
    </xdr:from>
    <xdr:to>
      <xdr:col>30</xdr:col>
      <xdr:colOff>342919</xdr:colOff>
      <xdr:row>23</xdr:row>
      <xdr:rowOff>182159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6</xdr:col>
      <xdr:colOff>21169</xdr:colOff>
      <xdr:row>46</xdr:row>
      <xdr:rowOff>22494</xdr:rowOff>
    </xdr:from>
    <xdr:to>
      <xdr:col>30</xdr:col>
      <xdr:colOff>342919</xdr:colOff>
      <xdr:row>59</xdr:row>
      <xdr:rowOff>168931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</xdr:col>
      <xdr:colOff>21169</xdr:colOff>
      <xdr:row>64</xdr:row>
      <xdr:rowOff>5296</xdr:rowOff>
    </xdr:from>
    <xdr:to>
      <xdr:col>26</xdr:col>
      <xdr:colOff>559294</xdr:colOff>
      <xdr:row>77</xdr:row>
      <xdr:rowOff>151733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kipi/368_Eran.Beres_3ae3a2de-caab-4039-b3d0-a6bc0be5b25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ric/Users/eranb/Documents/My%20Retalix/QMO/Measurments/New%20KPIs/Dev%20KPI/Test%20Execution%20Progre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B"/>
      <sheetName val="DDP"/>
      <sheetName val="D3"/>
      <sheetName val="Reopen"/>
      <sheetName val="PDH"/>
      <sheetName val="PDL"/>
      <sheetName val="Trend"/>
      <sheetName val="SKIPI Details"/>
      <sheetName val="Calc Data"/>
      <sheetName val="Dashboard"/>
      <sheetName val="tDashboard"/>
      <sheetName val="Analysis DDP"/>
      <sheetName val="CDR-Project"/>
      <sheetName val="CDR-Product"/>
      <sheetName val="CDR-TL"/>
      <sheetName val="CDR-Project Calc"/>
      <sheetName val="CDR-GLD Calc"/>
      <sheetName val="PDR-Project"/>
      <sheetName val="PDR-Product"/>
      <sheetName val="PDR-TL"/>
      <sheetName val="PDR-Calculation"/>
      <sheetName val="Analysis NAB"/>
      <sheetName val="NAB-Project"/>
      <sheetName val="NAB-Product"/>
      <sheetName val="NAB-Iby"/>
      <sheetName val="NAB-Calculation"/>
      <sheetName val="Analysis NAB (C)"/>
      <sheetName val="NAB-Project (C)"/>
      <sheetName val="NAB-Product (C)"/>
      <sheetName val="NAB-Iby (C)"/>
      <sheetName val="Analysis Reopen"/>
      <sheetName val="Reopen-Project"/>
      <sheetName val="Reopen-Product"/>
      <sheetName val="Reopen-TL"/>
      <sheetName val="Reopen - Calc Definition"/>
      <sheetName val="Reopen-Project Calc"/>
      <sheetName val="Reopen-GLD Calc"/>
      <sheetName val="Analysis D3"/>
      <sheetName val="D3-Project"/>
      <sheetName val="D3-Product"/>
      <sheetName val="D3-TL"/>
      <sheetName val="D3-GLD Calc Definition"/>
      <sheetName val="D3-Project Calc"/>
      <sheetName val="D3-GLD Calc"/>
      <sheetName val="Configuration"/>
      <sheetName val="sNAB"/>
      <sheetName val="sDDP"/>
      <sheetName val="sD3"/>
      <sheetName val="sReopen"/>
      <sheetName val="sPDH"/>
      <sheetName val="sPDL"/>
      <sheetName val="sTr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B3">
            <v>0.3611111111111111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B2">
            <v>0.5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Data"/>
      <sheetName val="Test Execution Progress"/>
    </sheetNames>
    <sheetDataSet>
      <sheetData sheetId="0" refreshError="1"/>
      <sheetData sheetId="1" refreshError="1">
        <row r="2">
          <cell r="E2">
            <v>41640</v>
          </cell>
          <cell r="F2">
            <v>2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id="8" name="DD_Table" displayName="DD_Table" ref="A1:AY66" totalsRowShown="0">
  <autoFilter ref="A1:AY66"/>
  <tableColumns count="51">
    <tableColumn id="1" name="Date" dataDxfId="160">
      <calculatedColumnFormula>+A1+7</calculatedColumnFormula>
    </tableColumn>
    <tableColumn id="16" name="Week" dataDxfId="159">
      <calculatedColumnFormula>WEEKNUM(A2)</calculatedColumnFormula>
    </tableColumn>
    <tableColumn id="2" name="Week-Year" dataDxfId="158">
      <calculatedColumnFormula>VALUE(WEEKNUM(A2)&amp;YEAR(A2))</calculatedColumnFormula>
    </tableColumn>
    <tableColumn id="7" name="TDM_US" dataDxfId="157">
      <calculatedColumnFormula>IFERROR(VLOOKUP(C2,TDM_DD[[Week-Year]:[DD]],2,FALSE),IF(ISNUMBER(OFFSET(D2,-1,0)),OFFSET(D2,-1,0),NA()))</calculatedColumnFormula>
    </tableColumn>
    <tableColumn id="4" name="Coles_US" dataDxfId="156">
      <calculatedColumnFormula>IFERROR(VLOOKUP(C2,Coles_DD[[Week-Year]:[DD]],2,FALSE),IF(ISNUMBER(OFFSET(E2,-1,0)),OFFSET(E2,-1,0),NA()))</calculatedColumnFormula>
    </tableColumn>
    <tableColumn id="3" name="WOW_US" dataDxfId="155">
      <calculatedColumnFormula>IFERROR(VLOOKUP(C2,WOW_DD[[Week-Year]:[DD]],2,FALSE),IF(ISNUMBER(OFFSET(F2,-1,0)),OFFSET(F2,-1,0),NA()))</calculatedColumnFormula>
    </tableColumn>
    <tableColumn id="6" name="SSL_US" dataDxfId="154">
      <calculatedColumnFormula>IFERROR(VLOOKUP(C2,SSL_DD[[Week-Year]:[DD]],2,FALSE),IF(ISNUMBER(OFFSET(G2,-1,0)),OFFSET(G2,-1,0),NA()))</calculatedColumnFormula>
    </tableColumn>
    <tableColumn id="5" name="WFM_US" dataDxfId="153">
      <calculatedColumnFormula>IFERROR(VLOOKUP(C2,WFM_DD[[Week-Year]:[DD]],2,FALSE),IF(ISNUMBER(OFFSET(H2,-1,0)),OFFSET(H2,-1,0),NA()))</calculatedColumnFormula>
    </tableColumn>
    <tableColumn id="8" name="R10_US" dataDxfId="152">
      <calculatedColumnFormula>IFERROR(VLOOKUP(C2,RTen_DD[[Week-Year]:[DD]],2,FALSE),IF(ISNUMBER(OFFSET(I2,-1,0)),OFFSET(I2,-1,0),NA()))</calculatedColumnFormula>
    </tableColumn>
    <tableColumn id="13" name="TDM_DD" dataDxfId="151">
      <calculatedColumnFormula>IFERROR(VLOOKUP(C2,TDM_DD[[Week-Year]:[DD]],3,FALSE),IF(ISNUMBER(OFFSET(J2,-1,0)),OFFSET(J2,-1,0),NA()))</calculatedColumnFormula>
    </tableColumn>
    <tableColumn id="10" name="Coles_DD" dataDxfId="150">
      <calculatedColumnFormula>IFERROR(VLOOKUP(C2,Coles_DD[[Week-Year]:[DD]],3,FALSE),IF(ISNUMBER(OFFSET(K2,-1,0)),OFFSET(K2,-1,0),NA()))</calculatedColumnFormula>
    </tableColumn>
    <tableColumn id="9" name="WOW_DD" dataDxfId="149">
      <calculatedColumnFormula>IFERROR(VLOOKUP(C2,WOW_DD[[Week-Year]:[DD]],3,FALSE),IF(ISNUMBER(OFFSET(L2,-1,0)),OFFSET(L2,-1,0),NA()))</calculatedColumnFormula>
    </tableColumn>
    <tableColumn id="12" name="SSL_DD" dataDxfId="148">
      <calculatedColumnFormula>IFERROR(VLOOKUP(C2,SSL_DD[[Week-Year]:[DD]],3,FALSE),IF(ISNUMBER(OFFSET(M2,-1,0)),OFFSET(M2,-1,0),NA()))</calculatedColumnFormula>
    </tableColumn>
    <tableColumn id="11" name="WFM_DD" dataDxfId="147">
      <calculatedColumnFormula>IFERROR(VLOOKUP(C2,WFM_DD[[Week-Year]:[DD]],3,FALSE),IF(ISNUMBER(OFFSET(N2,-1,0)),OFFSET(N2,-1,0),NA()))</calculatedColumnFormula>
    </tableColumn>
    <tableColumn id="14" name="R10_DD" dataDxfId="146">
      <calculatedColumnFormula>IFERROR(VLOOKUP(C2,RTen_DD[[Week-Year]:[DD]],3,FALSE),IF(ISNUMBER(OFFSET(O2,-1,0)),OFFSET(O2,-1,0),NA()))</calculatedColumnFormula>
    </tableColumn>
    <tableColumn id="15" name="Average_DD" dataDxfId="145">
      <calculatedColumnFormula array="1">AVERAGE(IF(ISNUMBER(DD_Table[[#This Row],[TDM_DD]:[WFM_DD]]),DD_Table[[#This Row],[TDM_DD]:[WFM_DD]]))</calculatedColumnFormula>
    </tableColumn>
    <tableColumn id="23" name="Max_DD" dataDxfId="144">
      <calculatedColumnFormula array="1">MAX(IF(ISERROR(DD_Table[[TDM_DD]:[WFM_DD]]),0,DD_Table[[TDM_DD]:[WFM_DD]]))*0.8</calculatedColumnFormula>
    </tableColumn>
    <tableColumn id="17" name="TDM_Plan" dataDxfId="143"/>
    <tableColumn id="18" name="Coles_Plan" dataDxfId="142"/>
    <tableColumn id="19" name="WOW_Plan" dataDxfId="141"/>
    <tableColumn id="20" name="SSL_Plan" dataDxfId="140"/>
    <tableColumn id="21" name="WFM_Plan" dataDxfId="139"/>
    <tableColumn id="22" name="R10_Plan" dataDxfId="138"/>
    <tableColumn id="27" name="TDM_Ext_Reg" dataDxfId="137">
      <calculatedColumnFormula>IFERROR(VLOOKUP(C2,TDM_DD[[Week-Year]:[Core Reg]],4,FALSE),IF(ISNUMBER(OFFSET(X2,-1,0)),OFFSET(X2,-1,0),NA()))</calculatedColumnFormula>
    </tableColumn>
    <tableColumn id="26" name="TDM_Core_Reg" dataDxfId="136">
      <calculatedColumnFormula>IFERROR(VLOOKUP(C2,TDM_DD[[Week-Year]:[Core Reg]],5,FALSE),IF(ISNUMBER(OFFSET(Y2,-1,0)),OFFSET(Y2,-1,0),NA()))</calculatedColumnFormula>
    </tableColumn>
    <tableColumn id="24" name="Coles_Ext_Reg" dataDxfId="135">
      <calculatedColumnFormula>IFERROR(VLOOKUP(C2,Coles_DD[[Week-Year]:[Core Reg]],4,FALSE),IF(ISNUMBER(OFFSET(Z2,-1,0)),OFFSET(Z2,-1,0),NA()))</calculatedColumnFormula>
    </tableColumn>
    <tableColumn id="25" name="Coles_Core_Reg" dataDxfId="134">
      <calculatedColumnFormula>IFERROR(VLOOKUP(C2,Coles_DD[[Week-Year]:[Core Reg]],5,FALSE),IF(ISNUMBER(OFFSET(AA2,-1,0)),OFFSET(AA2,-1,0),NA()))</calculatedColumnFormula>
    </tableColumn>
    <tableColumn id="28" name="WOW_Ext_Reg" dataDxfId="133">
      <calculatedColumnFormula>IFERROR(VLOOKUP(C2,WOW_DD[[Week-Year]:[Core Reg]],4,FALSE),IF(ISNUMBER(OFFSET(AB2,-1,0)),OFFSET(AB2,-1,0),NA()))</calculatedColumnFormula>
    </tableColumn>
    <tableColumn id="29" name="WOW_Core_Reg" dataDxfId="132">
      <calculatedColumnFormula>IFERROR(VLOOKUP(C2,WOW_DD[[Week-Year]:[Core Reg]],5,FALSE),IF(ISNUMBER(OFFSET(AC2,-1,0)),OFFSET(AC2,-1,0),NA()))</calculatedColumnFormula>
    </tableColumn>
    <tableColumn id="30" name="SSL_Ext_Reg" dataDxfId="131">
      <calculatedColumnFormula>IFERROR(VLOOKUP(C2,SSL_DD[[Week-Year]:[Core Reg]],4,FALSE),IF(ISNUMBER(OFFSET(AD2,-1,0)),OFFSET(AD2,-1,0),NA()))</calculatedColumnFormula>
    </tableColumn>
    <tableColumn id="31" name="SSL_Core_Reg" dataDxfId="130">
      <calculatedColumnFormula>IFERROR(VLOOKUP(C2,SSL_DD[[Week-Year]:[Core Reg]],5,FALSE),IF(ISNUMBER(OFFSET(AE2,-1,0)),OFFSET(AE2,-1,0),NA()))</calculatedColumnFormula>
    </tableColumn>
    <tableColumn id="32" name="WFM_Ext_Reg" dataDxfId="129">
      <calculatedColumnFormula>IFERROR(VLOOKUP(C2,WFM_DD[[Week-Year]:[Core Reg]],4,FALSE),IF(ISNUMBER(OFFSET(AF2,-1,0)),OFFSET(AF2,-1,0),NA()))</calculatedColumnFormula>
    </tableColumn>
    <tableColumn id="33" name="WFM_Core_Reg" dataDxfId="128">
      <calculatedColumnFormula>IFERROR(VLOOKUP(C2,WFM_DD[[Week-Year]:[Core Reg]],5,FALSE),IF(ISNUMBER(OFFSET(AG2,-1,0)),OFFSET(AG2,-1,0),NA()))</calculatedColumnFormula>
    </tableColumn>
    <tableColumn id="34" name="R10_Ext_Reg" dataDxfId="127">
      <calculatedColumnFormula>IFERROR(VLOOKUP(C2,RTen_DD[[Week-Year]:[Core Reg]],4,FALSE),IF(ISNUMBER(OFFSET(AH2,-1,0)),OFFSET(AH2,-1,0),NA()))</calculatedColumnFormula>
    </tableColumn>
    <tableColumn id="35" name="R10_Core_Reg" dataDxfId="126">
      <calculatedColumnFormula>IFERROR(VLOOKUP(C2,RTen_DD[[Week-Year]:[Core Reg]],5,FALSE)/100,IF(ISNUMBER(OFFSET(AI2,-1,0)),OFFSET(AI2,-1,0),NA()))</calculatedColumnFormula>
    </tableColumn>
    <tableColumn id="40" name="TDM_Avg" dataDxfId="125">
      <calculatedColumnFormula>DD_Table[[#This Row],[TDM_Ext_Reg]]</calculatedColumnFormula>
    </tableColumn>
    <tableColumn id="36" name="Core_Avg" dataDxfId="124">
      <calculatedColumnFormula>DD_Table[[#This Row],[Coles_Ext_Reg]]</calculatedColumnFormula>
    </tableColumn>
    <tableColumn id="37" name="WOW_Avg" dataDxfId="123">
      <calculatedColumnFormula>DD_Table[[#This Row],[WOW_Ext_Reg]]</calculatedColumnFormula>
    </tableColumn>
    <tableColumn id="38" name="SSL_Avg" dataDxfId="122">
      <calculatedColumnFormula>DD_Table[[#This Row],[SSL_Ext_Reg]]</calculatedColumnFormula>
    </tableColumn>
    <tableColumn id="39" name="WFM_Avg" dataDxfId="121">
      <calculatedColumnFormula>DD_Table[[#This Row],[WFM_Ext_Reg]]</calculatedColumnFormula>
    </tableColumn>
    <tableColumn id="41" name="Avg_Ext" dataDxfId="120">
      <calculatedColumnFormula array="1">IFERROR(AVERAGE(IF(ISNUMBER(DD_Table[[#This Row],[TDM_Avg]:[WFM_Avg]]),DD_Table[[#This Row],[TDM_Avg]:[WFM_Avg]]))/100,NA())</calculatedColumnFormula>
    </tableColumn>
    <tableColumn id="48" name="Max_Ext" dataDxfId="119">
      <calculatedColumnFormula array="1">MAX(IF(ISERROR(DD_Table[[TDM_Avg]:[WFM_Avg]]),0,DD_Table[[TDM_Avg]:[WFM_Avg]]))*1.1</calculatedColumnFormula>
    </tableColumn>
    <tableColumn id="50" name="Max_Chart" dataDxfId="118">
      <calculatedColumnFormula array="1">MAX(IF(ISERROR(DD_Table[[TDM_Ext_Reg]:[WFM_Core_Reg]]),0,DD_Table[[TDM_Ext_Reg]:[WFM_Core_Reg]]))</calculatedColumnFormula>
    </tableColumn>
    <tableColumn id="42" name="TDM_DDP" dataDxfId="117">
      <calculatedColumnFormula>IFERROR(VLOOKUP(C2,TDM_DD[[Week-Year]:[DDP]],6,FALSE),IF(ISNUMBER(OFFSET(AR2,-1,0)),OFFSET(AR2,-1,0),NA()))</calculatedColumnFormula>
    </tableColumn>
    <tableColumn id="43" name="Coles_DDP" dataDxfId="116">
      <calculatedColumnFormula>IFERROR(VLOOKUP(C2,Coles_DD[[Week-Year]:[DDP]],6,FALSE),IF(ISNUMBER(OFFSET(AS2,-1,0)),OFFSET(AS2,-1,0),NA()))</calculatedColumnFormula>
    </tableColumn>
    <tableColumn id="44" name="WOW_DDP" dataDxfId="115">
      <calculatedColumnFormula>IFERROR(VLOOKUP(C2,WOW_DD[[Week-Year]:[DDP]],6,FALSE),IF(ISNUMBER(OFFSET(AT2,-1,0)),OFFSET(AT2,-1,0),NA()))</calculatedColumnFormula>
    </tableColumn>
    <tableColumn id="45" name="SSL_DDP" dataDxfId="114">
      <calculatedColumnFormula>IFERROR(VLOOKUP(C2,SSL_DD[[Week-Year]:[DDP]],6,FALSE),IF(ISNUMBER(OFFSET(AU2,-1,0)),OFFSET(AU2,-1,0),NA()))</calculatedColumnFormula>
    </tableColumn>
    <tableColumn id="46" name="WFM_DDP" dataDxfId="113" dataCellStyle="Normal 3">
      <calculatedColumnFormula>IFERROR(VLOOKUP(C2,WFM_DD[[Week-Year]:[DDP]],6,FALSE),IF(ISNUMBER(OFFSET(AV2,-1,0)),OFFSET(AV2,-1,0),NA()))</calculatedColumnFormula>
    </tableColumn>
    <tableColumn id="47" name="Avg_DDP" dataDxfId="112" dataCellStyle="Normal 3">
      <calculatedColumnFormula array="1">IFERROR(AVERAGE(IF(ISNUMBER(DD_Table[[#This Row],[TDM_DDP]:[WFM_DDP]]),DD_Table[[#This Row],[TDM_DDP]:[WFM_DDP]])),NA())</calculatedColumnFormula>
    </tableColumn>
    <tableColumn id="49" name="Max_DDP" dataDxfId="111" dataCellStyle="Normal 3">
      <calculatedColumnFormula array="1">IFERROR(MAX(IF(ISNUMBER(DD_Table[[TDM_DDP]:[WFM_DDP]]),DD_Table[[TDM_DDP]:[WFM_DDP]])),NA())</calculatedColumnFormula>
    </tableColumn>
    <tableColumn id="51" name="Core_DDP" dataDxfId="110" dataCellStyle="Normal 3">
      <calculatedColumnFormula>IFERROR(VLOOKUP(C2,RTen_DD[[Week-Year]:[Core DDP]],6,FALSE),IF(ISNUMBER(VLOOKUP(C2,RTen_DD[[Week-Year]:[Core DDP]],6,FALSE)),OFFSET(AY2,-1,0),OFFSET(AY2,-1,0)))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Med_Table" displayName="Med_Table" ref="BC1:BQ116" totalsRowShown="0">
  <autoFilter ref="BC1:BQ116"/>
  <tableColumns count="15">
    <tableColumn id="1" name="Age in weeks"/>
    <tableColumn id="2" name="TDM"/>
    <tableColumn id="3" name="Coles"/>
    <tableColumn id="4" name="WOW"/>
    <tableColumn id="5" name="SSL"/>
    <tableColumn id="6" name="WFM"/>
    <tableColumn id="7" name="R10"/>
    <tableColumn id="8" name="TDM_Med"/>
    <tableColumn id="9" name="Coles_Med"/>
    <tableColumn id="10" name="WOW_Med"/>
    <tableColumn id="11" name="SSL_Med"/>
    <tableColumn id="12" name="WFM_Med"/>
    <tableColumn id="14" name="Avg_Med" dataDxfId="109">
      <calculatedColumnFormula>AVERAGE(Med_Table[[#This Row],[TDM_Med]:[WFM_Med]])</calculatedColumnFormula>
    </tableColumn>
    <tableColumn id="15" name="Max_Med" dataDxfId="108">
      <calculatedColumnFormula>MAX(Med_Table[[TDM]:[WFM]])</calculatedColumnFormula>
    </tableColumn>
    <tableColumn id="13" name="R10_M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V1:DG2" totalsRowShown="0">
  <autoFilter ref="BV1:DG2"/>
  <tableColumns count="38">
    <tableColumn id="1" name="TDM_ED"/>
    <tableColumn id="2" name="TDM_ER"/>
    <tableColumn id="3" name="TDM_CD"/>
    <tableColumn id="4" name="TDM_CR"/>
    <tableColumn id="7" name="Coles_ED"/>
    <tableColumn id="8" name="Coles_ER"/>
    <tableColumn id="9" name="Coles_CD"/>
    <tableColumn id="10" name="Coles_CR"/>
    <tableColumn id="13" name="WOW_ED"/>
    <tableColumn id="14" name="WOW_ER"/>
    <tableColumn id="15" name="WOW_CD"/>
    <tableColumn id="16" name="WOW_CR"/>
    <tableColumn id="25" name="SSL_ED"/>
    <tableColumn id="26" name="SSL_ER"/>
    <tableColumn id="27" name="SSL_CD"/>
    <tableColumn id="28" name="SSL_CR"/>
    <tableColumn id="19" name="WFM_ED"/>
    <tableColumn id="20" name="WFM_ER"/>
    <tableColumn id="21" name="WFM_CD"/>
    <tableColumn id="22" name="WFM_CR"/>
    <tableColumn id="33" name="Pilot_ED"/>
    <tableColumn id="34" name="Pilot_ER"/>
    <tableColumn id="35" name="Pilot_CD"/>
    <tableColumn id="36" name="Pilot_CR"/>
    <tableColumn id="5" name="TDM_E" dataDxfId="107">
      <calculatedColumnFormula>Table1[[#This Row],[TDM_ER]]/Table1[[#This Row],[TDM_ED]]</calculatedColumnFormula>
    </tableColumn>
    <tableColumn id="6" name="TDM_C" dataDxfId="106">
      <calculatedColumnFormula>Table1[[#This Row],[TDM_CR]]/Table1[[#This Row],[TDM_CD]]</calculatedColumnFormula>
    </tableColumn>
    <tableColumn id="11" name="Coels_E" dataDxfId="105">
      <calculatedColumnFormula>Table1[Coles_ER]/Table1[Coles_ED]</calculatedColumnFormula>
    </tableColumn>
    <tableColumn id="12" name="Coles_C" dataDxfId="104">
      <calculatedColumnFormula>Table1[Coles_CR]/Table1[Coles_CD]</calculatedColumnFormula>
    </tableColumn>
    <tableColumn id="17" name="WOW_E" dataDxfId="103">
      <calculatedColumnFormula>Table1[WOW_ER]/Table1[WOW_ED]</calculatedColumnFormula>
    </tableColumn>
    <tableColumn id="18" name="WOW_C" dataDxfId="102">
      <calculatedColumnFormula>Table1[WOW_CR]/Table1[WOW_CD]</calculatedColumnFormula>
    </tableColumn>
    <tableColumn id="29" name="SSL_E" dataDxfId="101">
      <calculatedColumnFormula>Table1[SSL_ER]/Table1[SSL_ED]</calculatedColumnFormula>
    </tableColumn>
    <tableColumn id="30" name="SSL_C" dataDxfId="100">
      <calculatedColumnFormula>Table1[SSL_CR]/Table1[SSL_CD]</calculatedColumnFormula>
    </tableColumn>
    <tableColumn id="23" name="WFM_E" dataDxfId="99">
      <calculatedColumnFormula>Table1[WFM_ER]/Table1[WFM_ED]</calculatedColumnFormula>
    </tableColumn>
    <tableColumn id="24" name="WFM_C" dataDxfId="98">
      <calculatedColumnFormula>Table1[WFM_CR]/Table1[WFM_CD]</calculatedColumnFormula>
    </tableColumn>
    <tableColumn id="37" name="Pilot_E" dataDxfId="97">
      <calculatedColumnFormula>Table1[Pilot_ER]/Table1[Pilot_ED]</calculatedColumnFormula>
    </tableColumn>
    <tableColumn id="38" name="Pilot_C" dataDxfId="96">
      <calculatedColumnFormula>Table1[Pilot_CR]/Table1[Pilot_CD]</calculatedColumnFormula>
    </tableColumn>
    <tableColumn id="32" name="Avg Ext" dataDxfId="95">
      <calculatedColumnFormula>IF(ROW(Table1[[#This Row],[WFM_C]])=2,AVERAGE(CT2,CV2,CX2,CZ2,DB2,DD2),"")</calculatedColumnFormula>
    </tableColumn>
    <tableColumn id="31" name="Avg Core" dataDxfId="94">
      <calculatedColumnFormula>IF(ROW(Table1[[#This Row],[WFM_C]])=2,AVERAGE(CU2,CW2,CY2,DA2,DC2,DE2),"")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DM_DD" displayName="TDM_DD" ref="A1:N12" totalsRowShown="0" headerRowDxfId="93" dataDxfId="92" headerRowCellStyle="Normal 3" dataCellStyle="Normal 3">
  <autoFilter ref="A1:N12"/>
  <tableColumns count="14">
    <tableColumn id="1" name="Week starting" dataDxfId="91" dataCellStyle="Normal 3"/>
    <tableColumn id="2" name="Cumulative done story points" dataDxfId="90" dataCellStyle="Normal 3"/>
    <tableColumn id="3" name="Defect Density" dataDxfId="89" dataCellStyle="Normal 3"/>
    <tableColumn id="8" name="Ext Regression %" dataDxfId="88" dataCellStyle="Normal 3"/>
    <tableColumn id="7" name="Core Regression %" dataDxfId="87" dataCellStyle="Normal 3"/>
    <tableColumn id="11" name="Ext" dataDxfId="86" dataCellStyle="Normal 3"/>
    <tableColumn id="15" name="tmp" dataDxfId="85" dataCellStyle="Normal 3"/>
    <tableColumn id="13" name="Core" dataDxfId="84" dataCellStyle="Normal 3"/>
    <tableColumn id="4" name="Week-Year" dataDxfId="83" dataCellStyle="Normal 3">
      <calculatedColumnFormula>VALUE(WEEKNUM(A2*1)&amp;YEAR(A2*1))</calculatedColumnFormula>
    </tableColumn>
    <tableColumn id="5" name="US Done" dataDxfId="82" dataCellStyle="Normal 3">
      <calculatedColumnFormula>TDM_DD[[#This Row],[Cumulative done story points]]</calculatedColumnFormula>
    </tableColumn>
    <tableColumn id="6" name="DD" dataDxfId="81" dataCellStyle="Normal 3">
      <calculatedColumnFormula>IF(TDM_DD[[#This Row],[Cumulative done story points]]=0,0,TDM_DD[[#This Row],[Defect Density]])</calculatedColumnFormula>
    </tableColumn>
    <tableColumn id="9" name="Ext Reg" dataDxfId="80" dataCellStyle="Normal 3">
      <calculatedColumnFormula>IF(ISNUMBER(TDM_DD[[#This Row],[Ext Regression %]]),TDM_DD[[#This Row],[Ext Regression %]],IF(ISBLANK(TDM_DD[[#This Row],[Ext Regression %]]),OFFSET(TDM_DD[[#This Row],[Ext Reg]],-1,0),0))</calculatedColumnFormula>
    </tableColumn>
    <tableColumn id="10" name="Core Reg" dataDxfId="79" dataCellStyle="Normal 3">
      <calculatedColumnFormula>IF(ISNUMBER(TDM_DD[[#This Row],[Core Regression %]]),TDM_DD[[#This Row],[Core Regression %]],IF(ISBLANK(TDM_DD[[#This Row],[Core Regression %]]),OFFSET(TDM_DD[[#This Row],[Core Reg]],-1,0),0))</calculatedColumnFormula>
    </tableColumn>
    <tableColumn id="14" name="DDP" dataDxfId="78" dataCellStyle="Normal 3">
      <calculatedColumnFormula>TDM_DD[[#This Row],[Core]]/SUM(TDM_DD[[#This Row],[Ext]],TDM_DD[[#This Row],[Core]])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Coles_DD" displayName="Coles_DD" ref="A1:N53" totalsRowShown="0" headerRowDxfId="77" dataDxfId="76" headerRowCellStyle="Normal 3" dataCellStyle="Normal 3">
  <autoFilter ref="A1:N53"/>
  <tableColumns count="14">
    <tableColumn id="1" name="Week starting" dataDxfId="75" dataCellStyle="Normal 3"/>
    <tableColumn id="2" name="Cumulative done story points" dataDxfId="74" dataCellStyle="Normal 3"/>
    <tableColumn id="3" name="Defect Density" dataDxfId="73" dataCellStyle="Normal 3"/>
    <tableColumn id="8" name="Ext Regression %" dataDxfId="72" dataCellStyle="Normal 3"/>
    <tableColumn id="7" name="Core Regression %" dataDxfId="71" dataCellStyle="Normal 3"/>
    <tableColumn id="11" name="Ext" dataDxfId="70" dataCellStyle="Normal 3"/>
    <tableColumn id="15" name="tmp" dataDxfId="69" dataCellStyle="Normal 3"/>
    <tableColumn id="13" name="Core" dataDxfId="68" dataCellStyle="Normal 3"/>
    <tableColumn id="4" name="Week-Year" dataDxfId="67" dataCellStyle="Normal 3">
      <calculatedColumnFormula>VALUE(WEEKNUM(A2*1)&amp;YEAR(A2*1))</calculatedColumnFormula>
    </tableColumn>
    <tableColumn id="5" name="US Done" dataDxfId="66" dataCellStyle="Normal 3">
      <calculatedColumnFormula>Coles_DD[[#This Row],[Cumulative done story points]]</calculatedColumnFormula>
    </tableColumn>
    <tableColumn id="6" name="DD" dataDxfId="65" dataCellStyle="Normal 3">
      <calculatedColumnFormula>IF(Coles_DD[[#This Row],[Cumulative done story points]]=0,0,Coles_DD[[#This Row],[Defect Density]])</calculatedColumnFormula>
    </tableColumn>
    <tableColumn id="9" name="Ext Reg" dataDxfId="64" dataCellStyle="Normal 3">
      <calculatedColumnFormula>IF(ISNUMBER(Coles_DD[[#This Row],[Ext Regression %]]),Coles_DD[[#This Row],[Ext Regression %]],IF(ISBLANK(Coles_DD[[#This Row],[Ext Regression %]]),OFFSET(Coles_DD[[#This Row],[Ext Reg]],-1,0),0))</calculatedColumnFormula>
    </tableColumn>
    <tableColumn id="10" name="Core Reg" dataDxfId="63" dataCellStyle="Normal 3">
      <calculatedColumnFormula>IF(ISNUMBER(Coles_DD[[#This Row],[Core Regression %]]),Coles_DD[[#This Row],[Core Regression %]],IF(ISBLANK(Coles_DD[[#This Row],[Core Regression %]]),OFFSET(Coles_DD[[#This Row],[Core Reg]],-1,0),0))</calculatedColumnFormula>
    </tableColumn>
    <tableColumn id="14" name="DDP" dataDxfId="62" dataCellStyle="Normal 3">
      <calculatedColumnFormula>Coles_DD[[#This Row],[Core]]/SUM(Coles_DD[[#This Row],[Ext]],Coles_DD[[#This Row],[Core]])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WOW_DD" displayName="WOW_DD" ref="A1:N83" totalsRowShown="0" headerRowDxfId="61" dataDxfId="60" headerRowCellStyle="Normal 3" dataCellStyle="Normal 3">
  <autoFilter ref="A1:N83"/>
  <tableColumns count="14">
    <tableColumn id="1" name="Week starting" dataDxfId="59" dataCellStyle="Normal 3"/>
    <tableColumn id="2" name="Cumulative done story points" dataDxfId="58" dataCellStyle="Normal 3"/>
    <tableColumn id="3" name="Defect Density" dataDxfId="57" dataCellStyle="Normal 3"/>
    <tableColumn id="8" name="Ext Regression %" dataDxfId="56" dataCellStyle="Normal 3"/>
    <tableColumn id="7" name="Core Regression %" dataDxfId="55" dataCellStyle="Normal 3"/>
    <tableColumn id="11" name="Ext" dataDxfId="54" dataCellStyle="Normal 3"/>
    <tableColumn id="15" name="tmp" dataDxfId="53" dataCellStyle="Normal 3"/>
    <tableColumn id="12" name="Core" dataDxfId="52" dataCellStyle="Normal 3"/>
    <tableColumn id="4" name="Week-Year" dataDxfId="51" dataCellStyle="Normal 3">
      <calculatedColumnFormula>VALUE(WEEKNUM(A2*1)&amp;YEAR(A2*1))</calculatedColumnFormula>
    </tableColumn>
    <tableColumn id="5" name="US Done" dataDxfId="50" dataCellStyle="Normal 3">
      <calculatedColumnFormula>WOW_DD[[#This Row],[Cumulative done story points]]</calculatedColumnFormula>
    </tableColumn>
    <tableColumn id="6" name="DD" dataDxfId="49" dataCellStyle="Normal 3">
      <calculatedColumnFormula>IF(WOW_DD[[#This Row],[Cumulative done story points]]=0,0,WOW_DD[[#This Row],[Defect Density]])</calculatedColumnFormula>
    </tableColumn>
    <tableColumn id="9" name="Ext Reg" dataDxfId="48" dataCellStyle="Normal 3">
      <calculatedColumnFormula>IF(ISNUMBER(WOW_DD[[#This Row],[Ext Regression %]]),WOW_DD[[#This Row],[Ext Regression %]],IF(ISBLANK(WOW_DD[[#This Row],[Ext Regression %]]),OFFSET(WOW_DD[[#This Row],[Ext Reg]],-1,0),0))</calculatedColumnFormula>
    </tableColumn>
    <tableColumn id="10" name="Core Reg" dataDxfId="47" dataCellStyle="Normal 3">
      <calculatedColumnFormula>IF(ISNUMBER(WOW_DD[[#This Row],[Core Regression %]]),WOW_DD[[#This Row],[Core Regression %]],IF(ISBLANK(WOW_DD[[#This Row],[Core Regression %]]),OFFSET(WOW_DD[[#This Row],[Core Reg]],-1,0),0))</calculatedColumnFormula>
    </tableColumn>
    <tableColumn id="13" name="DDP" dataDxfId="46" dataCellStyle="Normal 3">
      <calculatedColumnFormula>WOW_DD[[#This Row],[Core]]/SUM(WOW_DD[[#This Row],[Ext]],WOW_DD[[#This Row],[Core]])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SSL_DD" displayName="SSL_DD" ref="A1:N116" totalsRowShown="0" headerRowDxfId="45" dataDxfId="44" headerRowCellStyle="Normal 3" dataCellStyle="Normal 3">
  <autoFilter ref="A1:N116"/>
  <tableColumns count="14">
    <tableColumn id="1" name="Week starting" dataDxfId="43" dataCellStyle="Normal 3"/>
    <tableColumn id="2" name="Cumulative done story points" dataDxfId="42" dataCellStyle="Normal 3"/>
    <tableColumn id="3" name="Defect Density" dataDxfId="41" dataCellStyle="Normal 3"/>
    <tableColumn id="9" name="Ext Regression %" dataDxfId="40" dataCellStyle="Normal 3"/>
    <tableColumn id="8" name="Core Regression %" dataDxfId="39" dataCellStyle="Normal 3"/>
    <tableColumn id="12" name="Ext" dataDxfId="38" dataCellStyle="Normal 3"/>
    <tableColumn id="16" name="tmp" dataDxfId="37" dataCellStyle="Normal 3"/>
    <tableColumn id="14" name="Core" dataDxfId="36" dataCellStyle="Normal 3"/>
    <tableColumn id="4" name="Week-Year" dataDxfId="35" dataCellStyle="Normal 3">
      <calculatedColumnFormula>VALUE(WEEKNUM(A2*1)&amp;YEAR(A2*1))</calculatedColumnFormula>
    </tableColumn>
    <tableColumn id="5" name="US Done" dataDxfId="34" dataCellStyle="Normal 3">
      <calculatedColumnFormula>SSL_DD[[#This Row],[Cumulative done story points]]</calculatedColumnFormula>
    </tableColumn>
    <tableColumn id="6" name="DD" dataDxfId="33" dataCellStyle="Normal 3">
      <calculatedColumnFormula>IF(SSL_DD[[#This Row],[Cumulative done story points]]=0,0,SSL_DD[[#This Row],[Defect Density]])</calculatedColumnFormula>
    </tableColumn>
    <tableColumn id="10" name="Ext Reg" dataDxfId="32" dataCellStyle="Normal 3">
      <calculatedColumnFormula>IF(ISNUMBER(SSL_DD[[#This Row],[Ext Regression %]]),SSL_DD[[#This Row],[Ext Regression %]],IF(ISBLANK(SSL_DD[[#This Row],[Ext Regression %]]),OFFSET(SSL_DD[[#This Row],[Ext Reg]],-1,0),0))</calculatedColumnFormula>
    </tableColumn>
    <tableColumn id="11" name="Core Reg" dataDxfId="31" dataCellStyle="Normal 3">
      <calculatedColumnFormula>IF(ISNUMBER(SSL_DD[[#This Row],[Core Regression %]]),SSL_DD[[#This Row],[Core Regression %]],IF(ISBLANK(SSL_DD[[#This Row],[Core Regression %]]),OFFSET(SSL_DD[[#This Row],[Core Reg]],-1,0),0))</calculatedColumnFormula>
    </tableColumn>
    <tableColumn id="15" name="DDP" dataDxfId="30" dataCellStyle="Normal 3">
      <calculatedColumnFormula>SSL_DD[[#This Row],[Core]]/SUM(SSL_DD[[#This Row],[Ext]],SSL_DD[[#This Row],[Core]])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3" name="WFM_DD" displayName="WFM_DD" ref="A1:N25" totalsRowShown="0" headerRowDxfId="29" dataDxfId="28" headerRowCellStyle="Normal 3" dataCellStyle="Normal 3">
  <autoFilter ref="A1:N25"/>
  <tableColumns count="14">
    <tableColumn id="1" name="Week starting" dataDxfId="27" dataCellStyle="Normal 3"/>
    <tableColumn id="2" name="Cumulative done story points" dataDxfId="26" dataCellStyle="Normal 3"/>
    <tableColumn id="3" name="Defect Density" dataDxfId="25" dataCellStyle="Normal 3"/>
    <tableColumn id="8" name="Ext Regression %" dataDxfId="24" dataCellStyle="Normal 3"/>
    <tableColumn id="7" name="Core Regression %" dataDxfId="23" dataCellStyle="Normal 3"/>
    <tableColumn id="11" name="Ext" dataDxfId="22" dataCellStyle="Normal 3"/>
    <tableColumn id="15" name="tmp" dataDxfId="21" dataCellStyle="Normal 3"/>
    <tableColumn id="13" name="Core" dataDxfId="20" dataCellStyle="Normal 3"/>
    <tableColumn id="4" name="Week-Year" dataDxfId="19" dataCellStyle="Normal 3">
      <calculatedColumnFormula>VALUE(WEEKNUM(A2*1)&amp;YEAR(A2*1))</calculatedColumnFormula>
    </tableColumn>
    <tableColumn id="5" name="US Done" dataDxfId="18" dataCellStyle="Normal 3">
      <calculatedColumnFormula>WFM_DD[[#This Row],[Cumulative done story points]]</calculatedColumnFormula>
    </tableColumn>
    <tableColumn id="6" name="DD" dataDxfId="17" dataCellStyle="Normal 3">
      <calculatedColumnFormula>IF(WFM_DD[[#This Row],[Cumulative done story points]]=0,0,WFM_DD[[#This Row],[Defect Density]])</calculatedColumnFormula>
    </tableColumn>
    <tableColumn id="9" name="Ext Reg" dataDxfId="16" dataCellStyle="Normal 3">
      <calculatedColumnFormula>IF(ISNUMBER(WFM_DD[[#This Row],[Ext Regression %]]),WFM_DD[[#This Row],[Ext Regression %]],IF(ISBLANK(WFM_DD[[#This Row],[Ext Regression %]]),OFFSET(WFM_DD[[#This Row],[Ext Reg]],-1,0),0))</calculatedColumnFormula>
    </tableColumn>
    <tableColumn id="10" name="Core Reg" dataDxfId="15" dataCellStyle="Normal 3">
      <calculatedColumnFormula>IF(ISNUMBER(WFM_DD[[#This Row],[Core Regression %]]),WFM_DD[[#This Row],[Core Regression %]],IF(ISBLANK(WFM_DD[[#This Row],[Core Regression %]]),OFFSET(WFM_DD[[#This Row],[Core Reg]],-1,0),0))</calculatedColumnFormula>
    </tableColumn>
    <tableColumn id="14" name="DDP" dataDxfId="14" dataCellStyle="Normal 3">
      <calculatedColumnFormula>WFM_DD[[#This Row],[Core]]/SUM(WFM_DD[[#This Row],[Ext]],WFM_DD[[#This Row],[Core]])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" name="RTen_DD" displayName="RTen_DD" ref="A1:L65" totalsRowShown="0" headerRowDxfId="13" dataDxfId="12" headerRowCellStyle="Normal 3" dataCellStyle="Normal 3">
  <autoFilter ref="A1:L65"/>
  <tableColumns count="12">
    <tableColumn id="1" name="Week starting" dataDxfId="11" dataCellStyle="Normal 3"/>
    <tableColumn id="2" name="Cumulative done story points" dataDxfId="10" dataCellStyle="Normal 3"/>
    <tableColumn id="3" name="Defect Density" dataDxfId="9" dataCellStyle="Normal 3"/>
    <tableColumn id="8" name="Ext Regression %" dataDxfId="8" dataCellStyle="Normal 3"/>
    <tableColumn id="7" name="Core Regression %" dataDxfId="7" dataCellStyle="Normal 3"/>
    <tableColumn id="11" name="Escaping Defects" dataDxfId="6" dataCellStyle="Normal 3"/>
    <tableColumn id="4" name="Week-Year" dataDxfId="5" dataCellStyle="Normal 3">
      <calculatedColumnFormula>VALUE(WEEKNUM(A2*1)&amp;YEAR(A2*1))</calculatedColumnFormula>
    </tableColumn>
    <tableColumn id="5" name="US Done" dataDxfId="4" dataCellStyle="Normal 3">
      <calculatedColumnFormula>RTen_DD[[#This Row],[Cumulative done story points]]</calculatedColumnFormula>
    </tableColumn>
    <tableColumn id="6" name="DD" dataDxfId="3" dataCellStyle="Normal 3">
      <calculatedColumnFormula>IF(RTen_DD[[#This Row],[Cumulative done story points]]=0,0,RTen_DD[[#This Row],[Defect Density]])</calculatedColumnFormula>
    </tableColumn>
    <tableColumn id="9" name="Ext Reg" dataDxfId="2" dataCellStyle="Normal 3">
      <calculatedColumnFormula>IF(ISNUMBER(RTen_DD[[#This Row],[Ext Regression %]]),RTen_DD[[#This Row],[Ext Regression %]],IF(ISBLANK(RTen_DD[[#This Row],[Ext Regression %]]),OFFSET(RTen_DD[[#This Row],[Ext Reg]],-1,0),0))</calculatedColumnFormula>
    </tableColumn>
    <tableColumn id="10" name="Core Reg" dataDxfId="1" dataCellStyle="Normal 3">
      <calculatedColumnFormula>IF(ISNUMBER(RTen_DD[[#This Row],[Core Regression %]]),RTen_DD[[#This Row],[Core Regression %]],IF(ISBLANK(RTen_DD[[#This Row],[Core Regression %]]),OFFSET(RTen_DD[[#This Row],[Core Reg]],-1,0),0))</calculatedColumnFormula>
    </tableColumn>
    <tableColumn id="12" name="Core DDP" dataDxfId="0" dataCellStyle="Normal 3">
      <calculatedColumnFormula>IF(ISBLANK(RTen_DD[[#This Row],[Escaping Defects]]),NA(),RTen_DD[[#This Row],[Escaping Defects]]/100)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Y116"/>
  <sheetViews>
    <sheetView zoomScaleNormal="100" workbookViewId="0">
      <pane xSplit="1" ySplit="1" topLeftCell="B2" activePane="bottomRight" state="frozen"/>
      <selection activeCell="I20" sqref="I20"/>
      <selection pane="topRight" activeCell="I20" sqref="I20"/>
      <selection pane="bottomLeft" activeCell="I20" sqref="I20"/>
      <selection pane="bottomRight" activeCell="B2" sqref="B2"/>
    </sheetView>
  </sheetViews>
  <sheetFormatPr defaultRowHeight="15"/>
  <cols>
    <col min="1" max="1" width="13.42578125" bestFit="1" customWidth="1"/>
    <col min="2" max="2" width="10.7109375" customWidth="1"/>
    <col min="3" max="3" width="13.140625" customWidth="1"/>
    <col min="4" max="7" width="14.28515625" customWidth="1"/>
    <col min="8" max="8" width="10.28515625" customWidth="1"/>
    <col min="9" max="9" width="9.28515625" bestFit="1" customWidth="1"/>
    <col min="10" max="10" width="14.28515625" customWidth="1"/>
    <col min="11" max="11" width="9.28515625" bestFit="1" customWidth="1"/>
    <col min="12" max="12" width="14.28515625" customWidth="1"/>
    <col min="13" max="13" width="11.7109375" customWidth="1"/>
    <col min="14" max="15" width="9.28515625" bestFit="1" customWidth="1"/>
    <col min="16" max="17" width="14.28515625" customWidth="1"/>
    <col min="18" max="18" width="9.28515625" bestFit="1" customWidth="1"/>
    <col min="19" max="21" width="14.28515625" customWidth="1"/>
    <col min="22" max="22" width="11.7109375" customWidth="1"/>
    <col min="23" max="23" width="9.28515625" bestFit="1" customWidth="1"/>
    <col min="24" max="33" width="16.7109375" bestFit="1" customWidth="1"/>
    <col min="34" max="35" width="9.28515625" bestFit="1" customWidth="1"/>
    <col min="36" max="36" width="11" customWidth="1"/>
    <col min="37" max="41" width="9.28515625" bestFit="1" customWidth="1"/>
    <col min="42" max="42" width="15.140625" bestFit="1" customWidth="1"/>
    <col min="43" max="43" width="15.140625" customWidth="1"/>
    <col min="44" max="48" width="9.28515625" bestFit="1" customWidth="1"/>
    <col min="49" max="50" width="13.5703125" customWidth="1"/>
    <col min="55" max="55" width="15" customWidth="1"/>
    <col min="56" max="69" width="10.7109375" customWidth="1"/>
    <col min="74" max="74" width="11.140625" customWidth="1"/>
    <col min="75" max="75" width="10.85546875" customWidth="1"/>
    <col min="76" max="76" width="11.140625" customWidth="1"/>
    <col min="77" max="97" width="10.85546875" customWidth="1"/>
    <col min="98" max="99" width="9.7109375" customWidth="1"/>
    <col min="104" max="105" width="9.5703125" customWidth="1"/>
    <col min="106" max="110" width="10.42578125" customWidth="1"/>
    <col min="117" max="117" width="11.5703125" bestFit="1" customWidth="1"/>
    <col min="118" max="119" width="9.7109375" customWidth="1"/>
    <col min="124" max="125" width="9.5703125" customWidth="1"/>
    <col min="126" max="127" width="10.42578125" customWidth="1"/>
  </cols>
  <sheetData>
    <row r="1" spans="1:129">
      <c r="A1" t="s">
        <v>15</v>
      </c>
      <c r="B1" t="s">
        <v>38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47</v>
      </c>
      <c r="Q1" t="s">
        <v>46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54</v>
      </c>
      <c r="Y1" t="s">
        <v>55</v>
      </c>
      <c r="Z1" t="s">
        <v>52</v>
      </c>
      <c r="AA1" t="s">
        <v>53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89</v>
      </c>
      <c r="AQ1" t="s">
        <v>149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91</v>
      </c>
      <c r="AY1" t="s">
        <v>152</v>
      </c>
      <c r="BC1" t="s">
        <v>71</v>
      </c>
      <c r="BD1" t="s">
        <v>34</v>
      </c>
      <c r="BE1" t="s">
        <v>0</v>
      </c>
      <c r="BF1" t="s">
        <v>35</v>
      </c>
      <c r="BG1" t="s">
        <v>14</v>
      </c>
      <c r="BH1" t="s">
        <v>36</v>
      </c>
      <c r="BI1" t="s">
        <v>37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88</v>
      </c>
      <c r="BP1" t="s">
        <v>90</v>
      </c>
      <c r="BQ1" t="s">
        <v>77</v>
      </c>
      <c r="BV1" t="s">
        <v>96</v>
      </c>
      <c r="BW1" t="s">
        <v>97</v>
      </c>
      <c r="BX1" t="s">
        <v>98</v>
      </c>
      <c r="BY1" t="s">
        <v>99</v>
      </c>
      <c r="BZ1" t="s">
        <v>102</v>
      </c>
      <c r="CA1" t="s">
        <v>103</v>
      </c>
      <c r="CB1" t="s">
        <v>104</v>
      </c>
      <c r="CC1" t="s">
        <v>105</v>
      </c>
      <c r="CD1" t="s">
        <v>108</v>
      </c>
      <c r="CE1" t="s">
        <v>109</v>
      </c>
      <c r="CF1" t="s">
        <v>110</v>
      </c>
      <c r="CG1" t="s">
        <v>111</v>
      </c>
      <c r="CH1" t="s">
        <v>120</v>
      </c>
      <c r="CI1" t="s">
        <v>121</v>
      </c>
      <c r="CJ1" t="s">
        <v>122</v>
      </c>
      <c r="CK1" t="s">
        <v>123</v>
      </c>
      <c r="CL1" t="s">
        <v>114</v>
      </c>
      <c r="CM1" t="s">
        <v>115</v>
      </c>
      <c r="CN1" t="s">
        <v>116</v>
      </c>
      <c r="CO1" t="s">
        <v>117</v>
      </c>
      <c r="CP1" t="s">
        <v>154</v>
      </c>
      <c r="CQ1" t="s">
        <v>155</v>
      </c>
      <c r="CR1" t="s">
        <v>156</v>
      </c>
      <c r="CS1" t="s">
        <v>157</v>
      </c>
      <c r="CT1" t="s">
        <v>100</v>
      </c>
      <c r="CU1" t="s">
        <v>101</v>
      </c>
      <c r="CV1" t="s">
        <v>106</v>
      </c>
      <c r="CW1" t="s">
        <v>107</v>
      </c>
      <c r="CX1" t="s">
        <v>112</v>
      </c>
      <c r="CY1" t="s">
        <v>113</v>
      </c>
      <c r="CZ1" t="s">
        <v>124</v>
      </c>
      <c r="DA1" t="s">
        <v>125</v>
      </c>
      <c r="DB1" t="s">
        <v>118</v>
      </c>
      <c r="DC1" t="s">
        <v>119</v>
      </c>
      <c r="DD1" t="s">
        <v>158</v>
      </c>
      <c r="DE1" t="s">
        <v>159</v>
      </c>
      <c r="DF1" t="s">
        <v>127</v>
      </c>
      <c r="DG1" t="s">
        <v>126</v>
      </c>
      <c r="DN1" s="67" t="s">
        <v>100</v>
      </c>
      <c r="DO1" s="67" t="s">
        <v>101</v>
      </c>
      <c r="DP1" s="67" t="s">
        <v>106</v>
      </c>
      <c r="DQ1" s="67" t="s">
        <v>107</v>
      </c>
      <c r="DR1" s="67" t="s">
        <v>112</v>
      </c>
      <c r="DS1" s="67" t="s">
        <v>113</v>
      </c>
      <c r="DT1" s="67" t="s">
        <v>124</v>
      </c>
      <c r="DU1" s="67" t="s">
        <v>125</v>
      </c>
      <c r="DV1" s="67" t="s">
        <v>118</v>
      </c>
      <c r="DW1" s="67" t="s">
        <v>119</v>
      </c>
      <c r="DX1" s="67" t="s">
        <v>127</v>
      </c>
      <c r="DY1" s="68" t="s">
        <v>126</v>
      </c>
    </row>
    <row r="2" spans="1:129">
      <c r="A2" s="69">
        <v>41647</v>
      </c>
      <c r="B2" s="70">
        <f t="shared" ref="B2:B33" si="0">WEEKNUM(A2)</f>
        <v>2</v>
      </c>
      <c r="C2" s="70">
        <f t="shared" ref="C2:C33" si="1">VALUE(WEEKNUM(A2)&amp;YEAR(A2))</f>
        <v>22014</v>
      </c>
      <c r="D2" s="57" t="e">
        <f ca="1">IFERROR(VLOOKUP(C2,TDM_DD[[Week-Year]:[DD]],2,FALSE),IF(ISNUMBER(OFFSET(D2,-1,0)),OFFSET(D2,-1,0),NA()))</f>
        <v>#N/A</v>
      </c>
      <c r="E2" s="58">
        <f ca="1">IFERROR(VLOOKUP(C2,Coles_DD[[Week-Year]:[DD]],2,FALSE),IF(ISNUMBER(OFFSET(E2,-1,0)),OFFSET(E2,-1,0),NA()))</f>
        <v>1121</v>
      </c>
      <c r="F2" s="58">
        <f ca="1">IFERROR(VLOOKUP(C2,WOW_DD[[Week-Year]:[DD]],2,FALSE),IF(ISNUMBER(OFFSET(F2,-1,0)),OFFSET(F2,-1,0),NA()))</f>
        <v>2323</v>
      </c>
      <c r="G2" s="57">
        <f ca="1">IFERROR(VLOOKUP(C2,SSL_DD[[Week-Year]:[DD]],2,FALSE),IF(ISNUMBER(OFFSET(G2,-1,0)),OFFSET(G2,-1,0),NA()))</f>
        <v>0</v>
      </c>
      <c r="H2" s="58" t="e">
        <f ca="1">IFERROR(VLOOKUP(C2,WFM_DD[[Week-Year]:[DD]],2,FALSE),IF(ISNUMBER(OFFSET(H2,-1,0)),OFFSET(H2,-1,0),NA()))</f>
        <v>#N/A</v>
      </c>
      <c r="I2" s="57">
        <f ca="1">IFERROR(VLOOKUP(C2,RTen_DD[[Week-Year]:[DD]],2,FALSE),IF(ISNUMBER(OFFSET(I2,-1,0)),OFFSET(I2,-1,0),NA()))</f>
        <v>5179</v>
      </c>
      <c r="J2" s="57" t="e">
        <f ca="1">IFERROR(VLOOKUP(C2,TDM_DD[[Week-Year]:[DD]],3,FALSE),IF(ISNUMBER(OFFSET(J2,-1,0)),OFFSET(J2,-1,0),NA()))</f>
        <v>#N/A</v>
      </c>
      <c r="K2" s="57">
        <f ca="1">IFERROR(VLOOKUP(C2,Coles_DD[[Week-Year]:[DD]],3,FALSE),IF(ISNUMBER(OFFSET(K2,-1,0)),OFFSET(K2,-1,0),NA()))</f>
        <v>0.41837644577026367</v>
      </c>
      <c r="L2" s="57">
        <f ca="1">IFERROR(VLOOKUP(C2,WOW_DD[[Week-Year]:[DD]],3,FALSE),IF(ISNUMBER(OFFSET(L2,-1,0)),OFFSET(L2,-1,0),NA()))</f>
        <v>0.40120533108711243</v>
      </c>
      <c r="M2" s="57">
        <f ca="1">IFERROR(VLOOKUP(C2,SSL_DD[[Week-Year]:[DD]],3,FALSE),IF(ISNUMBER(OFFSET(M2,-1,0)),OFFSET(M2,-1,0),NA()))</f>
        <v>0</v>
      </c>
      <c r="N2" s="57" t="e">
        <f ca="1">IFERROR(VLOOKUP(C2,WFM_DD[[Week-Year]:[DD]],3,FALSE),IF(ISNUMBER(OFFSET(N2,-1,0)),OFFSET(N2,-1,0),NA()))</f>
        <v>#N/A</v>
      </c>
      <c r="O2" s="57">
        <f ca="1">IFERROR(VLOOKUP(C2,RTen_DD[[Week-Year]:[DD]],3,FALSE),IF(ISNUMBER(OFFSET(O2,-1,0)),OFFSET(O2,-1,0),NA()))</f>
        <v>0.95887237787246704</v>
      </c>
      <c r="P2" s="57">
        <f t="array" aca="1" ref="P2" ca="1">AVERAGE(IF(ISNUMBER(DD_Table[[#This Row],[TDM_DD]:[WFM_DD]]),DD_Table[[#This Row],[TDM_DD]:[WFM_DD]]))</f>
        <v>0.27319392561912537</v>
      </c>
      <c r="Q2" s="57">
        <f t="array" aca="1" ref="Q2" ca="1">MAX(IF(ISERROR(DD_Table[[TDM_DD]:[WFM_DD]]),0,DD_Table[[TDM_DD]:[WFM_DD]]))*0.8</f>
        <v>12.322580718994141</v>
      </c>
      <c r="R2" s="57">
        <v>0.5</v>
      </c>
      <c r="S2" s="57">
        <v>0.5</v>
      </c>
      <c r="T2" s="57">
        <v>0.5</v>
      </c>
      <c r="U2" s="57">
        <v>0.5</v>
      </c>
      <c r="V2" s="57">
        <v>0.5</v>
      </c>
      <c r="W2" s="57">
        <v>0.5</v>
      </c>
      <c r="X2" s="59" t="e">
        <f ca="1">IFERROR(VLOOKUP(C2,TDM_DD[[Week-Year]:[Core Reg]],4,FALSE),IF(ISNUMBER(OFFSET(X2,-1,0)),OFFSET(X2,-1,0),NA()))</f>
        <v>#N/A</v>
      </c>
      <c r="Y2" s="59" t="e">
        <f ca="1">IFERROR(VLOOKUP(C2,TDM_DD[[Week-Year]:[Core Reg]],5,FALSE),IF(ISNUMBER(OFFSET(Y2,-1,0)),OFFSET(Y2,-1,0),NA()))</f>
        <v>#N/A</v>
      </c>
      <c r="Z2" s="59">
        <f ca="1">IFERROR(VLOOKUP(C2,Coles_DD[[Week-Year]:[Core Reg]],4,FALSE),IF(ISNUMBER(OFFSET(Z2,-1,0)),OFFSET(Z2,-1,0),NA()))</f>
        <v>0</v>
      </c>
      <c r="AA2" s="59">
        <f ca="1">IFERROR(VLOOKUP(C2,Coles_DD[[Week-Year]:[Core Reg]],5,FALSE),IF(ISNUMBER(OFFSET(AA2,-1,0)),OFFSET(AA2,-1,0),NA()))</f>
        <v>0</v>
      </c>
      <c r="AB2" s="59">
        <f ca="1">IFERROR(VLOOKUP(C2,WOW_DD[[Week-Year]:[Core Reg]],4,FALSE),IF(ISNUMBER(OFFSET(AB2,-1,0)),OFFSET(AB2,-1,0),NA()))</f>
        <v>5.6866950988769531</v>
      </c>
      <c r="AC2" s="59">
        <f ca="1">IFERROR(VLOOKUP(C2,WOW_DD[[Week-Year]:[Core Reg]],5,FALSE),IF(ISNUMBER(OFFSET(AC2,-1,0)),OFFSET(AC2,-1,0),NA()))</f>
        <v>10.161290168762207</v>
      </c>
      <c r="AD2" s="59">
        <f ca="1">IFERROR(VLOOKUP(C2,SSL_DD[[Week-Year]:[Core Reg]],4,FALSE),IF(ISNUMBER(OFFSET(AD2,-1,0)),OFFSET(AD2,-1,0),NA()))</f>
        <v>26.654064178466797</v>
      </c>
      <c r="AE2" s="59">
        <f ca="1">IFERROR(VLOOKUP(C2,SSL_DD[[Week-Year]:[Core Reg]],5,FALSE),IF(ISNUMBER(OFFSET(AE2,-1,0)),OFFSET(AE2,-1,0),NA()))</f>
        <v>41.825096130371094</v>
      </c>
      <c r="AF2" s="59" t="e">
        <f ca="1">IFERROR(VLOOKUP(C2,WFM_DD[[Week-Year]:[Core Reg]],4,FALSE),IF(ISNUMBER(OFFSET(AF2,-1,0)),OFFSET(AF2,-1,0),NA()))</f>
        <v>#N/A</v>
      </c>
      <c r="AG2" s="59" t="e">
        <f ca="1">IFERROR(VLOOKUP(C2,WFM_DD[[Week-Year]:[Core Reg]],5,FALSE),IF(ISNUMBER(OFFSET(AG2,-1,0)),OFFSET(AG2,-1,0),NA()))</f>
        <v>#N/A</v>
      </c>
      <c r="AH2" s="62">
        <f ca="1">IFERROR(VLOOKUP(C2,RTen_DD[[Week-Year]:[Core Reg]],4,FALSE),IF(ISNUMBER(OFFSET(AH2,-1,0)),OFFSET(AH2,-1,0),NA()))</f>
        <v>0</v>
      </c>
      <c r="AI2" s="62">
        <f ca="1">IFERROR(VLOOKUP(C2,RTen_DD[[Week-Year]:[Core Reg]],5,FALSE)/100,IF(ISNUMBER(OFFSET(AI2,-1,0)),OFFSET(AI2,-1,0),NA()))</f>
        <v>0.43858234405517577</v>
      </c>
      <c r="AJ2" s="62" t="e">
        <f ca="1">DD_Table[[#This Row],[TDM_Ext_Reg]]</f>
        <v>#N/A</v>
      </c>
      <c r="AK2" s="62">
        <f ca="1">DD_Table[[#This Row],[Coles_Ext_Reg]]</f>
        <v>0</v>
      </c>
      <c r="AL2" s="62">
        <f ca="1">DD_Table[[#This Row],[WOW_Ext_Reg]]</f>
        <v>5.6866950988769531</v>
      </c>
      <c r="AM2" s="62">
        <f ca="1">DD_Table[[#This Row],[SSL_Ext_Reg]]</f>
        <v>26.654064178466797</v>
      </c>
      <c r="AN2" s="62" t="e">
        <f ca="1">DD_Table[[#This Row],[WFM_Ext_Reg]]</f>
        <v>#N/A</v>
      </c>
      <c r="AO2" s="62">
        <f t="array" aca="1" ref="AO2" ca="1">IFERROR(AVERAGE(IF(ISNUMBER(DD_Table[[#This Row],[TDM_Avg]:[WFM_Avg]]),DD_Table[[#This Row],[TDM_Avg]:[WFM_Avg]]))/100,NA())</f>
        <v>0.10780253092447917</v>
      </c>
      <c r="AP2" s="62">
        <f t="array" aca="1" ref="AP2" ca="1">MAX(IF(ISERROR(DD_Table[[TDM_Avg]:[WFM_Avg]]),0,DD_Table[[TDM_Avg]:[WFM_Avg]]))*1.1</f>
        <v>48.107883834838873</v>
      </c>
      <c r="AQ2" s="62">
        <f t="array" aca="1" ref="AQ2" ca="1">MAX(IF(ISERROR(DD_Table[[TDM_Ext_Reg]:[WFM_Core_Reg]]),0,DD_Table[[TDM_Ext_Reg]:[WFM_Core_Reg]]))</f>
        <v>61.538463592529297</v>
      </c>
      <c r="AR2" s="65" t="e">
        <f ca="1">IFERROR(VLOOKUP(C2,TDM_DD[[Week-Year]:[DDP]],6,FALSE),IF(ISNUMBER(OFFSET(AR2,-1,0)),OFFSET(AR2,-1,0),NA()))</f>
        <v>#N/A</v>
      </c>
      <c r="AS2" s="65">
        <f ca="1">IFERROR(VLOOKUP(C2,Coles_DD[[Week-Year]:[DDP]],6,FALSE),IF(ISNUMBER(OFFSET(AS2,-1,0)),OFFSET(AS2,-1,0),NA()))</f>
        <v>0.18160919540229886</v>
      </c>
      <c r="AT2" s="65">
        <f ca="1">IFERROR(VLOOKUP(C2,WOW_DD[[Week-Year]:[DDP]],6,FALSE),IF(ISNUMBER(OFFSET(AT2,-1,0)),OFFSET(AT2,-1,0),NA()))</f>
        <v>0.38866995073891625</v>
      </c>
      <c r="AU2" s="65">
        <f ca="1">IFERROR(VLOOKUP(C2,SSL_DD[[Week-Year]:[DDP]],6,FALSE),IF(ISNUMBER(OFFSET(AU2,-1,0)),OFFSET(AU2,-1,0),NA()))</f>
        <v>0.3041556145004421</v>
      </c>
      <c r="AV2" s="65" t="e">
        <f ca="1">IFERROR(VLOOKUP(C2,WFM_DD[[Week-Year]:[DDP]],6,FALSE),IF(ISNUMBER(OFFSET(AV2,-1,0)),OFFSET(AV2,-1,0),NA()))</f>
        <v>#N/A</v>
      </c>
      <c r="AW2" s="65">
        <f t="array" aca="1" ref="AW2" ca="1">IFERROR(AVERAGE(IF(ISNUMBER(DD_Table[[#This Row],[TDM_DDP]:[WFM_DDP]]),DD_Table[[#This Row],[TDM_DDP]:[WFM_DDP]])),NA())</f>
        <v>0.29147825354721907</v>
      </c>
      <c r="AX2" s="65">
        <f t="array" aca="1" ref="AX2" ca="1">IFERROR(MAX(IF(ISNUMBER(DD_Table[[TDM_DDP]:[WFM_DDP]]),DD_Table[[TDM_DDP]:[WFM_DDP]])),NA())</f>
        <v>0.68</v>
      </c>
      <c r="AY2" s="88">
        <f ca="1">IFERROR(VLOOKUP(C2,RTen_DD[[Week-Year]:[Core DDP]],6,FALSE),IF(ISNUMBER(VLOOKUP(C2,RTen_DD[[Week-Year]:[Core DDP]],6,FALSE)),OFFSET(AY2,-1,0),OFFSET(AY2,-1,0)))</f>
        <v>0.15445026397705078</v>
      </c>
      <c r="AZ2" s="65"/>
      <c r="BA2" s="65"/>
      <c r="BC2">
        <v>0</v>
      </c>
      <c r="BD2">
        <v>15</v>
      </c>
      <c r="BE2">
        <v>2</v>
      </c>
      <c r="BF2">
        <v>9</v>
      </c>
      <c r="BG2">
        <v>28</v>
      </c>
      <c r="BH2">
        <v>8</v>
      </c>
      <c r="BI2">
        <v>19</v>
      </c>
      <c r="BJ2" s="63">
        <v>3.8</v>
      </c>
      <c r="BK2">
        <v>7.333333333333333</v>
      </c>
      <c r="BL2">
        <v>4.5</v>
      </c>
      <c r="BM2">
        <v>1.896551724137931</v>
      </c>
      <c r="BN2">
        <v>1</v>
      </c>
      <c r="BO2" s="71">
        <f>AVERAGE(Med_Table[[#This Row],[TDM_Med]:[WFM_Med]])</f>
        <v>3.705977011494253</v>
      </c>
      <c r="BP2" s="71">
        <f>MAX(Med_Table[[TDM]:[WFM]])</f>
        <v>29</v>
      </c>
      <c r="BQ2">
        <v>15.5</v>
      </c>
      <c r="BV2">
        <v>86</v>
      </c>
      <c r="BW2">
        <v>19</v>
      </c>
      <c r="BX2">
        <v>128</v>
      </c>
      <c r="BY2">
        <v>37</v>
      </c>
      <c r="BZ2">
        <v>2013</v>
      </c>
      <c r="CA2">
        <v>348</v>
      </c>
      <c r="CB2">
        <v>460</v>
      </c>
      <c r="CC2">
        <v>124</v>
      </c>
      <c r="CD2">
        <v>3323</v>
      </c>
      <c r="CE2">
        <v>1265</v>
      </c>
      <c r="CF2">
        <v>1850</v>
      </c>
      <c r="CG2">
        <v>735</v>
      </c>
      <c r="CH2">
        <v>2697</v>
      </c>
      <c r="CI2">
        <v>430</v>
      </c>
      <c r="CJ2">
        <v>1567</v>
      </c>
      <c r="CK2">
        <v>376</v>
      </c>
      <c r="CL2">
        <v>349</v>
      </c>
      <c r="CM2">
        <v>92</v>
      </c>
      <c r="CN2">
        <v>89</v>
      </c>
      <c r="CO2">
        <v>23</v>
      </c>
      <c r="CP2">
        <v>535</v>
      </c>
      <c r="CQ2">
        <v>47</v>
      </c>
      <c r="CR2">
        <v>132</v>
      </c>
      <c r="CS2">
        <v>21</v>
      </c>
      <c r="CT2" s="71">
        <f>Table1[[#This Row],[TDM_ER]]/Table1[[#This Row],[TDM_ED]]</f>
        <v>0.22093023255813954</v>
      </c>
      <c r="CU2" s="71">
        <f>Table1[[#This Row],[TDM_CR]]/Table1[[#This Row],[TDM_CD]]</f>
        <v>0.2890625</v>
      </c>
      <c r="CV2" s="71">
        <f>Table1[Coles_ER]/Table1[Coles_ED]</f>
        <v>0.17287630402384502</v>
      </c>
      <c r="CW2" s="71">
        <f>Table1[Coles_CR]/Table1[Coles_CD]</f>
        <v>0.26956521739130435</v>
      </c>
      <c r="CX2" s="71">
        <f>Table1[WOW_ER]/Table1[WOW_ED]</f>
        <v>0.38068010833584109</v>
      </c>
      <c r="CY2" s="71">
        <f>Table1[WOW_CR]/Table1[WOW_CD]</f>
        <v>0.39729729729729729</v>
      </c>
      <c r="CZ2" s="71">
        <f>Table1[SSL_ER]/Table1[SSL_ED]</f>
        <v>0.15943641082684465</v>
      </c>
      <c r="DA2" s="71">
        <f>Table1[SSL_CR]/Table1[SSL_CD]</f>
        <v>0.23994894703254627</v>
      </c>
      <c r="DB2" s="71">
        <f>Table1[WFM_ER]/Table1[WFM_ED]</f>
        <v>0.26361031518624639</v>
      </c>
      <c r="DC2" s="71">
        <f>Table1[WFM_CR]/Table1[WFM_CD]</f>
        <v>0.25842696629213485</v>
      </c>
      <c r="DD2" s="71">
        <f>Table1[Pilot_ER]/Table1[Pilot_ED]</f>
        <v>8.7850467289719625E-2</v>
      </c>
      <c r="DE2" s="71">
        <f>Table1[Pilot_CR]/Table1[Pilot_CD]</f>
        <v>0.15909090909090909</v>
      </c>
      <c r="DF2" s="71">
        <f>IF(ROW(Table1[[#This Row],[WFM_C]])=2,AVERAGE(CT2,CV2,CX2,CZ2,DB2,DD2),"")</f>
        <v>0.21423063970343936</v>
      </c>
      <c r="DG2" s="71">
        <f>IF(ROW(Table1[[#This Row],[WFM_C]])=2,AVERAGE(CU2,CW2,CY2,DA2,DC2,DE2),"")</f>
        <v>0.26889863951736531</v>
      </c>
      <c r="DM2" s="47">
        <v>41735</v>
      </c>
      <c r="DN2" s="71">
        <f>IF(ROW(Table1[[#This Row],[TDM_C]])=2,SUM(Table1[TDM_ER])/SUM(Table1[[TDM_ED]:[TDM_ER]]),"")</f>
        <v>0.18095238095238095</v>
      </c>
      <c r="DO2" s="71">
        <f>IF(ROW(Table1[[#This Row],[TDM_C]])=2,SUM(Table1[TDM_CR])/SUM(Table1[[TDM_CD]:[TDM_CR]]),"")</f>
        <v>0.22424242424242424</v>
      </c>
      <c r="DP2" s="71">
        <f>IF(ROW(Table1[[#This Row],[Coles_C]])=2,SUM(Table1[Coles_ER])/SUM(Table1[[Coles_ED]:[Coles_ER]]),"")</f>
        <v>0.1473951715374841</v>
      </c>
      <c r="DQ2" s="71">
        <f>IF(ROW(Table1[[#This Row],[Coles_C]])=2,SUM(Table1[Coles_CR])/SUM(Table1[[Coles_CD]:[Coles_CR]]),"")</f>
        <v>0.21232876712328766</v>
      </c>
      <c r="DR2" s="71">
        <f>IF(ROW(Table1[[#This Row],[WOW_C]])=2,SUM(Table1[WOW_ER])/SUM(Table1[[WOW_ED]:[WOW_ER]]),"")</f>
        <v>0.27571926765475152</v>
      </c>
      <c r="DS2" s="71">
        <f>IF(ROW(Table1[[#This Row],[WOW_C]])=2,SUM(Table1[WOW_CR])/SUM(Table1[[WOW_CD]:[WOW_CR]]),"")</f>
        <v>0.28433268858800775</v>
      </c>
      <c r="DT2" s="71">
        <f>IF(ROW(Table1[[#This Row],[SSL_C]])=2,SUM(Table1[SSL_ER])/SUM(Table1[[SSL_ED]:[SSL_ER]]),"")</f>
        <v>0.13751199232491207</v>
      </c>
      <c r="DU2" s="71">
        <f>IF(ROW(Table1[[#This Row],[SSL_C]])=2,SUM(Table1[SSL_CR])/SUM(Table1[[SSL_CD]:[SSL_CR]]),"")</f>
        <v>0.1935151827071539</v>
      </c>
      <c r="DV2" s="71">
        <f>IF(ROW(Table1[[#This Row],[WFM_C]])=2,SUM(Table1[WFM_ER])/SUM(Table1[[WFM_ED]:[WFM_ER]]),"")</f>
        <v>0.20861678004535147</v>
      </c>
      <c r="DW2" s="71">
        <f>IF(ROW(Table1[[#This Row],[WFM_C]])=2,SUM(Table1[WFM_CR])/SUM(Table1[[WFM_CD]:[WFM_CR]]),"")</f>
        <v>0.20535714285714285</v>
      </c>
      <c r="DX2" s="72">
        <f>IF(ROW(Table1[[#This Row],[WFM_C]])=2,AVERAGE(Table1[[#This Row],[TDM_E]],Table1[[#This Row],[Coels_E]],Table1[[#This Row],[WOW_E]],Table1[[#This Row],[SSL_E]],Table1[[#This Row],[WFM_E]]),"")</f>
        <v>0.23950667418618332</v>
      </c>
      <c r="DY2" s="73">
        <f>IF(ROW(Table1[[#This Row],[WFM_C]])=2,SUM(Table1[TDM_CR],Table1[Coles_CR],Table1[WOW_CR],Table1[SSL_CR],Table1[WFM_CR])/SUM(Table1[[TDM_CD]:[TDM_CR]],Table1[[Coles_CD]:[Coles_CR]],Table1[[WOW_CD]:[WOW_CR]],Table1[[SSL_CD]:[SSL_CR]],Table1[[WFM_CD]:[WFM_CR]]),"")</f>
        <v>0.24030432362219337</v>
      </c>
    </row>
    <row r="3" spans="1:129">
      <c r="A3" s="69">
        <f t="shared" ref="A3:A34" si="2">A2+7</f>
        <v>41654</v>
      </c>
      <c r="B3" s="70">
        <f t="shared" si="0"/>
        <v>3</v>
      </c>
      <c r="C3" s="70">
        <f t="shared" si="1"/>
        <v>32014</v>
      </c>
      <c r="D3" s="57" t="e">
        <f ca="1">IFERROR(VLOOKUP(C3,TDM_DD[[Week-Year]:[DD]],2,FALSE),IF(ISNUMBER(OFFSET(D3,-1,0)),OFFSET(D3,-1,0),NA()))</f>
        <v>#N/A</v>
      </c>
      <c r="E3" s="58">
        <f ca="1">IFERROR(VLOOKUP(C3,Coles_DD[[Week-Year]:[DD]],2,FALSE),IF(ISNUMBER(OFFSET(E3,-1,0)),OFFSET(E3,-1,0),NA()))</f>
        <v>1130</v>
      </c>
      <c r="F3" s="58">
        <f ca="1">IFERROR(VLOOKUP(C3,WOW_DD[[Week-Year]:[DD]],2,FALSE),IF(ISNUMBER(OFFSET(F3,-1,0)),OFFSET(F3,-1,0),NA()))</f>
        <v>2351</v>
      </c>
      <c r="G3" s="57">
        <f ca="1">IFERROR(VLOOKUP(C3,SSL_DD[[Week-Year]:[DD]],2,FALSE),IF(ISNUMBER(OFFSET(G3,-1,0)),OFFSET(G3,-1,0),NA()))</f>
        <v>0</v>
      </c>
      <c r="H3" s="58" t="e">
        <f ca="1">IFERROR(VLOOKUP(C3,WFM_DD[[Week-Year]:[DD]],2,FALSE),IF(ISNUMBER(OFFSET(H3,-1,0)),OFFSET(H3,-1,0),NA()))</f>
        <v>#N/A</v>
      </c>
      <c r="I3" s="57">
        <f ca="1">IFERROR(VLOOKUP(C3,RTen_DD[[Week-Year]:[DD]],2,FALSE),IF(ISNUMBER(OFFSET(I3,-1,0)),OFFSET(I3,-1,0),NA()))</f>
        <v>5273</v>
      </c>
      <c r="J3" s="57" t="e">
        <f ca="1">IFERROR(VLOOKUP(C3,TDM_DD[[Week-Year]:[DD]],3,FALSE),IF(ISNUMBER(OFFSET(J3,-1,0)),OFFSET(J3,-1,0),NA()))</f>
        <v>#N/A</v>
      </c>
      <c r="K3" s="57">
        <f ca="1">IFERROR(VLOOKUP(C3,Coles_DD[[Week-Year]:[DD]],3,FALSE),IF(ISNUMBER(OFFSET(K3,-1,0)),OFFSET(K3,-1,0),NA()))</f>
        <v>0.44336283206939697</v>
      </c>
      <c r="L3" s="57">
        <f ca="1">IFERROR(VLOOKUP(C3,WOW_DD[[Week-Year]:[DD]],3,FALSE),IF(ISNUMBER(OFFSET(L3,-1,0)),OFFSET(L3,-1,0),NA()))</f>
        <v>0.40450870990753174</v>
      </c>
      <c r="M3" s="57">
        <f ca="1">IFERROR(VLOOKUP(C3,SSL_DD[[Week-Year]:[DD]],3,FALSE),IF(ISNUMBER(OFFSET(M3,-1,0)),OFFSET(M3,-1,0),NA()))</f>
        <v>0</v>
      </c>
      <c r="N3" s="57" t="e">
        <f ca="1">IFERROR(VLOOKUP(C3,WFM_DD[[Week-Year]:[DD]],3,FALSE),IF(ISNUMBER(OFFSET(N3,-1,0)),OFFSET(N3,-1,0),NA()))</f>
        <v>#N/A</v>
      </c>
      <c r="O3" s="57">
        <f ca="1">IFERROR(VLOOKUP(C3,RTen_DD[[Week-Year]:[DD]],3,FALSE),IF(ISNUMBER(OFFSET(O3,-1,0)),OFFSET(O3,-1,0),NA()))</f>
        <v>0.96870851516723633</v>
      </c>
      <c r="P3" s="57">
        <f t="array" aca="1" ref="P3" ca="1">AVERAGE(IF(ISNUMBER(DD_Table[[#This Row],[TDM_DD]:[WFM_DD]]),DD_Table[[#This Row],[TDM_DD]:[WFM_DD]]))</f>
        <v>0.28262384732564289</v>
      </c>
      <c r="Q3" s="57">
        <f t="array" aca="1" ref="Q3" ca="1">MAX(IF(ISERROR(DD_Table[[TDM_DD]:[WFM_DD]]),0,DD_Table[[TDM_DD]:[WFM_DD]]))*0.8</f>
        <v>12.322580718994141</v>
      </c>
      <c r="R3" s="57">
        <v>0.5</v>
      </c>
      <c r="S3" s="57">
        <v>0.5</v>
      </c>
      <c r="T3" s="57">
        <v>0.5</v>
      </c>
      <c r="U3" s="57">
        <v>0.5</v>
      </c>
      <c r="V3" s="57">
        <v>0.5</v>
      </c>
      <c r="W3" s="57">
        <v>0.5</v>
      </c>
      <c r="X3" s="59" t="e">
        <f ca="1">IFERROR(VLOOKUP(C3,TDM_DD[[Week-Year]:[Core Reg]],4,FALSE),IF(ISNUMBER(OFFSET(X3,-1,0)),OFFSET(X3,-1,0),NA()))</f>
        <v>#N/A</v>
      </c>
      <c r="Y3" s="59" t="e">
        <f ca="1">IFERROR(VLOOKUP(C3,TDM_DD[[Week-Year]:[Core Reg]],5,FALSE),IF(ISNUMBER(OFFSET(Y3,-1,0)),OFFSET(Y3,-1,0),NA()))</f>
        <v>#N/A</v>
      </c>
      <c r="Z3" s="59">
        <f ca="1">IFERROR(VLOOKUP(C3,Coles_DD[[Week-Year]:[Core Reg]],4,FALSE),IF(ISNUMBER(OFFSET(Z3,-1,0)),OFFSET(Z3,-1,0),NA()))</f>
        <v>0</v>
      </c>
      <c r="AA3" s="59">
        <f ca="1">IFERROR(VLOOKUP(C3,Coles_DD[[Week-Year]:[Core Reg]],5,FALSE),IF(ISNUMBER(OFFSET(AA3,-1,0)),OFFSET(AA3,-1,0),NA()))</f>
        <v>0</v>
      </c>
      <c r="AB3" s="59">
        <f ca="1">IFERROR(VLOOKUP(C3,WOW_DD[[Week-Year]:[Core Reg]],4,FALSE),IF(ISNUMBER(OFFSET(AB3,-1,0)),OFFSET(AB3,-1,0),NA()))</f>
        <v>5.7833857536315918</v>
      </c>
      <c r="AC3" s="59">
        <f ca="1">IFERROR(VLOOKUP(C3,WOW_DD[[Week-Year]:[Core Reg]],5,FALSE),IF(ISNUMBER(OFFSET(AC3,-1,0)),OFFSET(AC3,-1,0),NA()))</f>
        <v>9.9369087219238281</v>
      </c>
      <c r="AD3" s="59">
        <f ca="1">IFERROR(VLOOKUP(C3,SSL_DD[[Week-Year]:[Core Reg]],4,FALSE),IF(ISNUMBER(OFFSET(AD3,-1,0)),OFFSET(AD3,-1,0),NA()))</f>
        <v>28.388278961181641</v>
      </c>
      <c r="AE3" s="59">
        <f ca="1">IFERROR(VLOOKUP(C3,SSL_DD[[Week-Year]:[Core Reg]],5,FALSE),IF(ISNUMBER(OFFSET(AE3,-1,0)),OFFSET(AE3,-1,0),NA()))</f>
        <v>43.971630096435547</v>
      </c>
      <c r="AF3" s="59" t="e">
        <f ca="1">IFERROR(VLOOKUP(C3,WFM_DD[[Week-Year]:[Core Reg]],4,FALSE),IF(ISNUMBER(OFFSET(AF3,-1,0)),OFFSET(AF3,-1,0),NA()))</f>
        <v>#N/A</v>
      </c>
      <c r="AG3" s="59" t="e">
        <f ca="1">IFERROR(VLOOKUP(C3,WFM_DD[[Week-Year]:[Core Reg]],5,FALSE),IF(ISNUMBER(OFFSET(AG3,-1,0)),OFFSET(AG3,-1,0),NA()))</f>
        <v>#N/A</v>
      </c>
      <c r="AH3" s="62">
        <f ca="1">IFERROR(VLOOKUP(C3,RTen_DD[[Week-Year]:[Core Reg]],4,FALSE),IF(ISNUMBER(OFFSET(AH3,-1,0)),OFFSET(AH3,-1,0),NA()))</f>
        <v>0</v>
      </c>
      <c r="AI3" s="62">
        <f ca="1">IFERROR(VLOOKUP(C3,RTen_DD[[Week-Year]:[Core Reg]],5,FALSE)/100,IF(ISNUMBER(OFFSET(AI3,-1,0)),OFFSET(AI3,-1,0),NA()))</f>
        <v>0.43852779388427732</v>
      </c>
      <c r="AJ3" s="62" t="e">
        <f ca="1">DD_Table[[#This Row],[TDM_Ext_Reg]]</f>
        <v>#N/A</v>
      </c>
      <c r="AK3" s="62">
        <f ca="1">DD_Table[[#This Row],[Coles_Ext_Reg]]</f>
        <v>0</v>
      </c>
      <c r="AL3" s="62">
        <f ca="1">DD_Table[[#This Row],[WOW_Ext_Reg]]</f>
        <v>5.7833857536315918</v>
      </c>
      <c r="AM3" s="62">
        <f ca="1">DD_Table[[#This Row],[SSL_Ext_Reg]]</f>
        <v>28.388278961181641</v>
      </c>
      <c r="AN3" s="62" t="e">
        <f ca="1">DD_Table[[#This Row],[WFM_Ext_Reg]]</f>
        <v>#N/A</v>
      </c>
      <c r="AO3" s="62">
        <f t="array" aca="1" ref="AO3" ca="1">IFERROR(AVERAGE(IF(ISNUMBER(DD_Table[[#This Row],[TDM_Avg]:[WFM_Avg]]),DD_Table[[#This Row],[TDM_Avg]:[WFM_Avg]]))/100,NA())</f>
        <v>0.11390554904937744</v>
      </c>
      <c r="AP3" s="62">
        <f t="array" aca="1" ref="AP3" ca="1">MAX(IF(ISERROR(DD_Table[[TDM_Avg]:[WFM_Avg]]),0,DD_Table[[TDM_Avg]:[WFM_Avg]]))*1.1</f>
        <v>48.107883834838873</v>
      </c>
      <c r="AQ3" s="62">
        <f t="array" aca="1" ref="AQ3" ca="1">MAX(IF(ISERROR(DD_Table[[TDM_Ext_Reg]:[WFM_Core_Reg]]),0,DD_Table[[TDM_Ext_Reg]:[WFM_Core_Reg]]))</f>
        <v>61.538463592529297</v>
      </c>
      <c r="AR3" s="65" t="e">
        <f ca="1">IFERROR(VLOOKUP(C3,TDM_DD[[Week-Year]:[DDP]],6,FALSE),IF(ISNUMBER(OFFSET(AR3,-1,0)),OFFSET(AR3,-1,0),NA()))</f>
        <v>#N/A</v>
      </c>
      <c r="AS3" s="65">
        <f ca="1">IFERROR(VLOOKUP(C3,Coles_DD[[Week-Year]:[DDP]],6,FALSE),IF(ISNUMBER(OFFSET(AS3,-1,0)),OFFSET(AS3,-1,0),NA()))</f>
        <v>0.18082788671023964</v>
      </c>
      <c r="AT3" s="65">
        <f ca="1">IFERROR(VLOOKUP(C3,WOW_DD[[Week-Year]:[DDP]],6,FALSE),IF(ISNUMBER(OFFSET(AT3,-1,0)),OFFSET(AT3,-1,0),NA()))</f>
        <v>0.38795180722891565</v>
      </c>
      <c r="AU3" s="65">
        <f ca="1">IFERROR(VLOOKUP(C3,SSL_DD[[Week-Year]:[DDP]],6,FALSE),IF(ISNUMBER(OFFSET(AU3,-1,0)),OFFSET(AU3,-1,0),NA()))</f>
        <v>0.31180968564146133</v>
      </c>
      <c r="AV3" s="65" t="e">
        <f ca="1">IFERROR(VLOOKUP(C3,WFM_DD[[Week-Year]:[DDP]],6,FALSE),IF(ISNUMBER(OFFSET(AV3,-1,0)),OFFSET(AV3,-1,0),NA()))</f>
        <v>#N/A</v>
      </c>
      <c r="AW3" s="65">
        <f t="array" aca="1" ref="AW3" ca="1">IFERROR(AVERAGE(IF(ISNUMBER(DD_Table[[#This Row],[TDM_DDP]:[WFM_DDP]]),DD_Table[[#This Row],[TDM_DDP]:[WFM_DDP]])),NA())</f>
        <v>0.29352979319353883</v>
      </c>
      <c r="AX3" s="65">
        <f t="array" aca="1" ref="AX3" ca="1">IFERROR(MAX(IF(ISNUMBER(DD_Table[[TDM_DDP]:[WFM_DDP]]),DD_Table[[TDM_DDP]:[WFM_DDP]])),NA())</f>
        <v>0.68</v>
      </c>
      <c r="AY3" s="88">
        <f ca="1">IFERROR(VLOOKUP(C3,RTen_DD[[Week-Year]:[Core DDP]],6,FALSE),IF(ISNUMBER(VLOOKUP(C3,RTen_DD[[Week-Year]:[Core DDP]],6,FALSE)),OFFSET(AY3,-1,0),OFFSET(AY3,-1,0)))</f>
        <v>0.15583398818969726</v>
      </c>
      <c r="AZ3" s="65"/>
      <c r="BA3" s="65"/>
      <c r="BC3">
        <v>1</v>
      </c>
      <c r="BD3">
        <v>10</v>
      </c>
      <c r="BE3">
        <v>4</v>
      </c>
      <c r="BF3">
        <v>8</v>
      </c>
      <c r="BG3">
        <v>29</v>
      </c>
      <c r="BH3">
        <v>2</v>
      </c>
      <c r="BI3">
        <v>4</v>
      </c>
      <c r="BO3" s="71"/>
      <c r="BP3" s="71">
        <f>MAX(Med_Table[[TDM]:[WFM]])</f>
        <v>29</v>
      </c>
      <c r="DM3" s="47">
        <f>+DM2+7</f>
        <v>41742</v>
      </c>
      <c r="DN3" s="71" t="e">
        <f>NA()</f>
        <v>#N/A</v>
      </c>
      <c r="DO3" s="71" t="e">
        <f>NA()</f>
        <v>#N/A</v>
      </c>
      <c r="DP3" s="71" t="e">
        <f>NA()</f>
        <v>#N/A</v>
      </c>
      <c r="DQ3" s="71" t="e">
        <f>NA()</f>
        <v>#N/A</v>
      </c>
      <c r="DR3" s="71" t="e">
        <f>NA()</f>
        <v>#N/A</v>
      </c>
      <c r="DS3" s="71" t="e">
        <f>NA()</f>
        <v>#N/A</v>
      </c>
      <c r="DT3" s="71" t="e">
        <f>NA()</f>
        <v>#N/A</v>
      </c>
      <c r="DU3" s="71" t="e">
        <f>NA()</f>
        <v>#N/A</v>
      </c>
      <c r="DV3" s="71" t="e">
        <f>NA()</f>
        <v>#N/A</v>
      </c>
      <c r="DW3" s="71" t="e">
        <f>NA()</f>
        <v>#N/A</v>
      </c>
      <c r="DX3" s="71" t="e">
        <f>NA()</f>
        <v>#N/A</v>
      </c>
      <c r="DY3" s="71" t="e">
        <f>NA()</f>
        <v>#N/A</v>
      </c>
    </row>
    <row r="4" spans="1:129">
      <c r="A4" s="69">
        <f t="shared" si="2"/>
        <v>41661</v>
      </c>
      <c r="B4" s="70">
        <f t="shared" si="0"/>
        <v>4</v>
      </c>
      <c r="C4" s="70">
        <f t="shared" si="1"/>
        <v>42014</v>
      </c>
      <c r="D4" s="57" t="e">
        <f ca="1">IFERROR(VLOOKUP(C4,TDM_DD[[Week-Year]:[DD]],2,FALSE),IF(ISNUMBER(OFFSET(D4,-1,0)),OFFSET(D4,-1,0),NA()))</f>
        <v>#N/A</v>
      </c>
      <c r="E4" s="58">
        <f ca="1">IFERROR(VLOOKUP(C4,Coles_DD[[Week-Year]:[DD]],2,FALSE),IF(ISNUMBER(OFFSET(E4,-1,0)),OFFSET(E4,-1,0),NA()))</f>
        <v>1245</v>
      </c>
      <c r="F4" s="58">
        <f ca="1">IFERROR(VLOOKUP(C4,WOW_DD[[Week-Year]:[DD]],2,FALSE),IF(ISNUMBER(OFFSET(F4,-1,0)),OFFSET(F4,-1,0),NA()))</f>
        <v>2396</v>
      </c>
      <c r="G4" s="57">
        <f ca="1">IFERROR(VLOOKUP(C4,SSL_DD[[Week-Year]:[DD]],2,FALSE),IF(ISNUMBER(OFFSET(G4,-1,0)),OFFSET(G4,-1,0),NA()))</f>
        <v>0</v>
      </c>
      <c r="H4" s="58" t="e">
        <f ca="1">IFERROR(VLOOKUP(C4,WFM_DD[[Week-Year]:[DD]],2,FALSE),IF(ISNUMBER(OFFSET(H4,-1,0)),OFFSET(H4,-1,0),NA()))</f>
        <v>#N/A</v>
      </c>
      <c r="I4" s="57">
        <f ca="1">IFERROR(VLOOKUP(C4,RTen_DD[[Week-Year]:[DD]],2,FALSE),IF(ISNUMBER(OFFSET(I4,-1,0)),OFFSET(I4,-1,0),NA()))</f>
        <v>5348</v>
      </c>
      <c r="J4" s="57" t="e">
        <f ca="1">IFERROR(VLOOKUP(C4,TDM_DD[[Week-Year]:[DD]],3,FALSE),IF(ISNUMBER(OFFSET(J4,-1,0)),OFFSET(J4,-1,0),NA()))</f>
        <v>#N/A</v>
      </c>
      <c r="K4" s="57">
        <f ca="1">IFERROR(VLOOKUP(C4,Coles_DD[[Week-Year]:[DD]],3,FALSE),IF(ISNUMBER(OFFSET(K4,-1,0)),OFFSET(K4,-1,0),NA()))</f>
        <v>0.44176706671714783</v>
      </c>
      <c r="L4" s="57">
        <f ca="1">IFERROR(VLOOKUP(C4,WOW_DD[[Week-Year]:[DD]],3,FALSE),IF(ISNUMBER(OFFSET(L4,-1,0)),OFFSET(L4,-1,0),NA()))</f>
        <v>0.41068446636199951</v>
      </c>
      <c r="M4" s="57">
        <f ca="1">IFERROR(VLOOKUP(C4,SSL_DD[[Week-Year]:[DD]],3,FALSE),IF(ISNUMBER(OFFSET(M4,-1,0)),OFFSET(M4,-1,0),NA()))</f>
        <v>0</v>
      </c>
      <c r="N4" s="57" t="e">
        <f ca="1">IFERROR(VLOOKUP(C4,WFM_DD[[Week-Year]:[DD]],3,FALSE),IF(ISNUMBER(OFFSET(N4,-1,0)),OFFSET(N4,-1,0),NA()))</f>
        <v>#N/A</v>
      </c>
      <c r="O4" s="57">
        <f ca="1">IFERROR(VLOOKUP(C4,RTen_DD[[Week-Year]:[DD]],3,FALSE),IF(ISNUMBER(OFFSET(O4,-1,0)),OFFSET(O4,-1,0),NA()))</f>
        <v>1.0100972652435303</v>
      </c>
      <c r="P4" s="57">
        <f t="array" aca="1" ref="P4" ca="1">AVERAGE(IF(ISNUMBER(DD_Table[[#This Row],[TDM_DD]:[WFM_DD]]),DD_Table[[#This Row],[TDM_DD]:[WFM_DD]]))</f>
        <v>0.28415051102638245</v>
      </c>
      <c r="Q4" s="57">
        <f t="array" aca="1" ref="Q4" ca="1">MAX(IF(ISERROR(DD_Table[[TDM_DD]:[WFM_DD]]),0,DD_Table[[TDM_DD]:[WFM_DD]]))*0.8</f>
        <v>12.322580718994141</v>
      </c>
      <c r="R4" s="57">
        <v>0.5</v>
      </c>
      <c r="S4" s="57">
        <v>0.5</v>
      </c>
      <c r="T4" s="57">
        <v>0.5</v>
      </c>
      <c r="U4" s="57">
        <v>0.5</v>
      </c>
      <c r="V4" s="57">
        <v>0.5</v>
      </c>
      <c r="W4" s="57">
        <v>0.5</v>
      </c>
      <c r="X4" s="59" t="e">
        <f ca="1">IFERROR(VLOOKUP(C4,TDM_DD[[Week-Year]:[Core Reg]],4,FALSE),IF(ISNUMBER(OFFSET(X4,-1,0)),OFFSET(X4,-1,0),NA()))</f>
        <v>#N/A</v>
      </c>
      <c r="Y4" s="59" t="e">
        <f ca="1">IFERROR(VLOOKUP(C4,TDM_DD[[Week-Year]:[Core Reg]],5,FALSE),IF(ISNUMBER(OFFSET(Y4,-1,0)),OFFSET(Y4,-1,0),NA()))</f>
        <v>#N/A</v>
      </c>
      <c r="Z4" s="59">
        <f ca="1">IFERROR(VLOOKUP(C4,Coles_DD[[Week-Year]:[Core Reg]],4,FALSE),IF(ISNUMBER(OFFSET(Z4,-1,0)),OFFSET(Z4,-1,0),NA()))</f>
        <v>0</v>
      </c>
      <c r="AA4" s="59">
        <f ca="1">IFERROR(VLOOKUP(C4,Coles_DD[[Week-Year]:[Core Reg]],5,FALSE),IF(ISNUMBER(OFFSET(AA4,-1,0)),OFFSET(AA4,-1,0),NA()))</f>
        <v>0</v>
      </c>
      <c r="AB4" s="59">
        <f ca="1">IFERROR(VLOOKUP(C4,WOW_DD[[Week-Year]:[Core Reg]],4,FALSE),IF(ISNUMBER(OFFSET(AB4,-1,0)),OFFSET(AB4,-1,0),NA()))</f>
        <v>5.6910572052001953</v>
      </c>
      <c r="AC4" s="59">
        <f ca="1">IFERROR(VLOOKUP(C4,WOW_DD[[Week-Year]:[Core Reg]],5,FALSE),IF(ISNUMBER(OFFSET(AC4,-1,0)),OFFSET(AC4,-1,0),NA()))</f>
        <v>10</v>
      </c>
      <c r="AD4" s="59">
        <f ca="1">IFERROR(VLOOKUP(C4,SSL_DD[[Week-Year]:[Core Reg]],4,FALSE),IF(ISNUMBER(OFFSET(AD4,-1,0)),OFFSET(AD4,-1,0),NA()))</f>
        <v>29.858657836914063</v>
      </c>
      <c r="AE4" s="59">
        <f ca="1">IFERROR(VLOOKUP(C4,SSL_DD[[Week-Year]:[Core Reg]],5,FALSE),IF(ISNUMBER(OFFSET(AE4,-1,0)),OFFSET(AE4,-1,0),NA()))</f>
        <v>44.32989501953125</v>
      </c>
      <c r="AF4" s="59" t="e">
        <f ca="1">IFERROR(VLOOKUP(C4,WFM_DD[[Week-Year]:[Core Reg]],4,FALSE),IF(ISNUMBER(OFFSET(AF4,-1,0)),OFFSET(AF4,-1,0),NA()))</f>
        <v>#N/A</v>
      </c>
      <c r="AG4" s="59" t="e">
        <f ca="1">IFERROR(VLOOKUP(C4,WFM_DD[[Week-Year]:[Core Reg]],5,FALSE),IF(ISNUMBER(OFFSET(AG4,-1,0)),OFFSET(AG4,-1,0),NA()))</f>
        <v>#N/A</v>
      </c>
      <c r="AH4" s="62">
        <f ca="1">IFERROR(VLOOKUP(C4,RTen_DD[[Week-Year]:[Core Reg]],4,FALSE),IF(ISNUMBER(OFFSET(AH4,-1,0)),OFFSET(AH4,-1,0),NA()))</f>
        <v>0</v>
      </c>
      <c r="AI4" s="62">
        <f ca="1">IFERROR(VLOOKUP(C4,RTen_DD[[Week-Year]:[Core Reg]],5,FALSE)/100,IF(ISNUMBER(OFFSET(AI4,-1,0)),OFFSET(AI4,-1,0),NA()))</f>
        <v>0.42947055816650392</v>
      </c>
      <c r="AJ4" s="62" t="e">
        <f ca="1">DD_Table[[#This Row],[TDM_Ext_Reg]]</f>
        <v>#N/A</v>
      </c>
      <c r="AK4" s="62">
        <f ca="1">DD_Table[[#This Row],[Coles_Ext_Reg]]</f>
        <v>0</v>
      </c>
      <c r="AL4" s="62">
        <f ca="1">DD_Table[[#This Row],[WOW_Ext_Reg]]</f>
        <v>5.6910572052001953</v>
      </c>
      <c r="AM4" s="62">
        <f ca="1">DD_Table[[#This Row],[SSL_Ext_Reg]]</f>
        <v>29.858657836914063</v>
      </c>
      <c r="AN4" s="62" t="e">
        <f ca="1">DD_Table[[#This Row],[WFM_Ext_Reg]]</f>
        <v>#N/A</v>
      </c>
      <c r="AO4" s="62">
        <f t="array" aca="1" ref="AO4" ca="1">IFERROR(AVERAGE(IF(ISNUMBER(DD_Table[[#This Row],[TDM_Avg]:[WFM_Avg]]),DD_Table[[#This Row],[TDM_Avg]:[WFM_Avg]]))/100,NA())</f>
        <v>0.11849905014038085</v>
      </c>
      <c r="AP4" s="62">
        <f t="array" aca="1" ref="AP4" ca="1">MAX(IF(ISERROR(DD_Table[[TDM_Avg]:[WFM_Avg]]),0,DD_Table[[TDM_Avg]:[WFM_Avg]]))*1.1</f>
        <v>48.107883834838873</v>
      </c>
      <c r="AQ4" s="62">
        <f t="array" aca="1" ref="AQ4" ca="1">MAX(IF(ISERROR(DD_Table[[TDM_Ext_Reg]:[WFM_Core_Reg]]),0,DD_Table[[TDM_Ext_Reg]:[WFM_Core_Reg]]))</f>
        <v>61.538463592529297</v>
      </c>
      <c r="AR4" s="65" t="e">
        <f ca="1">IFERROR(VLOOKUP(C4,TDM_DD[[Week-Year]:[DDP]],6,FALSE),IF(ISNUMBER(OFFSET(AR4,-1,0)),OFFSET(AR4,-1,0),NA()))</f>
        <v>#N/A</v>
      </c>
      <c r="AS4" s="65">
        <f ca="1">IFERROR(VLOOKUP(C4,Coles_DD[[Week-Year]:[DDP]],6,FALSE),IF(ISNUMBER(OFFSET(AS4,-1,0)),OFFSET(AS4,-1,0),NA()))</f>
        <v>0.17746759720837488</v>
      </c>
      <c r="AT4" s="65">
        <f ca="1">IFERROR(VLOOKUP(C4,WOW_DD[[Week-Year]:[DDP]],6,FALSE),IF(ISNUMBER(OFFSET(AT4,-1,0)),OFFSET(AT4,-1,0),NA()))</f>
        <v>0.38422035480859013</v>
      </c>
      <c r="AU4" s="65">
        <f ca="1">IFERROR(VLOOKUP(C4,SSL_DD[[Week-Year]:[DDP]],6,FALSE),IF(ISNUMBER(OFFSET(AU4,-1,0)),OFFSET(AU4,-1,0),NA()))</f>
        <v>0.31402936378466556</v>
      </c>
      <c r="AV4" s="65" t="e">
        <f ca="1">IFERROR(VLOOKUP(C4,WFM_DD[[Week-Year]:[DDP]],6,FALSE),IF(ISNUMBER(OFFSET(AV4,-1,0)),OFFSET(AV4,-1,0),NA()))</f>
        <v>#N/A</v>
      </c>
      <c r="AW4" s="65">
        <f t="array" aca="1" ref="AW4" ca="1">IFERROR(AVERAGE(IF(ISNUMBER(DD_Table[[#This Row],[TDM_DDP]:[WFM_DDP]]),DD_Table[[#This Row],[TDM_DDP]:[WFM_DDP]])),NA())</f>
        <v>0.29190577193387685</v>
      </c>
      <c r="AX4" s="65">
        <f t="array" aca="1" ref="AX4" ca="1">IFERROR(MAX(IF(ISNUMBER(DD_Table[[TDM_DDP]:[WFM_DDP]]),DD_Table[[TDM_DDP]:[WFM_DDP]])),NA())</f>
        <v>0.68</v>
      </c>
      <c r="AY4" s="88">
        <f ca="1">IFERROR(VLOOKUP(C4,RTen_DD[[Week-Year]:[Core DDP]],6,FALSE),IF(ISNUMBER(VLOOKUP(C4,RTen_DD[[Week-Year]:[Core DDP]],6,FALSE)),OFFSET(AY4,-1,0),OFFSET(AY4,-1,0)))</f>
        <v>0.15623844146728516</v>
      </c>
      <c r="AZ4" s="65"/>
      <c r="BA4" s="65"/>
      <c r="BC4">
        <v>2</v>
      </c>
      <c r="BD4">
        <v>7</v>
      </c>
      <c r="BE4">
        <v>1</v>
      </c>
      <c r="BF4">
        <v>3</v>
      </c>
      <c r="BG4">
        <v>15</v>
      </c>
      <c r="BH4">
        <v>4</v>
      </c>
      <c r="BI4">
        <v>5</v>
      </c>
      <c r="BO4" s="71"/>
      <c r="BP4" s="71">
        <f>MAX(Med_Table[[TDM]:[WFM]])</f>
        <v>29</v>
      </c>
      <c r="DM4" s="47">
        <f t="shared" ref="DM4:DM6" si="3">+DM3+7</f>
        <v>41749</v>
      </c>
      <c r="DN4" s="71" t="e">
        <f>NA()</f>
        <v>#N/A</v>
      </c>
      <c r="DO4" s="71" t="e">
        <f>NA()</f>
        <v>#N/A</v>
      </c>
      <c r="DP4" s="71" t="e">
        <f>NA()</f>
        <v>#N/A</v>
      </c>
      <c r="DQ4" s="71" t="e">
        <f>NA()</f>
        <v>#N/A</v>
      </c>
      <c r="DR4" s="71" t="e">
        <f>NA()</f>
        <v>#N/A</v>
      </c>
      <c r="DS4" s="71" t="e">
        <f>NA()</f>
        <v>#N/A</v>
      </c>
      <c r="DT4" s="71" t="e">
        <f>NA()</f>
        <v>#N/A</v>
      </c>
      <c r="DU4" s="71" t="e">
        <f>NA()</f>
        <v>#N/A</v>
      </c>
      <c r="DV4" s="71" t="e">
        <f>NA()</f>
        <v>#N/A</v>
      </c>
      <c r="DW4" s="71" t="e">
        <f>NA()</f>
        <v>#N/A</v>
      </c>
      <c r="DX4" s="71" t="e">
        <f>NA()</f>
        <v>#N/A</v>
      </c>
      <c r="DY4" s="71" t="e">
        <f>NA()</f>
        <v>#N/A</v>
      </c>
    </row>
    <row r="5" spans="1:129">
      <c r="A5" s="69">
        <f t="shared" si="2"/>
        <v>41668</v>
      </c>
      <c r="B5" s="70">
        <f t="shared" si="0"/>
        <v>5</v>
      </c>
      <c r="C5" s="70">
        <f t="shared" si="1"/>
        <v>52014</v>
      </c>
      <c r="D5" s="57" t="e">
        <f ca="1">IFERROR(VLOOKUP(C5,TDM_DD[[Week-Year]:[DD]],2,FALSE),IF(ISNUMBER(OFFSET(D5,-1,0)),OFFSET(D5,-1,0),NA()))</f>
        <v>#N/A</v>
      </c>
      <c r="E5" s="58">
        <f ca="1">IFERROR(VLOOKUP(C5,Coles_DD[[Week-Year]:[DD]],2,FALSE),IF(ISNUMBER(OFFSET(E5,-1,0)),OFFSET(E5,-1,0),NA()))</f>
        <v>1261</v>
      </c>
      <c r="F5" s="58">
        <f ca="1">IFERROR(VLOOKUP(C5,WOW_DD[[Week-Year]:[DD]],2,FALSE),IF(ISNUMBER(OFFSET(F5,-1,0)),OFFSET(F5,-1,0),NA()))</f>
        <v>2405</v>
      </c>
      <c r="G5" s="57">
        <f ca="1">IFERROR(VLOOKUP(C5,SSL_DD[[Week-Year]:[DD]],2,FALSE),IF(ISNUMBER(OFFSET(G5,-1,0)),OFFSET(G5,-1,0),NA()))</f>
        <v>0</v>
      </c>
      <c r="H5" s="58">
        <f ca="1">IFERROR(VLOOKUP(C5,WFM_DD[[Week-Year]:[DD]],2,FALSE),IF(ISNUMBER(OFFSET(H5,-1,0)),OFFSET(H5,-1,0),NA()))</f>
        <v>0</v>
      </c>
      <c r="I5" s="57">
        <f ca="1">IFERROR(VLOOKUP(C5,RTen_DD[[Week-Year]:[DD]],2,FALSE),IF(ISNUMBER(OFFSET(I5,-1,0)),OFFSET(I5,-1,0),NA()))</f>
        <v>5425</v>
      </c>
      <c r="J5" s="57" t="e">
        <f ca="1">IFERROR(VLOOKUP(C5,TDM_DD[[Week-Year]:[DD]],3,FALSE),IF(ISNUMBER(OFFSET(J5,-1,0)),OFFSET(J5,-1,0),NA()))</f>
        <v>#N/A</v>
      </c>
      <c r="K5" s="57">
        <f ca="1">IFERROR(VLOOKUP(C5,Coles_DD[[Week-Year]:[DD]],3,FALSE),IF(ISNUMBER(OFFSET(K5,-1,0)),OFFSET(K5,-1,0),NA()))</f>
        <v>0.47105473279953003</v>
      </c>
      <c r="L5" s="57">
        <f ca="1">IFERROR(VLOOKUP(C5,WOW_DD[[Week-Year]:[DD]],3,FALSE),IF(ISNUMBER(OFFSET(L5,-1,0)),OFFSET(L5,-1,0),NA()))</f>
        <v>0.41871100664138794</v>
      </c>
      <c r="M5" s="57">
        <f ca="1">IFERROR(VLOOKUP(C5,SSL_DD[[Week-Year]:[DD]],3,FALSE),IF(ISNUMBER(OFFSET(M5,-1,0)),OFFSET(M5,-1,0),NA()))</f>
        <v>0</v>
      </c>
      <c r="N5" s="57">
        <f ca="1">IFERROR(VLOOKUP(C5,WFM_DD[[Week-Year]:[DD]],3,FALSE),IF(ISNUMBER(OFFSET(N5,-1,0)),OFFSET(N5,-1,0),NA()))</f>
        <v>0</v>
      </c>
      <c r="O5" s="57">
        <f ca="1">IFERROR(VLOOKUP(C5,RTen_DD[[Week-Year]:[DD]],3,FALSE),IF(ISNUMBER(OFFSET(O5,-1,0)),OFFSET(O5,-1,0),NA()))</f>
        <v>1.024700403213501</v>
      </c>
      <c r="P5" s="57">
        <f t="array" aca="1" ref="P5" ca="1">AVERAGE(IF(ISNUMBER(DD_Table[[#This Row],[TDM_DD]:[WFM_DD]]),DD_Table[[#This Row],[TDM_DD]:[WFM_DD]]))</f>
        <v>0.22244143486022949</v>
      </c>
      <c r="Q5" s="57">
        <f t="array" aca="1" ref="Q5" ca="1">MAX(IF(ISERROR(DD_Table[[TDM_DD]:[WFM_DD]]),0,DD_Table[[TDM_DD]:[WFM_DD]]))*0.8</f>
        <v>12.322580718994141</v>
      </c>
      <c r="R5" s="57">
        <v>0.5</v>
      </c>
      <c r="S5" s="57">
        <v>0.5</v>
      </c>
      <c r="T5" s="57">
        <v>0.5</v>
      </c>
      <c r="U5" s="57">
        <v>0.5</v>
      </c>
      <c r="V5" s="57">
        <v>0.5</v>
      </c>
      <c r="W5" s="57">
        <v>0.5</v>
      </c>
      <c r="X5" s="59" t="e">
        <f ca="1">IFERROR(VLOOKUP(C5,TDM_DD[[Week-Year]:[Core Reg]],4,FALSE),IF(ISNUMBER(OFFSET(X5,-1,0)),OFFSET(X5,-1,0),NA()))</f>
        <v>#N/A</v>
      </c>
      <c r="Y5" s="59" t="e">
        <f ca="1">IFERROR(VLOOKUP(C5,TDM_DD[[Week-Year]:[Core Reg]],5,FALSE),IF(ISNUMBER(OFFSET(Y5,-1,0)),OFFSET(Y5,-1,0),NA()))</f>
        <v>#N/A</v>
      </c>
      <c r="Z5" s="59">
        <f ca="1">IFERROR(VLOOKUP(C5,Coles_DD[[Week-Year]:[Core Reg]],4,FALSE),IF(ISNUMBER(OFFSET(Z5,-1,0)),OFFSET(Z5,-1,0),NA()))</f>
        <v>0</v>
      </c>
      <c r="AA5" s="59">
        <f ca="1">IFERROR(VLOOKUP(C5,Coles_DD[[Week-Year]:[Core Reg]],5,FALSE),IF(ISNUMBER(OFFSET(AA5,-1,0)),OFFSET(AA5,-1,0),NA()))</f>
        <v>0</v>
      </c>
      <c r="AB5" s="59">
        <f ca="1">IFERROR(VLOOKUP(C5,WOW_DD[[Week-Year]:[Core Reg]],4,FALSE),IF(ISNUMBER(OFFSET(AB5,-1,0)),OFFSET(AB5,-1,0),NA()))</f>
        <v>5.8589873313903809</v>
      </c>
      <c r="AC5" s="59">
        <f ca="1">IFERROR(VLOOKUP(C5,WOW_DD[[Week-Year]:[Core Reg]],5,FALSE),IF(ISNUMBER(OFFSET(AC5,-1,0)),OFFSET(AC5,-1,0),NA()))</f>
        <v>10.42296028137207</v>
      </c>
      <c r="AD5" s="59">
        <f ca="1">IFERROR(VLOOKUP(C5,SSL_DD[[Week-Year]:[Core Reg]],4,FALSE),IF(ISNUMBER(OFFSET(AD5,-1,0)),OFFSET(AD5,-1,0),NA()))</f>
        <v>32.183910369873047</v>
      </c>
      <c r="AE5" s="59">
        <f ca="1">IFERROR(VLOOKUP(C5,SSL_DD[[Week-Year]:[Core Reg]],5,FALSE),IF(ISNUMBER(OFFSET(AE5,-1,0)),OFFSET(AE5,-1,0),NA()))</f>
        <v>46.913578033447266</v>
      </c>
      <c r="AF5" s="59">
        <f ca="1">IFERROR(VLOOKUP(C5,WFM_DD[[Week-Year]:[Core Reg]],4,FALSE),IF(ISNUMBER(OFFSET(AF5,-1,0)),OFFSET(AF5,-1,0),NA()))</f>
        <v>25</v>
      </c>
      <c r="AG5" s="59">
        <f ca="1">IFERROR(VLOOKUP(C5,WFM_DD[[Week-Year]:[Core Reg]],5,FALSE),IF(ISNUMBER(OFFSET(AG5,-1,0)),OFFSET(AG5,-1,0),NA()))</f>
        <v>61.538463592529297</v>
      </c>
      <c r="AH5" s="62">
        <f ca="1">IFERROR(VLOOKUP(C5,RTen_DD[[Week-Year]:[Core Reg]],4,FALSE),IF(ISNUMBER(OFFSET(AH5,-1,0)),OFFSET(AH5,-1,0),NA()))</f>
        <v>0</v>
      </c>
      <c r="AI5" s="62">
        <f ca="1">IFERROR(VLOOKUP(C5,RTen_DD[[Week-Year]:[Core Reg]],5,FALSE)/100,IF(ISNUMBER(OFFSET(AI5,-1,0)),OFFSET(AI5,-1,0),NA()))</f>
        <v>0.424716682434082</v>
      </c>
      <c r="AJ5" s="62" t="e">
        <f ca="1">DD_Table[[#This Row],[TDM_Ext_Reg]]</f>
        <v>#N/A</v>
      </c>
      <c r="AK5" s="62">
        <f ca="1">DD_Table[[#This Row],[Coles_Ext_Reg]]</f>
        <v>0</v>
      </c>
      <c r="AL5" s="62">
        <f ca="1">DD_Table[[#This Row],[WOW_Ext_Reg]]</f>
        <v>5.8589873313903809</v>
      </c>
      <c r="AM5" s="62">
        <f ca="1">DD_Table[[#This Row],[SSL_Ext_Reg]]</f>
        <v>32.183910369873047</v>
      </c>
      <c r="AN5" s="62">
        <f ca="1">DD_Table[[#This Row],[WFM_Ext_Reg]]</f>
        <v>25</v>
      </c>
      <c r="AO5" s="62">
        <f t="array" aca="1" ref="AO5" ca="1">IFERROR(AVERAGE(IF(ISNUMBER(DD_Table[[#This Row],[TDM_Avg]:[WFM_Avg]]),DD_Table[[#This Row],[TDM_Avg]:[WFM_Avg]]))/100,NA())</f>
        <v>0.15760724425315856</v>
      </c>
      <c r="AP5" s="62">
        <f t="array" aca="1" ref="AP5" ca="1">MAX(IF(ISERROR(DD_Table[[TDM_Avg]:[WFM_Avg]]),0,DD_Table[[TDM_Avg]:[WFM_Avg]]))*1.1</f>
        <v>48.107883834838873</v>
      </c>
      <c r="AQ5" s="62">
        <f t="array" aca="1" ref="AQ5" ca="1">MAX(IF(ISERROR(DD_Table[[TDM_Ext_Reg]:[WFM_Core_Reg]]),0,DD_Table[[TDM_Ext_Reg]:[WFM_Core_Reg]]))</f>
        <v>61.538463592529297</v>
      </c>
      <c r="AR5" s="65" t="e">
        <f ca="1">IFERROR(VLOOKUP(C5,TDM_DD[[Week-Year]:[DDP]],6,FALSE),IF(ISNUMBER(OFFSET(AR5,-1,0)),OFFSET(AR5,-1,0),NA()))</f>
        <v>#N/A</v>
      </c>
      <c r="AS5" s="65">
        <f ca="1">IFERROR(VLOOKUP(C5,Coles_DD[[Week-Year]:[DDP]],6,FALSE),IF(ISNUMBER(OFFSET(AS5,-1,0)),OFFSET(AS5,-1,0),NA()))</f>
        <v>0.18123275068997241</v>
      </c>
      <c r="AT5" s="65">
        <f ca="1">IFERROR(VLOOKUP(C5,WOW_DD[[Week-Year]:[DDP]],6,FALSE),IF(ISNUMBER(OFFSET(AT5,-1,0)),OFFSET(AT5,-1,0),NA()))</f>
        <v>0.3833104080696928</v>
      </c>
      <c r="AU5" s="65">
        <f ca="1">IFERROR(VLOOKUP(C5,SSL_DD[[Week-Year]:[DDP]],6,FALSE),IF(ISNUMBER(OFFSET(AU5,-1,0)),OFFSET(AU5,-1,0),NA()))</f>
        <v>0.31879699248120302</v>
      </c>
      <c r="AV5" s="65">
        <f ca="1">IFERROR(VLOOKUP(C5,WFM_DD[[Week-Year]:[DDP]],6,FALSE),IF(ISNUMBER(OFFSET(AV5,-1,0)),OFFSET(AV5,-1,0),NA()))</f>
        <v>0.68</v>
      </c>
      <c r="AW5" s="65">
        <f t="array" aca="1" ref="AW5" ca="1">IFERROR(AVERAGE(IF(ISNUMBER(DD_Table[[#This Row],[TDM_DDP]:[WFM_DDP]]),DD_Table[[#This Row],[TDM_DDP]:[WFM_DDP]])),NA())</f>
        <v>0.39083503781021711</v>
      </c>
      <c r="AX5" s="65">
        <f t="array" aca="1" ref="AX5" ca="1">IFERROR(MAX(IF(ISNUMBER(DD_Table[[TDM_DDP]:[WFM_DDP]]),DD_Table[[TDM_DDP]:[WFM_DDP]])),NA())</f>
        <v>0.68</v>
      </c>
      <c r="AY5" s="88">
        <f ca="1">IFERROR(VLOOKUP(C5,RTen_DD[[Week-Year]:[Core DDP]],6,FALSE),IF(ISNUMBER(VLOOKUP(C5,RTen_DD[[Week-Year]:[Core DDP]],6,FALSE)),OFFSET(AY5,-1,0),OFFSET(AY5,-1,0)))</f>
        <v>0.16010074615478515</v>
      </c>
      <c r="AZ5" s="65"/>
      <c r="BA5" s="65"/>
      <c r="BC5">
        <v>3</v>
      </c>
      <c r="BD5">
        <v>5</v>
      </c>
      <c r="BE5">
        <v>3</v>
      </c>
      <c r="BF5">
        <v>0</v>
      </c>
      <c r="BG5">
        <v>3</v>
      </c>
      <c r="BH5">
        <v>0</v>
      </c>
      <c r="BI5">
        <v>4</v>
      </c>
      <c r="BO5" s="71"/>
      <c r="BP5" s="71">
        <f>MAX(Med_Table[[TDM]:[WFM]])</f>
        <v>29</v>
      </c>
      <c r="DM5" s="47">
        <f t="shared" si="3"/>
        <v>41756</v>
      </c>
      <c r="DN5" s="71" t="e">
        <f>NA()</f>
        <v>#N/A</v>
      </c>
      <c r="DO5" s="71" t="e">
        <f>NA()</f>
        <v>#N/A</v>
      </c>
      <c r="DP5" s="71" t="e">
        <f>NA()</f>
        <v>#N/A</v>
      </c>
      <c r="DQ5" s="71" t="e">
        <f>NA()</f>
        <v>#N/A</v>
      </c>
      <c r="DR5" s="71" t="e">
        <f>NA()</f>
        <v>#N/A</v>
      </c>
      <c r="DS5" s="71" t="e">
        <f>NA()</f>
        <v>#N/A</v>
      </c>
      <c r="DT5" s="71" t="e">
        <f>NA()</f>
        <v>#N/A</v>
      </c>
      <c r="DU5" s="71" t="e">
        <f>NA()</f>
        <v>#N/A</v>
      </c>
      <c r="DV5" s="71" t="e">
        <f>NA()</f>
        <v>#N/A</v>
      </c>
      <c r="DW5" s="71" t="e">
        <f>NA()</f>
        <v>#N/A</v>
      </c>
      <c r="DX5" s="71" t="e">
        <f>NA()</f>
        <v>#N/A</v>
      </c>
      <c r="DY5" s="71" t="e">
        <f>NA()</f>
        <v>#N/A</v>
      </c>
    </row>
    <row r="6" spans="1:129">
      <c r="A6" s="69">
        <f t="shared" si="2"/>
        <v>41675</v>
      </c>
      <c r="B6" s="70">
        <f t="shared" si="0"/>
        <v>6</v>
      </c>
      <c r="C6" s="70">
        <f t="shared" si="1"/>
        <v>62014</v>
      </c>
      <c r="D6" s="57" t="e">
        <f ca="1">IFERROR(VLOOKUP(C6,TDM_DD[[Week-Year]:[DD]],2,FALSE),IF(ISNUMBER(OFFSET(D6,-1,0)),OFFSET(D6,-1,0),NA()))</f>
        <v>#N/A</v>
      </c>
      <c r="E6" s="58">
        <f ca="1">IFERROR(VLOOKUP(C6,Coles_DD[[Week-Year]:[DD]],2,FALSE),IF(ISNUMBER(OFFSET(E6,-1,0)),OFFSET(E6,-1,0),NA()))</f>
        <v>1443</v>
      </c>
      <c r="F6" s="58">
        <f ca="1">IFERROR(VLOOKUP(C6,WOW_DD[[Week-Year]:[DD]],2,FALSE),IF(ISNUMBER(OFFSET(F6,-1,0)),OFFSET(F6,-1,0),NA()))</f>
        <v>2443</v>
      </c>
      <c r="G6" s="57">
        <f ca="1">IFERROR(VLOOKUP(C6,SSL_DD[[Week-Year]:[DD]],2,FALSE),IF(ISNUMBER(OFFSET(G6,-1,0)),OFFSET(G6,-1,0),NA()))</f>
        <v>0</v>
      </c>
      <c r="H6" s="58">
        <f ca="1">IFERROR(VLOOKUP(C6,WFM_DD[[Week-Year]:[DD]],2,FALSE),IF(ISNUMBER(OFFSET(H6,-1,0)),OFFSET(H6,-1,0),NA()))</f>
        <v>20</v>
      </c>
      <c r="I6" s="57">
        <f ca="1">IFERROR(VLOOKUP(C6,RTen_DD[[Week-Year]:[DD]],2,FALSE),IF(ISNUMBER(OFFSET(I6,-1,0)),OFFSET(I6,-1,0),NA()))</f>
        <v>5465</v>
      </c>
      <c r="J6" s="57" t="e">
        <f ca="1">IFERROR(VLOOKUP(C6,TDM_DD[[Week-Year]:[DD]],3,FALSE),IF(ISNUMBER(OFFSET(J6,-1,0)),OFFSET(J6,-1,0),NA()))</f>
        <v>#N/A</v>
      </c>
      <c r="K6" s="57">
        <f ca="1">IFERROR(VLOOKUP(C6,Coles_DD[[Week-Year]:[DD]],3,FALSE),IF(ISNUMBER(OFFSET(K6,-1,0)),OFFSET(K6,-1,0),NA()))</f>
        <v>0.44144144654273987</v>
      </c>
      <c r="L6" s="57">
        <f ca="1">IFERROR(VLOOKUP(C6,WOW_DD[[Week-Year]:[DD]],3,FALSE),IF(ISNUMBER(OFFSET(L6,-1,0)),OFFSET(L6,-1,0),NA()))</f>
        <v>0.42447811365127563</v>
      </c>
      <c r="M6" s="57">
        <f ca="1">IFERROR(VLOOKUP(C6,SSL_DD[[Week-Year]:[DD]],3,FALSE),IF(ISNUMBER(OFFSET(M6,-1,0)),OFFSET(M6,-1,0),NA()))</f>
        <v>0</v>
      </c>
      <c r="N6" s="57">
        <f ca="1">IFERROR(VLOOKUP(C6,WFM_DD[[Week-Year]:[DD]],3,FALSE),IF(ISNUMBER(OFFSET(N6,-1,0)),OFFSET(N6,-1,0),NA()))</f>
        <v>0.34999999403953552</v>
      </c>
      <c r="O6" s="57">
        <f ca="1">IFERROR(VLOOKUP(C6,RTen_DD[[Week-Year]:[DD]],3,FALSE),IF(ISNUMBER(OFFSET(O6,-1,0)),OFFSET(O6,-1,0),NA()))</f>
        <v>1.0431839227676392</v>
      </c>
      <c r="P6" s="57">
        <f t="array" aca="1" ref="P6" ca="1">AVERAGE(IF(ISNUMBER(DD_Table[[#This Row],[TDM_DD]:[WFM_DD]]),DD_Table[[#This Row],[TDM_DD]:[WFM_DD]]))</f>
        <v>0.30397988855838776</v>
      </c>
      <c r="Q6" s="57">
        <f t="array" aca="1" ref="Q6" ca="1">MAX(IF(ISERROR(DD_Table[[TDM_DD]:[WFM_DD]]),0,DD_Table[[TDM_DD]:[WFM_DD]]))*0.8</f>
        <v>12.322580718994141</v>
      </c>
      <c r="R6" s="57">
        <v>0.5</v>
      </c>
      <c r="S6" s="57">
        <v>0.5</v>
      </c>
      <c r="T6" s="57">
        <v>0.5</v>
      </c>
      <c r="U6" s="57">
        <v>0.5</v>
      </c>
      <c r="V6" s="57">
        <v>0.5</v>
      </c>
      <c r="W6" s="57">
        <v>0.5</v>
      </c>
      <c r="X6" s="59" t="e">
        <f ca="1">IFERROR(VLOOKUP(C6,TDM_DD[[Week-Year]:[Core Reg]],4,FALSE),IF(ISNUMBER(OFFSET(X6,-1,0)),OFFSET(X6,-1,0),NA()))</f>
        <v>#N/A</v>
      </c>
      <c r="Y6" s="59" t="e">
        <f ca="1">IFERROR(VLOOKUP(C6,TDM_DD[[Week-Year]:[Core Reg]],5,FALSE),IF(ISNUMBER(OFFSET(Y6,-1,0)),OFFSET(Y6,-1,0),NA()))</f>
        <v>#N/A</v>
      </c>
      <c r="Z6" s="59">
        <f ca="1">IFERROR(VLOOKUP(C6,Coles_DD[[Week-Year]:[Core Reg]],4,FALSE),IF(ISNUMBER(OFFSET(Z6,-1,0)),OFFSET(Z6,-1,0),NA()))</f>
        <v>0</v>
      </c>
      <c r="AA6" s="59">
        <f ca="1">IFERROR(VLOOKUP(C6,Coles_DD[[Week-Year]:[Core Reg]],5,FALSE),IF(ISNUMBER(OFFSET(AA6,-1,0)),OFFSET(AA6,-1,0),NA()))</f>
        <v>0</v>
      </c>
      <c r="AB6" s="59">
        <f ca="1">IFERROR(VLOOKUP(C6,WOW_DD[[Week-Year]:[Core Reg]],4,FALSE),IF(ISNUMBER(OFFSET(AB6,-1,0)),OFFSET(AB6,-1,0),NA()))</f>
        <v>6.3645133972167969</v>
      </c>
      <c r="AC6" s="59">
        <f ca="1">IFERROR(VLOOKUP(C6,WOW_DD[[Week-Year]:[Core Reg]],5,FALSE),IF(ISNUMBER(OFFSET(AC6,-1,0)),OFFSET(AC6,-1,0),NA()))</f>
        <v>10.911808967590332</v>
      </c>
      <c r="AD6" s="59">
        <f ca="1">IFERROR(VLOOKUP(C6,SSL_DD[[Week-Year]:[Core Reg]],4,FALSE),IF(ISNUMBER(OFFSET(AD6,-1,0)),OFFSET(AD6,-1,0),NA()))</f>
        <v>33.598728179931641</v>
      </c>
      <c r="AE6" s="59">
        <f ca="1">IFERROR(VLOOKUP(C6,SSL_DD[[Week-Year]:[Core Reg]],5,FALSE),IF(ISNUMBER(OFFSET(AE6,-1,0)),OFFSET(AE6,-1,0),NA()))</f>
        <v>48.520709991455078</v>
      </c>
      <c r="AF6" s="59">
        <f ca="1">IFERROR(VLOOKUP(C6,WFM_DD[[Week-Year]:[Core Reg]],4,FALSE),IF(ISNUMBER(OFFSET(AF6,-1,0)),OFFSET(AF6,-1,0),NA()))</f>
        <v>14.285715103149414</v>
      </c>
      <c r="AG6" s="59">
        <f ca="1">IFERROR(VLOOKUP(C6,WFM_DD[[Week-Year]:[Core Reg]],5,FALSE),IF(ISNUMBER(OFFSET(AG6,-1,0)),OFFSET(AG6,-1,0),NA()))</f>
        <v>47.058822631835937</v>
      </c>
      <c r="AH6" s="62">
        <f ca="1">IFERROR(VLOOKUP(C6,RTen_DD[[Week-Year]:[Core Reg]],4,FALSE),IF(ISNUMBER(OFFSET(AH6,-1,0)),OFFSET(AH6,-1,0),NA()))</f>
        <v>0</v>
      </c>
      <c r="AI6" s="62">
        <f ca="1">IFERROR(VLOOKUP(C6,RTen_DD[[Week-Year]:[Core Reg]],5,FALSE)/100,IF(ISNUMBER(OFFSET(AI6,-1,0)),OFFSET(AI6,-1,0),NA()))</f>
        <v>0.41869846343994138</v>
      </c>
      <c r="AJ6" s="62" t="e">
        <f ca="1">DD_Table[[#This Row],[TDM_Ext_Reg]]</f>
        <v>#N/A</v>
      </c>
      <c r="AK6" s="62">
        <f ca="1">DD_Table[[#This Row],[Coles_Ext_Reg]]</f>
        <v>0</v>
      </c>
      <c r="AL6" s="62">
        <f ca="1">DD_Table[[#This Row],[WOW_Ext_Reg]]</f>
        <v>6.3645133972167969</v>
      </c>
      <c r="AM6" s="62">
        <f ca="1">DD_Table[[#This Row],[SSL_Ext_Reg]]</f>
        <v>33.598728179931641</v>
      </c>
      <c r="AN6" s="62">
        <f ca="1">DD_Table[[#This Row],[WFM_Ext_Reg]]</f>
        <v>14.285715103149414</v>
      </c>
      <c r="AO6" s="62">
        <f t="array" aca="1" ref="AO6" ca="1">IFERROR(AVERAGE(IF(ISNUMBER(DD_Table[[#This Row],[TDM_Avg]:[WFM_Avg]]),DD_Table[[#This Row],[TDM_Avg]:[WFM_Avg]]))/100,NA())</f>
        <v>0.13562239170074464</v>
      </c>
      <c r="AP6" s="62">
        <f t="array" aca="1" ref="AP6" ca="1">MAX(IF(ISERROR(DD_Table[[TDM_Avg]:[WFM_Avg]]),0,DD_Table[[TDM_Avg]:[WFM_Avg]]))*1.1</f>
        <v>48.107883834838873</v>
      </c>
      <c r="AQ6" s="62">
        <f t="array" aca="1" ref="AQ6" ca="1">MAX(IF(ISERROR(DD_Table[[TDM_Ext_Reg]:[WFM_Core_Reg]]),0,DD_Table[[TDM_Ext_Reg]:[WFM_Core_Reg]]))</f>
        <v>61.538463592529297</v>
      </c>
      <c r="AR6" s="65" t="e">
        <f ca="1">IFERROR(VLOOKUP(C6,TDM_DD[[Week-Year]:[DDP]],6,FALSE),IF(ISNUMBER(OFFSET(AR6,-1,0)),OFFSET(AR6,-1,0),NA()))</f>
        <v>#N/A</v>
      </c>
      <c r="AS6" s="65">
        <f ca="1">IFERROR(VLOOKUP(C6,Coles_DD[[Week-Year]:[DDP]],6,FALSE),IF(ISNUMBER(OFFSET(AS6,-1,0)),OFFSET(AS6,-1,0),NA()))</f>
        <v>0.18877551020408162</v>
      </c>
      <c r="AT6" s="65">
        <f ca="1">IFERROR(VLOOKUP(C6,WOW_DD[[Week-Year]:[DDP]],6,FALSE),IF(ISNUMBER(OFFSET(AT6,-1,0)),OFFSET(AT6,-1,0),NA()))</f>
        <v>0.37943421643466546</v>
      </c>
      <c r="AU6" s="65">
        <f ca="1">IFERROR(VLOOKUP(C6,SSL_DD[[Week-Year]:[DDP]],6,FALSE),IF(ISNUMBER(OFFSET(AU6,-1,0)),OFFSET(AU6,-1,0),NA()))</f>
        <v>0.32142857142857145</v>
      </c>
      <c r="AV6" s="65">
        <f ca="1">IFERROR(VLOOKUP(C6,WFM_DD[[Week-Year]:[DDP]],6,FALSE),IF(ISNUMBER(OFFSET(AV6,-1,0)),OFFSET(AV6,-1,0),NA()))</f>
        <v>0.66666666666666663</v>
      </c>
      <c r="AW6" s="65">
        <f t="array" aca="1" ref="AW6" ca="1">IFERROR(AVERAGE(IF(ISNUMBER(DD_Table[[#This Row],[TDM_DDP]:[WFM_DDP]]),DD_Table[[#This Row],[TDM_DDP]:[WFM_DDP]])),NA())</f>
        <v>0.38907624118349626</v>
      </c>
      <c r="AX6" s="65">
        <f t="array" aca="1" ref="AX6" ca="1">IFERROR(MAX(IF(ISNUMBER(DD_Table[[TDM_DDP]:[WFM_DDP]]),DD_Table[[TDM_DDP]:[WFM_DDP]])),NA())</f>
        <v>0.68</v>
      </c>
      <c r="AY6" s="88">
        <f ca="1">IFERROR(VLOOKUP(C6,RTen_DD[[Week-Year]:[Core DDP]],6,FALSE),IF(ISNUMBER(VLOOKUP(C6,RTen_DD[[Week-Year]:[Core DDP]],6,FALSE)),OFFSET(AY6,-1,0),OFFSET(AY6,-1,0)))</f>
        <v>0.16260305404663086</v>
      </c>
      <c r="AZ6" s="65"/>
      <c r="BA6" s="65"/>
      <c r="BC6">
        <v>4</v>
      </c>
      <c r="BD6">
        <v>7</v>
      </c>
      <c r="BE6">
        <v>3</v>
      </c>
      <c r="BF6">
        <v>2</v>
      </c>
      <c r="BG6">
        <v>2</v>
      </c>
      <c r="BH6">
        <v>0</v>
      </c>
      <c r="BI6">
        <v>2</v>
      </c>
      <c r="BO6" s="71"/>
      <c r="BP6" s="71">
        <f>MAX(Med_Table[[TDM]:[WFM]])</f>
        <v>29</v>
      </c>
      <c r="DM6" s="47">
        <f t="shared" si="3"/>
        <v>41763</v>
      </c>
      <c r="DN6" s="71" t="e">
        <f>NA()</f>
        <v>#N/A</v>
      </c>
      <c r="DO6" s="71" t="e">
        <f>NA()</f>
        <v>#N/A</v>
      </c>
      <c r="DP6" s="71" t="e">
        <f>NA()</f>
        <v>#N/A</v>
      </c>
      <c r="DQ6" s="71" t="e">
        <f>NA()</f>
        <v>#N/A</v>
      </c>
      <c r="DR6" s="71" t="e">
        <f>NA()</f>
        <v>#N/A</v>
      </c>
      <c r="DS6" s="71" t="e">
        <f>NA()</f>
        <v>#N/A</v>
      </c>
      <c r="DT6" s="71" t="e">
        <f>NA()</f>
        <v>#N/A</v>
      </c>
      <c r="DU6" s="71" t="e">
        <f>NA()</f>
        <v>#N/A</v>
      </c>
      <c r="DV6" s="71" t="e">
        <f>NA()</f>
        <v>#N/A</v>
      </c>
      <c r="DW6" s="71" t="e">
        <f>NA()</f>
        <v>#N/A</v>
      </c>
      <c r="DX6" s="71" t="e">
        <f>NA()</f>
        <v>#N/A</v>
      </c>
      <c r="DY6" s="71" t="e">
        <f>NA()</f>
        <v>#N/A</v>
      </c>
    </row>
    <row r="7" spans="1:129">
      <c r="A7" s="69">
        <f t="shared" si="2"/>
        <v>41682</v>
      </c>
      <c r="B7" s="70">
        <f t="shared" si="0"/>
        <v>7</v>
      </c>
      <c r="C7" s="70">
        <f t="shared" si="1"/>
        <v>72014</v>
      </c>
      <c r="D7" s="57" t="e">
        <f ca="1">IFERROR(VLOOKUP(C7,TDM_DD[[Week-Year]:[DD]],2,FALSE),IF(ISNUMBER(OFFSET(D7,-1,0)),OFFSET(D7,-1,0),NA()))</f>
        <v>#N/A</v>
      </c>
      <c r="E7" s="58">
        <f ca="1">IFERROR(VLOOKUP(C7,Coles_DD[[Week-Year]:[DD]],2,FALSE),IF(ISNUMBER(OFFSET(E7,-1,0)),OFFSET(E7,-1,0),NA()))</f>
        <v>1451</v>
      </c>
      <c r="F7" s="58">
        <f ca="1">IFERROR(VLOOKUP(C7,WOW_DD[[Week-Year]:[DD]],2,FALSE),IF(ISNUMBER(OFFSET(F7,-1,0)),OFFSET(F7,-1,0),NA()))</f>
        <v>2482</v>
      </c>
      <c r="G7" s="57">
        <f ca="1">IFERROR(VLOOKUP(C7,SSL_DD[[Week-Year]:[DD]],2,FALSE),IF(ISNUMBER(OFFSET(G7,-1,0)),OFFSET(G7,-1,0),NA()))</f>
        <v>0</v>
      </c>
      <c r="H7" s="58">
        <f ca="1">IFERROR(VLOOKUP(C7,WFM_DD[[Week-Year]:[DD]],2,FALSE),IF(ISNUMBER(OFFSET(H7,-1,0)),OFFSET(H7,-1,0),NA()))</f>
        <v>30</v>
      </c>
      <c r="I7" s="57">
        <f ca="1">IFERROR(VLOOKUP(C7,RTen_DD[[Week-Year]:[DD]],2,FALSE),IF(ISNUMBER(OFFSET(I7,-1,0)),OFFSET(I7,-1,0),NA()))</f>
        <v>5520</v>
      </c>
      <c r="J7" s="57" t="e">
        <f ca="1">IFERROR(VLOOKUP(C7,TDM_DD[[Week-Year]:[DD]],3,FALSE),IF(ISNUMBER(OFFSET(J7,-1,0)),OFFSET(J7,-1,0),NA()))</f>
        <v>#N/A</v>
      </c>
      <c r="K7" s="57">
        <f ca="1">IFERROR(VLOOKUP(C7,Coles_DD[[Week-Year]:[DD]],3,FALSE),IF(ISNUMBER(OFFSET(K7,-1,0)),OFFSET(K7,-1,0),NA()))</f>
        <v>0.46588560938835144</v>
      </c>
      <c r="L7" s="57">
        <f ca="1">IFERROR(VLOOKUP(C7,WOW_DD[[Week-Year]:[DD]],3,FALSE),IF(ISNUMBER(OFFSET(L7,-1,0)),OFFSET(L7,-1,0),NA()))</f>
        <v>0.43553584814071655</v>
      </c>
      <c r="M7" s="57">
        <f ca="1">IFERROR(VLOOKUP(C7,SSL_DD[[Week-Year]:[DD]],3,FALSE),IF(ISNUMBER(OFFSET(M7,-1,0)),OFFSET(M7,-1,0),NA()))</f>
        <v>0</v>
      </c>
      <c r="N7" s="57">
        <f ca="1">IFERROR(VLOOKUP(C7,WFM_DD[[Week-Year]:[DD]],3,FALSE),IF(ISNUMBER(OFFSET(N7,-1,0)),OFFSET(N7,-1,0),NA()))</f>
        <v>0.46666666865348816</v>
      </c>
      <c r="O7" s="57">
        <f ca="1">IFERROR(VLOOKUP(C7,RTen_DD[[Week-Year]:[DD]],3,FALSE),IF(ISNUMBER(OFFSET(O7,-1,0)),OFFSET(O7,-1,0),NA()))</f>
        <v>1.064130425453186</v>
      </c>
      <c r="P7" s="57">
        <f t="array" aca="1" ref="P7" ca="1">AVERAGE(IF(ISNUMBER(DD_Table[[#This Row],[TDM_DD]:[WFM_DD]]),DD_Table[[#This Row],[TDM_DD]:[WFM_DD]]))</f>
        <v>0.34202203154563904</v>
      </c>
      <c r="Q7" s="57">
        <f t="array" aca="1" ref="Q7" ca="1">MAX(IF(ISERROR(DD_Table[[TDM_DD]:[WFM_DD]]),0,DD_Table[[TDM_DD]:[WFM_DD]]))*0.8</f>
        <v>12.322580718994141</v>
      </c>
      <c r="R7" s="57">
        <v>0.5</v>
      </c>
      <c r="S7" s="57">
        <v>0.5</v>
      </c>
      <c r="T7" s="57">
        <v>0.5</v>
      </c>
      <c r="U7" s="57">
        <v>0.5</v>
      </c>
      <c r="V7" s="57">
        <v>0.5</v>
      </c>
      <c r="W7" s="57">
        <v>0.5</v>
      </c>
      <c r="X7" s="59" t="e">
        <f ca="1">IFERROR(VLOOKUP(C7,TDM_DD[[Week-Year]:[Core Reg]],4,FALSE),IF(ISNUMBER(OFFSET(X7,-1,0)),OFFSET(X7,-1,0),NA()))</f>
        <v>#N/A</v>
      </c>
      <c r="Y7" s="59" t="e">
        <f ca="1">IFERROR(VLOOKUP(C7,TDM_DD[[Week-Year]:[Core Reg]],5,FALSE),IF(ISNUMBER(OFFSET(Y7,-1,0)),OFFSET(Y7,-1,0),NA()))</f>
        <v>#N/A</v>
      </c>
      <c r="Z7" s="59">
        <f ca="1">IFERROR(VLOOKUP(C7,Coles_DD[[Week-Year]:[Core Reg]],4,FALSE),IF(ISNUMBER(OFFSET(Z7,-1,0)),OFFSET(Z7,-1,0),NA()))</f>
        <v>0</v>
      </c>
      <c r="AA7" s="59">
        <f ca="1">IFERROR(VLOOKUP(C7,Coles_DD[[Week-Year]:[Core Reg]],5,FALSE),IF(ISNUMBER(OFFSET(AA7,-1,0)),OFFSET(AA7,-1,0),NA()))</f>
        <v>0</v>
      </c>
      <c r="AB7" s="59">
        <f ca="1">IFERROR(VLOOKUP(C7,WOW_DD[[Week-Year]:[Core Reg]],4,FALSE),IF(ISNUMBER(OFFSET(AB7,-1,0)),OFFSET(AB7,-1,0),NA()))</f>
        <v>6.3829789161682129</v>
      </c>
      <c r="AC7" s="59">
        <f ca="1">IFERROR(VLOOKUP(C7,WOW_DD[[Week-Year]:[Core Reg]],5,FALSE),IF(ISNUMBER(OFFSET(AC7,-1,0)),OFFSET(AC7,-1,0),NA()))</f>
        <v>10.740203857421875</v>
      </c>
      <c r="AD7" s="59">
        <f ca="1">IFERROR(VLOOKUP(C7,SSL_DD[[Week-Year]:[Core Reg]],4,FALSE),IF(ISNUMBER(OFFSET(AD7,-1,0)),OFFSET(AD7,-1,0),NA()))</f>
        <v>32.882884979248047</v>
      </c>
      <c r="AE7" s="59">
        <f ca="1">IFERROR(VLOOKUP(C7,SSL_DD[[Week-Year]:[Core Reg]],5,FALSE),IF(ISNUMBER(OFFSET(AE7,-1,0)),OFFSET(AE7,-1,0),NA()))</f>
        <v>48.459384918212891</v>
      </c>
      <c r="AF7" s="59">
        <f ca="1">IFERROR(VLOOKUP(C7,WFM_DD[[Week-Year]:[Core Reg]],4,FALSE),IF(ISNUMBER(OFFSET(AF7,-1,0)),OFFSET(AF7,-1,0),NA()))</f>
        <v>7.142857551574707</v>
      </c>
      <c r="AG7" s="59">
        <f ca="1">IFERROR(VLOOKUP(C7,WFM_DD[[Week-Year]:[Core Reg]],5,FALSE),IF(ISNUMBER(OFFSET(AG7,-1,0)),OFFSET(AG7,-1,0),NA()))</f>
        <v>52.380954742431641</v>
      </c>
      <c r="AH7" s="62">
        <f ca="1">IFERROR(VLOOKUP(C7,RTen_DD[[Week-Year]:[Core Reg]],4,FALSE),IF(ISNUMBER(OFFSET(AH7,-1,0)),OFFSET(AH7,-1,0),NA()))</f>
        <v>0</v>
      </c>
      <c r="AI7" s="62">
        <f ca="1">IFERROR(VLOOKUP(C7,RTen_DD[[Week-Year]:[Core Reg]],5,FALSE)/100,IF(ISNUMBER(OFFSET(AI7,-1,0)),OFFSET(AI7,-1,0),NA()))</f>
        <v>0.41215526580810546</v>
      </c>
      <c r="AJ7" s="62" t="e">
        <f ca="1">DD_Table[[#This Row],[TDM_Ext_Reg]]</f>
        <v>#N/A</v>
      </c>
      <c r="AK7" s="62">
        <f ca="1">DD_Table[[#This Row],[Coles_Ext_Reg]]</f>
        <v>0</v>
      </c>
      <c r="AL7" s="62">
        <f ca="1">DD_Table[[#This Row],[WOW_Ext_Reg]]</f>
        <v>6.3829789161682129</v>
      </c>
      <c r="AM7" s="62">
        <f ca="1">DD_Table[[#This Row],[SSL_Ext_Reg]]</f>
        <v>32.882884979248047</v>
      </c>
      <c r="AN7" s="62">
        <f ca="1">DD_Table[[#This Row],[WFM_Ext_Reg]]</f>
        <v>7.142857551574707</v>
      </c>
      <c r="AO7" s="62">
        <f t="array" aca="1" ref="AO7" ca="1">IFERROR(AVERAGE(IF(ISNUMBER(DD_Table[[#This Row],[TDM_Avg]:[WFM_Avg]]),DD_Table[[#This Row],[TDM_Avg]:[WFM_Avg]]))/100,NA())</f>
        <v>0.11602180361747742</v>
      </c>
      <c r="AP7" s="62">
        <f t="array" aca="1" ref="AP7" ca="1">MAX(IF(ISERROR(DD_Table[[TDM_Avg]:[WFM_Avg]]),0,DD_Table[[TDM_Avg]:[WFM_Avg]]))*1.1</f>
        <v>48.107883834838873</v>
      </c>
      <c r="AQ7" s="62">
        <f t="array" aca="1" ref="AQ7" ca="1">MAX(IF(ISERROR(DD_Table[[TDM_Ext_Reg]:[WFM_Core_Reg]]),0,DD_Table[[TDM_Ext_Reg]:[WFM_Core_Reg]]))</f>
        <v>61.538463592529297</v>
      </c>
      <c r="AR7" s="65" t="e">
        <f ca="1">IFERROR(VLOOKUP(C7,TDM_DD[[Week-Year]:[DDP]],6,FALSE),IF(ISNUMBER(OFFSET(AR7,-1,0)),OFFSET(AR7,-1,0),NA()))</f>
        <v>#N/A</v>
      </c>
      <c r="AS7" s="65">
        <f ca="1">IFERROR(VLOOKUP(C7,Coles_DD[[Week-Year]:[DDP]],6,FALSE),IF(ISNUMBER(OFFSET(AS7,-1,0)),OFFSET(AS7,-1,0),NA()))</f>
        <v>0.19298245614035087</v>
      </c>
      <c r="AT7" s="65">
        <f ca="1">IFERROR(VLOOKUP(C7,WOW_DD[[Week-Year]:[DDP]],6,FALSE),IF(ISNUMBER(OFFSET(AT7,-1,0)),OFFSET(AT7,-1,0),NA()))</f>
        <v>0.37656722870730652</v>
      </c>
      <c r="AU7" s="65">
        <f ca="1">IFERROR(VLOOKUP(C7,SSL_DD[[Week-Year]:[DDP]],6,FALSE),IF(ISNUMBER(OFFSET(AU7,-1,0)),OFFSET(AU7,-1,0),NA()))</f>
        <v>0.32071576049552647</v>
      </c>
      <c r="AV7" s="65">
        <f ca="1">IFERROR(VLOOKUP(C7,WFM_DD[[Week-Year]:[DDP]],6,FALSE),IF(ISNUMBER(OFFSET(AV7,-1,0)),OFFSET(AV7,-1,0),NA()))</f>
        <v>0.56000000000000005</v>
      </c>
      <c r="AW7" s="65">
        <f t="array" aca="1" ref="AW7" ca="1">IFERROR(AVERAGE(IF(ISNUMBER(DD_Table[[#This Row],[TDM_DDP]:[WFM_DDP]]),DD_Table[[#This Row],[TDM_DDP]:[WFM_DDP]])),NA())</f>
        <v>0.36256636133579595</v>
      </c>
      <c r="AX7" s="65">
        <f t="array" aca="1" ref="AX7" ca="1">IFERROR(MAX(IF(ISNUMBER(DD_Table[[TDM_DDP]:[WFM_DDP]]),DD_Table[[TDM_DDP]:[WFM_DDP]])),NA())</f>
        <v>0.68</v>
      </c>
      <c r="AY7" s="88">
        <f ca="1">IFERROR(VLOOKUP(C7,RTen_DD[[Week-Year]:[Core DDP]],6,FALSE),IF(ISNUMBER(VLOOKUP(C7,RTen_DD[[Week-Year]:[Core DDP]],6,FALSE)),OFFSET(AY7,-1,0),OFFSET(AY7,-1,0)))</f>
        <v>0.16666667938232421</v>
      </c>
      <c r="AZ7" s="65"/>
      <c r="BA7" s="65"/>
      <c r="BC7">
        <v>5</v>
      </c>
      <c r="BD7">
        <v>0</v>
      </c>
      <c r="BE7">
        <v>2</v>
      </c>
      <c r="BF7">
        <v>5</v>
      </c>
      <c r="BG7">
        <v>0</v>
      </c>
      <c r="BH7">
        <v>0</v>
      </c>
      <c r="BI7">
        <v>5</v>
      </c>
      <c r="BO7" s="71"/>
      <c r="BP7" s="71">
        <f>MAX(Med_Table[[TDM]:[WFM]])</f>
        <v>29</v>
      </c>
      <c r="DN7" s="71"/>
      <c r="DO7" s="71"/>
      <c r="DV7" s="30"/>
      <c r="DW7" s="30"/>
    </row>
    <row r="8" spans="1:129">
      <c r="A8" s="69">
        <f t="shared" si="2"/>
        <v>41689</v>
      </c>
      <c r="B8" s="70">
        <f t="shared" si="0"/>
        <v>8</v>
      </c>
      <c r="C8" s="70">
        <f t="shared" si="1"/>
        <v>82014</v>
      </c>
      <c r="D8" s="57" t="e">
        <f ca="1">IFERROR(VLOOKUP(C8,TDM_DD[[Week-Year]:[DD]],2,FALSE),IF(ISNUMBER(OFFSET(D8,-1,0)),OFFSET(D8,-1,0),NA()))</f>
        <v>#N/A</v>
      </c>
      <c r="E8" s="58">
        <f ca="1">IFERROR(VLOOKUP(C8,Coles_DD[[Week-Year]:[DD]],2,FALSE),IF(ISNUMBER(OFFSET(E8,-1,0)),OFFSET(E8,-1,0),NA()))</f>
        <v>1509</v>
      </c>
      <c r="F8" s="58">
        <f ca="1">IFERROR(VLOOKUP(C8,WOW_DD[[Week-Year]:[DD]],2,FALSE),IF(ISNUMBER(OFFSET(F8,-1,0)),OFFSET(F8,-1,0),NA()))</f>
        <v>2548</v>
      </c>
      <c r="G8" s="57">
        <f ca="1">IFERROR(VLOOKUP(C8,SSL_DD[[Week-Year]:[DD]],2,FALSE),IF(ISNUMBER(OFFSET(G8,-1,0)),OFFSET(G8,-1,0),NA()))</f>
        <v>0</v>
      </c>
      <c r="H8" s="58">
        <f ca="1">IFERROR(VLOOKUP(C8,WFM_DD[[Week-Year]:[DD]],2,FALSE),IF(ISNUMBER(OFFSET(H8,-1,0)),OFFSET(H8,-1,0),NA()))</f>
        <v>50</v>
      </c>
      <c r="I8" s="57">
        <f ca="1">IFERROR(VLOOKUP(C8,RTen_DD[[Week-Year]:[DD]],2,FALSE),IF(ISNUMBER(OFFSET(I8,-1,0)),OFFSET(I8,-1,0),NA()))</f>
        <v>5548</v>
      </c>
      <c r="J8" s="57" t="e">
        <f ca="1">IFERROR(VLOOKUP(C8,TDM_DD[[Week-Year]:[DD]],3,FALSE),IF(ISNUMBER(OFFSET(J8,-1,0)),OFFSET(J8,-1,0),NA()))</f>
        <v>#N/A</v>
      </c>
      <c r="K8" s="57">
        <f ca="1">IFERROR(VLOOKUP(C8,Coles_DD[[Week-Year]:[DD]],3,FALSE),IF(ISNUMBER(OFFSET(K8,-1,0)),OFFSET(K8,-1,0),NA()))</f>
        <v>0.46056991815567017</v>
      </c>
      <c r="L8" s="57">
        <f ca="1">IFERROR(VLOOKUP(C8,WOW_DD[[Week-Year]:[DD]],3,FALSE),IF(ISNUMBER(OFFSET(L8,-1,0)),OFFSET(L8,-1,0),NA()))</f>
        <v>0.43877550959587097</v>
      </c>
      <c r="M8" s="57">
        <f ca="1">IFERROR(VLOOKUP(C8,SSL_DD[[Week-Year]:[DD]],3,FALSE),IF(ISNUMBER(OFFSET(M8,-1,0)),OFFSET(M8,-1,0),NA()))</f>
        <v>0</v>
      </c>
      <c r="N8" s="57">
        <f ca="1">IFERROR(VLOOKUP(C8,WFM_DD[[Week-Year]:[DD]],3,FALSE),IF(ISNUMBER(OFFSET(N8,-1,0)),OFFSET(N8,-1,0),NA()))</f>
        <v>0.41999998688697815</v>
      </c>
      <c r="O8" s="57">
        <f ca="1">IFERROR(VLOOKUP(C8,RTen_DD[[Week-Year]:[DD]],3,FALSE),IF(ISNUMBER(OFFSET(O8,-1,0)),OFFSET(O8,-1,0),NA()))</f>
        <v>1.0874189138412476</v>
      </c>
      <c r="P8" s="57">
        <f t="array" aca="1" ref="P8" ca="1">AVERAGE(IF(ISNUMBER(DD_Table[[#This Row],[TDM_DD]:[WFM_DD]]),DD_Table[[#This Row],[TDM_DD]:[WFM_DD]]))</f>
        <v>0.32983635365962982</v>
      </c>
      <c r="Q8" s="57">
        <f t="array" aca="1" ref="Q8" ca="1">MAX(IF(ISERROR(DD_Table[[TDM_DD]:[WFM_DD]]),0,DD_Table[[TDM_DD]:[WFM_DD]]))*0.8</f>
        <v>12.322580718994141</v>
      </c>
      <c r="R8" s="57">
        <v>0.5</v>
      </c>
      <c r="S8" s="57">
        <v>0.5</v>
      </c>
      <c r="T8" s="57">
        <v>0.5</v>
      </c>
      <c r="U8" s="57">
        <v>0.5</v>
      </c>
      <c r="V8" s="57">
        <v>0.5</v>
      </c>
      <c r="W8" s="57">
        <v>0.5</v>
      </c>
      <c r="X8" s="59" t="e">
        <f ca="1">IFERROR(VLOOKUP(C8,TDM_DD[[Week-Year]:[Core Reg]],4,FALSE),IF(ISNUMBER(OFFSET(X8,-1,0)),OFFSET(X8,-1,0),NA()))</f>
        <v>#N/A</v>
      </c>
      <c r="Y8" s="59" t="e">
        <f ca="1">IFERROR(VLOOKUP(C8,TDM_DD[[Week-Year]:[Core Reg]],5,FALSE),IF(ISNUMBER(OFFSET(Y8,-1,0)),OFFSET(Y8,-1,0),NA()))</f>
        <v>#N/A</v>
      </c>
      <c r="Z8" s="59">
        <f ca="1">IFERROR(VLOOKUP(C8,Coles_DD[[Week-Year]:[Core Reg]],4,FALSE),IF(ISNUMBER(OFFSET(Z8,-1,0)),OFFSET(Z8,-1,0),NA()))</f>
        <v>0</v>
      </c>
      <c r="AA8" s="59">
        <f ca="1">IFERROR(VLOOKUP(C8,Coles_DD[[Week-Year]:[Core Reg]],5,FALSE),IF(ISNUMBER(OFFSET(AA8,-1,0)),OFFSET(AA8,-1,0),NA()))</f>
        <v>0</v>
      </c>
      <c r="AB8" s="59">
        <f ca="1">IFERROR(VLOOKUP(C8,WOW_DD[[Week-Year]:[Core Reg]],4,FALSE),IF(ISNUMBER(OFFSET(AB8,-1,0)),OFFSET(AB8,-1,0),NA()))</f>
        <v>6.618962287902832</v>
      </c>
      <c r="AC8" s="59">
        <f ca="1">IFERROR(VLOOKUP(C8,WOW_DD[[Week-Year]:[Core Reg]],5,FALSE),IF(ISNUMBER(OFFSET(AC8,-1,0)),OFFSET(AC8,-1,0),NA()))</f>
        <v>11.379800796508789</v>
      </c>
      <c r="AD8" s="59">
        <f ca="1">IFERROR(VLOOKUP(C8,SSL_DD[[Week-Year]:[Core Reg]],4,FALSE),IF(ISNUMBER(OFFSET(AD8,-1,0)),OFFSET(AD8,-1,0),NA()))</f>
        <v>33.236995697021484</v>
      </c>
      <c r="AE8" s="59">
        <f ca="1">IFERROR(VLOOKUP(C8,SSL_DD[[Week-Year]:[Core Reg]],5,FALSE),IF(ISNUMBER(OFFSET(AE8,-1,0)),OFFSET(AE8,-1,0),NA()))</f>
        <v>48.767124176025391</v>
      </c>
      <c r="AF8" s="59">
        <f ca="1">IFERROR(VLOOKUP(C8,WFM_DD[[Week-Year]:[Core Reg]],4,FALSE),IF(ISNUMBER(OFFSET(AF8,-1,0)),OFFSET(AF8,-1,0),NA()))</f>
        <v>9.5238094329833984</v>
      </c>
      <c r="AG8" s="59">
        <f ca="1">IFERROR(VLOOKUP(C8,WFM_DD[[Week-Year]:[Core Reg]],5,FALSE),IF(ISNUMBER(OFFSET(AG8,-1,0)),OFFSET(AG8,-1,0),NA()))</f>
        <v>46.153846740722656</v>
      </c>
      <c r="AH8" s="62">
        <f ca="1">IFERROR(VLOOKUP(C8,RTen_DD[[Week-Year]:[Core Reg]],4,FALSE),IF(ISNUMBER(OFFSET(AH8,-1,0)),OFFSET(AH8,-1,0),NA()))</f>
        <v>0</v>
      </c>
      <c r="AI8" s="62">
        <f ca="1">IFERROR(VLOOKUP(C8,RTen_DD[[Week-Year]:[Core Reg]],5,FALSE)/100,IF(ISNUMBER(OFFSET(AI8,-1,0)),OFFSET(AI8,-1,0),NA()))</f>
        <v>0.40593402862548827</v>
      </c>
      <c r="AJ8" s="62" t="e">
        <f ca="1">DD_Table[[#This Row],[TDM_Ext_Reg]]</f>
        <v>#N/A</v>
      </c>
      <c r="AK8" s="62">
        <f ca="1">DD_Table[[#This Row],[Coles_Ext_Reg]]</f>
        <v>0</v>
      </c>
      <c r="AL8" s="62">
        <f ca="1">DD_Table[[#This Row],[WOW_Ext_Reg]]</f>
        <v>6.618962287902832</v>
      </c>
      <c r="AM8" s="62">
        <f ca="1">DD_Table[[#This Row],[SSL_Ext_Reg]]</f>
        <v>33.236995697021484</v>
      </c>
      <c r="AN8" s="62">
        <f ca="1">DD_Table[[#This Row],[WFM_Ext_Reg]]</f>
        <v>9.5238094329833984</v>
      </c>
      <c r="AO8" s="62">
        <f t="array" aca="1" ref="AO8" ca="1">IFERROR(AVERAGE(IF(ISNUMBER(DD_Table[[#This Row],[TDM_Avg]:[WFM_Avg]]),DD_Table[[#This Row],[TDM_Avg]:[WFM_Avg]]))/100,NA())</f>
        <v>0.12344941854476929</v>
      </c>
      <c r="AP8" s="62">
        <f t="array" aca="1" ref="AP8" ca="1">MAX(IF(ISERROR(DD_Table[[TDM_Avg]:[WFM_Avg]]),0,DD_Table[[TDM_Avg]:[WFM_Avg]]))*1.1</f>
        <v>48.107883834838873</v>
      </c>
      <c r="AQ8" s="62">
        <f t="array" aca="1" ref="AQ8" ca="1">MAX(IF(ISERROR(DD_Table[[TDM_Ext_Reg]:[WFM_Core_Reg]]),0,DD_Table[[TDM_Ext_Reg]:[WFM_Core_Reg]]))</f>
        <v>61.538463592529297</v>
      </c>
      <c r="AR8" s="65" t="e">
        <f ca="1">IFERROR(VLOOKUP(C8,TDM_DD[[Week-Year]:[DDP]],6,FALSE),IF(ISNUMBER(OFFSET(AR8,-1,0)),OFFSET(AR8,-1,0),NA()))</f>
        <v>#N/A</v>
      </c>
      <c r="AS8" s="65">
        <f ca="1">IFERROR(VLOOKUP(C8,Coles_DD[[Week-Year]:[DDP]],6,FALSE),IF(ISNUMBER(OFFSET(AS8,-1,0)),OFFSET(AS8,-1,0),NA()))</f>
        <v>0.19284603421461896</v>
      </c>
      <c r="AT8" s="65">
        <f ca="1">IFERROR(VLOOKUP(C8,WOW_DD[[Week-Year]:[DDP]],6,FALSE),IF(ISNUMBER(OFFSET(AT8,-1,0)),OFFSET(AT8,-1,0),NA()))</f>
        <v>0.37373737373737376</v>
      </c>
      <c r="AU8" s="65">
        <f ca="1">IFERROR(VLOOKUP(C8,SSL_DD[[Week-Year]:[DDP]],6,FALSE),IF(ISNUMBER(OFFSET(AU8,-1,0)),OFFSET(AU8,-1,0),NA()))</f>
        <v>0.31557922769640478</v>
      </c>
      <c r="AV8" s="65">
        <f ca="1">IFERROR(VLOOKUP(C8,WFM_DD[[Week-Year]:[DDP]],6,FALSE),IF(ISNUMBER(OFFSET(AV8,-1,0)),OFFSET(AV8,-1,0),NA()))</f>
        <v>0.51351351351351349</v>
      </c>
      <c r="AW8" s="65">
        <f t="array" aca="1" ref="AW8" ca="1">IFERROR(AVERAGE(IF(ISNUMBER(DD_Table[[#This Row],[TDM_DDP]:[WFM_DDP]]),DD_Table[[#This Row],[TDM_DDP]:[WFM_DDP]])),NA())</f>
        <v>0.34891903729047774</v>
      </c>
      <c r="AX8" s="65">
        <f t="array" aca="1" ref="AX8" ca="1">IFERROR(MAX(IF(ISNUMBER(DD_Table[[TDM_DDP]:[WFM_DDP]]),DD_Table[[TDM_DDP]:[WFM_DDP]])),NA())</f>
        <v>0.68</v>
      </c>
      <c r="AY8" s="88">
        <f ca="1">IFERROR(VLOOKUP(C8,RTen_DD[[Week-Year]:[Core DDP]],6,FALSE),IF(ISNUMBER(VLOOKUP(C8,RTen_DD[[Week-Year]:[Core DDP]],6,FALSE)),OFFSET(AY8,-1,0),OFFSET(AY8,-1,0)))</f>
        <v>0.1722194480895996</v>
      </c>
      <c r="AZ8" s="65"/>
      <c r="BA8" s="65"/>
      <c r="BC8">
        <v>6</v>
      </c>
      <c r="BD8">
        <v>6</v>
      </c>
      <c r="BE8">
        <v>2</v>
      </c>
      <c r="BF8">
        <v>2</v>
      </c>
      <c r="BG8">
        <v>2</v>
      </c>
      <c r="BH8">
        <v>0</v>
      </c>
      <c r="BI8">
        <v>1</v>
      </c>
      <c r="BO8" s="71"/>
      <c r="BP8" s="71">
        <f>MAX(Med_Table[[TDM]:[WFM]])</f>
        <v>29</v>
      </c>
      <c r="DN8" s="71"/>
      <c r="DO8" s="71"/>
      <c r="DV8" s="30"/>
      <c r="DW8" s="30"/>
    </row>
    <row r="9" spans="1:129">
      <c r="A9" s="69">
        <f t="shared" si="2"/>
        <v>41696</v>
      </c>
      <c r="B9" s="70">
        <f t="shared" si="0"/>
        <v>9</v>
      </c>
      <c r="C9" s="70">
        <f t="shared" si="1"/>
        <v>92014</v>
      </c>
      <c r="D9" s="57" t="e">
        <f ca="1">IFERROR(VLOOKUP(C9,TDM_DD[[Week-Year]:[DD]],2,FALSE),IF(ISNUMBER(OFFSET(D9,-1,0)),OFFSET(D9,-1,0),NA()))</f>
        <v>#N/A</v>
      </c>
      <c r="E9" s="58">
        <f ca="1">IFERROR(VLOOKUP(C9,Coles_DD[[Week-Year]:[DD]],2,FALSE),IF(ISNUMBER(OFFSET(E9,-1,0)),OFFSET(E9,-1,0),NA()))</f>
        <v>1537</v>
      </c>
      <c r="F9" s="58">
        <f ca="1">IFERROR(VLOOKUP(C9,WOW_DD[[Week-Year]:[DD]],2,FALSE),IF(ISNUMBER(OFFSET(F9,-1,0)),OFFSET(F9,-1,0),NA()))</f>
        <v>2612</v>
      </c>
      <c r="G9" s="57">
        <f ca="1">IFERROR(VLOOKUP(C9,SSL_DD[[Week-Year]:[DD]],2,FALSE),IF(ISNUMBER(OFFSET(G9,-1,0)),OFFSET(G9,-1,0),NA()))</f>
        <v>0</v>
      </c>
      <c r="H9" s="58">
        <f ca="1">IFERROR(VLOOKUP(C9,WFM_DD[[Week-Year]:[DD]],2,FALSE),IF(ISNUMBER(OFFSET(H9,-1,0)),OFFSET(H9,-1,0),NA()))</f>
        <v>50</v>
      </c>
      <c r="I9" s="57">
        <f ca="1">IFERROR(VLOOKUP(C9,RTen_DD[[Week-Year]:[DD]],2,FALSE),IF(ISNUMBER(OFFSET(I9,-1,0)),OFFSET(I9,-1,0),NA()))</f>
        <v>5588</v>
      </c>
      <c r="J9" s="57" t="e">
        <f ca="1">IFERROR(VLOOKUP(C9,TDM_DD[[Week-Year]:[DD]],3,FALSE),IF(ISNUMBER(OFFSET(J9,-1,0)),OFFSET(J9,-1,0),NA()))</f>
        <v>#N/A</v>
      </c>
      <c r="K9" s="57">
        <f ca="1">IFERROR(VLOOKUP(C9,Coles_DD[[Week-Year]:[DD]],3,FALSE),IF(ISNUMBER(OFFSET(K9,-1,0)),OFFSET(K9,-1,0),NA()))</f>
        <v>0.46389070153236389</v>
      </c>
      <c r="L9" s="57">
        <f ca="1">IFERROR(VLOOKUP(C9,WOW_DD[[Week-Year]:[DD]],3,FALSE),IF(ISNUMBER(OFFSET(L9,-1,0)),OFFSET(L9,-1,0),NA()))</f>
        <v>0.43644717335700989</v>
      </c>
      <c r="M9" s="57">
        <f ca="1">IFERROR(VLOOKUP(C9,SSL_DD[[Week-Year]:[DD]],3,FALSE),IF(ISNUMBER(OFFSET(M9,-1,0)),OFFSET(M9,-1,0),NA()))</f>
        <v>0</v>
      </c>
      <c r="N9" s="57">
        <f ca="1">IFERROR(VLOOKUP(C9,WFM_DD[[Week-Year]:[DD]],3,FALSE),IF(ISNUMBER(OFFSET(N9,-1,0)),OFFSET(N9,-1,0),NA()))</f>
        <v>0.46000000834465027</v>
      </c>
      <c r="O9" s="57">
        <f ca="1">IFERROR(VLOOKUP(C9,RTen_DD[[Week-Year]:[DD]],3,FALSE),IF(ISNUMBER(OFFSET(O9,-1,0)),OFFSET(O9,-1,0),NA()))</f>
        <v>1.1050465106964111</v>
      </c>
      <c r="P9" s="57">
        <f t="array" aca="1" ref="P9" ca="1">AVERAGE(IF(ISNUMBER(DD_Table[[#This Row],[TDM_DD]:[WFM_DD]]),DD_Table[[#This Row],[TDM_DD]:[WFM_DD]]))</f>
        <v>0.34008447080850601</v>
      </c>
      <c r="Q9" s="57">
        <f t="array" aca="1" ref="Q9" ca="1">MAX(IF(ISERROR(DD_Table[[TDM_DD]:[WFM_DD]]),0,DD_Table[[TDM_DD]:[WFM_DD]]))*0.8</f>
        <v>12.322580718994141</v>
      </c>
      <c r="R9" s="57">
        <v>0.5</v>
      </c>
      <c r="S9" s="57">
        <v>0.5</v>
      </c>
      <c r="T9" s="57">
        <v>0.5</v>
      </c>
      <c r="U9" s="57">
        <v>0.5</v>
      </c>
      <c r="V9" s="57">
        <v>0.5</v>
      </c>
      <c r="W9" s="57">
        <v>0.5</v>
      </c>
      <c r="X9" s="59" t="e">
        <f ca="1">IFERROR(VLOOKUP(C9,TDM_DD[[Week-Year]:[Core Reg]],4,FALSE),IF(ISNUMBER(OFFSET(X9,-1,0)),OFFSET(X9,-1,0),NA()))</f>
        <v>#N/A</v>
      </c>
      <c r="Y9" s="59" t="e">
        <f ca="1">IFERROR(VLOOKUP(C9,TDM_DD[[Week-Year]:[Core Reg]],5,FALSE),IF(ISNUMBER(OFFSET(Y9,-1,0)),OFFSET(Y9,-1,0),NA()))</f>
        <v>#N/A</v>
      </c>
      <c r="Z9" s="59">
        <f ca="1">IFERROR(VLOOKUP(C9,Coles_DD[[Week-Year]:[Core Reg]],4,FALSE),IF(ISNUMBER(OFFSET(Z9,-1,0)),OFFSET(Z9,-1,0),NA()))</f>
        <v>0</v>
      </c>
      <c r="AA9" s="59">
        <f ca="1">IFERROR(VLOOKUP(C9,Coles_DD[[Week-Year]:[Core Reg]],5,FALSE),IF(ISNUMBER(OFFSET(AA9,-1,0)),OFFSET(AA9,-1,0),NA()))</f>
        <v>0</v>
      </c>
      <c r="AB9" s="59">
        <f ca="1">IFERROR(VLOOKUP(C9,WOW_DD[[Week-Year]:[Core Reg]],4,FALSE),IF(ISNUMBER(OFFSET(AB9,-1,0)),OFFSET(AB9,-1,0),NA()))</f>
        <v>6.9298243522644043</v>
      </c>
      <c r="AC9" s="59">
        <f ca="1">IFERROR(VLOOKUP(C9,WOW_DD[[Week-Year]:[Core Reg]],5,FALSE),IF(ISNUMBER(OFFSET(AC9,-1,0)),OFFSET(AC9,-1,0),NA()))</f>
        <v>11.83843994140625</v>
      </c>
      <c r="AD9" s="59">
        <f ca="1">IFERROR(VLOOKUP(C9,SSL_DD[[Week-Year]:[Core Reg]],4,FALSE),IF(ISNUMBER(OFFSET(AD9,-1,0)),OFFSET(AD9,-1,0),NA()))</f>
        <v>33.56353759765625</v>
      </c>
      <c r="AE9" s="59">
        <f ca="1">IFERROR(VLOOKUP(C9,SSL_DD[[Week-Year]:[Core Reg]],5,FALSE),IF(ISNUMBER(OFFSET(AE9,-1,0)),OFFSET(AE9,-1,0),NA()))</f>
        <v>48.812664031982422</v>
      </c>
      <c r="AF9" s="59">
        <f ca="1">IFERROR(VLOOKUP(C9,WFM_DD[[Week-Year]:[Core Reg]],4,FALSE),IF(ISNUMBER(OFFSET(AF9,-1,0)),OFFSET(AF9,-1,0),NA()))</f>
        <v>8.6956520080566406</v>
      </c>
      <c r="AG9" s="59">
        <f ca="1">IFERROR(VLOOKUP(C9,WFM_DD[[Week-Year]:[Core Reg]],5,FALSE),IF(ISNUMBER(OFFSET(AG9,-1,0)),OFFSET(AG9,-1,0),NA()))</f>
        <v>42.857143402099609</v>
      </c>
      <c r="AH9" s="62">
        <f ca="1">IFERROR(VLOOKUP(C9,RTen_DD[[Week-Year]:[Core Reg]],4,FALSE),IF(ISNUMBER(OFFSET(AH9,-1,0)),OFFSET(AH9,-1,0),NA()))</f>
        <v>0</v>
      </c>
      <c r="AI9" s="62">
        <f ca="1">IFERROR(VLOOKUP(C9,RTen_DD[[Week-Year]:[Core Reg]],5,FALSE)/100,IF(ISNUMBER(OFFSET(AI9,-1,0)),OFFSET(AI9,-1,0),NA()))</f>
        <v>0.40080970764160156</v>
      </c>
      <c r="AJ9" s="62" t="e">
        <f ca="1">DD_Table[[#This Row],[TDM_Ext_Reg]]</f>
        <v>#N/A</v>
      </c>
      <c r="AK9" s="62">
        <f ca="1">DD_Table[[#This Row],[Coles_Ext_Reg]]</f>
        <v>0</v>
      </c>
      <c r="AL9" s="62">
        <f ca="1">DD_Table[[#This Row],[WOW_Ext_Reg]]</f>
        <v>6.9298243522644043</v>
      </c>
      <c r="AM9" s="62">
        <f ca="1">DD_Table[[#This Row],[SSL_Ext_Reg]]</f>
        <v>33.56353759765625</v>
      </c>
      <c r="AN9" s="62">
        <f ca="1">DD_Table[[#This Row],[WFM_Ext_Reg]]</f>
        <v>8.6956520080566406</v>
      </c>
      <c r="AO9" s="62">
        <f t="array" aca="1" ref="AO9" ca="1">IFERROR(AVERAGE(IF(ISNUMBER(DD_Table[[#This Row],[TDM_Avg]:[WFM_Avg]]),DD_Table[[#This Row],[TDM_Avg]:[WFM_Avg]]))/100,NA())</f>
        <v>0.12297253489494324</v>
      </c>
      <c r="AP9" s="62">
        <f t="array" aca="1" ref="AP9" ca="1">MAX(IF(ISERROR(DD_Table[[TDM_Avg]:[WFM_Avg]]),0,DD_Table[[TDM_Avg]:[WFM_Avg]]))*1.1</f>
        <v>48.107883834838873</v>
      </c>
      <c r="AQ9" s="62">
        <f t="array" aca="1" ref="AQ9" ca="1">MAX(IF(ISERROR(DD_Table[[TDM_Ext_Reg]:[WFM_Core_Reg]]),0,DD_Table[[TDM_Ext_Reg]:[WFM_Core_Reg]]))</f>
        <v>61.538463592529297</v>
      </c>
      <c r="AR9" s="65" t="e">
        <f ca="1">IFERROR(VLOOKUP(C9,TDM_DD[[Week-Year]:[DDP]],6,FALSE),IF(ISNUMBER(OFFSET(AR9,-1,0)),OFFSET(AR9,-1,0),NA()))</f>
        <v>#N/A</v>
      </c>
      <c r="AS9" s="65">
        <f ca="1">IFERROR(VLOOKUP(C9,Coles_DD[[Week-Year]:[DDP]],6,FALSE),IF(ISNUMBER(OFFSET(AS9,-1,0)),OFFSET(AS9,-1,0),NA()))</f>
        <v>0.19251336898395721</v>
      </c>
      <c r="AT9" s="65">
        <f ca="1">IFERROR(VLOOKUP(C9,WOW_DD[[Week-Year]:[DDP]],6,FALSE),IF(ISNUMBER(OFFSET(AT9,-1,0)),OFFSET(AT9,-1,0),NA()))</f>
        <v>0.3731958762886598</v>
      </c>
      <c r="AU9" s="65">
        <f ca="1">IFERROR(VLOOKUP(C9,SSL_DD[[Week-Year]:[DDP]],6,FALSE),IF(ISNUMBER(OFFSET(AU9,-1,0)),OFFSET(AU9,-1,0),NA()))</f>
        <v>0.31619047619047619</v>
      </c>
      <c r="AV9" s="65">
        <f ca="1">IFERROR(VLOOKUP(C9,WFM_DD[[Week-Year]:[DDP]],6,FALSE),IF(ISNUMBER(OFFSET(AV9,-1,0)),OFFSET(AV9,-1,0),NA()))</f>
        <v>0.48780487804878048</v>
      </c>
      <c r="AW9" s="65">
        <f t="array" aca="1" ref="AW9" ca="1">IFERROR(AVERAGE(IF(ISNUMBER(DD_Table[[#This Row],[TDM_DDP]:[WFM_DDP]]),DD_Table[[#This Row],[TDM_DDP]:[WFM_DDP]])),NA())</f>
        <v>0.34242614987796843</v>
      </c>
      <c r="AX9" s="65">
        <f t="array" aca="1" ref="AX9" ca="1">IFERROR(MAX(IF(ISNUMBER(DD_Table[[TDM_DDP]:[WFM_DDP]]),DD_Table[[TDM_DDP]:[WFM_DDP]])),NA())</f>
        <v>0.68</v>
      </c>
      <c r="AY9" s="88">
        <f ca="1">IFERROR(VLOOKUP(C9,RTen_DD[[Week-Year]:[Core DDP]],6,FALSE),IF(ISNUMBER(VLOOKUP(C9,RTen_DD[[Week-Year]:[Core DDP]],6,FALSE)),OFFSET(AY9,-1,0),OFFSET(AY9,-1,0)))</f>
        <v>0.17587045669555665</v>
      </c>
      <c r="AZ9" s="65"/>
      <c r="BA9" s="65"/>
      <c r="BC9">
        <v>7</v>
      </c>
      <c r="BD9">
        <v>1</v>
      </c>
      <c r="BE9">
        <v>6</v>
      </c>
      <c r="BF9">
        <v>3</v>
      </c>
      <c r="BG9">
        <v>2</v>
      </c>
      <c r="BH9">
        <v>1</v>
      </c>
      <c r="BI9">
        <v>3</v>
      </c>
      <c r="BO9" s="71"/>
      <c r="BP9" s="71">
        <f>MAX(Med_Table[[TDM]:[WFM]])</f>
        <v>29</v>
      </c>
      <c r="DN9" s="71"/>
      <c r="DO9" s="71"/>
      <c r="DV9" s="30"/>
      <c r="DW9" s="30"/>
    </row>
    <row r="10" spans="1:129">
      <c r="A10" s="69">
        <f t="shared" si="2"/>
        <v>41703</v>
      </c>
      <c r="B10" s="70">
        <f t="shared" si="0"/>
        <v>10</v>
      </c>
      <c r="C10" s="70">
        <f t="shared" si="1"/>
        <v>102014</v>
      </c>
      <c r="D10" s="57" t="e">
        <f ca="1">IFERROR(VLOOKUP(C10,TDM_DD[[Week-Year]:[DD]],2,FALSE),IF(ISNUMBER(OFFSET(D10,-1,0)),OFFSET(D10,-1,0),NA()))</f>
        <v>#N/A</v>
      </c>
      <c r="E10" s="58">
        <f ca="1">IFERROR(VLOOKUP(C10,Coles_DD[[Week-Year]:[DD]],2,FALSE),IF(ISNUMBER(OFFSET(E10,-1,0)),OFFSET(E10,-1,0),NA()))</f>
        <v>1638</v>
      </c>
      <c r="F10" s="58">
        <f ca="1">IFERROR(VLOOKUP(C10,WOW_DD[[Week-Year]:[DD]],2,FALSE),IF(ISNUMBER(OFFSET(F10,-1,0)),OFFSET(F10,-1,0),NA()))</f>
        <v>2691</v>
      </c>
      <c r="G10" s="57">
        <f ca="1">IFERROR(VLOOKUP(C10,SSL_DD[[Week-Year]:[DD]],2,FALSE),IF(ISNUMBER(OFFSET(G10,-1,0)),OFFSET(G10,-1,0),NA()))</f>
        <v>0</v>
      </c>
      <c r="H10" s="58">
        <f ca="1">IFERROR(VLOOKUP(C10,WFM_DD[[Week-Year]:[DD]],2,FALSE),IF(ISNUMBER(OFFSET(H10,-1,0)),OFFSET(H10,-1,0),NA()))</f>
        <v>54</v>
      </c>
      <c r="I10" s="57">
        <f ca="1">IFERROR(VLOOKUP(C10,RTen_DD[[Week-Year]:[DD]],2,FALSE),IF(ISNUMBER(OFFSET(I10,-1,0)),OFFSET(I10,-1,0),NA()))</f>
        <v>5604</v>
      </c>
      <c r="J10" s="57" t="e">
        <f ca="1">IFERROR(VLOOKUP(C10,TDM_DD[[Week-Year]:[DD]],3,FALSE),IF(ISNUMBER(OFFSET(J10,-1,0)),OFFSET(J10,-1,0),NA()))</f>
        <v>#N/A</v>
      </c>
      <c r="K10" s="57">
        <f ca="1">IFERROR(VLOOKUP(C10,Coles_DD[[Week-Year]:[DD]],3,FALSE),IF(ISNUMBER(OFFSET(K10,-1,0)),OFFSET(K10,-1,0),NA()))</f>
        <v>0.44688645005226135</v>
      </c>
      <c r="L10" s="57">
        <f ca="1">IFERROR(VLOOKUP(C10,WOW_DD[[Week-Year]:[DD]],3,FALSE),IF(ISNUMBER(OFFSET(L10,-1,0)),OFFSET(L10,-1,0),NA()))</f>
        <v>0.43106651306152344</v>
      </c>
      <c r="M10" s="57">
        <f ca="1">IFERROR(VLOOKUP(C10,SSL_DD[[Week-Year]:[DD]],3,FALSE),IF(ISNUMBER(OFFSET(M10,-1,0)),OFFSET(M10,-1,0),NA()))</f>
        <v>0</v>
      </c>
      <c r="N10" s="57">
        <f ca="1">IFERROR(VLOOKUP(C10,WFM_DD[[Week-Year]:[DD]],3,FALSE),IF(ISNUMBER(OFFSET(N10,-1,0)),OFFSET(N10,-1,0),NA()))</f>
        <v>0.6111111044883728</v>
      </c>
      <c r="O10" s="57">
        <f ca="1">IFERROR(VLOOKUP(C10,RTen_DD[[Week-Year]:[DD]],3,FALSE),IF(ISNUMBER(OFFSET(O10,-1,0)),OFFSET(O10,-1,0),NA()))</f>
        <v>1.131513237953186</v>
      </c>
      <c r="P10" s="57">
        <f t="array" aca="1" ref="P10" ca="1">AVERAGE(IF(ISNUMBER(DD_Table[[#This Row],[TDM_DD]:[WFM_DD]]),DD_Table[[#This Row],[TDM_DD]:[WFM_DD]]))</f>
        <v>0.3722660169005394</v>
      </c>
      <c r="Q10" s="57">
        <f t="array" aca="1" ref="Q10" ca="1">MAX(IF(ISERROR(DD_Table[[TDM_DD]:[WFM_DD]]),0,DD_Table[[TDM_DD]:[WFM_DD]]))*0.8</f>
        <v>12.322580718994141</v>
      </c>
      <c r="R10" s="57">
        <v>0.5</v>
      </c>
      <c r="S10" s="57">
        <v>0.5</v>
      </c>
      <c r="T10" s="57">
        <v>0.5</v>
      </c>
      <c r="U10" s="57">
        <v>0.5</v>
      </c>
      <c r="V10" s="57">
        <v>0.5</v>
      </c>
      <c r="W10" s="57">
        <v>0.5</v>
      </c>
      <c r="X10" s="59" t="e">
        <f ca="1">IFERROR(VLOOKUP(C10,TDM_DD[[Week-Year]:[Core Reg]],4,FALSE),IF(ISNUMBER(OFFSET(X10,-1,0)),OFFSET(X10,-1,0),NA()))</f>
        <v>#N/A</v>
      </c>
      <c r="Y10" s="59" t="e">
        <f ca="1">IFERROR(VLOOKUP(C10,TDM_DD[[Week-Year]:[Core Reg]],5,FALSE),IF(ISNUMBER(OFFSET(Y10,-1,0)),OFFSET(Y10,-1,0),NA()))</f>
        <v>#N/A</v>
      </c>
      <c r="Z10" s="59">
        <f ca="1">IFERROR(VLOOKUP(C10,Coles_DD[[Week-Year]:[Core Reg]],4,FALSE),IF(ISNUMBER(OFFSET(Z10,-1,0)),OFFSET(Z10,-1,0),NA()))</f>
        <v>0</v>
      </c>
      <c r="AA10" s="59">
        <f ca="1">IFERROR(VLOOKUP(C10,Coles_DD[[Week-Year]:[Core Reg]],5,FALSE),IF(ISNUMBER(OFFSET(AA10,-1,0)),OFFSET(AA10,-1,0),NA()))</f>
        <v>0</v>
      </c>
      <c r="AB10" s="59">
        <f ca="1">IFERROR(VLOOKUP(C10,WOW_DD[[Week-Year]:[Core Reg]],4,FALSE),IF(ISNUMBER(OFFSET(AB10,-1,0)),OFFSET(AB10,-1,0),NA()))</f>
        <v>6.9827585220336914</v>
      </c>
      <c r="AC10" s="59">
        <f ca="1">IFERROR(VLOOKUP(C10,WOW_DD[[Week-Year]:[Core Reg]],5,FALSE),IF(ISNUMBER(OFFSET(AC10,-1,0)),OFFSET(AC10,-1,0),NA()))</f>
        <v>12.021858215332031</v>
      </c>
      <c r="AD10" s="59">
        <f ca="1">IFERROR(VLOOKUP(C10,SSL_DD[[Week-Year]:[Core Reg]],4,FALSE),IF(ISNUMBER(OFFSET(AD10,-1,0)),OFFSET(AD10,-1,0),NA()))</f>
        <v>37.657432556152344</v>
      </c>
      <c r="AE10" s="59">
        <f ca="1">IFERROR(VLOOKUP(C10,SSL_DD[[Week-Year]:[Core Reg]],5,FALSE),IF(ISNUMBER(OFFSET(AE10,-1,0)),OFFSET(AE10,-1,0),NA()))</f>
        <v>52.582157135009766</v>
      </c>
      <c r="AF10" s="59">
        <f ca="1">IFERROR(VLOOKUP(C10,WFM_DD[[Week-Year]:[Core Reg]],4,FALSE),IF(ISNUMBER(OFFSET(AF10,-1,0)),OFFSET(AF10,-1,0),NA()))</f>
        <v>6.0606060028076172</v>
      </c>
      <c r="AG10" s="59">
        <f ca="1">IFERROR(VLOOKUP(C10,WFM_DD[[Week-Year]:[Core Reg]],5,FALSE),IF(ISNUMBER(OFFSET(AG10,-1,0)),OFFSET(AG10,-1,0),NA()))</f>
        <v>40</v>
      </c>
      <c r="AH10" s="62">
        <f ca="1">IFERROR(VLOOKUP(C10,RTen_DD[[Week-Year]:[Core Reg]],4,FALSE),IF(ISNUMBER(OFFSET(AH10,-1,0)),OFFSET(AH10,-1,0),NA()))</f>
        <v>0</v>
      </c>
      <c r="AI10" s="62">
        <f ca="1">IFERROR(VLOOKUP(C10,RTen_DD[[Week-Year]:[Core Reg]],5,FALSE)/100,IF(ISNUMBER(OFFSET(AI10,-1,0)),OFFSET(AI10,-1,0),NA()))</f>
        <v>0.39772907257080076</v>
      </c>
      <c r="AJ10" s="62" t="e">
        <f ca="1">DD_Table[[#This Row],[TDM_Ext_Reg]]</f>
        <v>#N/A</v>
      </c>
      <c r="AK10" s="62">
        <f ca="1">DD_Table[[#This Row],[Coles_Ext_Reg]]</f>
        <v>0</v>
      </c>
      <c r="AL10" s="62">
        <f ca="1">DD_Table[[#This Row],[WOW_Ext_Reg]]</f>
        <v>6.9827585220336914</v>
      </c>
      <c r="AM10" s="62">
        <f ca="1">DD_Table[[#This Row],[SSL_Ext_Reg]]</f>
        <v>37.657432556152344</v>
      </c>
      <c r="AN10" s="62">
        <f ca="1">DD_Table[[#This Row],[WFM_Ext_Reg]]</f>
        <v>6.0606060028076172</v>
      </c>
      <c r="AO10" s="62">
        <f t="array" aca="1" ref="AO10" ca="1">IFERROR(AVERAGE(IF(ISNUMBER(DD_Table[[#This Row],[TDM_Avg]:[WFM_Avg]]),DD_Table[[#This Row],[TDM_Avg]:[WFM_Avg]]))/100,NA())</f>
        <v>0.12675199270248413</v>
      </c>
      <c r="AP10" s="62">
        <f t="array" aca="1" ref="AP10" ca="1">MAX(IF(ISERROR(DD_Table[[TDM_Avg]:[WFM_Avg]]),0,DD_Table[[TDM_Avg]:[WFM_Avg]]))*1.1</f>
        <v>48.107883834838873</v>
      </c>
      <c r="AQ10" s="62">
        <f t="array" aca="1" ref="AQ10" ca="1">MAX(IF(ISERROR(DD_Table[[TDM_Ext_Reg]:[WFM_Core_Reg]]),0,DD_Table[[TDM_Ext_Reg]:[WFM_Core_Reg]]))</f>
        <v>61.538463592529297</v>
      </c>
      <c r="AR10" s="65" t="e">
        <f ca="1">IFERROR(VLOOKUP(C10,TDM_DD[[Week-Year]:[DDP]],6,FALSE),IF(ISNUMBER(OFFSET(AR10,-1,0)),OFFSET(AR10,-1,0),NA()))</f>
        <v>#N/A</v>
      </c>
      <c r="AS10" s="65">
        <f ca="1">IFERROR(VLOOKUP(C10,Coles_DD[[Week-Year]:[DDP]],6,FALSE),IF(ISNUMBER(OFFSET(AS10,-1,0)),OFFSET(AS10,-1,0),NA()))</f>
        <v>0.19222139117427076</v>
      </c>
      <c r="AT10" s="65">
        <f ca="1">IFERROR(VLOOKUP(C10,WOW_DD[[Week-Year]:[DDP]],6,FALSE),IF(ISNUMBER(OFFSET(AT10,-1,0)),OFFSET(AT10,-1,0),NA()))</f>
        <v>0.3730255164034022</v>
      </c>
      <c r="AU10" s="65">
        <f ca="1">IFERROR(VLOOKUP(C10,SSL_DD[[Week-Year]:[DDP]],6,FALSE),IF(ISNUMBER(OFFSET(AU10,-1,0)),OFFSET(AU10,-1,0),NA()))</f>
        <v>0.32043255549231647</v>
      </c>
      <c r="AV10" s="65">
        <f ca="1">IFERROR(VLOOKUP(C10,WFM_DD[[Week-Year]:[DDP]],6,FALSE),IF(ISNUMBER(OFFSET(AV10,-1,0)),OFFSET(AV10,-1,0),NA()))</f>
        <v>0.41584158415841582</v>
      </c>
      <c r="AW10" s="65">
        <f t="array" aca="1" ref="AW10" ca="1">IFERROR(AVERAGE(IF(ISNUMBER(DD_Table[[#This Row],[TDM_DDP]:[WFM_DDP]]),DD_Table[[#This Row],[TDM_DDP]:[WFM_DDP]])),NA())</f>
        <v>0.32538026180710128</v>
      </c>
      <c r="AX10" s="65">
        <f t="array" aca="1" ref="AX10" ca="1">IFERROR(MAX(IF(ISNUMBER(DD_Table[[TDM_DDP]:[WFM_DDP]]),DD_Table[[TDM_DDP]:[WFM_DDP]])),NA())</f>
        <v>0.68</v>
      </c>
      <c r="AY10" s="88">
        <f ca="1">IFERROR(VLOOKUP(C10,RTen_DD[[Week-Year]:[Core DDP]],6,FALSE),IF(ISNUMBER(VLOOKUP(C10,RTen_DD[[Week-Year]:[Core DDP]],6,FALSE)),OFFSET(AY10,-1,0),OFFSET(AY10,-1,0)))</f>
        <v>0.18262104034423829</v>
      </c>
      <c r="AZ10" s="65"/>
      <c r="BA10" s="65"/>
      <c r="BC10">
        <v>8</v>
      </c>
      <c r="BD10">
        <v>4</v>
      </c>
      <c r="BE10">
        <v>2</v>
      </c>
      <c r="BF10">
        <v>1</v>
      </c>
      <c r="BG10">
        <v>3</v>
      </c>
      <c r="BH10">
        <v>1</v>
      </c>
      <c r="BI10">
        <v>9</v>
      </c>
      <c r="BO10" s="71"/>
      <c r="BP10" s="71">
        <f>MAX(Med_Table[[TDM]:[WFM]])</f>
        <v>29</v>
      </c>
      <c r="DN10" s="71"/>
      <c r="DO10" s="71"/>
      <c r="DV10" s="30"/>
      <c r="DW10" s="30"/>
    </row>
    <row r="11" spans="1:129">
      <c r="A11" s="69">
        <f t="shared" si="2"/>
        <v>41710</v>
      </c>
      <c r="B11" s="70">
        <f t="shared" si="0"/>
        <v>11</v>
      </c>
      <c r="C11" s="70">
        <f t="shared" si="1"/>
        <v>112014</v>
      </c>
      <c r="D11" s="57" t="e">
        <f ca="1">IFERROR(VLOOKUP(C11,TDM_DD[[Week-Year]:[DD]],2,FALSE),IF(ISNUMBER(OFFSET(D11,-1,0)),OFFSET(D11,-1,0),NA()))</f>
        <v>#N/A</v>
      </c>
      <c r="E11" s="58">
        <f ca="1">IFERROR(VLOOKUP(C11,Coles_DD[[Week-Year]:[DD]],2,FALSE),IF(ISNUMBER(OFFSET(E11,-1,0)),OFFSET(E11,-1,0),NA()))</f>
        <v>1670</v>
      </c>
      <c r="F11" s="58">
        <f ca="1">IFERROR(VLOOKUP(C11,WOW_DD[[Week-Year]:[DD]],2,FALSE),IF(ISNUMBER(OFFSET(F11,-1,0)),OFFSET(F11,-1,0),NA()))</f>
        <v>2732</v>
      </c>
      <c r="G11" s="57">
        <f ca="1">IFERROR(VLOOKUP(C11,SSL_DD[[Week-Year]:[DD]],2,FALSE),IF(ISNUMBER(OFFSET(G11,-1,0)),OFFSET(G11,-1,0),NA()))</f>
        <v>0</v>
      </c>
      <c r="H11" s="58">
        <f ca="1">IFERROR(VLOOKUP(C11,WFM_DD[[Week-Year]:[DD]],2,FALSE),IF(ISNUMBER(OFFSET(H11,-1,0)),OFFSET(H11,-1,0),NA()))</f>
        <v>54</v>
      </c>
      <c r="I11" s="57">
        <f ca="1">IFERROR(VLOOKUP(C11,RTen_DD[[Week-Year]:[DD]],2,FALSE),IF(ISNUMBER(OFFSET(I11,-1,0)),OFFSET(I11,-1,0),NA()))</f>
        <v>5616</v>
      </c>
      <c r="J11" s="57" t="e">
        <f ca="1">IFERROR(VLOOKUP(C11,TDM_DD[[Week-Year]:[DD]],3,FALSE),IF(ISNUMBER(OFFSET(J11,-1,0)),OFFSET(J11,-1,0),NA()))</f>
        <v>#N/A</v>
      </c>
      <c r="K11" s="57">
        <f ca="1">IFERROR(VLOOKUP(C11,Coles_DD[[Week-Year]:[DD]],3,FALSE),IF(ISNUMBER(OFFSET(K11,-1,0)),OFFSET(K11,-1,0),NA()))</f>
        <v>0.45209580659866333</v>
      </c>
      <c r="L11" s="57">
        <f ca="1">IFERROR(VLOOKUP(C11,WOW_DD[[Week-Year]:[DD]],3,FALSE),IF(ISNUMBER(OFFSET(L11,-1,0)),OFFSET(L11,-1,0),NA()))</f>
        <v>0.43374815583229065</v>
      </c>
      <c r="M11" s="57">
        <f ca="1">IFERROR(VLOOKUP(C11,SSL_DD[[Week-Year]:[DD]],3,FALSE),IF(ISNUMBER(OFFSET(M11,-1,0)),OFFSET(M11,-1,0),NA()))</f>
        <v>0</v>
      </c>
      <c r="N11" s="57">
        <f ca="1">IFERROR(VLOOKUP(C11,WFM_DD[[Week-Year]:[DD]],3,FALSE),IF(ISNUMBER(OFFSET(N11,-1,0)),OFFSET(N11,-1,0),NA()))</f>
        <v>0.77777779102325439</v>
      </c>
      <c r="O11" s="57">
        <f ca="1">IFERROR(VLOOKUP(C11,RTen_DD[[Week-Year]:[DD]],3,FALSE),IF(ISNUMBER(OFFSET(O11,-1,0)),OFFSET(O11,-1,0),NA()))</f>
        <v>1.1590099334716797</v>
      </c>
      <c r="P11" s="57">
        <f t="array" aca="1" ref="P11" ca="1">AVERAGE(IF(ISNUMBER(DD_Table[[#This Row],[TDM_DD]:[WFM_DD]]),DD_Table[[#This Row],[TDM_DD]:[WFM_DD]]))</f>
        <v>0.41590543836355209</v>
      </c>
      <c r="Q11" s="57">
        <f t="array" aca="1" ref="Q11" ca="1">MAX(IF(ISERROR(DD_Table[[TDM_DD]:[WFM_DD]]),0,DD_Table[[TDM_DD]:[WFM_DD]]))*0.8</f>
        <v>12.322580718994141</v>
      </c>
      <c r="R11" s="57">
        <v>0.5</v>
      </c>
      <c r="S11" s="57">
        <v>0.5</v>
      </c>
      <c r="T11" s="57">
        <v>0.5</v>
      </c>
      <c r="U11" s="57">
        <v>0.5</v>
      </c>
      <c r="V11" s="57">
        <v>0.5</v>
      </c>
      <c r="W11" s="57">
        <v>0.5</v>
      </c>
      <c r="X11" s="59" t="e">
        <f ca="1">IFERROR(VLOOKUP(C11,TDM_DD[[Week-Year]:[Core Reg]],4,FALSE),IF(ISNUMBER(OFFSET(X11,-1,0)),OFFSET(X11,-1,0),NA()))</f>
        <v>#N/A</v>
      </c>
      <c r="Y11" s="59" t="e">
        <f ca="1">IFERROR(VLOOKUP(C11,TDM_DD[[Week-Year]:[Core Reg]],5,FALSE),IF(ISNUMBER(OFFSET(Y11,-1,0)),OFFSET(Y11,-1,0),NA()))</f>
        <v>#N/A</v>
      </c>
      <c r="Z11" s="59">
        <f ca="1">IFERROR(VLOOKUP(C11,Coles_DD[[Week-Year]:[Core Reg]],4,FALSE),IF(ISNUMBER(OFFSET(Z11,-1,0)),OFFSET(Z11,-1,0),NA()))</f>
        <v>0</v>
      </c>
      <c r="AA11" s="59">
        <f ca="1">IFERROR(VLOOKUP(C11,Coles_DD[[Week-Year]:[Core Reg]],5,FALSE),IF(ISNUMBER(OFFSET(AA11,-1,0)),OFFSET(AA11,-1,0),NA()))</f>
        <v>0</v>
      </c>
      <c r="AB11" s="59">
        <f ca="1">IFERROR(VLOOKUP(C11,WOW_DD[[Week-Year]:[Core Reg]],4,FALSE),IF(ISNUMBER(OFFSET(AB11,-1,0)),OFFSET(AB11,-1,0),NA()))</f>
        <v>7.3417720794677734</v>
      </c>
      <c r="AC11" s="59">
        <f ca="1">IFERROR(VLOOKUP(C11,WOW_DD[[Week-Year]:[Core Reg]],5,FALSE),IF(ISNUMBER(OFFSET(AC11,-1,0)),OFFSET(AC11,-1,0),NA()))</f>
        <v>12.550607681274414</v>
      </c>
      <c r="AD11" s="59">
        <f ca="1">IFERROR(VLOOKUP(C11,SSL_DD[[Week-Year]:[Core Reg]],4,FALSE),IF(ISNUMBER(OFFSET(AD11,-1,0)),OFFSET(AD11,-1,0),NA()))</f>
        <v>39.375747680664062</v>
      </c>
      <c r="AE11" s="59">
        <f ca="1">IFERROR(VLOOKUP(C11,SSL_DD[[Week-Year]:[Core Reg]],5,FALSE),IF(ISNUMBER(OFFSET(AE11,-1,0)),OFFSET(AE11,-1,0),NA()))</f>
        <v>53.947372436523437</v>
      </c>
      <c r="AF11" s="59">
        <f ca="1">IFERROR(VLOOKUP(C11,WFM_DD[[Week-Year]:[Core Reg]],4,FALSE),IF(ISNUMBER(OFFSET(AF11,-1,0)),OFFSET(AF11,-1,0),NA()))</f>
        <v>4.7619047164916992</v>
      </c>
      <c r="AG11" s="59">
        <f ca="1">IFERROR(VLOOKUP(C11,WFM_DD[[Week-Year]:[Core Reg]],5,FALSE),IF(ISNUMBER(OFFSET(AG11,-1,0)),OFFSET(AG11,-1,0),NA()))</f>
        <v>38.709674835205078</v>
      </c>
      <c r="AH11" s="62">
        <f ca="1">IFERROR(VLOOKUP(C11,RTen_DD[[Week-Year]:[Core Reg]],4,FALSE),IF(ISNUMBER(OFFSET(AH11,-1,0)),OFFSET(AH11,-1,0),NA()))</f>
        <v>0</v>
      </c>
      <c r="AI11" s="62">
        <f ca="1">IFERROR(VLOOKUP(C11,RTen_DD[[Week-Year]:[Core Reg]],5,FALSE)/100,IF(ISNUMBER(OFFSET(AI11,-1,0)),OFFSET(AI11,-1,0),NA()))</f>
        <v>0.39360885620117186</v>
      </c>
      <c r="AJ11" s="62" t="e">
        <f ca="1">DD_Table[[#This Row],[TDM_Ext_Reg]]</f>
        <v>#N/A</v>
      </c>
      <c r="AK11" s="62">
        <f ca="1">DD_Table[[#This Row],[Coles_Ext_Reg]]</f>
        <v>0</v>
      </c>
      <c r="AL11" s="62">
        <f ca="1">DD_Table[[#This Row],[WOW_Ext_Reg]]</f>
        <v>7.3417720794677734</v>
      </c>
      <c r="AM11" s="62">
        <f ca="1">DD_Table[[#This Row],[SSL_Ext_Reg]]</f>
        <v>39.375747680664062</v>
      </c>
      <c r="AN11" s="62">
        <f ca="1">DD_Table[[#This Row],[WFM_Ext_Reg]]</f>
        <v>4.7619047164916992</v>
      </c>
      <c r="AO11" s="62">
        <f t="array" aca="1" ref="AO11" ca="1">IFERROR(AVERAGE(IF(ISNUMBER(DD_Table[[#This Row],[TDM_Avg]:[WFM_Avg]]),DD_Table[[#This Row],[TDM_Avg]:[WFM_Avg]]))/100,NA())</f>
        <v>0.12869856119155884</v>
      </c>
      <c r="AP11" s="62">
        <f t="array" aca="1" ref="AP11" ca="1">MAX(IF(ISERROR(DD_Table[[TDM_Avg]:[WFM_Avg]]),0,DD_Table[[TDM_Avg]:[WFM_Avg]]))*1.1</f>
        <v>48.107883834838873</v>
      </c>
      <c r="AQ11" s="62">
        <f t="array" aca="1" ref="AQ11" ca="1">MAX(IF(ISERROR(DD_Table[[TDM_Ext_Reg]:[WFM_Core_Reg]]),0,DD_Table[[TDM_Ext_Reg]:[WFM_Core_Reg]]))</f>
        <v>61.538463592529297</v>
      </c>
      <c r="AR11" s="65" t="e">
        <f ca="1">IFERROR(VLOOKUP(C11,TDM_DD[[Week-Year]:[DDP]],6,FALSE),IF(ISNUMBER(OFFSET(AR11,-1,0)),OFFSET(AR11,-1,0),NA()))</f>
        <v>#N/A</v>
      </c>
      <c r="AS11" s="65">
        <f ca="1">IFERROR(VLOOKUP(C11,Coles_DD[[Week-Year]:[DDP]],6,FALSE),IF(ISNUMBER(OFFSET(AS11,-1,0)),OFFSET(AS11,-1,0),NA()))</f>
        <v>0.18891320204230488</v>
      </c>
      <c r="AT11" s="65">
        <f ca="1">IFERROR(VLOOKUP(C11,WOW_DD[[Week-Year]:[DDP]],6,FALSE),IF(ISNUMBER(OFFSET(AT11,-1,0)),OFFSET(AT11,-1,0),NA()))</f>
        <v>0.37116686579052172</v>
      </c>
      <c r="AU11" s="65">
        <f ca="1">IFERROR(VLOOKUP(C11,SSL_DD[[Week-Year]:[DDP]],6,FALSE),IF(ISNUMBER(OFFSET(AU11,-1,0)),OFFSET(AU11,-1,0),NA()))</f>
        <v>0.3235930735930736</v>
      </c>
      <c r="AV11" s="65">
        <f ca="1">IFERROR(VLOOKUP(C11,WFM_DD[[Week-Year]:[DDP]],6,FALSE),IF(ISNUMBER(OFFSET(AV11,-1,0)),OFFSET(AV11,-1,0),NA()))</f>
        <v>0.375</v>
      </c>
      <c r="AW11" s="65">
        <f t="array" aca="1" ref="AW11" ca="1">IFERROR(AVERAGE(IF(ISNUMBER(DD_Table[[#This Row],[TDM_DDP]:[WFM_DDP]]),DD_Table[[#This Row],[TDM_DDP]:[WFM_DDP]])),NA())</f>
        <v>0.31466828535647506</v>
      </c>
      <c r="AX11" s="65">
        <f t="array" aca="1" ref="AX11" ca="1">IFERROR(MAX(IF(ISNUMBER(DD_Table[[TDM_DDP]:[WFM_DDP]]),DD_Table[[TDM_DDP]:[WFM_DDP]])),NA())</f>
        <v>0.68</v>
      </c>
      <c r="AY11" s="88">
        <f ca="1">IFERROR(VLOOKUP(C11,RTen_DD[[Week-Year]:[Core DDP]],6,FALSE),IF(ISNUMBER(VLOOKUP(C11,RTen_DD[[Week-Year]:[Core DDP]],6,FALSE)),OFFSET(AY11,-1,0),OFFSET(AY11,-1,0)))</f>
        <v>0.18512828826904296</v>
      </c>
      <c r="AZ11" s="65"/>
      <c r="BA11" s="65"/>
      <c r="BC11">
        <v>9</v>
      </c>
      <c r="BD11">
        <v>4</v>
      </c>
      <c r="BE11">
        <v>2</v>
      </c>
      <c r="BF11">
        <v>3</v>
      </c>
      <c r="BG11">
        <v>0</v>
      </c>
      <c r="BH11">
        <v>0</v>
      </c>
      <c r="BI11">
        <v>4</v>
      </c>
      <c r="BO11" s="71"/>
      <c r="BP11" s="71">
        <f>MAX(Med_Table[[TDM]:[WFM]])</f>
        <v>29</v>
      </c>
      <c r="DN11" s="71"/>
      <c r="DO11" s="71"/>
      <c r="DV11" s="30"/>
      <c r="DW11" s="30"/>
    </row>
    <row r="12" spans="1:129">
      <c r="A12" s="69">
        <f t="shared" si="2"/>
        <v>41717</v>
      </c>
      <c r="B12" s="70">
        <f t="shared" si="0"/>
        <v>12</v>
      </c>
      <c r="C12" s="70">
        <f t="shared" si="1"/>
        <v>122014</v>
      </c>
      <c r="D12" s="57" t="e">
        <f ca="1">IFERROR(VLOOKUP(C12,TDM_DD[[Week-Year]:[DD]],2,FALSE),IF(ISNUMBER(OFFSET(D12,-1,0)),OFFSET(D12,-1,0),NA()))</f>
        <v>#N/A</v>
      </c>
      <c r="E12" s="58">
        <f ca="1">IFERROR(VLOOKUP(C12,Coles_DD[[Week-Year]:[DD]],2,FALSE),IF(ISNUMBER(OFFSET(E12,-1,0)),OFFSET(E12,-1,0),NA()))</f>
        <v>1818</v>
      </c>
      <c r="F12" s="58">
        <f ca="1">IFERROR(VLOOKUP(C12,WOW_DD[[Week-Year]:[DD]],2,FALSE),IF(ISNUMBER(OFFSET(F12,-1,0)),OFFSET(F12,-1,0),NA()))</f>
        <v>2793</v>
      </c>
      <c r="G12" s="57">
        <f ca="1">IFERROR(VLOOKUP(C12,SSL_DD[[Week-Year]:[DD]],2,FALSE),IF(ISNUMBER(OFFSET(G12,-1,0)),OFFSET(G12,-1,0),NA()))</f>
        <v>0</v>
      </c>
      <c r="H12" s="58">
        <f ca="1">IFERROR(VLOOKUP(C12,WFM_DD[[Week-Year]:[DD]],2,FALSE),IF(ISNUMBER(OFFSET(H12,-1,0)),OFFSET(H12,-1,0),NA()))</f>
        <v>62</v>
      </c>
      <c r="I12" s="57">
        <f ca="1">IFERROR(VLOOKUP(C12,RTen_DD[[Week-Year]:[DD]],2,FALSE),IF(ISNUMBER(OFFSET(I12,-1,0)),OFFSET(I12,-1,0),NA()))</f>
        <v>5698</v>
      </c>
      <c r="J12" s="57" t="e">
        <f ca="1">IFERROR(VLOOKUP(C12,TDM_DD[[Week-Year]:[DD]],3,FALSE),IF(ISNUMBER(OFFSET(J12,-1,0)),OFFSET(J12,-1,0),NA()))</f>
        <v>#N/A</v>
      </c>
      <c r="K12" s="57">
        <f ca="1">IFERROR(VLOOKUP(C12,Coles_DD[[Week-Year]:[DD]],3,FALSE),IF(ISNUMBER(OFFSET(K12,-1,0)),OFFSET(K12,-1,0),NA()))</f>
        <v>0.42574256658554077</v>
      </c>
      <c r="L12" s="57">
        <f ca="1">IFERROR(VLOOKUP(C12,WOW_DD[[Week-Year]:[DD]],3,FALSE),IF(ISNUMBER(OFFSET(L12,-1,0)),OFFSET(L12,-1,0),NA()))</f>
        <v>0.44038668274879456</v>
      </c>
      <c r="M12" s="57">
        <f ca="1">IFERROR(VLOOKUP(C12,SSL_DD[[Week-Year]:[DD]],3,FALSE),IF(ISNUMBER(OFFSET(M12,-1,0)),OFFSET(M12,-1,0),NA()))</f>
        <v>0</v>
      </c>
      <c r="N12" s="57">
        <f ca="1">IFERROR(VLOOKUP(C12,WFM_DD[[Week-Year]:[DD]],3,FALSE),IF(ISNUMBER(OFFSET(N12,-1,0)),OFFSET(N12,-1,0),NA()))</f>
        <v>0.75806450843811035</v>
      </c>
      <c r="O12" s="57">
        <f ca="1">IFERROR(VLOOKUP(C12,RTen_DD[[Week-Year]:[DD]],3,FALSE),IF(ISNUMBER(OFFSET(O12,-1,0)),OFFSET(O12,-1,0),NA()))</f>
        <v>1.1679536104202271</v>
      </c>
      <c r="P12" s="57">
        <f t="array" aca="1" ref="P12" ca="1">AVERAGE(IF(ISNUMBER(DD_Table[[#This Row],[TDM_DD]:[WFM_DD]]),DD_Table[[#This Row],[TDM_DD]:[WFM_DD]]))</f>
        <v>0.40604843944311142</v>
      </c>
      <c r="Q12" s="57">
        <f t="array" aca="1" ref="Q12" ca="1">MAX(IF(ISERROR(DD_Table[[TDM_DD]:[WFM_DD]]),0,DD_Table[[TDM_DD]:[WFM_DD]]))*0.8</f>
        <v>12.322580718994141</v>
      </c>
      <c r="R12" s="57">
        <v>0.5</v>
      </c>
      <c r="S12" s="57">
        <v>0.5</v>
      </c>
      <c r="T12" s="57">
        <v>0.5</v>
      </c>
      <c r="U12" s="57">
        <v>0.5</v>
      </c>
      <c r="V12" s="57">
        <v>0.5</v>
      </c>
      <c r="W12" s="57">
        <v>0.5</v>
      </c>
      <c r="X12" s="59" t="e">
        <f ca="1">IFERROR(VLOOKUP(C12,TDM_DD[[Week-Year]:[Core Reg]],4,FALSE),IF(ISNUMBER(OFFSET(X12,-1,0)),OFFSET(X12,-1,0),NA()))</f>
        <v>#N/A</v>
      </c>
      <c r="Y12" s="59" t="e">
        <f ca="1">IFERROR(VLOOKUP(C12,TDM_DD[[Week-Year]:[Core Reg]],5,FALSE),IF(ISNUMBER(OFFSET(Y12,-1,0)),OFFSET(Y12,-1,0),NA()))</f>
        <v>#N/A</v>
      </c>
      <c r="Z12" s="59">
        <f ca="1">IFERROR(VLOOKUP(C12,Coles_DD[[Week-Year]:[Core Reg]],4,FALSE),IF(ISNUMBER(OFFSET(Z12,-1,0)),OFFSET(Z12,-1,0),NA()))</f>
        <v>0</v>
      </c>
      <c r="AA12" s="59">
        <f ca="1">IFERROR(VLOOKUP(C12,Coles_DD[[Week-Year]:[Core Reg]],5,FALSE),IF(ISNUMBER(OFFSET(AA12,-1,0)),OFFSET(AA12,-1,0),NA()))</f>
        <v>0</v>
      </c>
      <c r="AB12" s="59">
        <f ca="1">IFERROR(VLOOKUP(C12,WOW_DD[[Week-Year]:[Core Reg]],4,FALSE),IF(ISNUMBER(OFFSET(AB12,-1,0)),OFFSET(AB12,-1,0),NA()))</f>
        <v>7.47967529296875</v>
      </c>
      <c r="AC12" s="59">
        <f ca="1">IFERROR(VLOOKUP(C12,WOW_DD[[Week-Year]:[Core Reg]],5,FALSE),IF(ISNUMBER(OFFSET(AC12,-1,0)),OFFSET(AC12,-1,0),NA()))</f>
        <v>12.317880630493164</v>
      </c>
      <c r="AD12" s="59">
        <f ca="1">IFERROR(VLOOKUP(C12,SSL_DD[[Week-Year]:[Core Reg]],4,FALSE),IF(ISNUMBER(OFFSET(AD12,-1,0)),OFFSET(AD12,-1,0),NA()))</f>
        <v>39.454975128173828</v>
      </c>
      <c r="AE12" s="59">
        <f ca="1">IFERROR(VLOOKUP(C12,SSL_DD[[Week-Year]:[Core Reg]],5,FALSE),IF(ISNUMBER(OFFSET(AE12,-1,0)),OFFSET(AE12,-1,0),NA()))</f>
        <v>53.930133819580078</v>
      </c>
      <c r="AF12" s="59">
        <f ca="1">IFERROR(VLOOKUP(C12,WFM_DD[[Week-Year]:[Core Reg]],4,FALSE),IF(ISNUMBER(OFFSET(AF12,-1,0)),OFFSET(AF12,-1,0),NA()))</f>
        <v>4.2553191184997559</v>
      </c>
      <c r="AG12" s="59">
        <f ca="1">IFERROR(VLOOKUP(C12,WFM_DD[[Week-Year]:[Core Reg]],5,FALSE),IF(ISNUMBER(OFFSET(AG12,-1,0)),OFFSET(AG12,-1,0),NA()))</f>
        <v>38.235294342041016</v>
      </c>
      <c r="AH12" s="62">
        <f ca="1">IFERROR(VLOOKUP(C12,RTen_DD[[Week-Year]:[Core Reg]],4,FALSE),IF(ISNUMBER(OFFSET(AH12,-1,0)),OFFSET(AH12,-1,0),NA()))</f>
        <v>0</v>
      </c>
      <c r="AI12" s="62">
        <f ca="1">IFERROR(VLOOKUP(C12,RTen_DD[[Week-Year]:[Core Reg]],5,FALSE)/100,IF(ISNUMBER(OFFSET(AI12,-1,0)),OFFSET(AI12,-1,0),NA()))</f>
        <v>0.38858001708984374</v>
      </c>
      <c r="AJ12" s="62" t="e">
        <f ca="1">DD_Table[[#This Row],[TDM_Ext_Reg]]</f>
        <v>#N/A</v>
      </c>
      <c r="AK12" s="62">
        <f ca="1">DD_Table[[#This Row],[Coles_Ext_Reg]]</f>
        <v>0</v>
      </c>
      <c r="AL12" s="62">
        <f ca="1">DD_Table[[#This Row],[WOW_Ext_Reg]]</f>
        <v>7.47967529296875</v>
      </c>
      <c r="AM12" s="62">
        <f ca="1">DD_Table[[#This Row],[SSL_Ext_Reg]]</f>
        <v>39.454975128173828</v>
      </c>
      <c r="AN12" s="62">
        <f ca="1">DD_Table[[#This Row],[WFM_Ext_Reg]]</f>
        <v>4.2553191184997559</v>
      </c>
      <c r="AO12" s="62">
        <f t="array" aca="1" ref="AO12" ca="1">IFERROR(AVERAGE(IF(ISNUMBER(DD_Table[[#This Row],[TDM_Avg]:[WFM_Avg]]),DD_Table[[#This Row],[TDM_Avg]:[WFM_Avg]]))/100,NA())</f>
        <v>0.12797492384910583</v>
      </c>
      <c r="AP12" s="62">
        <f t="array" aca="1" ref="AP12" ca="1">MAX(IF(ISERROR(DD_Table[[TDM_Avg]:[WFM_Avg]]),0,DD_Table[[TDM_Avg]:[WFM_Avg]]))*1.1</f>
        <v>48.107883834838873</v>
      </c>
      <c r="AQ12" s="62">
        <f t="array" aca="1" ref="AQ12" ca="1">MAX(IF(ISERROR(DD_Table[[TDM_Ext_Reg]:[WFM_Core_Reg]]),0,DD_Table[[TDM_Ext_Reg]:[WFM_Core_Reg]]))</f>
        <v>61.538463592529297</v>
      </c>
      <c r="AR12" s="65" t="e">
        <f ca="1">IFERROR(VLOOKUP(C12,TDM_DD[[Week-Year]:[DDP]],6,FALSE),IF(ISNUMBER(OFFSET(AR12,-1,0)),OFFSET(AR12,-1,0),NA()))</f>
        <v>#N/A</v>
      </c>
      <c r="AS12" s="65">
        <f ca="1">IFERROR(VLOOKUP(C12,Coles_DD[[Week-Year]:[DDP]],6,FALSE),IF(ISNUMBER(OFFSET(AS12,-1,0)),OFFSET(AS12,-1,0),NA()))</f>
        <v>0.18928571428571428</v>
      </c>
      <c r="AT12" s="65">
        <f ca="1">IFERROR(VLOOKUP(C12,WOW_DD[[Week-Year]:[DDP]],6,FALSE),IF(ISNUMBER(OFFSET(AT12,-1,0)),OFFSET(AT12,-1,0),NA()))</f>
        <v>0.36782945736434108</v>
      </c>
      <c r="AU12" s="65">
        <f ca="1">IFERROR(VLOOKUP(C12,SSL_DD[[Week-Year]:[DDP]],6,FALSE),IF(ISNUMBER(OFFSET(AU12,-1,0)),OFFSET(AU12,-1,0),NA()))</f>
        <v>0.32213333333333333</v>
      </c>
      <c r="AV12" s="65">
        <f ca="1">IFERROR(VLOOKUP(C12,WFM_DD[[Week-Year]:[DDP]],6,FALSE),IF(ISNUMBER(OFFSET(AV12,-1,0)),OFFSET(AV12,-1,0),NA()))</f>
        <v>0.37121212121212122</v>
      </c>
      <c r="AW12" s="65">
        <f t="array" aca="1" ref="AW12" ca="1">IFERROR(AVERAGE(IF(ISNUMBER(DD_Table[[#This Row],[TDM_DDP]:[WFM_DDP]]),DD_Table[[#This Row],[TDM_DDP]:[WFM_DDP]])),NA())</f>
        <v>0.3126151565488775</v>
      </c>
      <c r="AX12" s="65">
        <f t="array" aca="1" ref="AX12" ca="1">IFERROR(MAX(IF(ISNUMBER(DD_Table[[TDM_DDP]:[WFM_DDP]]),DD_Table[[TDM_DDP]:[WFM_DDP]])),NA())</f>
        <v>0.68</v>
      </c>
      <c r="AY12" s="88">
        <f ca="1">IFERROR(VLOOKUP(C12,RTen_DD[[Week-Year]:[Core DDP]],6,FALSE),IF(ISNUMBER(VLOOKUP(C12,RTen_DD[[Week-Year]:[Core DDP]],6,FALSE)),OFFSET(AY12,-1,0),OFFSET(AY12,-1,0)))</f>
        <v>0.18677686691284179</v>
      </c>
      <c r="AZ12" s="65"/>
      <c r="BA12" s="65"/>
      <c r="BC12">
        <v>10</v>
      </c>
      <c r="BD12">
        <v>5</v>
      </c>
      <c r="BE12">
        <v>0</v>
      </c>
      <c r="BF12">
        <v>1</v>
      </c>
      <c r="BG12">
        <v>3</v>
      </c>
      <c r="BH12">
        <v>0</v>
      </c>
      <c r="BI12">
        <v>4</v>
      </c>
      <c r="BO12" s="71"/>
      <c r="BP12" s="71">
        <f>MAX(Med_Table[[TDM]:[WFM]])</f>
        <v>29</v>
      </c>
      <c r="DN12" s="71"/>
      <c r="DO12" s="71"/>
      <c r="DV12" s="30"/>
      <c r="DW12" s="30"/>
    </row>
    <row r="13" spans="1:129">
      <c r="A13" s="69">
        <f t="shared" si="2"/>
        <v>41724</v>
      </c>
      <c r="B13" s="70">
        <f t="shared" si="0"/>
        <v>13</v>
      </c>
      <c r="C13" s="70">
        <f t="shared" si="1"/>
        <v>132014</v>
      </c>
      <c r="D13" s="57" t="e">
        <f ca="1">IFERROR(VLOOKUP(C13,TDM_DD[[Week-Year]:[DD]],2,FALSE),IF(ISNUMBER(OFFSET(D13,-1,0)),OFFSET(D13,-1,0),NA()))</f>
        <v>#N/A</v>
      </c>
      <c r="E13" s="58">
        <f ca="1">IFERROR(VLOOKUP(C13,Coles_DD[[Week-Year]:[DD]],2,FALSE),IF(ISNUMBER(OFFSET(E13,-1,0)),OFFSET(E13,-1,0),NA()))</f>
        <v>1851</v>
      </c>
      <c r="F13" s="58">
        <f ca="1">IFERROR(VLOOKUP(C13,WOW_DD[[Week-Year]:[DD]],2,FALSE),IF(ISNUMBER(OFFSET(F13,-1,0)),OFFSET(F13,-1,0),NA()))</f>
        <v>2801</v>
      </c>
      <c r="G13" s="57">
        <f ca="1">IFERROR(VLOOKUP(C13,SSL_DD[[Week-Year]:[DD]],2,FALSE),IF(ISNUMBER(OFFSET(G13,-1,0)),OFFSET(G13,-1,0),NA()))</f>
        <v>0</v>
      </c>
      <c r="H13" s="58">
        <f ca="1">IFERROR(VLOOKUP(C13,WFM_DD[[Week-Year]:[DD]],2,FALSE),IF(ISNUMBER(OFFSET(H13,-1,0)),OFFSET(H13,-1,0),NA()))</f>
        <v>88</v>
      </c>
      <c r="I13" s="57">
        <f ca="1">IFERROR(VLOOKUP(C13,RTen_DD[[Week-Year]:[DD]],2,FALSE),IF(ISNUMBER(OFFSET(I13,-1,0)),OFFSET(I13,-1,0),NA()))</f>
        <v>5736</v>
      </c>
      <c r="J13" s="57" t="e">
        <f ca="1">IFERROR(VLOOKUP(C13,TDM_DD[[Week-Year]:[DD]],3,FALSE),IF(ISNUMBER(OFFSET(J13,-1,0)),OFFSET(J13,-1,0),NA()))</f>
        <v>#N/A</v>
      </c>
      <c r="K13" s="57">
        <f ca="1">IFERROR(VLOOKUP(C13,Coles_DD[[Week-Year]:[DD]],3,FALSE),IF(ISNUMBER(OFFSET(K13,-1,0)),OFFSET(K13,-1,0),NA()))</f>
        <v>0.43111830949783325</v>
      </c>
      <c r="L13" s="57">
        <f ca="1">IFERROR(VLOOKUP(C13,WOW_DD[[Week-Year]:[DD]],3,FALSE),IF(ISNUMBER(OFFSET(L13,-1,0)),OFFSET(L13,-1,0),NA()))</f>
        <v>0.45198142528533936</v>
      </c>
      <c r="M13" s="57">
        <f ca="1">IFERROR(VLOOKUP(C13,SSL_DD[[Week-Year]:[DD]],3,FALSE),IF(ISNUMBER(OFFSET(M13,-1,0)),OFFSET(M13,-1,0),NA()))</f>
        <v>0</v>
      </c>
      <c r="N13" s="57">
        <f ca="1">IFERROR(VLOOKUP(C13,WFM_DD[[Week-Year]:[DD]],3,FALSE),IF(ISNUMBER(OFFSET(N13,-1,0)),OFFSET(N13,-1,0),NA()))</f>
        <v>0.56818181276321411</v>
      </c>
      <c r="O13" s="57">
        <f ca="1">IFERROR(VLOOKUP(C13,RTen_DD[[Week-Year]:[DD]],3,FALSE),IF(ISNUMBER(OFFSET(O13,-1,0)),OFFSET(O13,-1,0),NA()))</f>
        <v>1.188807487487793</v>
      </c>
      <c r="P13" s="57">
        <f t="array" aca="1" ref="P13" ca="1">AVERAGE(IF(ISNUMBER(DD_Table[[#This Row],[TDM_DD]:[WFM_DD]]),DD_Table[[#This Row],[TDM_DD]:[WFM_DD]]))</f>
        <v>0.36282038688659668</v>
      </c>
      <c r="Q13" s="57">
        <f t="array" aca="1" ref="Q13" ca="1">MAX(IF(ISERROR(DD_Table[[TDM_DD]:[WFM_DD]]),0,DD_Table[[TDM_DD]:[WFM_DD]]))*0.8</f>
        <v>12.322580718994141</v>
      </c>
      <c r="R13" s="57">
        <v>0.5</v>
      </c>
      <c r="S13" s="57">
        <v>0.5</v>
      </c>
      <c r="T13" s="57">
        <v>0.5</v>
      </c>
      <c r="U13" s="57">
        <v>0.5</v>
      </c>
      <c r="V13" s="57">
        <v>0.5</v>
      </c>
      <c r="W13" s="57">
        <v>0.5</v>
      </c>
      <c r="X13" s="59" t="e">
        <f ca="1">IFERROR(VLOOKUP(C13,TDM_DD[[Week-Year]:[Core Reg]],4,FALSE),IF(ISNUMBER(OFFSET(X13,-1,0)),OFFSET(X13,-1,0),NA()))</f>
        <v>#N/A</v>
      </c>
      <c r="Y13" s="59" t="e">
        <f ca="1">IFERROR(VLOOKUP(C13,TDM_DD[[Week-Year]:[Core Reg]],5,FALSE),IF(ISNUMBER(OFFSET(Y13,-1,0)),OFFSET(Y13,-1,0),NA()))</f>
        <v>#N/A</v>
      </c>
      <c r="Z13" s="59">
        <f ca="1">IFERROR(VLOOKUP(C13,Coles_DD[[Week-Year]:[Core Reg]],4,FALSE),IF(ISNUMBER(OFFSET(Z13,-1,0)),OFFSET(Z13,-1,0),NA()))</f>
        <v>0</v>
      </c>
      <c r="AA13" s="59">
        <f ca="1">IFERROR(VLOOKUP(C13,Coles_DD[[Week-Year]:[Core Reg]],5,FALSE),IF(ISNUMBER(OFFSET(AA13,-1,0)),OFFSET(AA13,-1,0),NA()))</f>
        <v>0.47393366694450378</v>
      </c>
      <c r="AB13" s="59">
        <f ca="1">IFERROR(VLOOKUP(C13,WOW_DD[[Week-Year]:[Core Reg]],4,FALSE),IF(ISNUMBER(OFFSET(AB13,-1,0)),OFFSET(AB13,-1,0),NA()))</f>
        <v>7.8199052810668945</v>
      </c>
      <c r="AC13" s="59">
        <f ca="1">IFERROR(VLOOKUP(C13,WOW_DD[[Week-Year]:[Core Reg]],5,FALSE),IF(ISNUMBER(OFFSET(AC13,-1,0)),OFFSET(AC13,-1,0),NA()))</f>
        <v>12.195121765136719</v>
      </c>
      <c r="AD13" s="59">
        <f ca="1">IFERROR(VLOOKUP(C13,SSL_DD[[Week-Year]:[Core Reg]],4,FALSE),IF(ISNUMBER(OFFSET(AD13,-1,0)),OFFSET(AD13,-1,0),NA()))</f>
        <v>38.683601379394531</v>
      </c>
      <c r="AE13" s="59">
        <f ca="1">IFERROR(VLOOKUP(C13,SSL_DD[[Week-Year]:[Core Reg]],5,FALSE),IF(ISNUMBER(OFFSET(AE13,-1,0)),OFFSET(AE13,-1,0),NA()))</f>
        <v>53.319053649902344</v>
      </c>
      <c r="AF13" s="59">
        <f ca="1">IFERROR(VLOOKUP(C13,WFM_DD[[Week-Year]:[Core Reg]],4,FALSE),IF(ISNUMBER(OFFSET(AF13,-1,0)),OFFSET(AF13,-1,0),NA()))</f>
        <v>4</v>
      </c>
      <c r="AG13" s="59">
        <f ca="1">IFERROR(VLOOKUP(C13,WFM_DD[[Week-Year]:[Core Reg]],5,FALSE),IF(ISNUMBER(OFFSET(AG13,-1,0)),OFFSET(AG13,-1,0),NA()))</f>
        <v>38.235294342041016</v>
      </c>
      <c r="AH13" s="62">
        <f ca="1">IFERROR(VLOOKUP(C13,RTen_DD[[Week-Year]:[Core Reg]],4,FALSE),IF(ISNUMBER(OFFSET(AH13,-1,0)),OFFSET(AH13,-1,0),NA()))</f>
        <v>0</v>
      </c>
      <c r="AI13" s="62">
        <f ca="1">IFERROR(VLOOKUP(C13,RTen_DD[[Week-Year]:[Core Reg]],5,FALSE)/100,IF(ISNUMBER(OFFSET(AI13,-1,0)),OFFSET(AI13,-1,0),NA()))</f>
        <v>0.38524711608886719</v>
      </c>
      <c r="AJ13" s="62" t="e">
        <f ca="1">DD_Table[[#This Row],[TDM_Ext_Reg]]</f>
        <v>#N/A</v>
      </c>
      <c r="AK13" s="62">
        <f ca="1">DD_Table[[#This Row],[Coles_Ext_Reg]]</f>
        <v>0</v>
      </c>
      <c r="AL13" s="62">
        <f ca="1">DD_Table[[#This Row],[WOW_Ext_Reg]]</f>
        <v>7.8199052810668945</v>
      </c>
      <c r="AM13" s="62">
        <f ca="1">DD_Table[[#This Row],[SSL_Ext_Reg]]</f>
        <v>38.683601379394531</v>
      </c>
      <c r="AN13" s="62">
        <f ca="1">DD_Table[[#This Row],[WFM_Ext_Reg]]</f>
        <v>4</v>
      </c>
      <c r="AO13" s="62">
        <f t="array" aca="1" ref="AO13" ca="1">IFERROR(AVERAGE(IF(ISNUMBER(DD_Table[[#This Row],[TDM_Avg]:[WFM_Avg]]),DD_Table[[#This Row],[TDM_Avg]:[WFM_Avg]]))/100,NA())</f>
        <v>0.12625876665115357</v>
      </c>
      <c r="AP13" s="62">
        <f t="array" aca="1" ref="AP13" ca="1">MAX(IF(ISERROR(DD_Table[[TDM_Avg]:[WFM_Avg]]),0,DD_Table[[TDM_Avg]:[WFM_Avg]]))*1.1</f>
        <v>48.107883834838873</v>
      </c>
      <c r="AQ13" s="62">
        <f t="array" aca="1" ref="AQ13" ca="1">MAX(IF(ISERROR(DD_Table[[TDM_Ext_Reg]:[WFM_Core_Reg]]),0,DD_Table[[TDM_Ext_Reg]:[WFM_Core_Reg]]))</f>
        <v>61.538463592529297</v>
      </c>
      <c r="AR13" s="65" t="e">
        <f ca="1">IFERROR(VLOOKUP(C13,TDM_DD[[Week-Year]:[DDP]],6,FALSE),IF(ISNUMBER(OFFSET(AR13,-1,0)),OFFSET(AR13,-1,0),NA()))</f>
        <v>#N/A</v>
      </c>
      <c r="AS13" s="65">
        <f ca="1">IFERROR(VLOOKUP(C13,Coles_DD[[Week-Year]:[DDP]],6,FALSE),IF(ISNUMBER(OFFSET(AS13,-1,0)),OFFSET(AS13,-1,0),NA()))</f>
        <v>0.19377162629757785</v>
      </c>
      <c r="AT13" s="65">
        <f ca="1">IFERROR(VLOOKUP(C13,WOW_DD[[Week-Year]:[DDP]],6,FALSE),IF(ISNUMBER(OFFSET(AT13,-1,0)),OFFSET(AT13,-1,0),NA()))</f>
        <v>0.36820241691842898</v>
      </c>
      <c r="AU13" s="65">
        <f ca="1">IFERROR(VLOOKUP(C13,SSL_DD[[Week-Year]:[DDP]],6,FALSE),IF(ISNUMBER(OFFSET(AU13,-1,0)),OFFSET(AU13,-1,0),NA()))</f>
        <v>0.32241289651586064</v>
      </c>
      <c r="AV13" s="65">
        <f ca="1">IFERROR(VLOOKUP(C13,WFM_DD[[Week-Year]:[DDP]],6,FALSE),IF(ISNUMBER(OFFSET(AV13,-1,0)),OFFSET(AV13,-1,0),NA()))</f>
        <v>0.36764705882352944</v>
      </c>
      <c r="AW13" s="65">
        <f t="array" aca="1" ref="AW13" ca="1">IFERROR(AVERAGE(IF(ISNUMBER(DD_Table[[#This Row],[TDM_DDP]:[WFM_DDP]]),DD_Table[[#This Row],[TDM_DDP]:[WFM_DDP]])),NA())</f>
        <v>0.31300849963884925</v>
      </c>
      <c r="AX13" s="65">
        <f t="array" aca="1" ref="AX13" ca="1">IFERROR(MAX(IF(ISNUMBER(DD_Table[[TDM_DDP]:[WFM_DDP]]),DD_Table[[TDM_DDP]:[WFM_DDP]])),NA())</f>
        <v>0.68</v>
      </c>
      <c r="AY13" s="88">
        <f ca="1">IFERROR(VLOOKUP(C13,RTen_DD[[Week-Year]:[Core DDP]],6,FALSE),IF(ISNUMBER(VLOOKUP(C13,RTen_DD[[Week-Year]:[Core DDP]],6,FALSE)),OFFSET(AY13,-1,0),OFFSET(AY13,-1,0)))</f>
        <v>0.18844404220581054</v>
      </c>
      <c r="AZ13" s="65"/>
      <c r="BA13" s="65"/>
      <c r="BC13">
        <v>11</v>
      </c>
      <c r="BD13">
        <v>4</v>
      </c>
      <c r="BE13">
        <v>4</v>
      </c>
      <c r="BF13">
        <v>1</v>
      </c>
      <c r="BG13">
        <v>1</v>
      </c>
      <c r="BH13">
        <v>0</v>
      </c>
      <c r="BI13">
        <v>1</v>
      </c>
      <c r="BO13" s="71"/>
      <c r="BP13" s="71">
        <f>MAX(Med_Table[[TDM]:[WFM]])</f>
        <v>29</v>
      </c>
      <c r="DN13" s="71"/>
      <c r="DO13" s="71"/>
      <c r="DV13" s="30"/>
      <c r="DW13" s="30"/>
    </row>
    <row r="14" spans="1:129">
      <c r="A14" s="69">
        <f t="shared" si="2"/>
        <v>41731</v>
      </c>
      <c r="B14" s="70">
        <f t="shared" si="0"/>
        <v>14</v>
      </c>
      <c r="C14" s="70">
        <f t="shared" si="1"/>
        <v>142014</v>
      </c>
      <c r="D14" s="57" t="e">
        <f ca="1">IFERROR(VLOOKUP(C14,TDM_DD[[Week-Year]:[DD]],2,FALSE),IF(ISNUMBER(OFFSET(D14,-1,0)),OFFSET(D14,-1,0),NA()))</f>
        <v>#N/A</v>
      </c>
      <c r="E14" s="58">
        <f ca="1">IFERROR(VLOOKUP(C14,Coles_DD[[Week-Year]:[DD]],2,FALSE),IF(ISNUMBER(OFFSET(E14,-1,0)),OFFSET(E14,-1,0),NA()))</f>
        <v>1914</v>
      </c>
      <c r="F14" s="58">
        <f ca="1">IFERROR(VLOOKUP(C14,WOW_DD[[Week-Year]:[DD]],2,FALSE),IF(ISNUMBER(OFFSET(F14,-1,0)),OFFSET(F14,-1,0),NA()))</f>
        <v>2822</v>
      </c>
      <c r="G14" s="57">
        <f ca="1">IFERROR(VLOOKUP(C14,SSL_DD[[Week-Year]:[DD]],2,FALSE),IF(ISNUMBER(OFFSET(G14,-1,0)),OFFSET(G14,-1,0),NA()))</f>
        <v>36</v>
      </c>
      <c r="H14" s="58">
        <f ca="1">IFERROR(VLOOKUP(C14,WFM_DD[[Week-Year]:[DD]],2,FALSE),IF(ISNUMBER(OFFSET(H14,-1,0)),OFFSET(H14,-1,0),NA()))</f>
        <v>93</v>
      </c>
      <c r="I14" s="57">
        <f ca="1">IFERROR(VLOOKUP(C14,RTen_DD[[Week-Year]:[DD]],2,FALSE),IF(ISNUMBER(OFFSET(I14,-1,0)),OFFSET(I14,-1,0),NA()))</f>
        <v>5862</v>
      </c>
      <c r="J14" s="57" t="e">
        <f ca="1">IFERROR(VLOOKUP(C14,TDM_DD[[Week-Year]:[DD]],3,FALSE),IF(ISNUMBER(OFFSET(J14,-1,0)),OFFSET(J14,-1,0),NA()))</f>
        <v>#N/A</v>
      </c>
      <c r="K14" s="57">
        <f ca="1">IFERROR(VLOOKUP(C14,Coles_DD[[Week-Year]:[DD]],3,FALSE),IF(ISNUMBER(OFFSET(K14,-1,0)),OFFSET(K14,-1,0),NA()))</f>
        <v>0.43207940459251404</v>
      </c>
      <c r="L14" s="57">
        <f ca="1">IFERROR(VLOOKUP(C14,WOW_DD[[Week-Year]:[DD]],3,FALSE),IF(ISNUMBER(OFFSET(L14,-1,0)),OFFSET(L14,-1,0),NA()))</f>
        <v>0.46066617965698242</v>
      </c>
      <c r="M14" s="57">
        <f ca="1">IFERROR(VLOOKUP(C14,SSL_DD[[Week-Year]:[DD]],3,FALSE),IF(ISNUMBER(OFFSET(M14,-1,0)),OFFSET(M14,-1,0),NA()))</f>
        <v>0</v>
      </c>
      <c r="N14" s="57">
        <f ca="1">IFERROR(VLOOKUP(C14,WFM_DD[[Week-Year]:[DD]],3,FALSE),IF(ISNUMBER(OFFSET(N14,-1,0)),OFFSET(N14,-1,0),NA()))</f>
        <v>0.61290323734283447</v>
      </c>
      <c r="O14" s="57">
        <f ca="1">IFERROR(VLOOKUP(C14,RTen_DD[[Week-Year]:[DD]],3,FALSE),IF(ISNUMBER(OFFSET(O14,-1,0)),OFFSET(O14,-1,0),NA()))</f>
        <v>1.192596435546875</v>
      </c>
      <c r="P14" s="57">
        <f t="array" aca="1" ref="P14" ca="1">AVERAGE(IF(ISNUMBER(DD_Table[[#This Row],[TDM_DD]:[WFM_DD]]),DD_Table[[#This Row],[TDM_DD]:[WFM_DD]]))</f>
        <v>0.37641220539808273</v>
      </c>
      <c r="Q14" s="57">
        <f t="array" aca="1" ref="Q14" ca="1">MAX(IF(ISERROR(DD_Table[[TDM_DD]:[WFM_DD]]),0,DD_Table[[TDM_DD]:[WFM_DD]]))*0.8</f>
        <v>12.322580718994141</v>
      </c>
      <c r="R14" s="57">
        <v>0.5</v>
      </c>
      <c r="S14" s="57">
        <v>0.5</v>
      </c>
      <c r="T14" s="57">
        <v>0.5</v>
      </c>
      <c r="U14" s="57">
        <v>0.5</v>
      </c>
      <c r="V14" s="57">
        <v>0.5</v>
      </c>
      <c r="W14" s="57">
        <v>0.5</v>
      </c>
      <c r="X14" s="59" t="e">
        <f ca="1">IFERROR(VLOOKUP(C14,TDM_DD[[Week-Year]:[Core Reg]],4,FALSE),IF(ISNUMBER(OFFSET(X14,-1,0)),OFFSET(X14,-1,0),NA()))</f>
        <v>#N/A</v>
      </c>
      <c r="Y14" s="59" t="e">
        <f ca="1">IFERROR(VLOOKUP(C14,TDM_DD[[Week-Year]:[Core Reg]],5,FALSE),IF(ISNUMBER(OFFSET(Y14,-1,0)),OFFSET(Y14,-1,0),NA()))</f>
        <v>#N/A</v>
      </c>
      <c r="Z14" s="59">
        <f ca="1">IFERROR(VLOOKUP(C14,Coles_DD[[Week-Year]:[Core Reg]],4,FALSE),IF(ISNUMBER(OFFSET(Z14,-1,0)),OFFSET(Z14,-1,0),NA()))</f>
        <v>0</v>
      </c>
      <c r="AA14" s="59">
        <f ca="1">IFERROR(VLOOKUP(C14,Coles_DD[[Week-Year]:[Core Reg]],5,FALSE),IF(ISNUMBER(OFFSET(AA14,-1,0)),OFFSET(AA14,-1,0),NA()))</f>
        <v>0.45871558785438538</v>
      </c>
      <c r="AB14" s="59">
        <f ca="1">IFERROR(VLOOKUP(C14,WOW_DD[[Week-Year]:[Core Reg]],4,FALSE),IF(ISNUMBER(OFFSET(AB14,-1,0)),OFFSET(AB14,-1,0),NA()))</f>
        <v>8.0769233703613281</v>
      </c>
      <c r="AC14" s="59">
        <f ca="1">IFERROR(VLOOKUP(C14,WOW_DD[[Week-Year]:[Core Reg]],5,FALSE),IF(ISNUMBER(OFFSET(AC14,-1,0)),OFFSET(AC14,-1,0),NA()))</f>
        <v>12.155387878417969</v>
      </c>
      <c r="AD14" s="59">
        <f ca="1">IFERROR(VLOOKUP(C14,SSL_DD[[Week-Year]:[Core Reg]],4,FALSE),IF(ISNUMBER(OFFSET(AD14,-1,0)),OFFSET(AD14,-1,0),NA()))</f>
        <v>39.737991333007812</v>
      </c>
      <c r="AE14" s="59">
        <f ca="1">IFERROR(VLOOKUP(C14,SSL_DD[[Week-Year]:[Core Reg]],5,FALSE),IF(ISNUMBER(OFFSET(AE14,-1,0)),OFFSET(AE14,-1,0),NA()))</f>
        <v>53.144012451171875</v>
      </c>
      <c r="AF14" s="59">
        <f ca="1">IFERROR(VLOOKUP(C14,WFM_DD[[Week-Year]:[Core Reg]],4,FALSE),IF(ISNUMBER(OFFSET(AF14,-1,0)),OFFSET(AF14,-1,0),NA()))</f>
        <v>3.5087718963623047</v>
      </c>
      <c r="AG14" s="59">
        <f ca="1">IFERROR(VLOOKUP(C14,WFM_DD[[Week-Year]:[Core Reg]],5,FALSE),IF(ISNUMBER(OFFSET(AG14,-1,0)),OFFSET(AG14,-1,0),NA()))</f>
        <v>31.707317352294922</v>
      </c>
      <c r="AH14" s="62">
        <f ca="1">IFERROR(VLOOKUP(C14,RTen_DD[[Week-Year]:[Core Reg]],4,FALSE),IF(ISNUMBER(OFFSET(AH14,-1,0)),OFFSET(AH14,-1,0),NA()))</f>
        <v>0</v>
      </c>
      <c r="AI14" s="62">
        <f ca="1">IFERROR(VLOOKUP(C14,RTen_DD[[Week-Year]:[Core Reg]],5,FALSE)/100,IF(ISNUMBER(OFFSET(AI14,-1,0)),OFFSET(AI14,-1,0),NA()))</f>
        <v>0.38249176025390624</v>
      </c>
      <c r="AJ14" s="62" t="e">
        <f ca="1">DD_Table[[#This Row],[TDM_Ext_Reg]]</f>
        <v>#N/A</v>
      </c>
      <c r="AK14" s="62">
        <f ca="1">DD_Table[[#This Row],[Coles_Ext_Reg]]</f>
        <v>0</v>
      </c>
      <c r="AL14" s="62">
        <f ca="1">DD_Table[[#This Row],[WOW_Ext_Reg]]</f>
        <v>8.0769233703613281</v>
      </c>
      <c r="AM14" s="62">
        <f ca="1">DD_Table[[#This Row],[SSL_Ext_Reg]]</f>
        <v>39.737991333007812</v>
      </c>
      <c r="AN14" s="62">
        <f ca="1">DD_Table[[#This Row],[WFM_Ext_Reg]]</f>
        <v>3.5087718963623047</v>
      </c>
      <c r="AO14" s="62">
        <f t="array" aca="1" ref="AO14" ca="1">IFERROR(AVERAGE(IF(ISNUMBER(DD_Table[[#This Row],[TDM_Avg]:[WFM_Avg]]),DD_Table[[#This Row],[TDM_Avg]:[WFM_Avg]]))/100,NA())</f>
        <v>0.12830921649932861</v>
      </c>
      <c r="AP14" s="62">
        <f t="array" aca="1" ref="AP14" ca="1">MAX(IF(ISERROR(DD_Table[[TDM_Avg]:[WFM_Avg]]),0,DD_Table[[TDM_Avg]:[WFM_Avg]]))*1.1</f>
        <v>48.107883834838873</v>
      </c>
      <c r="AQ14" s="62">
        <f t="array" aca="1" ref="AQ14" ca="1">MAX(IF(ISERROR(DD_Table[[TDM_Ext_Reg]:[WFM_Core_Reg]]),0,DD_Table[[TDM_Ext_Reg]:[WFM_Core_Reg]]))</f>
        <v>61.538463592529297</v>
      </c>
      <c r="AR14" s="65" t="e">
        <f ca="1">IFERROR(VLOOKUP(C14,TDM_DD[[Week-Year]:[DDP]],6,FALSE),IF(ISNUMBER(OFFSET(AR14,-1,0)),OFFSET(AR14,-1,0),NA()))</f>
        <v>#N/A</v>
      </c>
      <c r="AS14" s="65">
        <f ca="1">IFERROR(VLOOKUP(C14,Coles_DD[[Week-Year]:[DDP]],6,FALSE),IF(ISNUMBER(OFFSET(AS14,-1,0)),OFFSET(AS14,-1,0),NA()))</f>
        <v>0.19326599326599325</v>
      </c>
      <c r="AT14" s="65">
        <f ca="1">IFERROR(VLOOKUP(C14,WOW_DD[[Week-Year]:[DDP]],6,FALSE),IF(ISNUMBER(OFFSET(AT14,-1,0)),OFFSET(AT14,-1,0),NA()))</f>
        <v>0.36712126796903799</v>
      </c>
      <c r="AU14" s="65">
        <f ca="1">IFERROR(VLOOKUP(C14,SSL_DD[[Week-Year]:[DDP]],6,FALSE),IF(ISNUMBER(OFFSET(AU14,-1,0)),OFFSET(AU14,-1,0),NA()))</f>
        <v>0.31938976377952755</v>
      </c>
      <c r="AV14" s="65">
        <f ca="1">IFERROR(VLOOKUP(C14,WFM_DD[[Week-Year]:[DDP]],6,FALSE),IF(ISNUMBER(OFFSET(AV14,-1,0)),OFFSET(AV14,-1,0),NA()))</f>
        <v>0.38961038961038963</v>
      </c>
      <c r="AW14" s="65">
        <f t="array" aca="1" ref="AW14" ca="1">IFERROR(AVERAGE(IF(ISNUMBER(DD_Table[[#This Row],[TDM_DDP]:[WFM_DDP]]),DD_Table[[#This Row],[TDM_DDP]:[WFM_DDP]])),NA())</f>
        <v>0.3173468536562371</v>
      </c>
      <c r="AX14" s="65">
        <f t="array" aca="1" ref="AX14" ca="1">IFERROR(MAX(IF(ISNUMBER(DD_Table[[TDM_DDP]:[WFM_DDP]]),DD_Table[[TDM_DDP]:[WFM_DDP]])),NA())</f>
        <v>0.68</v>
      </c>
      <c r="AY14" s="88">
        <f ca="1">IFERROR(VLOOKUP(C14,RTen_DD[[Week-Year]:[Core DDP]],6,FALSE),IF(ISNUMBER(VLOOKUP(C14,RTen_DD[[Week-Year]:[Core DDP]],6,FALSE)),OFFSET(AY14,-1,0),OFFSET(AY14,-1,0)))</f>
        <v>0.19138893127441406</v>
      </c>
      <c r="AZ14" s="65"/>
      <c r="BA14" s="65"/>
      <c r="BC14">
        <v>12</v>
      </c>
      <c r="BD14">
        <v>0</v>
      </c>
      <c r="BE14">
        <v>0</v>
      </c>
      <c r="BF14">
        <v>1</v>
      </c>
      <c r="BG14">
        <v>2</v>
      </c>
      <c r="BH14">
        <v>0</v>
      </c>
      <c r="BI14">
        <v>3</v>
      </c>
      <c r="BO14" s="71"/>
      <c r="BP14" s="71">
        <f>MAX(Med_Table[[TDM]:[WFM]])</f>
        <v>29</v>
      </c>
      <c r="DN14" s="71"/>
      <c r="DO14" s="71"/>
      <c r="DV14" s="30"/>
      <c r="DW14" s="30"/>
    </row>
    <row r="15" spans="1:129">
      <c r="A15" s="69">
        <f t="shared" si="2"/>
        <v>41738</v>
      </c>
      <c r="B15" s="70">
        <f t="shared" si="0"/>
        <v>15</v>
      </c>
      <c r="C15" s="70">
        <f t="shared" si="1"/>
        <v>152014</v>
      </c>
      <c r="D15" s="57" t="e">
        <f ca="1">IFERROR(VLOOKUP(C15,TDM_DD[[Week-Year]:[DD]],2,FALSE),IF(ISNUMBER(OFFSET(D15,-1,0)),OFFSET(D15,-1,0),NA()))</f>
        <v>#N/A</v>
      </c>
      <c r="E15" s="58">
        <f ca="1">IFERROR(VLOOKUP(C15,Coles_DD[[Week-Year]:[DD]],2,FALSE),IF(ISNUMBER(OFFSET(E15,-1,0)),OFFSET(E15,-1,0),NA()))</f>
        <v>1927</v>
      </c>
      <c r="F15" s="58">
        <f ca="1">IFERROR(VLOOKUP(C15,WOW_DD[[Week-Year]:[DD]],2,FALSE),IF(ISNUMBER(OFFSET(F15,-1,0)),OFFSET(F15,-1,0),NA()))</f>
        <v>2822</v>
      </c>
      <c r="G15" s="57">
        <f ca="1">IFERROR(VLOOKUP(C15,SSL_DD[[Week-Year]:[DD]],2,FALSE),IF(ISNUMBER(OFFSET(G15,-1,0)),OFFSET(G15,-1,0),NA()))</f>
        <v>62</v>
      </c>
      <c r="H15" s="58">
        <f ca="1">IFERROR(VLOOKUP(C15,WFM_DD[[Week-Year]:[DD]],2,FALSE),IF(ISNUMBER(OFFSET(H15,-1,0)),OFFSET(H15,-1,0),NA()))</f>
        <v>97</v>
      </c>
      <c r="I15" s="57">
        <f ca="1">IFERROR(VLOOKUP(C15,RTen_DD[[Week-Year]:[DD]],2,FALSE),IF(ISNUMBER(OFFSET(I15,-1,0)),OFFSET(I15,-1,0),NA()))</f>
        <v>5871</v>
      </c>
      <c r="J15" s="57" t="e">
        <f ca="1">IFERROR(VLOOKUP(C15,TDM_DD[[Week-Year]:[DD]],3,FALSE),IF(ISNUMBER(OFFSET(J15,-1,0)),OFFSET(J15,-1,0),NA()))</f>
        <v>#N/A</v>
      </c>
      <c r="K15" s="57">
        <f ca="1">IFERROR(VLOOKUP(C15,Coles_DD[[Week-Year]:[DD]],3,FALSE),IF(ISNUMBER(OFFSET(K15,-1,0)),OFFSET(K15,-1,0),NA()))</f>
        <v>0.44784638285636902</v>
      </c>
      <c r="L15" s="57">
        <f ca="1">IFERROR(VLOOKUP(C15,WOW_DD[[Week-Year]:[DD]],3,FALSE),IF(ISNUMBER(OFFSET(L15,-1,0)),OFFSET(L15,-1,0),NA()))</f>
        <v>0.47306874394416809</v>
      </c>
      <c r="M15" s="57">
        <f ca="1">IFERROR(VLOOKUP(C15,SSL_DD[[Week-Year]:[DD]],3,FALSE),IF(ISNUMBER(OFFSET(M15,-1,0)),OFFSET(M15,-1,0),NA()))</f>
        <v>15.403225898742676</v>
      </c>
      <c r="N15" s="57">
        <f ca="1">IFERROR(VLOOKUP(C15,WFM_DD[[Week-Year]:[DD]],3,FALSE),IF(ISNUMBER(OFFSET(N15,-1,0)),OFFSET(N15,-1,0),NA()))</f>
        <v>0.67010307312011719</v>
      </c>
      <c r="O15" s="57">
        <f ca="1">IFERROR(VLOOKUP(C15,RTen_DD[[Week-Year]:[DD]],3,FALSE),IF(ISNUMBER(OFFSET(O15,-1,0)),OFFSET(O15,-1,0),NA()))</f>
        <v>1.2083120346069336</v>
      </c>
      <c r="P15" s="57">
        <f t="array" aca="1" ref="P15" ca="1">AVERAGE(IF(ISNUMBER(DD_Table[[#This Row],[TDM_DD]:[WFM_DD]]),DD_Table[[#This Row],[TDM_DD]:[WFM_DD]]))</f>
        <v>4.2485610246658325</v>
      </c>
      <c r="Q15" s="57">
        <f t="array" aca="1" ref="Q15" ca="1">MAX(IF(ISERROR(DD_Table[[TDM_DD]:[WFM_DD]]),0,DD_Table[[TDM_DD]:[WFM_DD]]))*0.8</f>
        <v>12.322580718994141</v>
      </c>
      <c r="R15" s="57">
        <v>0.5</v>
      </c>
      <c r="S15" s="57">
        <v>0.5</v>
      </c>
      <c r="T15" s="57">
        <v>0.5</v>
      </c>
      <c r="U15" s="57">
        <v>0.5</v>
      </c>
      <c r="V15" s="57">
        <v>0.5</v>
      </c>
      <c r="W15" s="57">
        <v>0.5</v>
      </c>
      <c r="X15" s="59" t="e">
        <f ca="1">IFERROR(VLOOKUP(C15,TDM_DD[[Week-Year]:[Core Reg]],4,FALSE),IF(ISNUMBER(OFFSET(X15,-1,0)),OFFSET(X15,-1,0),NA()))</f>
        <v>#N/A</v>
      </c>
      <c r="Y15" s="59" t="e">
        <f ca="1">IFERROR(VLOOKUP(C15,TDM_DD[[Week-Year]:[Core Reg]],5,FALSE),IF(ISNUMBER(OFFSET(Y15,-1,0)),OFFSET(Y15,-1,0),NA()))</f>
        <v>#N/A</v>
      </c>
      <c r="Z15" s="59">
        <f ca="1">IFERROR(VLOOKUP(C15,Coles_DD[[Week-Year]:[Core Reg]],4,FALSE),IF(ISNUMBER(OFFSET(Z15,-1,0)),OFFSET(Z15,-1,0),NA()))</f>
        <v>0.46349939703941345</v>
      </c>
      <c r="AA15" s="59">
        <f ca="1">IFERROR(VLOOKUP(C15,Coles_DD[[Week-Year]:[Core Reg]],5,FALSE),IF(ISNUMBER(OFFSET(AA15,-1,0)),OFFSET(AA15,-1,0),NA()))</f>
        <v>1.7316017150878906</v>
      </c>
      <c r="AB15" s="59">
        <f ca="1">IFERROR(VLOOKUP(C15,WOW_DD[[Week-Year]:[Core Reg]],4,FALSE),IF(ISNUMBER(OFFSET(AB15,-1,0)),OFFSET(AB15,-1,0),NA()))</f>
        <v>8.1647939682006836</v>
      </c>
      <c r="AC15" s="59">
        <f ca="1">IFERROR(VLOOKUP(C15,WOW_DD[[Week-Year]:[Core Reg]],5,FALSE),IF(ISNUMBER(OFFSET(AC15,-1,0)),OFFSET(AC15,-1,0),NA()))</f>
        <v>12.054121017456055</v>
      </c>
      <c r="AD15" s="59">
        <f ca="1">IFERROR(VLOOKUP(C15,SSL_DD[[Week-Year]:[Core Reg]],4,FALSE),IF(ISNUMBER(OFFSET(AD15,-1,0)),OFFSET(AD15,-1,0),NA()))</f>
        <v>40.628273010253906</v>
      </c>
      <c r="AE15" s="59">
        <f ca="1">IFERROR(VLOOKUP(C15,SSL_DD[[Week-Year]:[Core Reg]],5,FALSE),IF(ISNUMBER(OFFSET(AE15,-1,0)),OFFSET(AE15,-1,0),NA()))</f>
        <v>53.937004089355469</v>
      </c>
      <c r="AF15" s="59">
        <f ca="1">IFERROR(VLOOKUP(C15,WFM_DD[[Week-Year]:[Core Reg]],4,FALSE),IF(ISNUMBER(OFFSET(AF15,-1,0)),OFFSET(AF15,-1,0),NA()))</f>
        <v>3.076923131942749</v>
      </c>
      <c r="AG15" s="59">
        <f ca="1">IFERROR(VLOOKUP(C15,WFM_DD[[Week-Year]:[Core Reg]],5,FALSE),IF(ISNUMBER(OFFSET(AG15,-1,0)),OFFSET(AG15,-1,0),NA()))</f>
        <v>31.818181991577148</v>
      </c>
      <c r="AH15" s="62">
        <f ca="1">IFERROR(VLOOKUP(C15,RTen_DD[[Week-Year]:[Core Reg]],4,FALSE),IF(ISNUMBER(OFFSET(AH15,-1,0)),OFFSET(AH15,-1,0),NA()))</f>
        <v>0</v>
      </c>
      <c r="AI15" s="62">
        <f ca="1">IFERROR(VLOOKUP(C15,RTen_DD[[Week-Year]:[Core Reg]],5,FALSE)/100,IF(ISNUMBER(OFFSET(AI15,-1,0)),OFFSET(AI15,-1,0),NA()))</f>
        <v>0.38130813598632812</v>
      </c>
      <c r="AJ15" s="62" t="e">
        <f ca="1">DD_Table[[#This Row],[TDM_Ext_Reg]]</f>
        <v>#N/A</v>
      </c>
      <c r="AK15" s="62">
        <f ca="1">DD_Table[[#This Row],[Coles_Ext_Reg]]</f>
        <v>0.46349939703941345</v>
      </c>
      <c r="AL15" s="62">
        <f ca="1">DD_Table[[#This Row],[WOW_Ext_Reg]]</f>
        <v>8.1647939682006836</v>
      </c>
      <c r="AM15" s="62">
        <f ca="1">DD_Table[[#This Row],[SSL_Ext_Reg]]</f>
        <v>40.628273010253906</v>
      </c>
      <c r="AN15" s="62">
        <f ca="1">DD_Table[[#This Row],[WFM_Ext_Reg]]</f>
        <v>3.076923131942749</v>
      </c>
      <c r="AO15" s="62">
        <f t="array" aca="1" ref="AO15" ca="1">IFERROR(AVERAGE(IF(ISNUMBER(DD_Table[[#This Row],[TDM_Avg]:[WFM_Avg]]),DD_Table[[#This Row],[TDM_Avg]:[WFM_Avg]]))/100,NA())</f>
        <v>0.13083372376859187</v>
      </c>
      <c r="AP15" s="62">
        <f t="array" aca="1" ref="AP15" ca="1">MAX(IF(ISERROR(DD_Table[[TDM_Avg]:[WFM_Avg]]),0,DD_Table[[TDM_Avg]:[WFM_Avg]]))*1.1</f>
        <v>48.107883834838873</v>
      </c>
      <c r="AQ15" s="62">
        <f t="array" aca="1" ref="AQ15" ca="1">MAX(IF(ISERROR(DD_Table[[TDM_Ext_Reg]:[WFM_Core_Reg]]),0,DD_Table[[TDM_Ext_Reg]:[WFM_Core_Reg]]))</f>
        <v>61.538463592529297</v>
      </c>
      <c r="AR15" s="65" t="e">
        <f ca="1">IFERROR(VLOOKUP(C15,TDM_DD[[Week-Year]:[DDP]],6,FALSE),IF(ISNUMBER(OFFSET(AR15,-1,0)),OFFSET(AR15,-1,0),NA()))</f>
        <v>#N/A</v>
      </c>
      <c r="AS15" s="65">
        <f ca="1">IFERROR(VLOOKUP(C15,Coles_DD[[Week-Year]:[DDP]],6,FALSE),IF(ISNUMBER(OFFSET(AS15,-1,0)),OFFSET(AS15,-1,0),NA()))</f>
        <v>0.19598965071151359</v>
      </c>
      <c r="AT15" s="65">
        <f ca="1">IFERROR(VLOOKUP(C15,WOW_DD[[Week-Year]:[DDP]],6,FALSE),IF(ISNUMBER(OFFSET(AT15,-1,0)),OFFSET(AT15,-1,0),NA()))</f>
        <v>0.36432432432432432</v>
      </c>
      <c r="AU15" s="65">
        <f ca="1">IFERROR(VLOOKUP(C15,SSL_DD[[Week-Year]:[DDP]],6,FALSE),IF(ISNUMBER(OFFSET(AU15,-1,0)),OFFSET(AU15,-1,0),NA()))</f>
        <v>0.3145275035260931</v>
      </c>
      <c r="AV15" s="65">
        <f ca="1">IFERROR(VLOOKUP(C15,WFM_DD[[Week-Year]:[DDP]],6,FALSE),IF(ISNUMBER(OFFSET(AV15,-1,0)),OFFSET(AV15,-1,0),NA()))</f>
        <v>0.34782608695652173</v>
      </c>
      <c r="AW15" s="65">
        <f t="array" aca="1" ref="AW15" ca="1">IFERROR(AVERAGE(IF(ISNUMBER(DD_Table[[#This Row],[TDM_DDP]:[WFM_DDP]]),DD_Table[[#This Row],[TDM_DDP]:[WFM_DDP]])),NA())</f>
        <v>0.30566689137961317</v>
      </c>
      <c r="AX15" s="65">
        <f t="array" aca="1" ref="AX15" ca="1">IFERROR(MAX(IF(ISNUMBER(DD_Table[[TDM_DDP]:[WFM_DDP]]),DD_Table[[TDM_DDP]:[WFM_DDP]])),NA())</f>
        <v>0.68</v>
      </c>
      <c r="AY15" s="88">
        <f ca="1">IFERROR(VLOOKUP(C15,RTen_DD[[Week-Year]:[Core DDP]],6,FALSE),IF(ISNUMBER(VLOOKUP(C15,RTen_DD[[Week-Year]:[Core DDP]],6,FALSE)),OFFSET(AY15,-1,0),OFFSET(AY15,-1,0)))</f>
        <v>0.19509445190429686</v>
      </c>
      <c r="AZ15" s="65"/>
      <c r="BA15" s="65"/>
      <c r="BC15">
        <v>13</v>
      </c>
      <c r="BD15">
        <v>0</v>
      </c>
      <c r="BE15">
        <v>2</v>
      </c>
      <c r="BF15">
        <v>1</v>
      </c>
      <c r="BG15">
        <v>3</v>
      </c>
      <c r="BH15">
        <v>0</v>
      </c>
      <c r="BI15">
        <v>4</v>
      </c>
      <c r="BO15" s="71"/>
      <c r="BP15" s="71">
        <f>MAX(Med_Table[[TDM]:[WFM]])</f>
        <v>29</v>
      </c>
      <c r="DN15" s="71"/>
      <c r="DO15" s="71"/>
      <c r="DV15" s="30"/>
      <c r="DW15" s="30"/>
    </row>
    <row r="16" spans="1:129">
      <c r="A16" s="69">
        <f t="shared" si="2"/>
        <v>41745</v>
      </c>
      <c r="B16" s="70">
        <f t="shared" si="0"/>
        <v>16</v>
      </c>
      <c r="C16" s="70">
        <f t="shared" si="1"/>
        <v>162014</v>
      </c>
      <c r="D16" s="57" t="e">
        <f ca="1">IFERROR(VLOOKUP(C16,TDM_DD[[Week-Year]:[DD]],2,FALSE),IF(ISNUMBER(OFFSET(D16,-1,0)),OFFSET(D16,-1,0),NA()))</f>
        <v>#N/A</v>
      </c>
      <c r="E16" s="58">
        <f ca="1">IFERROR(VLOOKUP(C16,Coles_DD[[Week-Year]:[DD]],2,FALSE),IF(ISNUMBER(OFFSET(E16,-1,0)),OFFSET(E16,-1,0),NA()))</f>
        <v>1960</v>
      </c>
      <c r="F16" s="58">
        <f ca="1">IFERROR(VLOOKUP(C16,WOW_DD[[Week-Year]:[DD]],2,FALSE),IF(ISNUMBER(OFFSET(F16,-1,0)),OFFSET(F16,-1,0),NA()))</f>
        <v>2822</v>
      </c>
      <c r="G16" s="57">
        <f ca="1">IFERROR(VLOOKUP(C16,SSL_DD[[Week-Year]:[DD]],2,FALSE),IF(ISNUMBER(OFFSET(G16,-1,0)),OFFSET(G16,-1,0),NA()))</f>
        <v>70</v>
      </c>
      <c r="H16" s="58">
        <f ca="1">IFERROR(VLOOKUP(C16,WFM_DD[[Week-Year]:[DD]],2,FALSE),IF(ISNUMBER(OFFSET(H16,-1,0)),OFFSET(H16,-1,0),NA()))</f>
        <v>102</v>
      </c>
      <c r="I16" s="57">
        <f ca="1">IFERROR(VLOOKUP(C16,RTen_DD[[Week-Year]:[DD]],2,FALSE),IF(ISNUMBER(OFFSET(I16,-1,0)),OFFSET(I16,-1,0),NA()))</f>
        <v>5892</v>
      </c>
      <c r="J16" s="57" t="e">
        <f ca="1">IFERROR(VLOOKUP(C16,TDM_DD[[Week-Year]:[DD]],3,FALSE),IF(ISNUMBER(OFFSET(J16,-1,0)),OFFSET(J16,-1,0),NA()))</f>
        <v>#N/A</v>
      </c>
      <c r="K16" s="57">
        <f ca="1">IFERROR(VLOOKUP(C16,Coles_DD[[Week-Year]:[DD]],3,FALSE),IF(ISNUMBER(OFFSET(K16,-1,0)),OFFSET(K16,-1,0),NA()))</f>
        <v>0.44846940040588379</v>
      </c>
      <c r="L16" s="57">
        <f ca="1">IFERROR(VLOOKUP(C16,WOW_DD[[Week-Year]:[DD]],3,FALSE),IF(ISNUMBER(OFFSET(L16,-1,0)),OFFSET(L16,-1,0),NA()))</f>
        <v>0.47909283638000488</v>
      </c>
      <c r="M16" s="57">
        <f ca="1">IFERROR(VLOOKUP(C16,SSL_DD[[Week-Year]:[DD]],3,FALSE),IF(ISNUMBER(OFFSET(M16,-1,0)),OFFSET(M16,-1,0),NA()))</f>
        <v>14.128571510314941</v>
      </c>
      <c r="N16" s="57">
        <f ca="1">IFERROR(VLOOKUP(C16,WFM_DD[[Week-Year]:[DD]],3,FALSE),IF(ISNUMBER(OFFSET(N16,-1,0)),OFFSET(N16,-1,0),NA()))</f>
        <v>0.66666668653488159</v>
      </c>
      <c r="O16" s="57">
        <f ca="1">IFERROR(VLOOKUP(C16,RTen_DD[[Week-Year]:[DD]],3,FALSE),IF(ISNUMBER(OFFSET(O16,-1,0)),OFFSET(O16,-1,0),NA()))</f>
        <v>1.2196198701858521</v>
      </c>
      <c r="P16" s="57">
        <f t="array" aca="1" ref="P16" ca="1">AVERAGE(IF(ISNUMBER(DD_Table[[#This Row],[TDM_DD]:[WFM_DD]]),DD_Table[[#This Row],[TDM_DD]:[WFM_DD]]))</f>
        <v>3.9307001084089279</v>
      </c>
      <c r="Q16" s="57">
        <f t="array" aca="1" ref="Q16" ca="1">MAX(IF(ISERROR(DD_Table[[TDM_DD]:[WFM_DD]]),0,DD_Table[[TDM_DD]:[WFM_DD]]))*0.8</f>
        <v>12.322580718994141</v>
      </c>
      <c r="R16" s="57">
        <v>0.5</v>
      </c>
      <c r="S16" s="57">
        <v>0.5</v>
      </c>
      <c r="T16" s="57">
        <v>0.5</v>
      </c>
      <c r="U16" s="57">
        <v>0.5</v>
      </c>
      <c r="V16" s="57">
        <v>0.5</v>
      </c>
      <c r="W16" s="57">
        <v>0.5</v>
      </c>
      <c r="X16" s="59" t="e">
        <f ca="1">IFERROR(VLOOKUP(C16,TDM_DD[[Week-Year]:[Core Reg]],4,FALSE),IF(ISNUMBER(OFFSET(X16,-1,0)),OFFSET(X16,-1,0),NA()))</f>
        <v>#N/A</v>
      </c>
      <c r="Y16" s="59" t="e">
        <f ca="1">IFERROR(VLOOKUP(C16,TDM_DD[[Week-Year]:[Core Reg]],5,FALSE),IF(ISNUMBER(OFFSET(Y16,-1,0)),OFFSET(Y16,-1,0),NA()))</f>
        <v>#N/A</v>
      </c>
      <c r="Z16" s="59">
        <f ca="1">IFERROR(VLOOKUP(C16,Coles_DD[[Week-Year]:[Core Reg]],4,FALSE),IF(ISNUMBER(OFFSET(Z16,-1,0)),OFFSET(Z16,-1,0),NA()))</f>
        <v>0.56882822513580322</v>
      </c>
      <c r="AA16" s="59">
        <f ca="1">IFERROR(VLOOKUP(C16,Coles_DD[[Week-Year]:[Core Reg]],5,FALSE),IF(ISNUMBER(OFFSET(AA16,-1,0)),OFFSET(AA16,-1,0),NA()))</f>
        <v>2.1186442375183105</v>
      </c>
      <c r="AB16" s="59">
        <f ca="1">IFERROR(VLOOKUP(C16,WOW_DD[[Week-Year]:[Core Reg]],4,FALSE),IF(ISNUMBER(OFFSET(AB16,-1,0)),OFFSET(AB16,-1,0),NA()))</f>
        <v>8.2840232849121094</v>
      </c>
      <c r="AC16" s="59">
        <f ca="1">IFERROR(VLOOKUP(C16,WOW_DD[[Week-Year]:[Core Reg]],5,FALSE),IF(ISNUMBER(OFFSET(AC16,-1,0)),OFFSET(AC16,-1,0),NA()))</f>
        <v>12.07317066192627</v>
      </c>
      <c r="AD16" s="59">
        <f ca="1">IFERROR(VLOOKUP(C16,SSL_DD[[Week-Year]:[Core Reg]],4,FALSE),IF(ISNUMBER(OFFSET(AD16,-1,0)),OFFSET(AD16,-1,0),NA()))</f>
        <v>40.74822998046875</v>
      </c>
      <c r="AE16" s="59">
        <f ca="1">IFERROR(VLOOKUP(C16,SSL_DD[[Week-Year]:[Core Reg]],5,FALSE),IF(ISNUMBER(OFFSET(AE16,-1,0)),OFFSET(AE16,-1,0),NA()))</f>
        <v>54.406131744384766</v>
      </c>
      <c r="AF16" s="59">
        <f ca="1">IFERROR(VLOOKUP(C16,WFM_DD[[Week-Year]:[Core Reg]],4,FALSE),IF(ISNUMBER(OFFSET(AF16,-1,0)),OFFSET(AF16,-1,0),NA()))</f>
        <v>2.9411764144897461</v>
      </c>
      <c r="AG16" s="59">
        <f ca="1">IFERROR(VLOOKUP(C16,WFM_DD[[Week-Year]:[Core Reg]],5,FALSE),IF(ISNUMBER(OFFSET(AG16,-1,0)),OFFSET(AG16,-1,0),NA()))</f>
        <v>29.787233352661133</v>
      </c>
      <c r="AH16" s="62">
        <f ca="1">IFERROR(VLOOKUP(C16,RTen_DD[[Week-Year]:[Core Reg]],4,FALSE),IF(ISNUMBER(OFFSET(AH16,-1,0)),OFFSET(AH16,-1,0),NA()))</f>
        <v>0</v>
      </c>
      <c r="AI16" s="62">
        <f ca="1">IFERROR(VLOOKUP(C16,RTen_DD[[Week-Year]:[Core Reg]],5,FALSE)/100,IF(ISNUMBER(OFFSET(AI16,-1,0)),OFFSET(AI16,-1,0),NA()))</f>
        <v>0.38060115814208983</v>
      </c>
      <c r="AJ16" s="62" t="e">
        <f ca="1">DD_Table[[#This Row],[TDM_Ext_Reg]]</f>
        <v>#N/A</v>
      </c>
      <c r="AK16" s="62">
        <f ca="1">DD_Table[[#This Row],[Coles_Ext_Reg]]</f>
        <v>0.56882822513580322</v>
      </c>
      <c r="AL16" s="62">
        <f ca="1">DD_Table[[#This Row],[WOW_Ext_Reg]]</f>
        <v>8.2840232849121094</v>
      </c>
      <c r="AM16" s="62">
        <f ca="1">DD_Table[[#This Row],[SSL_Ext_Reg]]</f>
        <v>40.74822998046875</v>
      </c>
      <c r="AN16" s="62">
        <f ca="1">DD_Table[[#This Row],[WFM_Ext_Reg]]</f>
        <v>2.9411764144897461</v>
      </c>
      <c r="AO16" s="62">
        <f t="array" aca="1" ref="AO16" ca="1">IFERROR(AVERAGE(IF(ISNUMBER(DD_Table[[#This Row],[TDM_Avg]:[WFM_Avg]]),DD_Table[[#This Row],[TDM_Avg]:[WFM_Avg]]))/100,NA())</f>
        <v>0.13135564476251602</v>
      </c>
      <c r="AP16" s="62">
        <f t="array" aca="1" ref="AP16" ca="1">MAX(IF(ISERROR(DD_Table[[TDM_Avg]:[WFM_Avg]]),0,DD_Table[[TDM_Avg]:[WFM_Avg]]))*1.1</f>
        <v>48.107883834838873</v>
      </c>
      <c r="AQ16" s="62">
        <f t="array" aca="1" ref="AQ16" ca="1">MAX(IF(ISERROR(DD_Table[[TDM_Ext_Reg]:[WFM_Core_Reg]]),0,DD_Table[[TDM_Ext_Reg]:[WFM_Core_Reg]]))</f>
        <v>61.538463592529297</v>
      </c>
      <c r="AR16" s="65" t="e">
        <f ca="1">IFERROR(VLOOKUP(C16,TDM_DD[[Week-Year]:[DDP]],6,FALSE),IF(ISNUMBER(OFFSET(AR16,-1,0)),OFFSET(AR16,-1,0),NA()))</f>
        <v>#N/A</v>
      </c>
      <c r="AS16" s="65">
        <f ca="1">IFERROR(VLOOKUP(C16,Coles_DD[[Week-Year]:[DDP]],6,FALSE),IF(ISNUMBER(OFFSET(AS16,-1,0)),OFFSET(AS16,-1,0),NA()))</f>
        <v>0.19580419580419581</v>
      </c>
      <c r="AT16" s="65">
        <f ca="1">IFERROR(VLOOKUP(C16,WOW_DD[[Week-Year]:[DDP]],6,FALSE),IF(ISNUMBER(OFFSET(AT16,-1,0)),OFFSET(AT16,-1,0),NA()))</f>
        <v>0.3628917378917379</v>
      </c>
      <c r="AU16" s="65">
        <f ca="1">IFERROR(VLOOKUP(C16,SSL_DD[[Week-Year]:[DDP]],6,FALSE),IF(ISNUMBER(OFFSET(AU16,-1,0)),OFFSET(AU16,-1,0),NA()))</f>
        <v>0.3125</v>
      </c>
      <c r="AV16" s="65">
        <f ca="1">IFERROR(VLOOKUP(C16,WFM_DD[[Week-Year]:[DDP]],6,FALSE),IF(ISNUMBER(OFFSET(AV16,-1,0)),OFFSET(AV16,-1,0),NA()))</f>
        <v>0.34693877551020408</v>
      </c>
      <c r="AW16" s="65">
        <f t="array" aca="1" ref="AW16" ca="1">IFERROR(AVERAGE(IF(ISNUMBER(DD_Table[[#This Row],[TDM_DDP]:[WFM_DDP]]),DD_Table[[#This Row],[TDM_DDP]:[WFM_DDP]])),NA())</f>
        <v>0.30453367730153447</v>
      </c>
      <c r="AX16" s="65">
        <f t="array" aca="1" ref="AX16" ca="1">IFERROR(MAX(IF(ISNUMBER(DD_Table[[TDM_DDP]:[WFM_DDP]]),DD_Table[[TDM_DDP]:[WFM_DDP]])),NA())</f>
        <v>0.68</v>
      </c>
      <c r="AY16" s="88">
        <f ca="1">IFERROR(VLOOKUP(C16,RTen_DD[[Week-Year]:[Core DDP]],6,FALSE),IF(ISNUMBER(VLOOKUP(C16,RTen_DD[[Week-Year]:[Core DDP]],6,FALSE)),OFFSET(AY16,-1,0),OFFSET(AY16,-1,0)))</f>
        <v>0.19691066741943358</v>
      </c>
      <c r="AZ16" s="65"/>
      <c r="BA16" s="65"/>
      <c r="BC16">
        <v>14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3</v>
      </c>
      <c r="BO16" s="71"/>
      <c r="BP16" s="71">
        <f>MAX(Med_Table[[TDM]:[WFM]])</f>
        <v>29</v>
      </c>
      <c r="DN16" s="71"/>
      <c r="DO16" s="71"/>
      <c r="DV16" s="30"/>
      <c r="DW16" s="30"/>
    </row>
    <row r="17" spans="1:127">
      <c r="A17" s="69">
        <f t="shared" si="2"/>
        <v>41752</v>
      </c>
      <c r="B17" s="70">
        <f t="shared" si="0"/>
        <v>17</v>
      </c>
      <c r="C17" s="70">
        <f t="shared" si="1"/>
        <v>172014</v>
      </c>
      <c r="D17" s="57" t="e">
        <f ca="1">IFERROR(VLOOKUP(C17,TDM_DD[[Week-Year]:[DD]],2,FALSE),IF(ISNUMBER(OFFSET(D17,-1,0)),OFFSET(D17,-1,0),NA()))</f>
        <v>#N/A</v>
      </c>
      <c r="E17" s="58">
        <f ca="1">IFERROR(VLOOKUP(C17,Coles_DD[[Week-Year]:[DD]],2,FALSE),IF(ISNUMBER(OFFSET(E17,-1,0)),OFFSET(E17,-1,0),NA()))</f>
        <v>2053</v>
      </c>
      <c r="F17" s="58">
        <f ca="1">IFERROR(VLOOKUP(C17,WOW_DD[[Week-Year]:[DD]],2,FALSE),IF(ISNUMBER(OFFSET(F17,-1,0)),OFFSET(F17,-1,0),NA()))</f>
        <v>2822</v>
      </c>
      <c r="G17" s="57">
        <f ca="1">IFERROR(VLOOKUP(C17,SSL_DD[[Week-Year]:[DD]],2,FALSE),IF(ISNUMBER(OFFSET(G17,-1,0)),OFFSET(G17,-1,0),NA()))</f>
        <v>151</v>
      </c>
      <c r="H17" s="58">
        <f ca="1">IFERROR(VLOOKUP(C17,WFM_DD[[Week-Year]:[DD]],2,FALSE),IF(ISNUMBER(OFFSET(H17,-1,0)),OFFSET(H17,-1,0),NA()))</f>
        <v>102</v>
      </c>
      <c r="I17" s="57">
        <f ca="1">IFERROR(VLOOKUP(C17,RTen_DD[[Week-Year]:[DD]],2,FALSE),IF(ISNUMBER(OFFSET(I17,-1,0)),OFFSET(I17,-1,0),NA()))</f>
        <v>5954</v>
      </c>
      <c r="J17" s="57" t="e">
        <f ca="1">IFERROR(VLOOKUP(C17,TDM_DD[[Week-Year]:[DD]],3,FALSE),IF(ISNUMBER(OFFSET(J17,-1,0)),OFFSET(J17,-1,0),NA()))</f>
        <v>#N/A</v>
      </c>
      <c r="K17" s="57">
        <f ca="1">IFERROR(VLOOKUP(C17,Coles_DD[[Week-Year]:[DD]],3,FALSE),IF(ISNUMBER(OFFSET(K17,-1,0)),OFFSET(K17,-1,0),NA()))</f>
        <v>0.45250853896141052</v>
      </c>
      <c r="L17" s="57">
        <f ca="1">IFERROR(VLOOKUP(C17,WOW_DD[[Week-Year]:[DD]],3,FALSE),IF(ISNUMBER(OFFSET(L17,-1,0)),OFFSET(L17,-1,0),NA()))</f>
        <v>0.49610206484794617</v>
      </c>
      <c r="M17" s="57">
        <f ca="1">IFERROR(VLOOKUP(C17,SSL_DD[[Week-Year]:[DD]],3,FALSE),IF(ISNUMBER(OFFSET(M17,-1,0)),OFFSET(M17,-1,0),NA()))</f>
        <v>6.7947020530700684</v>
      </c>
      <c r="N17" s="57">
        <f ca="1">IFERROR(VLOOKUP(C17,WFM_DD[[Week-Year]:[DD]],3,FALSE),IF(ISNUMBER(OFFSET(N17,-1,0)),OFFSET(N17,-1,0),NA()))</f>
        <v>0.83333331346511841</v>
      </c>
      <c r="O17" s="57">
        <f ca="1">IFERROR(VLOOKUP(C17,RTen_DD[[Week-Year]:[DD]],3,FALSE),IF(ISNUMBER(OFFSET(O17,-1,0)),OFFSET(O17,-1,0),NA()))</f>
        <v>1.2405105829238892</v>
      </c>
      <c r="P17" s="57">
        <f t="array" aca="1" ref="P17" ca="1">AVERAGE(IF(ISNUMBER(DD_Table[[#This Row],[TDM_DD]:[WFM_DD]]),DD_Table[[#This Row],[TDM_DD]:[WFM_DD]]))</f>
        <v>2.1441614925861359</v>
      </c>
      <c r="Q17" s="57">
        <f t="array" aca="1" ref="Q17" ca="1">MAX(IF(ISERROR(DD_Table[[TDM_DD]:[WFM_DD]]),0,DD_Table[[TDM_DD]:[WFM_DD]]))*0.8</f>
        <v>12.322580718994141</v>
      </c>
      <c r="R17" s="57">
        <v>0.5</v>
      </c>
      <c r="S17" s="57">
        <v>0.5</v>
      </c>
      <c r="T17" s="57">
        <v>0.5</v>
      </c>
      <c r="U17" s="57">
        <v>0.5</v>
      </c>
      <c r="V17" s="57">
        <v>0.5</v>
      </c>
      <c r="W17" s="57">
        <v>0.5</v>
      </c>
      <c r="X17" s="59" t="e">
        <f ca="1">IFERROR(VLOOKUP(C17,TDM_DD[[Week-Year]:[Core Reg]],4,FALSE),IF(ISNUMBER(OFFSET(X17,-1,0)),OFFSET(X17,-1,0),NA()))</f>
        <v>#N/A</v>
      </c>
      <c r="Y17" s="59" t="e">
        <f ca="1">IFERROR(VLOOKUP(C17,TDM_DD[[Week-Year]:[Core Reg]],5,FALSE),IF(ISNUMBER(OFFSET(Y17,-1,0)),OFFSET(Y17,-1,0),NA()))</f>
        <v>#N/A</v>
      </c>
      <c r="Z17" s="59">
        <f ca="1">IFERROR(VLOOKUP(C17,Coles_DD[[Week-Year]:[Core Reg]],4,FALSE),IF(ISNUMBER(OFFSET(Z17,-1,0)),OFFSET(Z17,-1,0),NA()))</f>
        <v>0.86114096641540527</v>
      </c>
      <c r="AA17" s="59">
        <f ca="1">IFERROR(VLOOKUP(C17,Coles_DD[[Week-Year]:[Core Reg]],5,FALSE),IF(ISNUMBER(OFFSET(AA17,-1,0)),OFFSET(AA17,-1,0),NA()))</f>
        <v>3.6290321350097656</v>
      </c>
      <c r="AB17" s="59">
        <f ca="1">IFERROR(VLOOKUP(C17,WOW_DD[[Week-Year]:[Core Reg]],4,FALSE),IF(ISNUMBER(OFFSET(AB17,-1,0)),OFFSET(AB17,-1,0),NA()))</f>
        <v>9</v>
      </c>
      <c r="AC17" s="59">
        <f ca="1">IFERROR(VLOOKUP(C17,WOW_DD[[Week-Year]:[Core Reg]],5,FALSE),IF(ISNUMBER(OFFSET(AC17,-1,0)),OFFSET(AC17,-1,0),NA()))</f>
        <v>12.183353424072266</v>
      </c>
      <c r="AD17" s="59">
        <f ca="1">IFERROR(VLOOKUP(C17,SSL_DD[[Week-Year]:[Core Reg]],4,FALSE),IF(ISNUMBER(OFFSET(AD17,-1,0)),OFFSET(AD17,-1,0),NA()))</f>
        <v>41.228069305419922</v>
      </c>
      <c r="AE17" s="59">
        <f ca="1">IFERROR(VLOOKUP(C17,SSL_DD[[Week-Year]:[Core Reg]],5,FALSE),IF(ISNUMBER(OFFSET(AE17,-1,0)),OFFSET(AE17,-1,0),NA()))</f>
        <v>53.676467895507813</v>
      </c>
      <c r="AF17" s="59">
        <f ca="1">IFERROR(VLOOKUP(C17,WFM_DD[[Week-Year]:[Core Reg]],4,FALSE),IF(ISNUMBER(OFFSET(AF17,-1,0)),OFFSET(AF17,-1,0),NA()))</f>
        <v>2.3529412746429443</v>
      </c>
      <c r="AG17" s="59">
        <f ca="1">IFERROR(VLOOKUP(C17,WFM_DD[[Week-Year]:[Core Reg]],5,FALSE),IF(ISNUMBER(OFFSET(AG17,-1,0)),OFFSET(AG17,-1,0),NA()))</f>
        <v>28</v>
      </c>
      <c r="AH17" s="62">
        <f ca="1">IFERROR(VLOOKUP(C17,RTen_DD[[Week-Year]:[Core Reg]],4,FALSE),IF(ISNUMBER(OFFSET(AH17,-1,0)),OFFSET(AH17,-1,0),NA()))</f>
        <v>0</v>
      </c>
      <c r="AI17" s="62">
        <f ca="1">IFERROR(VLOOKUP(C17,RTen_DD[[Week-Year]:[Core Reg]],5,FALSE)/100,IF(ISNUMBER(OFFSET(AI17,-1,0)),OFFSET(AI17,-1,0),NA()))</f>
        <v>0.37882480621337888</v>
      </c>
      <c r="AJ17" s="62" t="e">
        <f ca="1">DD_Table[[#This Row],[TDM_Ext_Reg]]</f>
        <v>#N/A</v>
      </c>
      <c r="AK17" s="62">
        <f ca="1">DD_Table[[#This Row],[Coles_Ext_Reg]]</f>
        <v>0.86114096641540527</v>
      </c>
      <c r="AL17" s="62">
        <f ca="1">DD_Table[[#This Row],[WOW_Ext_Reg]]</f>
        <v>9</v>
      </c>
      <c r="AM17" s="62">
        <f ca="1">DD_Table[[#This Row],[SSL_Ext_Reg]]</f>
        <v>41.228069305419922</v>
      </c>
      <c r="AN17" s="62">
        <f ca="1">DD_Table[[#This Row],[WFM_Ext_Reg]]</f>
        <v>2.3529412746429443</v>
      </c>
      <c r="AO17" s="62">
        <f t="array" aca="1" ref="AO17" ca="1">IFERROR(AVERAGE(IF(ISNUMBER(DD_Table[[#This Row],[TDM_Avg]:[WFM_Avg]]),DD_Table[[#This Row],[TDM_Avg]:[WFM_Avg]]))/100,NA())</f>
        <v>0.13360537886619567</v>
      </c>
      <c r="AP17" s="62">
        <f t="array" aca="1" ref="AP17" ca="1">MAX(IF(ISERROR(DD_Table[[TDM_Avg]:[WFM_Avg]]),0,DD_Table[[TDM_Avg]:[WFM_Avg]]))*1.1</f>
        <v>48.107883834838873</v>
      </c>
      <c r="AQ17" s="62">
        <f t="array" aca="1" ref="AQ17" ca="1">MAX(IF(ISERROR(DD_Table[[TDM_Ext_Reg]:[WFM_Core_Reg]]),0,DD_Table[[TDM_Ext_Reg]:[WFM_Core_Reg]]))</f>
        <v>61.538463592529297</v>
      </c>
      <c r="AR17" s="65" t="e">
        <f ca="1">IFERROR(VLOOKUP(C17,TDM_DD[[Week-Year]:[DDP]],6,FALSE),IF(ISNUMBER(OFFSET(AR17,-1,0)),OFFSET(AR17,-1,0),NA()))</f>
        <v>#N/A</v>
      </c>
      <c r="AS17" s="65">
        <f ca="1">IFERROR(VLOOKUP(C17,Coles_DD[[Week-Year]:[DDP]],6,FALSE),IF(ISNUMBER(OFFSET(AS17,-1,0)),OFFSET(AS17,-1,0),NA()))</f>
        <v>0.19491525423728814</v>
      </c>
      <c r="AT17" s="65">
        <f ca="1">IFERROR(VLOOKUP(C17,WOW_DD[[Week-Year]:[DDP]],6,FALSE),IF(ISNUMBER(OFFSET(AT17,-1,0)),OFFSET(AT17,-1,0),NA()))</f>
        <v>0.35873347251217813</v>
      </c>
      <c r="AU17" s="65">
        <f ca="1">IFERROR(VLOOKUP(C17,SSL_DD[[Week-Year]:[DDP]],6,FALSE),IF(ISNUMBER(OFFSET(AU17,-1,0)),OFFSET(AU17,-1,0),NA()))</f>
        <v>0.31192256929168499</v>
      </c>
      <c r="AV17" s="65">
        <f ca="1">IFERROR(VLOOKUP(C17,WFM_DD[[Week-Year]:[DDP]],6,FALSE),IF(ISNUMBER(OFFSET(AV17,-1,0)),OFFSET(AV17,-1,0),NA()))</f>
        <v>0.31838565022421522</v>
      </c>
      <c r="AW17" s="65">
        <f t="array" aca="1" ref="AW17" ca="1">IFERROR(AVERAGE(IF(ISNUMBER(DD_Table[[#This Row],[TDM_DDP]:[WFM_DDP]]),DD_Table[[#This Row],[TDM_DDP]:[WFM_DDP]])),NA())</f>
        <v>0.29598923656634163</v>
      </c>
      <c r="AX17" s="65">
        <f t="array" aca="1" ref="AX17" ca="1">IFERROR(MAX(IF(ISNUMBER(DD_Table[[TDM_DDP]:[WFM_DDP]]),DD_Table[[TDM_DDP]:[WFM_DDP]])),NA())</f>
        <v>0.68</v>
      </c>
      <c r="AY17" s="88">
        <f ca="1">IFERROR(VLOOKUP(C17,RTen_DD[[Week-Year]:[Core DDP]],6,FALSE),IF(ISNUMBER(VLOOKUP(C17,RTen_DD[[Week-Year]:[Core DDP]],6,FALSE)),OFFSET(AY17,-1,0),OFFSET(AY17,-1,0)))</f>
        <v>0.19861900329589843</v>
      </c>
      <c r="AZ17" s="65"/>
      <c r="BA17" s="65"/>
      <c r="BC17">
        <v>15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4</v>
      </c>
      <c r="BO17" s="71"/>
      <c r="BP17" s="71">
        <f>MAX(Med_Table[[TDM]:[WFM]])</f>
        <v>29</v>
      </c>
      <c r="DN17" s="71"/>
      <c r="DO17" s="71"/>
      <c r="DV17" s="30"/>
      <c r="DW17" s="30"/>
    </row>
    <row r="18" spans="1:127">
      <c r="A18" s="69">
        <f t="shared" si="2"/>
        <v>41759</v>
      </c>
      <c r="B18" s="70">
        <f t="shared" si="0"/>
        <v>18</v>
      </c>
      <c r="C18" s="70">
        <f t="shared" si="1"/>
        <v>182014</v>
      </c>
      <c r="D18" s="57">
        <f ca="1">IFERROR(VLOOKUP(C18,TDM_DD[[Week-Year]:[DD]],2,FALSE),IF(ISNUMBER(OFFSET(D18,-1,0)),OFFSET(D18,-1,0),NA()))</f>
        <v>5</v>
      </c>
      <c r="E18" s="58">
        <f ca="1">IFERROR(VLOOKUP(C18,Coles_DD[[Week-Year]:[DD]],2,FALSE),IF(ISNUMBER(OFFSET(E18,-1,0)),OFFSET(E18,-1,0),NA()))</f>
        <v>2064</v>
      </c>
      <c r="F18" s="58">
        <f ca="1">IFERROR(VLOOKUP(C18,WOW_DD[[Week-Year]:[DD]],2,FALSE),IF(ISNUMBER(OFFSET(F18,-1,0)),OFFSET(F18,-1,0),NA()))</f>
        <v>2822</v>
      </c>
      <c r="G18" s="57">
        <f ca="1">IFERROR(VLOOKUP(C18,SSL_DD[[Week-Year]:[DD]],2,FALSE),IF(ISNUMBER(OFFSET(G18,-1,0)),OFFSET(G18,-1,0),NA()))</f>
        <v>181</v>
      </c>
      <c r="H18" s="58">
        <f ca="1">IFERROR(VLOOKUP(C18,WFM_DD[[Week-Year]:[DD]],2,FALSE),IF(ISNUMBER(OFFSET(H18,-1,0)),OFFSET(H18,-1,0),NA()))</f>
        <v>108</v>
      </c>
      <c r="I18" s="57">
        <f ca="1">IFERROR(VLOOKUP(C18,RTen_DD[[Week-Year]:[DD]],2,FALSE),IF(ISNUMBER(OFFSET(I18,-1,0)),OFFSET(I18,-1,0),NA()))</f>
        <v>5973</v>
      </c>
      <c r="J18" s="57">
        <f ca="1">IFERROR(VLOOKUP(C18,TDM_DD[[Week-Year]:[DD]],3,FALSE),IF(ISNUMBER(OFFSET(J18,-1,0)),OFFSET(J18,-1,0),NA()))</f>
        <v>2.5999999046325684</v>
      </c>
      <c r="K18" s="57">
        <f ca="1">IFERROR(VLOOKUP(C18,Coles_DD[[Week-Year]:[DD]],3,FALSE),IF(ISNUMBER(OFFSET(K18,-1,0)),OFFSET(K18,-1,0),NA()))</f>
        <v>0.47044572234153748</v>
      </c>
      <c r="L18" s="57">
        <f ca="1">IFERROR(VLOOKUP(C18,WOW_DD[[Week-Year]:[DD]],3,FALSE),IF(ISNUMBER(OFFSET(L18,-1,0)),OFFSET(L18,-1,0),NA()))</f>
        <v>0.50744152069091797</v>
      </c>
      <c r="M18" s="57">
        <f ca="1">IFERROR(VLOOKUP(C18,SSL_DD[[Week-Year]:[DD]],3,FALSE),IF(ISNUMBER(OFFSET(M18,-1,0)),OFFSET(M18,-1,0),NA()))</f>
        <v>5.9392266273498535</v>
      </c>
      <c r="N18" s="57">
        <f ca="1">IFERROR(VLOOKUP(C18,WFM_DD[[Week-Year]:[DD]],3,FALSE),IF(ISNUMBER(OFFSET(N18,-1,0)),OFFSET(N18,-1,0),NA()))</f>
        <v>0.84259259700775146</v>
      </c>
      <c r="O18" s="57">
        <f ca="1">IFERROR(VLOOKUP(C18,RTen_DD[[Week-Year]:[DD]],3,FALSE),IF(ISNUMBER(OFFSET(O18,-1,0)),OFFSET(O18,-1,0),NA()))</f>
        <v>1.251967191696167</v>
      </c>
      <c r="P18" s="57">
        <f t="array" aca="1" ref="P18" ca="1">AVERAGE(IF(ISNUMBER(DD_Table[[#This Row],[TDM_DD]:[WFM_DD]]),DD_Table[[#This Row],[TDM_DD]:[WFM_DD]]))</f>
        <v>2.0719412744045256</v>
      </c>
      <c r="Q18" s="57">
        <f t="array" aca="1" ref="Q18" ca="1">MAX(IF(ISERROR(DD_Table[[TDM_DD]:[WFM_DD]]),0,DD_Table[[TDM_DD]:[WFM_DD]]))*0.8</f>
        <v>12.322580718994141</v>
      </c>
      <c r="R18" s="57">
        <v>0.5</v>
      </c>
      <c r="S18" s="57">
        <v>0.5</v>
      </c>
      <c r="T18" s="57">
        <v>0.5</v>
      </c>
      <c r="U18" s="57">
        <v>0.5</v>
      </c>
      <c r="V18" s="57">
        <v>0.5</v>
      </c>
      <c r="W18" s="57">
        <v>0.5</v>
      </c>
      <c r="X18" s="59">
        <f ca="1">IFERROR(VLOOKUP(C18,TDM_DD[[Week-Year]:[Core Reg]],4,FALSE),IF(ISNUMBER(OFFSET(X18,-1,0)),OFFSET(X18,-1,0),NA()))</f>
        <v>0</v>
      </c>
      <c r="Y18" s="59" t="str">
        <f ca="1">IFERROR(VLOOKUP(C18,TDM_DD[[Week-Year]:[Core Reg]],5,FALSE),IF(ISNUMBER(OFFSET(Y18,-1,0)),OFFSET(Y18,-1,0),NA()))</f>
        <v>Core Reg</v>
      </c>
      <c r="Z18" s="59">
        <f ca="1">IFERROR(VLOOKUP(C18,Coles_DD[[Week-Year]:[Core Reg]],4,FALSE),IF(ISNUMBER(OFFSET(Z18,-1,0)),OFFSET(Z18,-1,0),NA()))</f>
        <v>1.1328527927398682</v>
      </c>
      <c r="AA18" s="59">
        <f ca="1">IFERROR(VLOOKUP(C18,Coles_DD[[Week-Year]:[Core Reg]],5,FALSE),IF(ISNUMBER(OFFSET(AA18,-1,0)),OFFSET(AA18,-1,0),NA()))</f>
        <v>3.8759689331054687</v>
      </c>
      <c r="AB18" s="59">
        <f ca="1">IFERROR(VLOOKUP(C18,WOW_DD[[Week-Year]:[Core Reg]],4,FALSE),IF(ISNUMBER(OFFSET(AB18,-1,0)),OFFSET(AB18,-1,0),NA()))</f>
        <v>9.5670394897460937</v>
      </c>
      <c r="AC18" s="59">
        <f ca="1">IFERROR(VLOOKUP(C18,WOW_DD[[Week-Year]:[Core Reg]],5,FALSE),IF(ISNUMBER(OFFSET(AC18,-1,0)),OFFSET(AC18,-1,0),NA()))</f>
        <v>12.440757751464844</v>
      </c>
      <c r="AD18" s="59">
        <f ca="1">IFERROR(VLOOKUP(C18,SSL_DD[[Week-Year]:[Core Reg]],4,FALSE),IF(ISNUMBER(OFFSET(AD18,-1,0)),OFFSET(AD18,-1,0),NA()))</f>
        <v>43.069766998291016</v>
      </c>
      <c r="AE18" s="59">
        <f ca="1">IFERROR(VLOOKUP(C18,SSL_DD[[Week-Year]:[Core Reg]],5,FALSE),IF(ISNUMBER(OFFSET(AE18,-1,0)),OFFSET(AE18,-1,0),NA()))</f>
        <v>55.148338317871094</v>
      </c>
      <c r="AF18" s="59">
        <f ca="1">IFERROR(VLOOKUP(C18,WFM_DD[[Week-Year]:[Core Reg]],4,FALSE),IF(ISNUMBER(OFFSET(AF18,-1,0)),OFFSET(AF18,-1,0),NA()))</f>
        <v>2.1978023052215576</v>
      </c>
      <c r="AG18" s="59">
        <f ca="1">IFERROR(VLOOKUP(C18,WFM_DD[[Week-Year]:[Core Reg]],5,FALSE),IF(ISNUMBER(OFFSET(AG18,-1,0)),OFFSET(AG18,-1,0),NA()))</f>
        <v>25.925926208496094</v>
      </c>
      <c r="AH18" s="62">
        <f ca="1">IFERROR(VLOOKUP(C18,RTen_DD[[Week-Year]:[Core Reg]],4,FALSE),IF(ISNUMBER(OFFSET(AH18,-1,0)),OFFSET(AH18,-1,0),NA()))</f>
        <v>0</v>
      </c>
      <c r="AI18" s="62">
        <f ca="1">IFERROR(VLOOKUP(C18,RTen_DD[[Week-Year]:[Core Reg]],5,FALSE)/100,IF(ISNUMBER(OFFSET(AI18,-1,0)),OFFSET(AI18,-1,0),NA()))</f>
        <v>0.37790851593017577</v>
      </c>
      <c r="AJ18" s="62">
        <f ca="1">DD_Table[[#This Row],[TDM_Ext_Reg]]</f>
        <v>0</v>
      </c>
      <c r="AK18" s="62">
        <f ca="1">DD_Table[[#This Row],[Coles_Ext_Reg]]</f>
        <v>1.1328527927398682</v>
      </c>
      <c r="AL18" s="62">
        <f ca="1">DD_Table[[#This Row],[WOW_Ext_Reg]]</f>
        <v>9.5670394897460937</v>
      </c>
      <c r="AM18" s="62">
        <f ca="1">DD_Table[[#This Row],[SSL_Ext_Reg]]</f>
        <v>43.069766998291016</v>
      </c>
      <c r="AN18" s="62">
        <f ca="1">DD_Table[[#This Row],[WFM_Ext_Reg]]</f>
        <v>2.1978023052215576</v>
      </c>
      <c r="AO18" s="62">
        <f t="array" aca="1" ref="AO18" ca="1">IFERROR(AVERAGE(IF(ISNUMBER(DD_Table[[#This Row],[TDM_Avg]:[WFM_Avg]]),DD_Table[[#This Row],[TDM_Avg]:[WFM_Avg]]))/100,NA())</f>
        <v>0.11193492317199707</v>
      </c>
      <c r="AP18" s="62">
        <f t="array" aca="1" ref="AP18" ca="1">MAX(IF(ISERROR(DD_Table[[TDM_Avg]:[WFM_Avg]]),0,DD_Table[[TDM_Avg]:[WFM_Avg]]))*1.1</f>
        <v>48.107883834838873</v>
      </c>
      <c r="AQ18" s="62">
        <f t="array" aca="1" ref="AQ18" ca="1">MAX(IF(ISERROR(DD_Table[[TDM_Ext_Reg]:[WFM_Core_Reg]]),0,DD_Table[[TDM_Ext_Reg]:[WFM_Core_Reg]]))</f>
        <v>61.538463592529297</v>
      </c>
      <c r="AR18" s="65">
        <f ca="1">IFERROR(VLOOKUP(C18,TDM_DD[[Week-Year]:[DDP]],6,FALSE),IF(ISNUMBER(OFFSET(AR18,-1,0)),OFFSET(AR18,-1,0),NA()))</f>
        <v>7.1428571428571425E-2</v>
      </c>
      <c r="AS18" s="65">
        <f ca="1">IFERROR(VLOOKUP(C18,Coles_DD[[Week-Year]:[DDP]],6,FALSE),IF(ISNUMBER(OFFSET(AS18,-1,0)),OFFSET(AS18,-1,0),NA()))</f>
        <v>0.1925754060324826</v>
      </c>
      <c r="AT18" s="65">
        <f ca="1">IFERROR(VLOOKUP(C18,WOW_DD[[Week-Year]:[DDP]],6,FALSE),IF(ISNUMBER(OFFSET(AT18,-1,0)),OFFSET(AT18,-1,0),NA()))</f>
        <v>0.35697238322536651</v>
      </c>
      <c r="AU18" s="65">
        <f ca="1">IFERROR(VLOOKUP(C18,SSL_DD[[Week-Year]:[DDP]],6,FALSE),IF(ISNUMBER(OFFSET(AU18,-1,0)),OFFSET(AU18,-1,0),NA()))</f>
        <v>0.31099084096586177</v>
      </c>
      <c r="AV18" s="65">
        <f ca="1">IFERROR(VLOOKUP(C18,WFM_DD[[Week-Year]:[DDP]],6,FALSE),IF(ISNUMBER(OFFSET(AV18,-1,0)),OFFSET(AV18,-1,0),NA()))</f>
        <v>0.31779661016949151</v>
      </c>
      <c r="AW18" s="65">
        <f t="array" aca="1" ref="AW18" ca="1">IFERROR(AVERAGE(IF(ISNUMBER(DD_Table[[#This Row],[TDM_DDP]:[WFM_DDP]]),DD_Table[[#This Row],[TDM_DDP]:[WFM_DDP]])),NA())</f>
        <v>0.24995276236435476</v>
      </c>
      <c r="AX18" s="65">
        <f t="array" aca="1" ref="AX18" ca="1">IFERROR(MAX(IF(ISNUMBER(DD_Table[[TDM_DDP]:[WFM_DDP]]),DD_Table[[TDM_DDP]:[WFM_DDP]])),NA())</f>
        <v>0.68</v>
      </c>
      <c r="AY18" s="88">
        <f ca="1">IFERROR(VLOOKUP(C18,RTen_DD[[Week-Year]:[Core DDP]],6,FALSE),IF(ISNUMBER(VLOOKUP(C18,RTen_DD[[Week-Year]:[Core DDP]],6,FALSE)),OFFSET(AY18,-1,0),OFFSET(AY18,-1,0)))</f>
        <v>0.20098957061767578</v>
      </c>
      <c r="AZ18" s="65"/>
      <c r="BA18" s="65"/>
      <c r="BC18">
        <v>16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3</v>
      </c>
      <c r="BO18" s="71"/>
      <c r="BP18" s="71">
        <f>MAX(Med_Table[[TDM]:[WFM]])</f>
        <v>29</v>
      </c>
      <c r="DN18" s="71"/>
      <c r="DO18" s="71"/>
      <c r="DV18" s="30"/>
      <c r="DW18" s="30"/>
    </row>
    <row r="19" spans="1:127">
      <c r="A19" s="69">
        <f t="shared" si="2"/>
        <v>41766</v>
      </c>
      <c r="B19" s="70">
        <f t="shared" si="0"/>
        <v>19</v>
      </c>
      <c r="C19" s="70">
        <f t="shared" si="1"/>
        <v>192014</v>
      </c>
      <c r="D19" s="57">
        <f ca="1">IFERROR(VLOOKUP(C19,TDM_DD[[Week-Year]:[DD]],2,FALSE),IF(ISNUMBER(OFFSET(D19,-1,0)),OFFSET(D19,-1,0),NA()))</f>
        <v>5</v>
      </c>
      <c r="E19" s="58">
        <f ca="1">IFERROR(VLOOKUP(C19,Coles_DD[[Week-Year]:[DD]],2,FALSE),IF(ISNUMBER(OFFSET(E19,-1,0)),OFFSET(E19,-1,0),NA()))</f>
        <v>2190</v>
      </c>
      <c r="F19" s="58">
        <f ca="1">IFERROR(VLOOKUP(C19,WOW_DD[[Week-Year]:[DD]],2,FALSE),IF(ISNUMBER(OFFSET(F19,-1,0)),OFFSET(F19,-1,0),NA()))</f>
        <v>2822</v>
      </c>
      <c r="G19" s="57">
        <f ca="1">IFERROR(VLOOKUP(C19,SSL_DD[[Week-Year]:[DD]],2,FALSE),IF(ISNUMBER(OFFSET(G19,-1,0)),OFFSET(G19,-1,0),NA()))</f>
        <v>198</v>
      </c>
      <c r="H19" s="58">
        <f ca="1">IFERROR(VLOOKUP(C19,WFM_DD[[Week-Year]:[DD]],2,FALSE),IF(ISNUMBER(OFFSET(H19,-1,0)),OFFSET(H19,-1,0),NA()))</f>
        <v>119</v>
      </c>
      <c r="I19" s="57">
        <f ca="1">IFERROR(VLOOKUP(C19,RTen_DD[[Week-Year]:[DD]],2,FALSE),IF(ISNUMBER(OFFSET(I19,-1,0)),OFFSET(I19,-1,0),NA()))</f>
        <v>5997</v>
      </c>
      <c r="J19" s="57">
        <f ca="1">IFERROR(VLOOKUP(C19,TDM_DD[[Week-Year]:[DD]],3,FALSE),IF(ISNUMBER(OFFSET(J19,-1,0)),OFFSET(J19,-1,0),NA()))</f>
        <v>3.7999999523162842</v>
      </c>
      <c r="K19" s="57">
        <f ca="1">IFERROR(VLOOKUP(C19,Coles_DD[[Week-Year]:[DD]],3,FALSE),IF(ISNUMBER(OFFSET(K19,-1,0)),OFFSET(K19,-1,0),NA()))</f>
        <v>0.45753425359725952</v>
      </c>
      <c r="L19" s="57">
        <f ca="1">IFERROR(VLOOKUP(C19,WOW_DD[[Week-Year]:[DD]],3,FALSE),IF(ISNUMBER(OFFSET(L19,-1,0)),OFFSET(L19,-1,0),NA()))</f>
        <v>0.51771795749664307</v>
      </c>
      <c r="M19" s="57">
        <f ca="1">IFERROR(VLOOKUP(C19,SSL_DD[[Week-Year]:[DD]],3,FALSE),IF(ISNUMBER(OFFSET(M19,-1,0)),OFFSET(M19,-1,0),NA()))</f>
        <v>5.5757575035095215</v>
      </c>
      <c r="N19" s="57">
        <f ca="1">IFERROR(VLOOKUP(C19,WFM_DD[[Week-Year]:[DD]],3,FALSE),IF(ISNUMBER(OFFSET(N19,-1,0)),OFFSET(N19,-1,0),NA()))</f>
        <v>0.88235294818878174</v>
      </c>
      <c r="O19" s="57">
        <f ca="1">IFERROR(VLOOKUP(C19,RTen_DD[[Week-Year]:[DD]],3,FALSE),IF(ISNUMBER(OFFSET(O19,-1,0)),OFFSET(O19,-1,0),NA()))</f>
        <v>1.2831416130065918</v>
      </c>
      <c r="P19" s="57">
        <f t="array" aca="1" ref="P19" ca="1">AVERAGE(IF(ISNUMBER(DD_Table[[#This Row],[TDM_DD]:[WFM_DD]]),DD_Table[[#This Row],[TDM_DD]:[WFM_DD]]))</f>
        <v>2.2466725230216982</v>
      </c>
      <c r="Q19" s="57">
        <f t="array" aca="1" ref="Q19" ca="1">MAX(IF(ISERROR(DD_Table[[TDM_DD]:[WFM_DD]]),0,DD_Table[[TDM_DD]:[WFM_DD]]))*0.8</f>
        <v>12.322580718994141</v>
      </c>
      <c r="R19" s="57">
        <v>0.5</v>
      </c>
      <c r="S19" s="57">
        <v>0.5</v>
      </c>
      <c r="T19" s="57">
        <v>0.5</v>
      </c>
      <c r="U19" s="57">
        <v>0.5</v>
      </c>
      <c r="V19" s="57">
        <v>0.5</v>
      </c>
      <c r="W19" s="57">
        <v>0.5</v>
      </c>
      <c r="X19" s="59">
        <f ca="1">IFERROR(VLOOKUP(C19,TDM_DD[[Week-Year]:[Core Reg]],4,FALSE),IF(ISNUMBER(OFFSET(X19,-1,0)),OFFSET(X19,-1,0),NA()))</f>
        <v>10.526315689086914</v>
      </c>
      <c r="Y19" s="59" t="str">
        <f ca="1">IFERROR(VLOOKUP(C19,TDM_DD[[Week-Year]:[Core Reg]],5,FALSE),IF(ISNUMBER(OFFSET(Y19,-1,0)),OFFSET(Y19,-1,0),NA()))</f>
        <v>Core Reg</v>
      </c>
      <c r="Z19" s="59">
        <f ca="1">IFERROR(VLOOKUP(C19,Coles_DD[[Week-Year]:[Core Reg]],4,FALSE),IF(ISNUMBER(OFFSET(Z19,-1,0)),OFFSET(Z19,-1,0),NA()))</f>
        <v>1.5968064069747925</v>
      </c>
      <c r="AA19" s="59">
        <f ca="1">IFERROR(VLOOKUP(C19,Coles_DD[[Week-Year]:[Core Reg]],5,FALSE),IF(ISNUMBER(OFFSET(AA19,-1,0)),OFFSET(AA19,-1,0),NA()))</f>
        <v>3.7593982219696045</v>
      </c>
      <c r="AB19" s="59">
        <f ca="1">IFERROR(VLOOKUP(C19,WOW_DD[[Week-Year]:[Core Reg]],4,FALSE),IF(ISNUMBER(OFFSET(AB19,-1,0)),OFFSET(AB19,-1,0),NA()))</f>
        <v>9.7193698883056641</v>
      </c>
      <c r="AC19" s="59">
        <f ca="1">IFERROR(VLOOKUP(C19,WOW_DD[[Week-Year]:[Core Reg]],5,FALSE),IF(ISNUMBER(OFFSET(AC19,-1,0)),OFFSET(AC19,-1,0),NA()))</f>
        <v>12.52900218963623</v>
      </c>
      <c r="AD19" s="59">
        <f ca="1">IFERROR(VLOOKUP(C19,SSL_DD[[Week-Year]:[Core Reg]],4,FALSE),IF(ISNUMBER(OFFSET(AD19,-1,0)),OFFSET(AD19,-1,0),NA()))</f>
        <v>43.115940093994141</v>
      </c>
      <c r="AE19" s="59">
        <f ca="1">IFERROR(VLOOKUP(C19,SSL_DD[[Week-Year]:[Core Reg]],5,FALSE),IF(ISNUMBER(OFFSET(AE19,-1,0)),OFFSET(AE19,-1,0),NA()))</f>
        <v>54.974704742431641</v>
      </c>
      <c r="AF19" s="59">
        <f ca="1">IFERROR(VLOOKUP(C19,WFM_DD[[Week-Year]:[Core Reg]],4,FALSE),IF(ISNUMBER(OFFSET(AF19,-1,0)),OFFSET(AF19,-1,0),NA()))</f>
        <v>5.7142858505249023</v>
      </c>
      <c r="AG19" s="59">
        <f ca="1">IFERROR(VLOOKUP(C19,WFM_DD[[Week-Year]:[Core Reg]],5,FALSE),IF(ISNUMBER(OFFSET(AG19,-1,0)),OFFSET(AG19,-1,0),NA()))</f>
        <v>22.95081901550293</v>
      </c>
      <c r="AH19" s="62">
        <f ca="1">IFERROR(VLOOKUP(C19,RTen_DD[[Week-Year]:[Core Reg]],4,FALSE),IF(ISNUMBER(OFFSET(AH19,-1,0)),OFFSET(AH19,-1,0),NA()))</f>
        <v>0</v>
      </c>
      <c r="AI19" s="62">
        <f ca="1">IFERROR(VLOOKUP(C19,RTen_DD[[Week-Year]:[Core Reg]],5,FALSE)/100,IF(ISNUMBER(OFFSET(AI19,-1,0)),OFFSET(AI19,-1,0),NA()))</f>
        <v>0.3729694366455078</v>
      </c>
      <c r="AJ19" s="62">
        <f ca="1">DD_Table[[#This Row],[TDM_Ext_Reg]]</f>
        <v>10.526315689086914</v>
      </c>
      <c r="AK19" s="62">
        <f ca="1">DD_Table[[#This Row],[Coles_Ext_Reg]]</f>
        <v>1.5968064069747925</v>
      </c>
      <c r="AL19" s="62">
        <f ca="1">DD_Table[[#This Row],[WOW_Ext_Reg]]</f>
        <v>9.7193698883056641</v>
      </c>
      <c r="AM19" s="62">
        <f ca="1">DD_Table[[#This Row],[SSL_Ext_Reg]]</f>
        <v>43.115940093994141</v>
      </c>
      <c r="AN19" s="62">
        <f ca="1">DD_Table[[#This Row],[WFM_Ext_Reg]]</f>
        <v>5.7142858505249023</v>
      </c>
      <c r="AO19" s="62">
        <f t="array" aca="1" ref="AO19" ca="1">IFERROR(AVERAGE(IF(ISNUMBER(DD_Table[[#This Row],[TDM_Avg]:[WFM_Avg]]),DD_Table[[#This Row],[TDM_Avg]:[WFM_Avg]]))/100,NA())</f>
        <v>0.14134543585777284</v>
      </c>
      <c r="AP19" s="62">
        <f t="array" aca="1" ref="AP19" ca="1">MAX(IF(ISERROR(DD_Table[[TDM_Avg]:[WFM_Avg]]),0,DD_Table[[TDM_Avg]:[WFM_Avg]]))*1.1</f>
        <v>48.107883834838873</v>
      </c>
      <c r="AQ19" s="62">
        <f t="array" aca="1" ref="AQ19" ca="1">MAX(IF(ISERROR(DD_Table[[TDM_Ext_Reg]:[WFM_Core_Reg]]),0,DD_Table[[TDM_Ext_Reg]:[WFM_Core_Reg]]))</f>
        <v>61.538463592529297</v>
      </c>
      <c r="AR19" s="65">
        <f ca="1">IFERROR(VLOOKUP(C19,TDM_DD[[Week-Year]:[DDP]],6,FALSE),IF(ISNUMBER(OFFSET(AR19,-1,0)),OFFSET(AR19,-1,0),NA()))</f>
        <v>0.13636363636363635</v>
      </c>
      <c r="AS19" s="65">
        <f ca="1">IFERROR(VLOOKUP(C19,Coles_DD[[Week-Year]:[DDP]],6,FALSE),IF(ISNUMBER(OFFSET(AS19,-1,0)),OFFSET(AS19,-1,0),NA()))</f>
        <v>0.19101123595505617</v>
      </c>
      <c r="AT19" s="65">
        <f ca="1">IFERROR(VLOOKUP(C19,WOW_DD[[Week-Year]:[DDP]],6,FALSE),IF(ISNUMBER(OFFSET(AT19,-1,0)),OFFSET(AT19,-1,0),NA()))</f>
        <v>0.35697557711609235</v>
      </c>
      <c r="AU19" s="65">
        <f ca="1">IFERROR(VLOOKUP(C19,SSL_DD[[Week-Year]:[DDP]],6,FALSE),IF(ISNUMBER(OFFSET(AU19,-1,0)),OFFSET(AU19,-1,0),NA()))</f>
        <v>0.31260162601626018</v>
      </c>
      <c r="AV19" s="65">
        <f ca="1">IFERROR(VLOOKUP(C19,WFM_DD[[Week-Year]:[DDP]],6,FALSE),IF(ISNUMBER(OFFSET(AV19,-1,0)),OFFSET(AV19,-1,0),NA()))</f>
        <v>0.31203007518796994</v>
      </c>
      <c r="AW19" s="65">
        <f t="array" aca="1" ref="AW19" ca="1">IFERROR(AVERAGE(IF(ISNUMBER(DD_Table[[#This Row],[TDM_DDP]:[WFM_DDP]]),DD_Table[[#This Row],[TDM_DDP]:[WFM_DDP]])),NA())</f>
        <v>0.26179643012780301</v>
      </c>
      <c r="AX19" s="65">
        <f t="array" aca="1" ref="AX19" ca="1">IFERROR(MAX(IF(ISNUMBER(DD_Table[[TDM_DDP]:[WFM_DDP]]),DD_Table[[TDM_DDP]:[WFM_DDP]])),NA())</f>
        <v>0.68</v>
      </c>
      <c r="AY19" s="88">
        <f ca="1">IFERROR(VLOOKUP(C19,RTen_DD[[Week-Year]:[Core DDP]],6,FALSE),IF(ISNUMBER(VLOOKUP(C19,RTen_DD[[Week-Year]:[Core DDP]],6,FALSE)),OFFSET(AY19,-1,0),OFFSET(AY19,-1,0)))</f>
        <v>0.20948667526245118</v>
      </c>
      <c r="AZ19" s="65"/>
      <c r="BA19" s="65"/>
      <c r="BC19">
        <v>17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4</v>
      </c>
      <c r="BO19" s="71"/>
      <c r="BP19" s="71">
        <f>MAX(Med_Table[[TDM]:[WFM]])</f>
        <v>29</v>
      </c>
      <c r="DN19" s="71"/>
      <c r="DO19" s="71"/>
      <c r="DV19" s="30"/>
      <c r="DW19" s="30"/>
    </row>
    <row r="20" spans="1:127">
      <c r="A20" s="69">
        <f t="shared" si="2"/>
        <v>41773</v>
      </c>
      <c r="B20" s="70">
        <f t="shared" si="0"/>
        <v>20</v>
      </c>
      <c r="C20" s="70">
        <f t="shared" si="1"/>
        <v>202014</v>
      </c>
      <c r="D20" s="57">
        <f ca="1">IFERROR(VLOOKUP(C20,TDM_DD[[Week-Year]:[DD]],2,FALSE),IF(ISNUMBER(OFFSET(D20,-1,0)),OFFSET(D20,-1,0),NA()))</f>
        <v>5</v>
      </c>
      <c r="E20" s="58">
        <f ca="1">IFERROR(VLOOKUP(C20,Coles_DD[[Week-Year]:[DD]],2,FALSE),IF(ISNUMBER(OFFSET(E20,-1,0)),OFFSET(E20,-1,0),NA()))</f>
        <v>2193</v>
      </c>
      <c r="F20" s="58">
        <f ca="1">IFERROR(VLOOKUP(C20,WOW_DD[[Week-Year]:[DD]],2,FALSE),IF(ISNUMBER(OFFSET(F20,-1,0)),OFFSET(F20,-1,0),NA()))</f>
        <v>2822</v>
      </c>
      <c r="G20" s="57">
        <f ca="1">IFERROR(VLOOKUP(C20,SSL_DD[[Week-Year]:[DD]],2,FALSE),IF(ISNUMBER(OFFSET(G20,-1,0)),OFFSET(G20,-1,0),NA()))</f>
        <v>228</v>
      </c>
      <c r="H20" s="58">
        <f ca="1">IFERROR(VLOOKUP(C20,WFM_DD[[Week-Year]:[DD]],2,FALSE),IF(ISNUMBER(OFFSET(H20,-1,0)),OFFSET(H20,-1,0),NA()))</f>
        <v>126</v>
      </c>
      <c r="I20" s="57">
        <f ca="1">IFERROR(VLOOKUP(C20,RTen_DD[[Week-Year]:[DD]],2,FALSE),IF(ISNUMBER(OFFSET(I20,-1,0)),OFFSET(I20,-1,0),NA()))</f>
        <v>6005</v>
      </c>
      <c r="J20" s="57">
        <f ca="1">IFERROR(VLOOKUP(C20,TDM_DD[[Week-Year]:[DD]],3,FALSE),IF(ISNUMBER(OFFSET(J20,-1,0)),OFFSET(J20,-1,0),NA()))</f>
        <v>5.1999998092651367</v>
      </c>
      <c r="K20" s="57">
        <f ca="1">IFERROR(VLOOKUP(C20,Coles_DD[[Week-Year]:[DD]],3,FALSE),IF(ISNUMBER(OFFSET(K20,-1,0)),OFFSET(K20,-1,0),NA()))</f>
        <v>0.47423622012138367</v>
      </c>
      <c r="L20" s="57">
        <f ca="1">IFERROR(VLOOKUP(C20,WOW_DD[[Week-Year]:[DD]],3,FALSE),IF(ISNUMBER(OFFSET(L20,-1,0)),OFFSET(L20,-1,0),NA()))</f>
        <v>0.52834868431091309</v>
      </c>
      <c r="M20" s="57">
        <f ca="1">IFERROR(VLOOKUP(C20,SSL_DD[[Week-Year]:[DD]],3,FALSE),IF(ISNUMBER(OFFSET(M20,-1,0)),OFFSET(M20,-1,0),NA()))</f>
        <v>4.8991227149963379</v>
      </c>
      <c r="N20" s="57">
        <f ca="1">IFERROR(VLOOKUP(C20,WFM_DD[[Week-Year]:[DD]],3,FALSE),IF(ISNUMBER(OFFSET(N20,-1,0)),OFFSET(N20,-1,0),NA()))</f>
        <v>1.047619104385376</v>
      </c>
      <c r="O20" s="57">
        <f ca="1">IFERROR(VLOOKUP(C20,RTen_DD[[Week-Year]:[DD]],3,FALSE),IF(ISNUMBER(OFFSET(O20,-1,0)),OFFSET(O20,-1,0),NA()))</f>
        <v>1.2940882444381714</v>
      </c>
      <c r="P20" s="57">
        <f t="array" aca="1" ref="P20" ca="1">AVERAGE(IF(ISNUMBER(DD_Table[[#This Row],[TDM_DD]:[WFM_DD]]),DD_Table[[#This Row],[TDM_DD]:[WFM_DD]]))</f>
        <v>2.4298653066158296</v>
      </c>
      <c r="Q20" s="57">
        <f t="array" aca="1" ref="Q20" ca="1">MAX(IF(ISERROR(DD_Table[[TDM_DD]:[WFM_DD]]),0,DD_Table[[TDM_DD]:[WFM_DD]]))*0.8</f>
        <v>12.322580718994141</v>
      </c>
      <c r="R20" s="57">
        <v>0.5</v>
      </c>
      <c r="S20" s="57">
        <v>0.5</v>
      </c>
      <c r="T20" s="57">
        <v>0.5</v>
      </c>
      <c r="U20" s="57">
        <v>0.5</v>
      </c>
      <c r="V20" s="57">
        <v>0.5</v>
      </c>
      <c r="W20" s="57">
        <v>0.5</v>
      </c>
      <c r="X20" s="59">
        <f ca="1">IFERROR(VLOOKUP(C20,TDM_DD[[Week-Year]:[Core Reg]],4,FALSE),IF(ISNUMBER(OFFSET(X20,-1,0)),OFFSET(X20,-1,0),NA()))</f>
        <v>11.538461685180664</v>
      </c>
      <c r="Y20" s="59" t="str">
        <f ca="1">IFERROR(VLOOKUP(C20,TDM_DD[[Week-Year]:[Core Reg]],5,FALSE),IF(ISNUMBER(OFFSET(Y20,-1,0)),OFFSET(Y20,-1,0),NA()))</f>
        <v>Core Reg</v>
      </c>
      <c r="Z20" s="59">
        <f ca="1">IFERROR(VLOOKUP(C20,Coles_DD[[Week-Year]:[Core Reg]],4,FALSE),IF(ISNUMBER(OFFSET(Z20,-1,0)),OFFSET(Z20,-1,0),NA()))</f>
        <v>1.826923131942749</v>
      </c>
      <c r="AA20" s="59">
        <f ca="1">IFERROR(VLOOKUP(C20,Coles_DD[[Week-Year]:[Core Reg]],5,FALSE),IF(ISNUMBER(OFFSET(AA20,-1,0)),OFFSET(AA20,-1,0),NA()))</f>
        <v>3.6764707565307617</v>
      </c>
      <c r="AB20" s="59">
        <f ca="1">IFERROR(VLOOKUP(C20,WOW_DD[[Week-Year]:[Core Reg]],4,FALSE),IF(ISNUMBER(OFFSET(AB20,-1,0)),OFFSET(AB20,-1,0),NA()))</f>
        <v>10.060362815856934</v>
      </c>
      <c r="AC20" s="59">
        <f ca="1">IFERROR(VLOOKUP(C20,WOW_DD[[Week-Year]:[Core Reg]],5,FALSE),IF(ISNUMBER(OFFSET(AC20,-1,0)),OFFSET(AC20,-1,0),NA()))</f>
        <v>12.585033416748047</v>
      </c>
      <c r="AD20" s="59">
        <f ca="1">IFERROR(VLOOKUP(C20,SSL_DD[[Week-Year]:[Core Reg]],4,FALSE),IF(ISNUMBER(OFFSET(AD20,-1,0)),OFFSET(AD20,-1,0),NA()))</f>
        <v>42.972244262695312</v>
      </c>
      <c r="AE20" s="59">
        <f ca="1">IFERROR(VLOOKUP(C20,SSL_DD[[Week-Year]:[Core Reg]],5,FALSE),IF(ISNUMBER(OFFSET(AE20,-1,0)),OFFSET(AE20,-1,0),NA()))</f>
        <v>55.610561370849609</v>
      </c>
      <c r="AF20" s="59">
        <f ca="1">IFERROR(VLOOKUP(C20,WFM_DD[[Week-Year]:[Core Reg]],4,FALSE),IF(ISNUMBER(OFFSET(AF20,-1,0)),OFFSET(AF20,-1,0),NA()))</f>
        <v>7.5757579803466797</v>
      </c>
      <c r="AG20" s="59">
        <f ca="1">IFERROR(VLOOKUP(C20,WFM_DD[[Week-Year]:[Core Reg]],5,FALSE),IF(ISNUMBER(OFFSET(AG20,-1,0)),OFFSET(AG20,-1,0),NA()))</f>
        <v>24.242424011230469</v>
      </c>
      <c r="AH20" s="62">
        <f ca="1">IFERROR(VLOOKUP(C20,RTen_DD[[Week-Year]:[Core Reg]],4,FALSE),IF(ISNUMBER(OFFSET(AH20,-1,0)),OFFSET(AH20,-1,0),NA()))</f>
        <v>0</v>
      </c>
      <c r="AI20" s="62">
        <f ca="1">IFERROR(VLOOKUP(C20,RTen_DD[[Week-Year]:[Core Reg]],5,FALSE)/100,IF(ISNUMBER(OFFSET(AI20,-1,0)),OFFSET(AI20,-1,0),NA()))</f>
        <v>0.37099472045898435</v>
      </c>
      <c r="AJ20" s="62">
        <f ca="1">DD_Table[[#This Row],[TDM_Ext_Reg]]</f>
        <v>11.538461685180664</v>
      </c>
      <c r="AK20" s="62">
        <f ca="1">DD_Table[[#This Row],[Coles_Ext_Reg]]</f>
        <v>1.826923131942749</v>
      </c>
      <c r="AL20" s="62">
        <f ca="1">DD_Table[[#This Row],[WOW_Ext_Reg]]</f>
        <v>10.060362815856934</v>
      </c>
      <c r="AM20" s="62">
        <f ca="1">DD_Table[[#This Row],[SSL_Ext_Reg]]</f>
        <v>42.972244262695312</v>
      </c>
      <c r="AN20" s="62">
        <f ca="1">DD_Table[[#This Row],[WFM_Ext_Reg]]</f>
        <v>7.5757579803466797</v>
      </c>
      <c r="AO20" s="62">
        <f t="array" aca="1" ref="AO20" ca="1">IFERROR(AVERAGE(IF(ISNUMBER(DD_Table[[#This Row],[TDM_Avg]:[WFM_Avg]]),DD_Table[[#This Row],[TDM_Avg]:[WFM_Avg]]))/100,NA())</f>
        <v>0.14794749975204469</v>
      </c>
      <c r="AP20" s="62">
        <f t="array" aca="1" ref="AP20" ca="1">MAX(IF(ISERROR(DD_Table[[TDM_Avg]:[WFM_Avg]]),0,DD_Table[[TDM_Avg]:[WFM_Avg]]))*1.1</f>
        <v>48.107883834838873</v>
      </c>
      <c r="AQ20" s="62">
        <f t="array" aca="1" ref="AQ20" ca="1">MAX(IF(ISERROR(DD_Table[[TDM_Ext_Reg]:[WFM_Core_Reg]]),0,DD_Table[[TDM_Ext_Reg]:[WFM_Core_Reg]]))</f>
        <v>61.538463592529297</v>
      </c>
      <c r="AR20" s="65">
        <f ca="1">IFERROR(VLOOKUP(C20,TDM_DD[[Week-Year]:[DDP]],6,FALSE),IF(ISNUMBER(OFFSET(AR20,-1,0)),OFFSET(AR20,-1,0),NA()))</f>
        <v>0.10344827586206896</v>
      </c>
      <c r="AS20" s="65">
        <f ca="1">IFERROR(VLOOKUP(C20,Coles_DD[[Week-Year]:[DDP]],6,FALSE),IF(ISNUMBER(OFFSET(AS20,-1,0)),OFFSET(AS20,-1,0),NA()))</f>
        <v>0.18814573137574769</v>
      </c>
      <c r="AT20" s="65">
        <f ca="1">IFERROR(VLOOKUP(C20,WOW_DD[[Week-Year]:[DDP]],6,FALSE),IF(ISNUMBER(OFFSET(AT20,-1,0)),OFFSET(AT20,-1,0),NA()))</f>
        <v>0.35695538057742782</v>
      </c>
      <c r="AU20" s="65">
        <f ca="1">IFERROR(VLOOKUP(C20,SSL_DD[[Week-Year]:[DDP]],6,FALSE),IF(ISNUMBER(OFFSET(AU20,-1,0)),OFFSET(AU20,-1,0),NA()))</f>
        <v>0.31446791550418496</v>
      </c>
      <c r="AV20" s="65">
        <f ca="1">IFERROR(VLOOKUP(C20,WFM_DD[[Week-Year]:[DDP]],6,FALSE),IF(ISNUMBER(OFFSET(AV20,-1,0)),OFFSET(AV20,-1,0),NA()))</f>
        <v>0.28253968253968254</v>
      </c>
      <c r="AW20" s="65">
        <f t="array" aca="1" ref="AW20" ca="1">IFERROR(AVERAGE(IF(ISNUMBER(DD_Table[[#This Row],[TDM_DDP]:[WFM_DDP]]),DD_Table[[#This Row],[TDM_DDP]:[WFM_DDP]])),NA())</f>
        <v>0.24911139717182235</v>
      </c>
      <c r="AX20" s="65">
        <f t="array" aca="1" ref="AX20" ca="1">IFERROR(MAX(IF(ISNUMBER(DD_Table[[TDM_DDP]:[WFM_DDP]]),DD_Table[[TDM_DDP]:[WFM_DDP]])),NA())</f>
        <v>0.68</v>
      </c>
      <c r="AY20" s="88">
        <f ca="1">IFERROR(VLOOKUP(C20,RTen_DD[[Week-Year]:[Core DDP]],6,FALSE),IF(ISNUMBER(VLOOKUP(C20,RTen_DD[[Week-Year]:[Core DDP]],6,FALSE)),OFFSET(AY20,-1,0),OFFSET(AY20,-1,0)))</f>
        <v>0.21541629791259764</v>
      </c>
      <c r="AZ20" s="65"/>
      <c r="BA20" s="65"/>
      <c r="BC20">
        <v>18</v>
      </c>
      <c r="BD20">
        <v>0</v>
      </c>
      <c r="BE20">
        <v>0</v>
      </c>
      <c r="BF20">
        <v>0</v>
      </c>
      <c r="BG20">
        <v>3</v>
      </c>
      <c r="BH20">
        <v>0</v>
      </c>
      <c r="BI20">
        <v>1</v>
      </c>
      <c r="BO20" s="71"/>
      <c r="BP20" s="71">
        <f>MAX(Med_Table[[TDM]:[WFM]])</f>
        <v>29</v>
      </c>
      <c r="DN20" s="71"/>
      <c r="DO20" s="71"/>
      <c r="DV20" s="30"/>
      <c r="DW20" s="30"/>
    </row>
    <row r="21" spans="1:127">
      <c r="A21" s="69">
        <f t="shared" si="2"/>
        <v>41780</v>
      </c>
      <c r="B21" s="70">
        <f t="shared" si="0"/>
        <v>21</v>
      </c>
      <c r="C21" s="70">
        <f t="shared" si="1"/>
        <v>212014</v>
      </c>
      <c r="D21" s="57">
        <f ca="1">IFERROR(VLOOKUP(C21,TDM_DD[[Week-Year]:[DD]],2,FALSE),IF(ISNUMBER(OFFSET(D21,-1,0)),OFFSET(D21,-1,0),NA()))</f>
        <v>16</v>
      </c>
      <c r="E21" s="58">
        <f ca="1">IFERROR(VLOOKUP(C21,Coles_DD[[Week-Year]:[DD]],2,FALSE),IF(ISNUMBER(OFFSET(E21,-1,0)),OFFSET(E21,-1,0),NA()))</f>
        <v>2203</v>
      </c>
      <c r="F21" s="58">
        <f ca="1">IFERROR(VLOOKUP(C21,WOW_DD[[Week-Year]:[DD]],2,FALSE),IF(ISNUMBER(OFFSET(F21,-1,0)),OFFSET(F21,-1,0),NA()))</f>
        <v>2822</v>
      </c>
      <c r="G21" s="57">
        <f ca="1">IFERROR(VLOOKUP(C21,SSL_DD[[Week-Year]:[DD]],2,FALSE),IF(ISNUMBER(OFFSET(G21,-1,0)),OFFSET(G21,-1,0),NA()))</f>
        <v>233</v>
      </c>
      <c r="H21" s="58">
        <f ca="1">IFERROR(VLOOKUP(C21,WFM_DD[[Week-Year]:[DD]],2,FALSE),IF(ISNUMBER(OFFSET(H21,-1,0)),OFFSET(H21,-1,0),NA()))</f>
        <v>151</v>
      </c>
      <c r="I21" s="57">
        <f ca="1">IFERROR(VLOOKUP(C21,RTen_DD[[Week-Year]:[DD]],2,FALSE),IF(ISNUMBER(OFFSET(I21,-1,0)),OFFSET(I21,-1,0),NA()))</f>
        <v>6009</v>
      </c>
      <c r="J21" s="57">
        <f ca="1">IFERROR(VLOOKUP(C21,TDM_DD[[Week-Year]:[DD]],3,FALSE),IF(ISNUMBER(OFFSET(J21,-1,0)),OFFSET(J21,-1,0),NA()))</f>
        <v>2.125</v>
      </c>
      <c r="K21" s="57">
        <f ca="1">IFERROR(VLOOKUP(C21,Coles_DD[[Week-Year]:[DD]],3,FALSE),IF(ISNUMBER(OFFSET(K21,-1,0)),OFFSET(K21,-1,0),NA()))</f>
        <v>0.49205628037452698</v>
      </c>
      <c r="L21" s="57">
        <f ca="1">IFERROR(VLOOKUP(C21,WOW_DD[[Week-Year]:[DD]],3,FALSE),IF(ISNUMBER(OFFSET(L21,-1,0)),OFFSET(L21,-1,0),NA()))</f>
        <v>0.53472715616226196</v>
      </c>
      <c r="M21" s="57">
        <f ca="1">IFERROR(VLOOKUP(C21,SSL_DD[[Week-Year]:[DD]],3,FALSE),IF(ISNUMBER(OFFSET(M21,-1,0)),OFFSET(M21,-1,0),NA()))</f>
        <v>4.8540773391723633</v>
      </c>
      <c r="N21" s="57">
        <f ca="1">IFERROR(VLOOKUP(C21,WFM_DD[[Week-Year]:[DD]],3,FALSE),IF(ISNUMBER(OFFSET(N21,-1,0)),OFFSET(N21,-1,0),NA()))</f>
        <v>0.98675495386123657</v>
      </c>
      <c r="O21" s="57">
        <f ca="1">IFERROR(VLOOKUP(C21,RTen_DD[[Week-Year]:[DD]],3,FALSE),IF(ISNUMBER(OFFSET(O21,-1,0)),OFFSET(O21,-1,0),NA()))</f>
        <v>1.2983857393264771</v>
      </c>
      <c r="P21" s="57">
        <f t="array" aca="1" ref="P21" ca="1">AVERAGE(IF(ISNUMBER(DD_Table[[#This Row],[TDM_DD]:[WFM_DD]]),DD_Table[[#This Row],[TDM_DD]:[WFM_DD]]))</f>
        <v>1.7985231459140778</v>
      </c>
      <c r="Q21" s="57">
        <f t="array" aca="1" ref="Q21" ca="1">MAX(IF(ISERROR(DD_Table[[TDM_DD]:[WFM_DD]]),0,DD_Table[[TDM_DD]:[WFM_DD]]))*0.8</f>
        <v>12.322580718994141</v>
      </c>
      <c r="R21" s="57">
        <v>0.5</v>
      </c>
      <c r="S21" s="57">
        <v>0.5</v>
      </c>
      <c r="T21" s="57">
        <v>0.5</v>
      </c>
      <c r="U21" s="57">
        <v>0.5</v>
      </c>
      <c r="V21" s="57">
        <v>0.5</v>
      </c>
      <c r="W21" s="57">
        <v>0.5</v>
      </c>
      <c r="X21" s="59">
        <f ca="1">IFERROR(VLOOKUP(C21,TDM_DD[[Week-Year]:[Core Reg]],4,FALSE),IF(ISNUMBER(OFFSET(X21,-1,0)),OFFSET(X21,-1,0),NA()))</f>
        <v>20.588235855102539</v>
      </c>
      <c r="Y21" s="59">
        <f ca="1">IFERROR(VLOOKUP(C21,TDM_DD[[Week-Year]:[Core Reg]],5,FALSE),IF(ISNUMBER(OFFSET(Y21,-1,0)),OFFSET(Y21,-1,0),NA()))</f>
        <v>60.000003814697266</v>
      </c>
      <c r="Z21" s="59">
        <f ca="1">IFERROR(VLOOKUP(C21,Coles_DD[[Week-Year]:[Core Reg]],4,FALSE),IF(ISNUMBER(OFFSET(Z21,-1,0)),OFFSET(Z21,-1,0),NA()))</f>
        <v>1.9372694492340088</v>
      </c>
      <c r="AA21" s="59">
        <f ca="1">IFERROR(VLOOKUP(C21,Coles_DD[[Week-Year]:[Core Reg]],5,FALSE),IF(ISNUMBER(OFFSET(AA21,-1,0)),OFFSET(AA21,-1,0),NA()))</f>
        <v>3.9426524639129639</v>
      </c>
      <c r="AB21" s="59">
        <f ca="1">IFERROR(VLOOKUP(C21,WOW_DD[[Week-Year]:[Core Reg]],4,FALSE),IF(ISNUMBER(OFFSET(AB21,-1,0)),OFFSET(AB21,-1,0),NA()))</f>
        <v>10.536779403686523</v>
      </c>
      <c r="AC21" s="59">
        <f ca="1">IFERROR(VLOOKUP(C21,WOW_DD[[Week-Year]:[Core Reg]],5,FALSE),IF(ISNUMBER(OFFSET(AC21,-1,0)),OFFSET(AC21,-1,0),NA()))</f>
        <v>12.696629524230957</v>
      </c>
      <c r="AD21" s="59">
        <f ca="1">IFERROR(VLOOKUP(C21,SSL_DD[[Week-Year]:[Core Reg]],4,FALSE),IF(ISNUMBER(OFFSET(AD21,-1,0)),OFFSET(AD21,-1,0),NA()))</f>
        <v>43.059238433837891</v>
      </c>
      <c r="AE21" s="59">
        <f ca="1">IFERROR(VLOOKUP(C21,SSL_DD[[Week-Year]:[Core Reg]],5,FALSE),IF(ISNUMBER(OFFSET(AE21,-1,0)),OFFSET(AE21,-1,0),NA()))</f>
        <v>56.038646697998047</v>
      </c>
      <c r="AF21" s="59">
        <f ca="1">IFERROR(VLOOKUP(C21,WFM_DD[[Week-Year]:[Core Reg]],4,FALSE),IF(ISNUMBER(OFFSET(AF21,-1,0)),OFFSET(AF21,-1,0),NA()))</f>
        <v>8.7248325347900391</v>
      </c>
      <c r="AG21" s="59">
        <f ca="1">IFERROR(VLOOKUP(C21,WFM_DD[[Week-Year]:[Core Reg]],5,FALSE),IF(ISNUMBER(OFFSET(AG21,-1,0)),OFFSET(AG21,-1,0),NA()))</f>
        <v>23.28767204284668</v>
      </c>
      <c r="AH21" s="62">
        <f ca="1">IFERROR(VLOOKUP(C21,RTen_DD[[Week-Year]:[Core Reg]],4,FALSE),IF(ISNUMBER(OFFSET(AH21,-1,0)),OFFSET(AH21,-1,0),NA()))</f>
        <v>0</v>
      </c>
      <c r="AI21" s="62">
        <f ca="1">IFERROR(VLOOKUP(C21,RTen_DD[[Week-Year]:[Core Reg]],5,FALSE)/100,IF(ISNUMBER(OFFSET(AI21,-1,0)),OFFSET(AI21,-1,0),NA()))</f>
        <v>0.36977699279785159</v>
      </c>
      <c r="AJ21" s="62">
        <f ca="1">DD_Table[[#This Row],[TDM_Ext_Reg]]</f>
        <v>20.588235855102539</v>
      </c>
      <c r="AK21" s="62">
        <f ca="1">DD_Table[[#This Row],[Coles_Ext_Reg]]</f>
        <v>1.9372694492340088</v>
      </c>
      <c r="AL21" s="62">
        <f ca="1">DD_Table[[#This Row],[WOW_Ext_Reg]]</f>
        <v>10.536779403686523</v>
      </c>
      <c r="AM21" s="62">
        <f ca="1">DD_Table[[#This Row],[SSL_Ext_Reg]]</f>
        <v>43.059238433837891</v>
      </c>
      <c r="AN21" s="62">
        <f ca="1">DD_Table[[#This Row],[WFM_Ext_Reg]]</f>
        <v>8.7248325347900391</v>
      </c>
      <c r="AO21" s="62">
        <f t="array" aca="1" ref="AO21" ca="1">IFERROR(AVERAGE(IF(ISNUMBER(DD_Table[[#This Row],[TDM_Avg]:[WFM_Avg]]),DD_Table[[#This Row],[TDM_Avg]:[WFM_Avg]]))/100,NA())</f>
        <v>0.16969271135330199</v>
      </c>
      <c r="AP21" s="62">
        <f t="array" aca="1" ref="AP21" ca="1">MAX(IF(ISERROR(DD_Table[[TDM_Avg]:[WFM_Avg]]),0,DD_Table[[TDM_Avg]:[WFM_Avg]]))*1.1</f>
        <v>48.107883834838873</v>
      </c>
      <c r="AQ21" s="62">
        <f t="array" aca="1" ref="AQ21" ca="1">MAX(IF(ISERROR(DD_Table[[TDM_Ext_Reg]:[WFM_Core_Reg]]),0,DD_Table[[TDM_Ext_Reg]:[WFM_Core_Reg]]))</f>
        <v>61.538463592529297</v>
      </c>
      <c r="AR21" s="65">
        <f ca="1">IFERROR(VLOOKUP(C21,TDM_DD[[Week-Year]:[DDP]],6,FALSE),IF(ISNUMBER(OFFSET(AR21,-1,0)),OFFSET(AR21,-1,0),NA()))</f>
        <v>0.11627906976744186</v>
      </c>
      <c r="AS21" s="65">
        <f ca="1">IFERROR(VLOOKUP(C21,Coles_DD[[Week-Year]:[DDP]],6,FALSE),IF(ISNUMBER(OFFSET(AS21,-1,0)),OFFSET(AS21,-1,0),NA()))</f>
        <v>0.18694049499736703</v>
      </c>
      <c r="AT21" s="65">
        <f ca="1">IFERROR(VLOOKUP(C21,WOW_DD[[Week-Year]:[DDP]],6,FALSE),IF(ISNUMBER(OFFSET(AT21,-1,0)),OFFSET(AT21,-1,0),NA()))</f>
        <v>0.35610229847847202</v>
      </c>
      <c r="AU21" s="65">
        <f ca="1">IFERROR(VLOOKUP(C21,SSL_DD[[Week-Year]:[DDP]],6,FALSE),IF(ISNUMBER(OFFSET(AU21,-1,0)),OFFSET(AU21,-1,0),NA()))</f>
        <v>0.31566548881036516</v>
      </c>
      <c r="AV21" s="65">
        <f ca="1">IFERROR(VLOOKUP(C21,WFM_DD[[Week-Year]:[DDP]],6,FALSE),IF(ISNUMBER(OFFSET(AV21,-1,0)),OFFSET(AV21,-1,0),NA()))</f>
        <v>0.28125</v>
      </c>
      <c r="AW21" s="65">
        <f t="array" aca="1" ref="AW21" ca="1">IFERROR(AVERAGE(IF(ISNUMBER(DD_Table[[#This Row],[TDM_DDP]:[WFM_DDP]]),DD_Table[[#This Row],[TDM_DDP]:[WFM_DDP]])),NA())</f>
        <v>0.2512474704107292</v>
      </c>
      <c r="AX21" s="65">
        <f t="array" aca="1" ref="AX21" ca="1">IFERROR(MAX(IF(ISNUMBER(DD_Table[[TDM_DDP]:[WFM_DDP]]),DD_Table[[TDM_DDP]:[WFM_DDP]])),NA())</f>
        <v>0.68</v>
      </c>
      <c r="AY21" s="88">
        <f ca="1">IFERROR(VLOOKUP(C21,RTen_DD[[Week-Year]:[Core DDP]],6,FALSE),IF(ISNUMBER(VLOOKUP(C21,RTen_DD[[Week-Year]:[Core DDP]],6,FALSE)),OFFSET(AY21,-1,0),OFFSET(AY21,-1,0)))</f>
        <v>0.2171238136291504</v>
      </c>
      <c r="AZ21" s="65"/>
      <c r="BA21" s="65"/>
      <c r="BC21">
        <v>19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O21" s="71"/>
      <c r="BP21" s="71">
        <f>MAX(Med_Table[[TDM]:[WFM]])</f>
        <v>29</v>
      </c>
      <c r="DN21" s="71"/>
      <c r="DO21" s="71"/>
      <c r="DV21" s="30"/>
      <c r="DW21" s="30"/>
    </row>
    <row r="22" spans="1:127">
      <c r="A22" s="69">
        <f t="shared" si="2"/>
        <v>41787</v>
      </c>
      <c r="B22" s="70">
        <f t="shared" si="0"/>
        <v>22</v>
      </c>
      <c r="C22" s="70">
        <f t="shared" si="1"/>
        <v>222014</v>
      </c>
      <c r="D22" s="57">
        <f ca="1">IFERROR(VLOOKUP(C22,TDM_DD[[Week-Year]:[DD]],2,FALSE),IF(ISNUMBER(OFFSET(D22,-1,0)),OFFSET(D22,-1,0),NA()))</f>
        <v>19</v>
      </c>
      <c r="E22" s="58">
        <f ca="1">IFERROR(VLOOKUP(C22,Coles_DD[[Week-Year]:[DD]],2,FALSE),IF(ISNUMBER(OFFSET(E22,-1,0)),OFFSET(E22,-1,0),NA()))</f>
        <v>2203</v>
      </c>
      <c r="F22" s="58">
        <f ca="1">IFERROR(VLOOKUP(C22,WOW_DD[[Week-Year]:[DD]],2,FALSE),IF(ISNUMBER(OFFSET(F22,-1,0)),OFFSET(F22,-1,0),NA()))</f>
        <v>2822</v>
      </c>
      <c r="G22" s="57">
        <f ca="1">IFERROR(VLOOKUP(C22,SSL_DD[[Week-Year]:[DD]],2,FALSE),IF(ISNUMBER(OFFSET(G22,-1,0)),OFFSET(G22,-1,0),NA()))</f>
        <v>255</v>
      </c>
      <c r="H22" s="58">
        <f ca="1">IFERROR(VLOOKUP(C22,WFM_DD[[Week-Year]:[DD]],2,FALSE),IF(ISNUMBER(OFFSET(H22,-1,0)),OFFSET(H22,-1,0),NA()))</f>
        <v>151</v>
      </c>
      <c r="I22" s="57">
        <f ca="1">IFERROR(VLOOKUP(C22,RTen_DD[[Week-Year]:[DD]],2,FALSE),IF(ISNUMBER(OFFSET(I22,-1,0)),OFFSET(I22,-1,0),NA()))</f>
        <v>6009</v>
      </c>
      <c r="J22" s="57">
        <f ca="1">IFERROR(VLOOKUP(C22,TDM_DD[[Week-Year]:[DD]],3,FALSE),IF(ISNUMBER(OFFSET(J22,-1,0)),OFFSET(J22,-1,0),NA()))</f>
        <v>2.2105262279510498</v>
      </c>
      <c r="K22" s="57">
        <f ca="1">IFERROR(VLOOKUP(C22,Coles_DD[[Week-Year]:[DD]],3,FALSE),IF(ISNUMBER(OFFSET(K22,-1,0)),OFFSET(K22,-1,0),NA()))</f>
        <v>0.49886518716812134</v>
      </c>
      <c r="L22" s="57">
        <f ca="1">IFERROR(VLOOKUP(C22,WOW_DD[[Week-Year]:[DD]],3,FALSE),IF(ISNUMBER(OFFSET(L22,-1,0)),OFFSET(L22,-1,0),NA()))</f>
        <v>0.54394048452377319</v>
      </c>
      <c r="M22" s="57">
        <f ca="1">IFERROR(VLOOKUP(C22,SSL_DD[[Week-Year]:[DD]],3,FALSE),IF(ISNUMBER(OFFSET(M22,-1,0)),OFFSET(M22,-1,0),NA()))</f>
        <v>4.6549019813537598</v>
      </c>
      <c r="N22" s="57">
        <f ca="1">IFERROR(VLOOKUP(C22,WFM_DD[[Week-Year]:[DD]],3,FALSE),IF(ISNUMBER(OFFSET(N22,-1,0)),OFFSET(N22,-1,0),NA()))</f>
        <v>1.0132449865341187</v>
      </c>
      <c r="O22" s="57">
        <f ca="1">IFERROR(VLOOKUP(C22,RTen_DD[[Week-Year]:[DD]],3,FALSE),IF(ISNUMBER(OFFSET(O22,-1,0)),OFFSET(O22,-1,0),NA()))</f>
        <v>1.3038774728775024</v>
      </c>
      <c r="P22" s="57">
        <f t="array" aca="1" ref="P22" ca="1">AVERAGE(IF(ISNUMBER(DD_Table[[#This Row],[TDM_DD]:[WFM_DD]]),DD_Table[[#This Row],[TDM_DD]:[WFM_DD]]))</f>
        <v>1.7842957735061646</v>
      </c>
      <c r="Q22" s="57">
        <f t="array" aca="1" ref="Q22" ca="1">MAX(IF(ISERROR(DD_Table[[TDM_DD]:[WFM_DD]]),0,DD_Table[[TDM_DD]:[WFM_DD]]))*0.8</f>
        <v>12.322580718994141</v>
      </c>
      <c r="R22" s="57">
        <v>0.5</v>
      </c>
      <c r="S22" s="57">
        <v>0.5</v>
      </c>
      <c r="T22" s="57">
        <v>0.5</v>
      </c>
      <c r="U22" s="57">
        <v>0.5</v>
      </c>
      <c r="V22" s="57">
        <v>0.5</v>
      </c>
      <c r="W22" s="57">
        <v>0.5</v>
      </c>
      <c r="X22" s="59">
        <f ca="1">IFERROR(VLOOKUP(C22,TDM_DD[[Week-Year]:[Core Reg]],4,FALSE),IF(ISNUMBER(OFFSET(X22,-1,0)),OFFSET(X22,-1,0),NA()))</f>
        <v>19.047618865966797</v>
      </c>
      <c r="Y22" s="59">
        <f ca="1">IFERROR(VLOOKUP(C22,TDM_DD[[Week-Year]:[Core Reg]],5,FALSE),IF(ISNUMBER(OFFSET(Y22,-1,0)),OFFSET(Y22,-1,0),NA()))</f>
        <v>40</v>
      </c>
      <c r="Z22" s="59">
        <f ca="1">IFERROR(VLOOKUP(C22,Coles_DD[[Week-Year]:[Core Reg]],4,FALSE),IF(ISNUMBER(OFFSET(Z22,-1,0)),OFFSET(Z22,-1,0),NA()))</f>
        <v>1.9108281135559082</v>
      </c>
      <c r="AA22" s="59">
        <f ca="1">IFERROR(VLOOKUP(C22,Coles_DD[[Week-Year]:[Core Reg]],5,FALSE),IF(ISNUMBER(OFFSET(AA22,-1,0)),OFFSET(AA22,-1,0),NA()))</f>
        <v>3.9007093906402588</v>
      </c>
      <c r="AB22" s="59">
        <f ca="1">IFERROR(VLOOKUP(C22,WOW_DD[[Week-Year]:[Core Reg]],4,FALSE),IF(ISNUMBER(OFFSET(AB22,-1,0)),OFFSET(AB22,-1,0),NA()))</f>
        <v>11.14006519317627</v>
      </c>
      <c r="AC22" s="59">
        <f ca="1">IFERROR(VLOOKUP(C22,WOW_DD[[Week-Year]:[Core Reg]],5,FALSE),IF(ISNUMBER(OFFSET(AC22,-1,0)),OFFSET(AC22,-1,0),NA()))</f>
        <v>13.259668350219727</v>
      </c>
      <c r="AD22" s="59">
        <f ca="1">IFERROR(VLOOKUP(C22,SSL_DD[[Week-Year]:[Core Reg]],4,FALSE),IF(ISNUMBER(OFFSET(AD22,-1,0)),OFFSET(AD22,-1,0),NA()))</f>
        <v>43.555183410644531</v>
      </c>
      <c r="AE22" s="59">
        <f ca="1">IFERROR(VLOOKUP(C22,SSL_DD[[Week-Year]:[Core Reg]],5,FALSE),IF(ISNUMBER(OFFSET(AE22,-1,0)),OFFSET(AE22,-1,0),NA()))</f>
        <v>57.361961364746094</v>
      </c>
      <c r="AF22" s="59">
        <f ca="1">IFERROR(VLOOKUP(C22,WFM_DD[[Week-Year]:[Core Reg]],4,FALSE),IF(ISNUMBER(OFFSET(AF22,-1,0)),OFFSET(AF22,-1,0),NA()))</f>
        <v>9.8039216995239258</v>
      </c>
      <c r="AG22" s="59">
        <f ca="1">IFERROR(VLOOKUP(C22,WFM_DD[[Week-Year]:[Core Reg]],5,FALSE),IF(ISNUMBER(OFFSET(AG22,-1,0)),OFFSET(AG22,-1,0),NA()))</f>
        <v>23.684211730957031</v>
      </c>
      <c r="AH22" s="62">
        <f ca="1">IFERROR(VLOOKUP(C22,RTen_DD[[Week-Year]:[Core Reg]],4,FALSE),IF(ISNUMBER(OFFSET(AH22,-1,0)),OFFSET(AH22,-1,0),NA()))</f>
        <v>0</v>
      </c>
      <c r="AI22" s="62">
        <f ca="1">IFERROR(VLOOKUP(C22,RTen_DD[[Week-Year]:[Core Reg]],5,FALSE)/100,IF(ISNUMBER(OFFSET(AI22,-1,0)),OFFSET(AI22,-1,0),NA()))</f>
        <v>0.36860240936279298</v>
      </c>
      <c r="AJ22" s="62">
        <f ca="1">DD_Table[[#This Row],[TDM_Ext_Reg]]</f>
        <v>19.047618865966797</v>
      </c>
      <c r="AK22" s="62">
        <f ca="1">DD_Table[[#This Row],[Coles_Ext_Reg]]</f>
        <v>1.9108281135559082</v>
      </c>
      <c r="AL22" s="62">
        <f ca="1">DD_Table[[#This Row],[WOW_Ext_Reg]]</f>
        <v>11.14006519317627</v>
      </c>
      <c r="AM22" s="62">
        <f ca="1">DD_Table[[#This Row],[SSL_Ext_Reg]]</f>
        <v>43.555183410644531</v>
      </c>
      <c r="AN22" s="62">
        <f ca="1">DD_Table[[#This Row],[WFM_Ext_Reg]]</f>
        <v>9.8039216995239258</v>
      </c>
      <c r="AO22" s="62">
        <f t="array" aca="1" ref="AO22" ca="1">IFERROR(AVERAGE(IF(ISNUMBER(DD_Table[[#This Row],[TDM_Avg]:[WFM_Avg]]),DD_Table[[#This Row],[TDM_Avg]:[WFM_Avg]]))/100,NA())</f>
        <v>0.17091523456573487</v>
      </c>
      <c r="AP22" s="62">
        <f t="array" aca="1" ref="AP22" ca="1">MAX(IF(ISERROR(DD_Table[[TDM_Avg]:[WFM_Avg]]),0,DD_Table[[TDM_Avg]:[WFM_Avg]]))*1.1</f>
        <v>48.107883834838873</v>
      </c>
      <c r="AQ22" s="62">
        <f t="array" aca="1" ref="AQ22" ca="1">MAX(IF(ISERROR(DD_Table[[TDM_Ext_Reg]:[WFM_Core_Reg]]),0,DD_Table[[TDM_Ext_Reg]:[WFM_Core_Reg]]))</f>
        <v>61.538463592529297</v>
      </c>
      <c r="AR22" s="65">
        <f ca="1">IFERROR(VLOOKUP(C22,TDM_DD[[Week-Year]:[DDP]],6,FALSE),IF(ISNUMBER(OFFSET(AR22,-1,0)),OFFSET(AR22,-1,0),NA()))</f>
        <v>0.17857142857142858</v>
      </c>
      <c r="AS22" s="65">
        <f ca="1">IFERROR(VLOOKUP(C22,Coles_DD[[Week-Year]:[DDP]],6,FALSE),IF(ISNUMBER(OFFSET(AS22,-1,0)),OFFSET(AS22,-1,0),NA()))</f>
        <v>0.186264308012487</v>
      </c>
      <c r="AT22" s="65">
        <f ca="1">IFERROR(VLOOKUP(C22,WOW_DD[[Week-Year]:[DDP]],6,FALSE),IF(ISNUMBER(OFFSET(AT22,-1,0)),OFFSET(AT22,-1,0),NA()))</f>
        <v>0.35507476932866688</v>
      </c>
      <c r="AU22" s="65">
        <f ca="1">IFERROR(VLOOKUP(C22,SSL_DD[[Week-Year]:[DDP]],6,FALSE),IF(ISNUMBER(OFFSET(AU22,-1,0)),OFFSET(AU22,-1,0),NA()))</f>
        <v>0.31511976047904194</v>
      </c>
      <c r="AV22" s="65">
        <f ca="1">IFERROR(VLOOKUP(C22,WFM_DD[[Week-Year]:[DDP]],6,FALSE),IF(ISNUMBER(OFFSET(AV22,-1,0)),OFFSET(AV22,-1,0),NA()))</f>
        <v>0.28099173553719009</v>
      </c>
      <c r="AW22" s="65">
        <f t="array" aca="1" ref="AW22" ca="1">IFERROR(AVERAGE(IF(ISNUMBER(DD_Table[[#This Row],[TDM_DDP]:[WFM_DDP]]),DD_Table[[#This Row],[TDM_DDP]:[WFM_DDP]])),NA())</f>
        <v>0.26320440038576287</v>
      </c>
      <c r="AX22" s="65">
        <f t="array" aca="1" ref="AX22" ca="1">IFERROR(MAX(IF(ISNUMBER(DD_Table[[TDM_DDP]:[WFM_DDP]]),DD_Table[[TDM_DDP]:[WFM_DDP]])),NA())</f>
        <v>0.68</v>
      </c>
      <c r="AY22" s="88">
        <f ca="1">IFERROR(VLOOKUP(C22,RTen_DD[[Week-Year]:[Core DDP]],6,FALSE),IF(ISNUMBER(VLOOKUP(C22,RTen_DD[[Week-Year]:[Core DDP]],6,FALSE)),OFFSET(AY22,-1,0),OFFSET(AY22,-1,0)))</f>
        <v>0.21901723861694336</v>
      </c>
      <c r="AZ22" s="65"/>
      <c r="BA22" s="65"/>
      <c r="BC22">
        <v>20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1</v>
      </c>
      <c r="BO22" s="71"/>
      <c r="BP22" s="71">
        <f>MAX(Med_Table[[TDM]:[WFM]])</f>
        <v>29</v>
      </c>
      <c r="DN22" s="71"/>
      <c r="DO22" s="71"/>
      <c r="DV22" s="30"/>
      <c r="DW22" s="30"/>
    </row>
    <row r="23" spans="1:127">
      <c r="A23" s="69">
        <f t="shared" si="2"/>
        <v>41794</v>
      </c>
      <c r="B23" s="70">
        <f t="shared" si="0"/>
        <v>23</v>
      </c>
      <c r="C23" s="70">
        <f t="shared" si="1"/>
        <v>232014</v>
      </c>
      <c r="D23" s="57">
        <f ca="1">IFERROR(VLOOKUP(C23,TDM_DD[[Week-Year]:[DD]],2,FALSE),IF(ISNUMBER(OFFSET(D23,-1,0)),OFFSET(D23,-1,0),NA()))</f>
        <v>19</v>
      </c>
      <c r="E23" s="58">
        <f ca="1">IFERROR(VLOOKUP(C23,Coles_DD[[Week-Year]:[DD]],2,FALSE),IF(ISNUMBER(OFFSET(E23,-1,0)),OFFSET(E23,-1,0),NA()))</f>
        <v>2203</v>
      </c>
      <c r="F23" s="58">
        <f ca="1">IFERROR(VLOOKUP(C23,WOW_DD[[Week-Year]:[DD]],2,FALSE),IF(ISNUMBER(OFFSET(F23,-1,0)),OFFSET(F23,-1,0),NA()))</f>
        <v>2822</v>
      </c>
      <c r="G23" s="57">
        <f ca="1">IFERROR(VLOOKUP(C23,SSL_DD[[Week-Year]:[DD]],2,FALSE),IF(ISNUMBER(OFFSET(G23,-1,0)),OFFSET(G23,-1,0),NA()))</f>
        <v>296</v>
      </c>
      <c r="H23" s="58">
        <f ca="1">IFERROR(VLOOKUP(C23,WFM_DD[[Week-Year]:[DD]],2,FALSE),IF(ISNUMBER(OFFSET(H23,-1,0)),OFFSET(H23,-1,0),NA()))</f>
        <v>154</v>
      </c>
      <c r="I23" s="57">
        <f ca="1">IFERROR(VLOOKUP(C23,RTen_DD[[Week-Year]:[DD]],2,FALSE),IF(ISNUMBER(OFFSET(I23,-1,0)),OFFSET(I23,-1,0),NA()))</f>
        <v>6009</v>
      </c>
      <c r="J23" s="57">
        <f ca="1">IFERROR(VLOOKUP(C23,TDM_DD[[Week-Year]:[DD]],3,FALSE),IF(ISNUMBER(OFFSET(J23,-1,0)),OFFSET(J23,-1,0),NA()))</f>
        <v>2.263157844543457</v>
      </c>
      <c r="K23" s="57">
        <f ca="1">IFERROR(VLOOKUP(C23,Coles_DD[[Week-Year]:[DD]],3,FALSE),IF(ISNUMBER(OFFSET(K23,-1,0)),OFFSET(K23,-1,0),NA()))</f>
        <v>0.50249660015106201</v>
      </c>
      <c r="L23" s="57">
        <f ca="1">IFERROR(VLOOKUP(C23,WOW_DD[[Week-Year]:[DD]],3,FALSE),IF(ISNUMBER(OFFSET(L23,-1,0)),OFFSET(L23,-1,0),NA()))</f>
        <v>0.5499645471572876</v>
      </c>
      <c r="M23" s="57">
        <f ca="1">IFERROR(VLOOKUP(C23,SSL_DD[[Week-Year]:[DD]],3,FALSE),IF(ISNUMBER(OFFSET(M23,-1,0)),OFFSET(M23,-1,0),NA()))</f>
        <v>4.0709457397460937</v>
      </c>
      <c r="N23" s="57">
        <f ca="1">IFERROR(VLOOKUP(C23,WFM_DD[[Week-Year]:[DD]],3,FALSE),IF(ISNUMBER(OFFSET(N23,-1,0)),OFFSET(N23,-1,0),NA()))</f>
        <v>1.051948070526123</v>
      </c>
      <c r="O23" s="57">
        <f ca="1">IFERROR(VLOOKUP(C23,RTen_DD[[Week-Year]:[DD]],3,FALSE),IF(ISNUMBER(OFFSET(O23,-1,0)),OFFSET(O23,-1,0),NA()))</f>
        <v>1.3077051639556885</v>
      </c>
      <c r="P23" s="57">
        <f t="array" aca="1" ref="P23" ca="1">AVERAGE(IF(ISNUMBER(DD_Table[[#This Row],[TDM_DD]:[WFM_DD]]),DD_Table[[#This Row],[TDM_DD]:[WFM_DD]]))</f>
        <v>1.6877025604248046</v>
      </c>
      <c r="Q23" s="57">
        <f t="array" aca="1" ref="Q23" ca="1">MAX(IF(ISERROR(DD_Table[[TDM_DD]:[WFM_DD]]),0,DD_Table[[TDM_DD]:[WFM_DD]]))*0.8</f>
        <v>12.322580718994141</v>
      </c>
      <c r="R23" s="57">
        <v>0.5</v>
      </c>
      <c r="S23" s="57">
        <v>0.5</v>
      </c>
      <c r="T23" s="57">
        <v>0.5</v>
      </c>
      <c r="U23" s="57">
        <v>0.5</v>
      </c>
      <c r="V23" s="57">
        <v>0.5</v>
      </c>
      <c r="W23" s="57">
        <v>0.5</v>
      </c>
      <c r="X23" s="59">
        <f ca="1">IFERROR(VLOOKUP(C23,TDM_DD[[Week-Year]:[Core Reg]],4,FALSE),IF(ISNUMBER(OFFSET(X23,-1,0)),OFFSET(X23,-1,0),NA()))</f>
        <v>18.604650497436523</v>
      </c>
      <c r="Y23" s="59">
        <f ca="1">IFERROR(VLOOKUP(C23,TDM_DD[[Week-Year]:[Core Reg]],5,FALSE),IF(ISNUMBER(OFFSET(Y23,-1,0)),OFFSET(Y23,-1,0),NA()))</f>
        <v>40</v>
      </c>
      <c r="Z23" s="59">
        <f ca="1">IFERROR(VLOOKUP(C23,Coles_DD[[Week-Year]:[Core Reg]],4,FALSE),IF(ISNUMBER(OFFSET(Z23,-1,0)),OFFSET(Z23,-1,0),NA()))</f>
        <v>2.4390242099761963</v>
      </c>
      <c r="AA23" s="59">
        <f ca="1">IFERROR(VLOOKUP(C23,Coles_DD[[Week-Year]:[Core Reg]],5,FALSE),IF(ISNUMBER(OFFSET(AA23,-1,0)),OFFSET(AA23,-1,0),NA()))</f>
        <v>4.9122805595397949</v>
      </c>
      <c r="AB23" s="59">
        <f ca="1">IFERROR(VLOOKUP(C23,WOW_DD[[Week-Year]:[Core Reg]],4,FALSE),IF(ISNUMBER(OFFSET(AB23,-1,0)),OFFSET(AB23,-1,0),NA()))</f>
        <v>11.340206146240234</v>
      </c>
      <c r="AC23" s="59">
        <f ca="1">IFERROR(VLOOKUP(C23,WOW_DD[[Week-Year]:[Core Reg]],5,FALSE),IF(ISNUMBER(OFFSET(AC23,-1,0)),OFFSET(AC23,-1,0),NA()))</f>
        <v>13.427947044372559</v>
      </c>
      <c r="AD23" s="59">
        <f ca="1">IFERROR(VLOOKUP(C23,SSL_DD[[Week-Year]:[Core Reg]],4,FALSE),IF(ISNUMBER(OFFSET(AD23,-1,0)),OFFSET(AD23,-1,0),NA()))</f>
        <v>43.734439849853516</v>
      </c>
      <c r="AE23" s="59">
        <f ca="1">IFERROR(VLOOKUP(C23,SSL_DD[[Week-Year]:[Core Reg]],5,FALSE),IF(ISNUMBER(OFFSET(AE23,-1,0)),OFFSET(AE23,-1,0),NA()))</f>
        <v>58.050220489501953</v>
      </c>
      <c r="AF23" s="59">
        <f ca="1">IFERROR(VLOOKUP(C23,WFM_DD[[Week-Year]:[Core Reg]],4,FALSE),IF(ISNUMBER(OFFSET(AF23,-1,0)),OFFSET(AF23,-1,0),NA()))</f>
        <v>10.493826866149902</v>
      </c>
      <c r="AG23" s="59">
        <f ca="1">IFERROR(VLOOKUP(C23,WFM_DD[[Week-Year]:[Core Reg]],5,FALSE),IF(ISNUMBER(OFFSET(AG23,-1,0)),OFFSET(AG23,-1,0),NA()))</f>
        <v>23.75</v>
      </c>
      <c r="AH23" s="62">
        <f ca="1">IFERROR(VLOOKUP(C23,RTen_DD[[Week-Year]:[Core Reg]],4,FALSE),IF(ISNUMBER(OFFSET(AH23,-1,0)),OFFSET(AH23,-1,0),NA()))</f>
        <v>0</v>
      </c>
      <c r="AI23" s="62">
        <f ca="1">IFERROR(VLOOKUP(C23,RTen_DD[[Week-Year]:[Core Reg]],5,FALSE)/100,IF(ISNUMBER(OFFSET(AI23,-1,0)),OFFSET(AI23,-1,0),NA()))</f>
        <v>0.36815982818603515</v>
      </c>
      <c r="AJ23" s="62">
        <f ca="1">DD_Table[[#This Row],[TDM_Ext_Reg]]</f>
        <v>18.604650497436523</v>
      </c>
      <c r="AK23" s="62">
        <f ca="1">DD_Table[[#This Row],[Coles_Ext_Reg]]</f>
        <v>2.4390242099761963</v>
      </c>
      <c r="AL23" s="62">
        <f ca="1">DD_Table[[#This Row],[WOW_Ext_Reg]]</f>
        <v>11.340206146240234</v>
      </c>
      <c r="AM23" s="62">
        <f ca="1">DD_Table[[#This Row],[SSL_Ext_Reg]]</f>
        <v>43.734439849853516</v>
      </c>
      <c r="AN23" s="62">
        <f ca="1">DD_Table[[#This Row],[WFM_Ext_Reg]]</f>
        <v>10.493826866149902</v>
      </c>
      <c r="AO23" s="62">
        <f t="array" aca="1" ref="AO23" ca="1">IFERROR(AVERAGE(IF(ISNUMBER(DD_Table[[#This Row],[TDM_Avg]:[WFM_Avg]]),DD_Table[[#This Row],[TDM_Avg]:[WFM_Avg]]))/100,NA())</f>
        <v>0.17322429513931276</v>
      </c>
      <c r="AP23" s="62">
        <f t="array" aca="1" ref="AP23" ca="1">MAX(IF(ISERROR(DD_Table[[TDM_Avg]:[WFM_Avg]]),0,DD_Table[[TDM_Avg]:[WFM_Avg]]))*1.1</f>
        <v>48.107883834838873</v>
      </c>
      <c r="AQ23" s="62">
        <f t="array" aca="1" ref="AQ23" ca="1">MAX(IF(ISERROR(DD_Table[[TDM_Ext_Reg]:[WFM_Core_Reg]]),0,DD_Table[[TDM_Ext_Reg]:[WFM_Core_Reg]]))</f>
        <v>61.538463592529297</v>
      </c>
      <c r="AR23" s="65">
        <f ca="1">IFERROR(VLOOKUP(C23,TDM_DD[[Week-Year]:[DDP]],6,FALSE),IF(ISNUMBER(OFFSET(AR23,-1,0)),OFFSET(AR23,-1,0),NA()))</f>
        <v>0.17543859649122806</v>
      </c>
      <c r="AS23" s="65">
        <f ca="1">IFERROR(VLOOKUP(C23,Coles_DD[[Week-Year]:[DDP]],6,FALSE),IF(ISNUMBER(OFFSET(AS23,-1,0)),OFFSET(AS23,-1,0),NA()))</f>
        <v>0.18698347107438015</v>
      </c>
      <c r="AT23" s="65">
        <f ca="1">IFERROR(VLOOKUP(C23,WOW_DD[[Week-Year]:[DDP]],6,FALSE),IF(ISNUMBER(OFFSET(AT23,-1,0)),OFFSET(AT23,-1,0),NA()))</f>
        <v>0.35462555066079293</v>
      </c>
      <c r="AU23" s="65">
        <f ca="1">IFERROR(VLOOKUP(C23,SSL_DD[[Week-Year]:[DDP]],6,FALSE),IF(ISNUMBER(OFFSET(AU23,-1,0)),OFFSET(AU23,-1,0),NA()))</f>
        <v>0.31871345029239767</v>
      </c>
      <c r="AV23" s="65">
        <f ca="1">IFERROR(VLOOKUP(C23,WFM_DD[[Week-Year]:[DDP]],6,FALSE),IF(ISNUMBER(OFFSET(AV23,-1,0)),OFFSET(AV23,-1,0),NA()))</f>
        <v>0.28232189973614774</v>
      </c>
      <c r="AW23" s="65">
        <f t="array" aca="1" ref="AW23" ca="1">IFERROR(AVERAGE(IF(ISNUMBER(DD_Table[[#This Row],[TDM_DDP]:[WFM_DDP]]),DD_Table[[#This Row],[TDM_DDP]:[WFM_DDP]])),NA())</f>
        <v>0.26361659365098927</v>
      </c>
      <c r="AX23" s="65">
        <f t="array" aca="1" ref="AX23" ca="1">IFERROR(MAX(IF(ISNUMBER(DD_Table[[TDM_DDP]:[WFM_DDP]]),DD_Table[[TDM_DDP]:[WFM_DDP]])),NA())</f>
        <v>0.68</v>
      </c>
      <c r="AY23" s="88">
        <f ca="1">IFERROR(VLOOKUP(C23,RTen_DD[[Week-Year]:[Core DDP]],6,FALSE),IF(ISNUMBER(VLOOKUP(C23,RTen_DD[[Week-Year]:[Core DDP]],6,FALSE)),OFFSET(AY23,-1,0),OFFSET(AY23,-1,0)))</f>
        <v>0.22092134475708008</v>
      </c>
      <c r="AZ23" s="65"/>
      <c r="BA23" s="65"/>
      <c r="BC23">
        <v>21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O23" s="71"/>
      <c r="BP23" s="71">
        <f>MAX(Med_Table[[TDM]:[WFM]])</f>
        <v>29</v>
      </c>
      <c r="DN23" s="71"/>
      <c r="DO23" s="71"/>
      <c r="DV23" s="30"/>
      <c r="DW23" s="30"/>
    </row>
    <row r="24" spans="1:127">
      <c r="A24" s="69">
        <f t="shared" si="2"/>
        <v>41801</v>
      </c>
      <c r="B24" s="70">
        <f t="shared" si="0"/>
        <v>24</v>
      </c>
      <c r="C24" s="70">
        <f t="shared" si="1"/>
        <v>242014</v>
      </c>
      <c r="D24" s="57">
        <f ca="1">IFERROR(VLOOKUP(C24,TDM_DD[[Week-Year]:[DD]],2,FALSE),IF(ISNUMBER(OFFSET(D24,-1,0)),OFFSET(D24,-1,0),NA()))</f>
        <v>19</v>
      </c>
      <c r="E24" s="58">
        <f ca="1">IFERROR(VLOOKUP(C24,Coles_DD[[Week-Year]:[DD]],2,FALSE),IF(ISNUMBER(OFFSET(E24,-1,0)),OFFSET(E24,-1,0),NA()))</f>
        <v>2203</v>
      </c>
      <c r="F24" s="58">
        <f ca="1">IFERROR(VLOOKUP(C24,WOW_DD[[Week-Year]:[DD]],2,FALSE),IF(ISNUMBER(OFFSET(F24,-1,0)),OFFSET(F24,-1,0),NA()))</f>
        <v>2822</v>
      </c>
      <c r="G24" s="57">
        <f ca="1">IFERROR(VLOOKUP(C24,SSL_DD[[Week-Year]:[DD]],2,FALSE),IF(ISNUMBER(OFFSET(G24,-1,0)),OFFSET(G24,-1,0),NA()))</f>
        <v>317</v>
      </c>
      <c r="H24" s="58">
        <f ca="1">IFERROR(VLOOKUP(C24,WFM_DD[[Week-Year]:[DD]],2,FALSE),IF(ISNUMBER(OFFSET(H24,-1,0)),OFFSET(H24,-1,0),NA()))</f>
        <v>156</v>
      </c>
      <c r="I24" s="57">
        <f ca="1">IFERROR(VLOOKUP(C24,RTen_DD[[Week-Year]:[DD]],2,FALSE),IF(ISNUMBER(OFFSET(I24,-1,0)),OFFSET(I24,-1,0),NA()))</f>
        <v>6009</v>
      </c>
      <c r="J24" s="57">
        <f ca="1">IFERROR(VLOOKUP(C24,TDM_DD[[Week-Year]:[DD]],3,FALSE),IF(ISNUMBER(OFFSET(J24,-1,0)),OFFSET(J24,-1,0),NA()))</f>
        <v>2.736842155456543</v>
      </c>
      <c r="K24" s="57">
        <f ca="1">IFERROR(VLOOKUP(C24,Coles_DD[[Week-Year]:[DD]],3,FALSE),IF(ISNUMBER(OFFSET(K24,-1,0)),OFFSET(K24,-1,0),NA()))</f>
        <v>0.51293689012527466</v>
      </c>
      <c r="L24" s="57">
        <f ca="1">IFERROR(VLOOKUP(C24,WOW_DD[[Week-Year]:[DD]],3,FALSE),IF(ISNUMBER(OFFSET(L24,-1,0)),OFFSET(L24,-1,0),NA()))</f>
        <v>0.55917787551879883</v>
      </c>
      <c r="M24" s="57">
        <f ca="1">IFERROR(VLOOKUP(C24,SSL_DD[[Week-Year]:[DD]],3,FALSE),IF(ISNUMBER(OFFSET(M24,-1,0)),OFFSET(M24,-1,0),NA()))</f>
        <v>3.873816967010498</v>
      </c>
      <c r="N24" s="57">
        <f ca="1">IFERROR(VLOOKUP(C24,WFM_DD[[Week-Year]:[DD]],3,FALSE),IF(ISNUMBER(OFFSET(N24,-1,0)),OFFSET(N24,-1,0),NA()))</f>
        <v>1.2051281929016113</v>
      </c>
      <c r="O24" s="57">
        <f ca="1">IFERROR(VLOOKUP(C24,RTen_DD[[Week-Year]:[DD]],3,FALSE),IF(ISNUMBER(OFFSET(O24,-1,0)),OFFSET(O24,-1,0),NA()))</f>
        <v>1.3120319843292236</v>
      </c>
      <c r="P24" s="57">
        <f t="array" aca="1" ref="P24" ca="1">AVERAGE(IF(ISNUMBER(DD_Table[[#This Row],[TDM_DD]:[WFM_DD]]),DD_Table[[#This Row],[TDM_DD]:[WFM_DD]]))</f>
        <v>1.7775804162025453</v>
      </c>
      <c r="Q24" s="57">
        <f t="array" aca="1" ref="Q24" ca="1">MAX(IF(ISERROR(DD_Table[[TDM_DD]:[WFM_DD]]),0,DD_Table[[TDM_DD]:[WFM_DD]]))*0.8</f>
        <v>12.322580718994141</v>
      </c>
      <c r="R24" s="57">
        <v>0.5</v>
      </c>
      <c r="S24" s="57">
        <v>0.5</v>
      </c>
      <c r="T24" s="57">
        <v>0.5</v>
      </c>
      <c r="U24" s="57">
        <v>0.5</v>
      </c>
      <c r="V24" s="57">
        <v>0.5</v>
      </c>
      <c r="W24" s="57">
        <v>0.5</v>
      </c>
      <c r="X24" s="59">
        <f ca="1">IFERROR(VLOOKUP(C24,TDM_DD[[Week-Year]:[Core Reg]],4,FALSE),IF(ISNUMBER(OFFSET(X24,-1,0)),OFFSET(X24,-1,0),NA()))</f>
        <v>19.230770111083984</v>
      </c>
      <c r="Y24" s="59">
        <f ca="1">IFERROR(VLOOKUP(C24,TDM_DD[[Week-Year]:[Core Reg]],5,FALSE),IF(ISNUMBER(OFFSET(Y24,-1,0)),OFFSET(Y24,-1,0),NA()))</f>
        <v>28.571430206298828</v>
      </c>
      <c r="Z24" s="59">
        <f ca="1">IFERROR(VLOOKUP(C24,Coles_DD[[Week-Year]:[Core Reg]],4,FALSE),IF(ISNUMBER(OFFSET(Z24,-1,0)),OFFSET(Z24,-1,0),NA()))</f>
        <v>4.0707964897155762</v>
      </c>
      <c r="AA24" s="59">
        <f ca="1">IFERROR(VLOOKUP(C24,Coles_DD[[Week-Year]:[Core Reg]],5,FALSE),IF(ISNUMBER(OFFSET(AA24,-1,0)),OFFSET(AA24,-1,0),NA()))</f>
        <v>6.1855669021606445</v>
      </c>
      <c r="AB24" s="59">
        <f ca="1">IFERROR(VLOOKUP(C24,WOW_DD[[Week-Year]:[Core Reg]],4,FALSE),IF(ISNUMBER(OFFSET(AB24,-1,0)),OFFSET(AB24,-1,0),NA()))</f>
        <v>11.343472480773926</v>
      </c>
      <c r="AC24" s="59">
        <f ca="1">IFERROR(VLOOKUP(C24,WOW_DD[[Week-Year]:[Core Reg]],5,FALSE),IF(ISNUMBER(OFFSET(AC24,-1,0)),OFFSET(AC24,-1,0),NA()))</f>
        <v>13.818565368652344</v>
      </c>
      <c r="AD24" s="59">
        <f ca="1">IFERROR(VLOOKUP(C24,SSL_DD[[Week-Year]:[Core Reg]],4,FALSE),IF(ISNUMBER(OFFSET(AD24,-1,0)),OFFSET(AD24,-1,0),NA()))</f>
        <v>43.485343933105469</v>
      </c>
      <c r="AE24" s="59">
        <f ca="1">IFERROR(VLOOKUP(C24,SSL_DD[[Week-Year]:[Core Reg]],5,FALSE),IF(ISNUMBER(OFFSET(AE24,-1,0)),OFFSET(AE24,-1,0),NA()))</f>
        <v>57.764877319335938</v>
      </c>
      <c r="AF24" s="59">
        <f ca="1">IFERROR(VLOOKUP(C24,WFM_DD[[Week-Year]:[Core Reg]],4,FALSE),IF(ISNUMBER(OFFSET(AF24,-1,0)),OFFSET(AF24,-1,0),NA()))</f>
        <v>12.234042167663574</v>
      </c>
      <c r="AG24" s="59">
        <f ca="1">IFERROR(VLOOKUP(C24,WFM_DD[[Week-Year]:[Core Reg]],5,FALSE),IF(ISNUMBER(OFFSET(AG24,-1,0)),OFFSET(AG24,-1,0),NA()))</f>
        <v>26.744186401367188</v>
      </c>
      <c r="AH24" s="62">
        <f ca="1">IFERROR(VLOOKUP(C24,RTen_DD[[Week-Year]:[Core Reg]],4,FALSE),IF(ISNUMBER(OFFSET(AH24,-1,0)),OFFSET(AH24,-1,0),NA()))</f>
        <v>0</v>
      </c>
      <c r="AI24" s="62">
        <f ca="1">IFERROR(VLOOKUP(C24,RTen_DD[[Week-Year]:[Core Reg]],5,FALSE)/100,IF(ISNUMBER(OFFSET(AI24,-1,0)),OFFSET(AI24,-1,0),NA()))</f>
        <v>0.36745307922363279</v>
      </c>
      <c r="AJ24" s="62">
        <f ca="1">DD_Table[[#This Row],[TDM_Ext_Reg]]</f>
        <v>19.230770111083984</v>
      </c>
      <c r="AK24" s="62">
        <f ca="1">DD_Table[[#This Row],[Coles_Ext_Reg]]</f>
        <v>4.0707964897155762</v>
      </c>
      <c r="AL24" s="62">
        <f ca="1">DD_Table[[#This Row],[WOW_Ext_Reg]]</f>
        <v>11.343472480773926</v>
      </c>
      <c r="AM24" s="62">
        <f ca="1">DD_Table[[#This Row],[SSL_Ext_Reg]]</f>
        <v>43.485343933105469</v>
      </c>
      <c r="AN24" s="62">
        <f ca="1">DD_Table[[#This Row],[WFM_Ext_Reg]]</f>
        <v>12.234042167663574</v>
      </c>
      <c r="AO24" s="62">
        <f t="array" aca="1" ref="AO24" ca="1">IFERROR(AVERAGE(IF(ISNUMBER(DD_Table[[#This Row],[TDM_Avg]:[WFM_Avg]]),DD_Table[[#This Row],[TDM_Avg]:[WFM_Avg]]))/100,NA())</f>
        <v>0.18072885036468506</v>
      </c>
      <c r="AP24" s="62">
        <f t="array" aca="1" ref="AP24" ca="1">MAX(IF(ISERROR(DD_Table[[TDM_Avg]:[WFM_Avg]]),0,DD_Table[[TDM_Avg]:[WFM_Avg]]))*1.1</f>
        <v>48.107883834838873</v>
      </c>
      <c r="AQ24" s="62">
        <f t="array" aca="1" ref="AQ24" ca="1">MAX(IF(ISERROR(DD_Table[[TDM_Ext_Reg]:[WFM_Core_Reg]]),0,DD_Table[[TDM_Ext_Reg]:[WFM_Core_Reg]]))</f>
        <v>61.538463592529297</v>
      </c>
      <c r="AR24" s="65">
        <f ca="1">IFERROR(VLOOKUP(C24,TDM_DD[[Week-Year]:[DDP]],6,FALSE),IF(ISNUMBER(OFFSET(AR24,-1,0)),OFFSET(AR24,-1,0),NA()))</f>
        <v>0.19718309859154928</v>
      </c>
      <c r="AS24" s="65">
        <f ca="1">IFERROR(VLOOKUP(C24,Coles_DD[[Week-Year]:[DDP]],6,FALSE),IF(ISNUMBER(OFFSET(AS24,-1,0)),OFFSET(AS24,-1,0),NA()))</f>
        <v>0.18721461187214611</v>
      </c>
      <c r="AT24" s="65">
        <f ca="1">IFERROR(VLOOKUP(C24,WOW_DD[[Week-Year]:[DDP]],6,FALSE),IF(ISNUMBER(OFFSET(AT24,-1,0)),OFFSET(AT24,-1,0),NA()))</f>
        <v>0.3570110701107011</v>
      </c>
      <c r="AU24" s="65">
        <f ca="1">IFERROR(VLOOKUP(C24,SSL_DD[[Week-Year]:[DDP]],6,FALSE),IF(ISNUMBER(OFFSET(AU24,-1,0)),OFFSET(AU24,-1,0),NA()))</f>
        <v>0.31885098743267504</v>
      </c>
      <c r="AV24" s="65">
        <f ca="1">IFERROR(VLOOKUP(C24,WFM_DD[[Week-Year]:[DDP]],6,FALSE),IF(ISNUMBER(OFFSET(AV24,-1,0)),OFFSET(AV24,-1,0),NA()))</f>
        <v>0.26886792452830188</v>
      </c>
      <c r="AW24" s="65">
        <f t="array" aca="1" ref="AW24" ca="1">IFERROR(AVERAGE(IF(ISNUMBER(DD_Table[[#This Row],[TDM_DDP]:[WFM_DDP]]),DD_Table[[#This Row],[TDM_DDP]:[WFM_DDP]])),NA())</f>
        <v>0.26582553850707469</v>
      </c>
      <c r="AX24" s="65">
        <f t="array" aca="1" ref="AX24" ca="1">IFERROR(MAX(IF(ISNUMBER(DD_Table[[TDM_DDP]:[WFM_DDP]]),DD_Table[[TDM_DDP]:[WFM_DDP]])),NA())</f>
        <v>0.68</v>
      </c>
      <c r="AY24" s="88">
        <f ca="1">IFERROR(VLOOKUP(C24,RTen_DD[[Week-Year]:[Core DDP]],6,FALSE),IF(ISNUMBER(VLOOKUP(C24,RTen_DD[[Week-Year]:[Core DDP]],6,FALSE)),OFFSET(AY24,-1,0),OFFSET(AY24,-1,0)))</f>
        <v>0.22272958755493164</v>
      </c>
      <c r="AZ24" s="65"/>
      <c r="BA24" s="65"/>
      <c r="BC24">
        <v>22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O24" s="71"/>
      <c r="BP24" s="71">
        <f>MAX(Med_Table[[TDM]:[WFM]])</f>
        <v>29</v>
      </c>
      <c r="DN24" s="71"/>
      <c r="DO24" s="71"/>
      <c r="DV24" s="30"/>
      <c r="DW24" s="30"/>
    </row>
    <row r="25" spans="1:127">
      <c r="A25" s="69">
        <f t="shared" si="2"/>
        <v>41808</v>
      </c>
      <c r="B25" s="70">
        <f t="shared" si="0"/>
        <v>25</v>
      </c>
      <c r="C25" s="70">
        <f t="shared" si="1"/>
        <v>252014</v>
      </c>
      <c r="D25" s="57">
        <f ca="1">IFERROR(VLOOKUP(C25,TDM_DD[[Week-Year]:[DD]],2,FALSE),IF(ISNUMBER(OFFSET(D25,-1,0)),OFFSET(D25,-1,0),NA()))</f>
        <v>19</v>
      </c>
      <c r="E25" s="58">
        <f ca="1">IFERROR(VLOOKUP(C25,Coles_DD[[Week-Year]:[DD]],2,FALSE),IF(ISNUMBER(OFFSET(E25,-1,0)),OFFSET(E25,-1,0),NA()))</f>
        <v>2203</v>
      </c>
      <c r="F25" s="58">
        <f ca="1">IFERROR(VLOOKUP(C25,WOW_DD[[Week-Year]:[DD]],2,FALSE),IF(ISNUMBER(OFFSET(F25,-1,0)),OFFSET(F25,-1,0),NA()))</f>
        <v>2822</v>
      </c>
      <c r="G25" s="57">
        <f ca="1">IFERROR(VLOOKUP(C25,SSL_DD[[Week-Year]:[DD]],2,FALSE),IF(ISNUMBER(OFFSET(G25,-1,0)),OFFSET(G25,-1,0),NA()))</f>
        <v>356</v>
      </c>
      <c r="H25" s="58">
        <f ca="1">IFERROR(VLOOKUP(C25,WFM_DD[[Week-Year]:[DD]],2,FALSE),IF(ISNUMBER(OFFSET(H25,-1,0)),OFFSET(H25,-1,0),NA()))</f>
        <v>171</v>
      </c>
      <c r="I25" s="57">
        <f ca="1">IFERROR(VLOOKUP(C25,RTen_DD[[Week-Year]:[DD]],2,FALSE),IF(ISNUMBER(OFFSET(I25,-1,0)),OFFSET(I25,-1,0),NA()))</f>
        <v>6009</v>
      </c>
      <c r="J25" s="57">
        <f ca="1">IFERROR(VLOOKUP(C25,TDM_DD[[Week-Year]:[DD]],3,FALSE),IF(ISNUMBER(OFFSET(J25,-1,0)),OFFSET(J25,-1,0),NA()))</f>
        <v>3.2105262279510498</v>
      </c>
      <c r="K25" s="57">
        <f ca="1">IFERROR(VLOOKUP(C25,Coles_DD[[Week-Year]:[DD]],3,FALSE),IF(ISNUMBER(OFFSET(K25,-1,0)),OFFSET(K25,-1,0),NA()))</f>
        <v>0.51929187774658203</v>
      </c>
      <c r="L25" s="57">
        <f ca="1">IFERROR(VLOOKUP(C25,WOW_DD[[Week-Year]:[DD]],3,FALSE),IF(ISNUMBER(OFFSET(L25,-1,0)),OFFSET(L25,-1,0),NA()))</f>
        <v>0.57051736116409302</v>
      </c>
      <c r="M25" s="57">
        <f ca="1">IFERROR(VLOOKUP(C25,SSL_DD[[Week-Year]:[DD]],3,FALSE),IF(ISNUMBER(OFFSET(M25,-1,0)),OFFSET(M25,-1,0),NA()))</f>
        <v>3.5505619049072266</v>
      </c>
      <c r="N25" s="57">
        <f ca="1">IFERROR(VLOOKUP(C25,WFM_DD[[Week-Year]:[DD]],3,FALSE),IF(ISNUMBER(OFFSET(N25,-1,0)),OFFSET(N25,-1,0),NA()))</f>
        <v>1.2514619827270508</v>
      </c>
      <c r="O25" s="57">
        <f ca="1">IFERROR(VLOOKUP(C25,RTen_DD[[Week-Year]:[DD]],3,FALSE),IF(ISNUMBER(OFFSET(O25,-1,0)),OFFSET(O25,-1,0),NA()))</f>
        <v>1.3150274753570557</v>
      </c>
      <c r="P25" s="57">
        <f t="array" aca="1" ref="P25" ca="1">AVERAGE(IF(ISNUMBER(DD_Table[[#This Row],[TDM_DD]:[WFM_DD]]),DD_Table[[#This Row],[TDM_DD]:[WFM_DD]]))</f>
        <v>1.8204718708992005</v>
      </c>
      <c r="Q25" s="57">
        <f t="array" aca="1" ref="Q25" ca="1">MAX(IF(ISERROR(DD_Table[[TDM_DD]:[WFM_DD]]),0,DD_Table[[TDM_DD]:[WFM_DD]]))*0.8</f>
        <v>12.322580718994141</v>
      </c>
      <c r="R25" s="57">
        <v>0.5</v>
      </c>
      <c r="S25" s="57">
        <v>0.5</v>
      </c>
      <c r="T25" s="57">
        <v>0.5</v>
      </c>
      <c r="U25" s="57">
        <v>0.5</v>
      </c>
      <c r="V25" s="57">
        <v>0.5</v>
      </c>
      <c r="W25" s="57">
        <v>0.5</v>
      </c>
      <c r="X25" s="59">
        <f ca="1">IFERROR(VLOOKUP(C25,TDM_DD[[Week-Year]:[Core Reg]],4,FALSE),IF(ISNUMBER(OFFSET(X25,-1,0)),OFFSET(X25,-1,0),NA()))</f>
        <v>19.672130584716797</v>
      </c>
      <c r="Y25" s="59">
        <f ca="1">IFERROR(VLOOKUP(C25,TDM_DD[[Week-Year]:[Core Reg]],5,FALSE),IF(ISNUMBER(OFFSET(Y25,-1,0)),OFFSET(Y25,-1,0),NA()))</f>
        <v>27.777778625488281</v>
      </c>
      <c r="Z25" s="59">
        <f ca="1">IFERROR(VLOOKUP(C25,Coles_DD[[Week-Year]:[Core Reg]],4,FALSE),IF(ISNUMBER(OFFSET(Z25,-1,0)),OFFSET(Z25,-1,0),NA()))</f>
        <v>4.1958041191101074</v>
      </c>
      <c r="AA25" s="59">
        <f ca="1">IFERROR(VLOOKUP(C25,Coles_DD[[Week-Year]:[Core Reg]],5,FALSE),IF(ISNUMBER(OFFSET(AA25,-1,0)),OFFSET(AA25,-1,0),NA()))</f>
        <v>6.5068492889404297</v>
      </c>
      <c r="AB25" s="59">
        <f ca="1">IFERROR(VLOOKUP(C25,WOW_DD[[Week-Year]:[Core Reg]],4,FALSE),IF(ISNUMBER(OFFSET(AB25,-1,0)),OFFSET(AB25,-1,0),NA()))</f>
        <v>12.236024856567383</v>
      </c>
      <c r="AC25" s="59">
        <f ca="1">IFERROR(VLOOKUP(C25,WOW_DD[[Week-Year]:[Core Reg]],5,FALSE),IF(ISNUMBER(OFFSET(AC25,-1,0)),OFFSET(AC25,-1,0),NA()))</f>
        <v>14.181439399719238</v>
      </c>
      <c r="AD25" s="59">
        <f ca="1">IFERROR(VLOOKUP(C25,SSL_DD[[Week-Year]:[Core Reg]],4,FALSE),IF(ISNUMBER(OFFSET(AD25,-1,0)),OFFSET(AD25,-1,0),NA()))</f>
        <v>43.512657165527344</v>
      </c>
      <c r="AE25" s="59">
        <f ca="1">IFERROR(VLOOKUP(C25,SSL_DD[[Week-Year]:[Core Reg]],5,FALSE),IF(ISNUMBER(OFFSET(AE25,-1,0)),OFFSET(AE25,-1,0),NA()))</f>
        <v>57.122707366943359</v>
      </c>
      <c r="AF25" s="59">
        <f ca="1">IFERROR(VLOOKUP(C25,WFM_DD[[Week-Year]:[Core Reg]],4,FALSE),IF(ISNUMBER(OFFSET(AF25,-1,0)),OFFSET(AF25,-1,0),NA()))</f>
        <v>16.355140686035156</v>
      </c>
      <c r="AG25" s="59">
        <f ca="1">IFERROR(VLOOKUP(C25,WFM_DD[[Week-Year]:[Core Reg]],5,FALSE),IF(ISNUMBER(OFFSET(AG25,-1,0)),OFFSET(AG25,-1,0),NA()))</f>
        <v>25.555557250976563</v>
      </c>
      <c r="AH25" s="62">
        <f ca="1">IFERROR(VLOOKUP(C25,RTen_DD[[Week-Year]:[Core Reg]],4,FALSE),IF(ISNUMBER(OFFSET(AH25,-1,0)),OFFSET(AH25,-1,0),NA()))</f>
        <v>0</v>
      </c>
      <c r="AI25" s="62">
        <f ca="1">IFERROR(VLOOKUP(C25,RTen_DD[[Week-Year]:[Core Reg]],5,FALSE)/100,IF(ISNUMBER(OFFSET(AI25,-1,0)),OFFSET(AI25,-1,0),NA()))</f>
        <v>0.36661605834960936</v>
      </c>
      <c r="AJ25" s="62">
        <f ca="1">DD_Table[[#This Row],[TDM_Ext_Reg]]</f>
        <v>19.672130584716797</v>
      </c>
      <c r="AK25" s="62">
        <f ca="1">DD_Table[[#This Row],[Coles_Ext_Reg]]</f>
        <v>4.1958041191101074</v>
      </c>
      <c r="AL25" s="62">
        <f ca="1">DD_Table[[#This Row],[WOW_Ext_Reg]]</f>
        <v>12.236024856567383</v>
      </c>
      <c r="AM25" s="62">
        <f ca="1">DD_Table[[#This Row],[SSL_Ext_Reg]]</f>
        <v>43.512657165527344</v>
      </c>
      <c r="AN25" s="62">
        <f ca="1">DD_Table[[#This Row],[WFM_Ext_Reg]]</f>
        <v>16.355140686035156</v>
      </c>
      <c r="AO25" s="62">
        <f t="array" aca="1" ref="AO25" ca="1">IFERROR(AVERAGE(IF(ISNUMBER(DD_Table[[#This Row],[TDM_Avg]:[WFM_Avg]]),DD_Table[[#This Row],[TDM_Avg]:[WFM_Avg]]))/100,NA())</f>
        <v>0.19194351482391359</v>
      </c>
      <c r="AP25" s="62">
        <f t="array" aca="1" ref="AP25" ca="1">MAX(IF(ISERROR(DD_Table[[TDM_Avg]:[WFM_Avg]]),0,DD_Table[[TDM_Avg]:[WFM_Avg]]))*1.1</f>
        <v>48.107883834838873</v>
      </c>
      <c r="AQ25" s="62">
        <f t="array" aca="1" ref="AQ25" ca="1">MAX(IF(ISERROR(DD_Table[[TDM_Ext_Reg]:[WFM_Core_Reg]]),0,DD_Table[[TDM_Ext_Reg]:[WFM_Core_Reg]]))</f>
        <v>61.538463592529297</v>
      </c>
      <c r="AR25" s="65">
        <f ca="1">IFERROR(VLOOKUP(C25,TDM_DD[[Week-Year]:[DDP]],6,FALSE),IF(ISNUMBER(OFFSET(AR25,-1,0)),OFFSET(AR25,-1,0),NA()))</f>
        <v>0.21428571428571427</v>
      </c>
      <c r="AS25" s="65">
        <f ca="1">IFERROR(VLOOKUP(C25,Coles_DD[[Week-Year]:[DDP]],6,FALSE),IF(ISNUMBER(OFFSET(AS25,-1,0)),OFFSET(AS25,-1,0),NA()))</f>
        <v>0.18630412890231621</v>
      </c>
      <c r="AT25" s="65">
        <f ca="1">IFERROR(VLOOKUP(C25,WOW_DD[[Week-Year]:[DDP]],6,FALSE),IF(ISNUMBER(OFFSET(AT25,-1,0)),OFFSET(AT25,-1,0),NA()))</f>
        <v>0.35511191772534784</v>
      </c>
      <c r="AU25" s="65">
        <f ca="1">IFERROR(VLOOKUP(C25,SSL_DD[[Week-Year]:[DDP]],6,FALSE),IF(ISNUMBER(OFFSET(AU25,-1,0)),OFFSET(AU25,-1,0),NA()))</f>
        <v>0.31859331476323122</v>
      </c>
      <c r="AV25" s="65">
        <f ca="1">IFERROR(VLOOKUP(C25,WFM_DD[[Week-Year]:[DDP]],6,FALSE),IF(ISNUMBER(OFFSET(AV25,-1,0)),OFFSET(AV25,-1,0),NA()))</f>
        <v>0.25321888412017168</v>
      </c>
      <c r="AW25" s="65">
        <f t="array" aca="1" ref="AW25" ca="1">IFERROR(AVERAGE(IF(ISNUMBER(DD_Table[[#This Row],[TDM_DDP]:[WFM_DDP]]),DD_Table[[#This Row],[TDM_DDP]:[WFM_DDP]])),NA())</f>
        <v>0.26550279195935622</v>
      </c>
      <c r="AX25" s="65">
        <f t="array" aca="1" ref="AX25" ca="1">IFERROR(MAX(IF(ISNUMBER(DD_Table[[TDM_DDP]:[WFM_DDP]]),DD_Table[[TDM_DDP]:[WFM_DDP]])),NA())</f>
        <v>0.68</v>
      </c>
      <c r="AY25" s="88">
        <f ca="1">IFERROR(VLOOKUP(C25,RTen_DD[[Week-Year]:[Core DDP]],6,FALSE),IF(ISNUMBER(VLOOKUP(C25,RTen_DD[[Week-Year]:[Core DDP]],6,FALSE)),OFFSET(AY25,-1,0),OFFSET(AY25,-1,0)))</f>
        <v>0.22399393081665039</v>
      </c>
      <c r="AZ25" s="65"/>
      <c r="BA25" s="65"/>
      <c r="BC25">
        <v>23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</v>
      </c>
      <c r="BO25" s="71"/>
      <c r="BP25" s="71">
        <f>MAX(Med_Table[[TDM]:[WFM]])</f>
        <v>29</v>
      </c>
      <c r="DN25" s="71"/>
      <c r="DO25" s="71"/>
      <c r="DV25" s="30"/>
      <c r="DW25" s="30"/>
    </row>
    <row r="26" spans="1:127">
      <c r="A26" s="69">
        <f t="shared" si="2"/>
        <v>41815</v>
      </c>
      <c r="B26" s="70">
        <f t="shared" si="0"/>
        <v>26</v>
      </c>
      <c r="C26" s="70">
        <f t="shared" si="1"/>
        <v>262014</v>
      </c>
      <c r="D26" s="57">
        <f ca="1">IFERROR(VLOOKUP(C26,TDM_DD[[Week-Year]:[DD]],2,FALSE),IF(ISNUMBER(OFFSET(D26,-1,0)),OFFSET(D26,-1,0),NA()))</f>
        <v>19</v>
      </c>
      <c r="E26" s="58">
        <f ca="1">IFERROR(VLOOKUP(C26,Coles_DD[[Week-Year]:[DD]],2,FALSE),IF(ISNUMBER(OFFSET(E26,-1,0)),OFFSET(E26,-1,0),NA()))</f>
        <v>2203</v>
      </c>
      <c r="F26" s="58">
        <f ca="1">IFERROR(VLOOKUP(C26,WOW_DD[[Week-Year]:[DD]],2,FALSE),IF(ISNUMBER(OFFSET(F26,-1,0)),OFFSET(F26,-1,0),NA()))</f>
        <v>2822</v>
      </c>
      <c r="G26" s="57">
        <f ca="1">IFERROR(VLOOKUP(C26,SSL_DD[[Week-Year]:[DD]],2,FALSE),IF(ISNUMBER(OFFSET(G26,-1,0)),OFFSET(G26,-1,0),NA()))</f>
        <v>407</v>
      </c>
      <c r="H26" s="58">
        <f ca="1">IFERROR(VLOOKUP(C26,WFM_DD[[Week-Year]:[DD]],2,FALSE),IF(ISNUMBER(OFFSET(H26,-1,0)),OFFSET(H26,-1,0),NA()))</f>
        <v>171</v>
      </c>
      <c r="I26" s="57">
        <f ca="1">IFERROR(VLOOKUP(C26,RTen_DD[[Week-Year]:[DD]],2,FALSE),IF(ISNUMBER(OFFSET(I26,-1,0)),OFFSET(I26,-1,0),NA()))</f>
        <v>6009</v>
      </c>
      <c r="J26" s="57">
        <f ca="1">IFERROR(VLOOKUP(C26,TDM_DD[[Week-Year]:[DD]],3,FALSE),IF(ISNUMBER(OFFSET(J26,-1,0)),OFFSET(J26,-1,0),NA()))</f>
        <v>3.736842155456543</v>
      </c>
      <c r="K26" s="57">
        <f ca="1">IFERROR(VLOOKUP(C26,Coles_DD[[Week-Year]:[DD]],3,FALSE),IF(ISNUMBER(OFFSET(K26,-1,0)),OFFSET(K26,-1,0),NA()))</f>
        <v>0.52246934175491333</v>
      </c>
      <c r="L26" s="57">
        <f ca="1">IFERROR(VLOOKUP(C26,WOW_DD[[Week-Year]:[DD]],3,FALSE),IF(ISNUMBER(OFFSET(L26,-1,0)),OFFSET(L26,-1,0),NA()))</f>
        <v>0.57725018262863159</v>
      </c>
      <c r="M26" s="57">
        <f ca="1">IFERROR(VLOOKUP(C26,SSL_DD[[Week-Year]:[DD]],3,FALSE),IF(ISNUMBER(OFFSET(M26,-1,0)),OFFSET(M26,-1,0),NA()))</f>
        <v>3.3169534206390381</v>
      </c>
      <c r="N26" s="57">
        <f ca="1">IFERROR(VLOOKUP(C26,WFM_DD[[Week-Year]:[DD]],3,FALSE),IF(ISNUMBER(OFFSET(N26,-1,0)),OFFSET(N26,-1,0),NA()))</f>
        <v>1.4093567132949829</v>
      </c>
      <c r="O26" s="57">
        <f ca="1">IFERROR(VLOOKUP(C26,RTen_DD[[Week-Year]:[DD]],3,FALSE),IF(ISNUMBER(OFFSET(O26,-1,0)),OFFSET(O26,-1,0),NA()))</f>
        <v>1.3173573017120361</v>
      </c>
      <c r="P26" s="57">
        <f t="array" aca="1" ref="P26" ca="1">AVERAGE(IF(ISNUMBER(DD_Table[[#This Row],[TDM_DD]:[WFM_DD]]),DD_Table[[#This Row],[TDM_DD]:[WFM_DD]]))</f>
        <v>1.9125743627548217</v>
      </c>
      <c r="Q26" s="57">
        <f t="array" aca="1" ref="Q26" ca="1">MAX(IF(ISERROR(DD_Table[[TDM_DD]:[WFM_DD]]),0,DD_Table[[TDM_DD]:[WFM_DD]]))*0.8</f>
        <v>12.322580718994141</v>
      </c>
      <c r="R26" s="57">
        <v>0.5</v>
      </c>
      <c r="S26" s="57">
        <v>0.5</v>
      </c>
      <c r="T26" s="57">
        <v>0.5</v>
      </c>
      <c r="U26" s="57">
        <v>0.5</v>
      </c>
      <c r="V26" s="57">
        <v>0.5</v>
      </c>
      <c r="W26" s="57">
        <v>0.5</v>
      </c>
      <c r="X26" s="59">
        <f ca="1">IFERROR(VLOOKUP(C26,TDM_DD[[Week-Year]:[Core Reg]],4,FALSE),IF(ISNUMBER(OFFSET(X26,-1,0)),OFFSET(X26,-1,0),NA()))</f>
        <v>18.309858322143555</v>
      </c>
      <c r="Y26" s="59">
        <f ca="1">IFERROR(VLOOKUP(C26,TDM_DD[[Week-Year]:[Core Reg]],5,FALSE),IF(ISNUMBER(OFFSET(Y26,-1,0)),OFFSET(Y26,-1,0),NA()))</f>
        <v>30.000001907348633</v>
      </c>
      <c r="Z26" s="59">
        <f ca="1">IFERROR(VLOOKUP(C26,Coles_DD[[Week-Year]:[Core Reg]],4,FALSE),IF(ISNUMBER(OFFSET(Z26,-1,0)),OFFSET(Z26,-1,0),NA()))</f>
        <v>4.1702866554260254</v>
      </c>
      <c r="AA26" s="59">
        <f ca="1">IFERROR(VLOOKUP(C26,Coles_DD[[Week-Year]:[Core Reg]],5,FALSE),IF(ISNUMBER(OFFSET(AA26,-1,0)),OFFSET(AA26,-1,0),NA()))</f>
        <v>6.5068492889404297</v>
      </c>
      <c r="AB26" s="59">
        <f ca="1">IFERROR(VLOOKUP(C26,WOW_DD[[Week-Year]:[Core Reg]],4,FALSE),IF(ISNUMBER(OFFSET(AB26,-1,0)),OFFSET(AB26,-1,0),NA()))</f>
        <v>12.277470588684082</v>
      </c>
      <c r="AC26" s="59">
        <f ca="1">IFERROR(VLOOKUP(C26,WOW_DD[[Week-Year]:[Core Reg]],5,FALSE),IF(ISNUMBER(OFFSET(AC26,-1,0)),OFFSET(AC26,-1,0),NA()))</f>
        <v>14.211618423461914</v>
      </c>
      <c r="AD26" s="59">
        <f ca="1">IFERROR(VLOOKUP(C26,SSL_DD[[Week-Year]:[Core Reg]],4,FALSE),IF(ISNUMBER(OFFSET(AD26,-1,0)),OFFSET(AD26,-1,0),NA()))</f>
        <v>43.629627227783203</v>
      </c>
      <c r="AE26" s="59">
        <f ca="1">IFERROR(VLOOKUP(C26,SSL_DD[[Week-Year]:[Core Reg]],5,FALSE),IF(ISNUMBER(OFFSET(AE26,-1,0)),OFFSET(AE26,-1,0),NA()))</f>
        <v>57.347202301025391</v>
      </c>
      <c r="AF26" s="59">
        <f ca="1">IFERROR(VLOOKUP(C26,WFM_DD[[Week-Year]:[Core Reg]],4,FALSE),IF(ISNUMBER(OFFSET(AF26,-1,0)),OFFSET(AF26,-1,0),NA()))</f>
        <v>19.917013168334961</v>
      </c>
      <c r="AG26" s="59">
        <f ca="1">IFERROR(VLOOKUP(C26,WFM_DD[[Week-Year]:[Core Reg]],5,FALSE),IF(ISNUMBER(OFFSET(AG26,-1,0)),OFFSET(AG26,-1,0),NA()))</f>
        <v>25.263156890869141</v>
      </c>
      <c r="AH26" s="62">
        <f ca="1">IFERROR(VLOOKUP(C26,RTen_DD[[Week-Year]:[Core Reg]],4,FALSE),IF(ISNUMBER(OFFSET(AH26,-1,0)),OFFSET(AH26,-1,0),NA()))</f>
        <v>0</v>
      </c>
      <c r="AI26" s="62">
        <f ca="1">IFERROR(VLOOKUP(C26,RTen_DD[[Week-Year]:[Core Reg]],5,FALSE)/100,IF(ISNUMBER(OFFSET(AI26,-1,0)),OFFSET(AI26,-1,0),NA()))</f>
        <v>0.36609397888183592</v>
      </c>
      <c r="AJ26" s="62">
        <f ca="1">DD_Table[[#This Row],[TDM_Ext_Reg]]</f>
        <v>18.309858322143555</v>
      </c>
      <c r="AK26" s="62">
        <f ca="1">DD_Table[[#This Row],[Coles_Ext_Reg]]</f>
        <v>4.1702866554260254</v>
      </c>
      <c r="AL26" s="62">
        <f ca="1">DD_Table[[#This Row],[WOW_Ext_Reg]]</f>
        <v>12.277470588684082</v>
      </c>
      <c r="AM26" s="62">
        <f ca="1">DD_Table[[#This Row],[SSL_Ext_Reg]]</f>
        <v>43.629627227783203</v>
      </c>
      <c r="AN26" s="62">
        <f ca="1">DD_Table[[#This Row],[WFM_Ext_Reg]]</f>
        <v>19.917013168334961</v>
      </c>
      <c r="AO26" s="62">
        <f t="array" aca="1" ref="AO26" ca="1">IFERROR(AVERAGE(IF(ISNUMBER(DD_Table[[#This Row],[TDM_Avg]:[WFM_Avg]]),DD_Table[[#This Row],[TDM_Avg]:[WFM_Avg]]))/100,NA())</f>
        <v>0.19660851192474366</v>
      </c>
      <c r="AP26" s="62">
        <f t="array" aca="1" ref="AP26" ca="1">MAX(IF(ISERROR(DD_Table[[TDM_Avg]:[WFM_Avg]]),0,DD_Table[[TDM_Avg]:[WFM_Avg]]))*1.1</f>
        <v>48.107883834838873</v>
      </c>
      <c r="AQ26" s="62">
        <f t="array" aca="1" ref="AQ26" ca="1">MAX(IF(ISERROR(DD_Table[[TDM_Ext_Reg]:[WFM_Core_Reg]]),0,DD_Table[[TDM_Ext_Reg]:[WFM_Core_Reg]]))</f>
        <v>61.538463592529297</v>
      </c>
      <c r="AR26" s="65">
        <f ca="1">IFERROR(VLOOKUP(C26,TDM_DD[[Week-Year]:[DDP]],6,FALSE),IF(ISNUMBER(OFFSET(AR26,-1,0)),OFFSET(AR26,-1,0),NA()))</f>
        <v>0.20408163265306123</v>
      </c>
      <c r="AS26" s="65">
        <f ca="1">IFERROR(VLOOKUP(C26,Coles_DD[[Week-Year]:[DDP]],6,FALSE),IF(ISNUMBER(OFFSET(AS26,-1,0)),OFFSET(AS26,-1,0),NA()))</f>
        <v>0.18587174348697394</v>
      </c>
      <c r="AT26" s="65">
        <f ca="1">IFERROR(VLOOKUP(C26,WOW_DD[[Week-Year]:[DDP]],6,FALSE),IF(ISNUMBER(OFFSET(AT26,-1,0)),OFFSET(AT26,-1,0),NA()))</f>
        <v>0.35361102786934373</v>
      </c>
      <c r="AU26" s="65">
        <f ca="1">IFERROR(VLOOKUP(C26,SSL_DD[[Week-Year]:[DDP]],6,FALSE),IF(ISNUMBER(OFFSET(AU26,-1,0)),OFFSET(AU26,-1,0),NA()))</f>
        <v>0.32075471698113206</v>
      </c>
      <c r="AV26" s="65">
        <f ca="1">IFERROR(VLOOKUP(C26,WFM_DD[[Week-Year]:[DDP]],6,FALSE),IF(ISNUMBER(OFFSET(AV26,-1,0)),OFFSET(AV26,-1,0),NA()))</f>
        <v>0.23791102514506771</v>
      </c>
      <c r="AW26" s="65">
        <f t="array" aca="1" ref="AW26" ca="1">IFERROR(AVERAGE(IF(ISNUMBER(DD_Table[[#This Row],[TDM_DDP]:[WFM_DDP]]),DD_Table[[#This Row],[TDM_DDP]:[WFM_DDP]])),NA())</f>
        <v>0.26044602922711574</v>
      </c>
      <c r="AX26" s="65">
        <f t="array" aca="1" ref="AX26" ca="1">IFERROR(MAX(IF(ISNUMBER(DD_Table[[TDM_DDP]:[WFM_DDP]]),DD_Table[[TDM_DDP]:[WFM_DDP]])),NA())</f>
        <v>0.68</v>
      </c>
      <c r="AY26" s="88">
        <f ca="1">IFERROR(VLOOKUP(C26,RTen_DD[[Week-Year]:[Core DDP]],6,FALSE),IF(ISNUMBER(VLOOKUP(C26,RTen_DD[[Week-Year]:[Core DDP]],6,FALSE)),OFFSET(AY26,-1,0),OFFSET(AY26,-1,0)))</f>
        <v>0.22473470687866212</v>
      </c>
      <c r="AZ26" s="65"/>
      <c r="BA26" s="65"/>
      <c r="BC26">
        <v>24</v>
      </c>
      <c r="BD26">
        <v>0</v>
      </c>
      <c r="BE26">
        <v>0</v>
      </c>
      <c r="BF26">
        <v>1</v>
      </c>
      <c r="BG26">
        <v>0</v>
      </c>
      <c r="BI26">
        <v>5</v>
      </c>
      <c r="BO26" s="71"/>
      <c r="BP26" s="71">
        <f>MAX(Med_Table[[TDM]:[WFM]])</f>
        <v>29</v>
      </c>
      <c r="DN26" s="71"/>
      <c r="DO26" s="71"/>
      <c r="DV26" s="30"/>
      <c r="DW26" s="30"/>
    </row>
    <row r="27" spans="1:127">
      <c r="A27" s="69">
        <f t="shared" si="2"/>
        <v>41822</v>
      </c>
      <c r="B27" s="70">
        <f t="shared" si="0"/>
        <v>27</v>
      </c>
      <c r="C27" s="70">
        <f t="shared" si="1"/>
        <v>272014</v>
      </c>
      <c r="D27" s="57">
        <f ca="1">IFERROR(VLOOKUP(C27,TDM_DD[[Week-Year]:[DD]],2,FALSE),IF(ISNUMBER(OFFSET(D27,-1,0)),OFFSET(D27,-1,0),NA()))</f>
        <v>19</v>
      </c>
      <c r="E27" s="58">
        <f ca="1">IFERROR(VLOOKUP(C27,Coles_DD[[Week-Year]:[DD]],2,FALSE),IF(ISNUMBER(OFFSET(E27,-1,0)),OFFSET(E27,-1,0),NA()))</f>
        <v>2205</v>
      </c>
      <c r="F27" s="58">
        <f ca="1">IFERROR(VLOOKUP(C27,WOW_DD[[Week-Year]:[DD]],2,FALSE),IF(ISNUMBER(OFFSET(F27,-1,0)),OFFSET(F27,-1,0),NA()))</f>
        <v>2822</v>
      </c>
      <c r="G27" s="57">
        <f ca="1">IFERROR(VLOOKUP(C27,SSL_DD[[Week-Year]:[DD]],2,FALSE),IF(ISNUMBER(OFFSET(G27,-1,0)),OFFSET(G27,-1,0),NA()))</f>
        <v>407</v>
      </c>
      <c r="H27" s="58">
        <f ca="1">IFERROR(VLOOKUP(C27,WFM_DD[[Week-Year]:[DD]],2,FALSE),IF(ISNUMBER(OFFSET(H27,-1,0)),OFFSET(H27,-1,0),NA()))</f>
        <v>171</v>
      </c>
      <c r="I27" s="57">
        <f ca="1">IFERROR(VLOOKUP(C27,RTen_DD[[Week-Year]:[DD]],2,FALSE),IF(ISNUMBER(OFFSET(I27,-1,0)),OFFSET(I27,-1,0),NA()))</f>
        <v>6009</v>
      </c>
      <c r="J27" s="57">
        <f ca="1">IFERROR(VLOOKUP(C27,TDM_DD[[Week-Year]:[DD]],3,FALSE),IF(ISNUMBER(OFFSET(J27,-1,0)),OFFSET(J27,-1,0),NA()))</f>
        <v>4.6842103004455566</v>
      </c>
      <c r="K27" s="57">
        <f ca="1">IFERROR(VLOOKUP(C27,Coles_DD[[Week-Year]:[DD]],3,FALSE),IF(ISNUMBER(OFFSET(K27,-1,0)),OFFSET(K27,-1,0),NA()))</f>
        <v>0.52562355995178223</v>
      </c>
      <c r="L27" s="57">
        <f ca="1">IFERROR(VLOOKUP(C27,WOW_DD[[Week-Year]:[DD]],3,FALSE),IF(ISNUMBER(OFFSET(L27,-1,0)),OFFSET(L27,-1,0),NA()))</f>
        <v>0.59000706672668457</v>
      </c>
      <c r="M27" s="57">
        <f ca="1">IFERROR(VLOOKUP(C27,SSL_DD[[Week-Year]:[DD]],3,FALSE),IF(ISNUMBER(OFFSET(M27,-1,0)),OFFSET(M27,-1,0),NA()))</f>
        <v>3.461916446685791</v>
      </c>
      <c r="N27" s="57">
        <f ca="1">IFERROR(VLOOKUP(C27,WFM_DD[[Week-Year]:[DD]],3,FALSE),IF(ISNUMBER(OFFSET(N27,-1,0)),OFFSET(N27,-1,0),NA()))</f>
        <v>1.4678362607955933</v>
      </c>
      <c r="O27" s="57">
        <f ca="1">IFERROR(VLOOKUP(C27,RTen_DD[[Week-Year]:[DD]],3,FALSE),IF(ISNUMBER(OFFSET(O27,-1,0)),OFFSET(O27,-1,0),NA()))</f>
        <v>1.3211848735809326</v>
      </c>
      <c r="P27" s="57">
        <f t="array" aca="1" ref="P27" ca="1">AVERAGE(IF(ISNUMBER(DD_Table[[#This Row],[TDM_DD]:[WFM_DD]]),DD_Table[[#This Row],[TDM_DD]:[WFM_DD]]))</f>
        <v>2.1459187269210815</v>
      </c>
      <c r="Q27" s="57">
        <f t="array" aca="1" ref="Q27" ca="1">MAX(IF(ISERROR(DD_Table[[TDM_DD]:[WFM_DD]]),0,DD_Table[[TDM_DD]:[WFM_DD]]))*0.8</f>
        <v>12.322580718994141</v>
      </c>
      <c r="R27" s="57">
        <v>0.5</v>
      </c>
      <c r="S27" s="57">
        <v>0.5</v>
      </c>
      <c r="T27" s="57">
        <v>0.5</v>
      </c>
      <c r="U27" s="57">
        <v>0.5</v>
      </c>
      <c r="V27" s="57">
        <v>0.5</v>
      </c>
      <c r="W27" s="57">
        <v>0.5</v>
      </c>
      <c r="X27" s="59">
        <f ca="1">IFERROR(VLOOKUP(C27,TDM_DD[[Week-Year]:[Core Reg]],4,FALSE),IF(ISNUMBER(OFFSET(X27,-1,0)),OFFSET(X27,-1,0),NA()))</f>
        <v>20.22471809387207</v>
      </c>
      <c r="Y27" s="59">
        <f ca="1">IFERROR(VLOOKUP(C27,TDM_DD[[Week-Year]:[Core Reg]],5,FALSE),IF(ISNUMBER(OFFSET(Y27,-1,0)),OFFSET(Y27,-1,0),NA()))</f>
        <v>33.333335876464844</v>
      </c>
      <c r="Z27" s="59">
        <f ca="1">IFERROR(VLOOKUP(C27,Coles_DD[[Week-Year]:[Core Reg]],4,FALSE),IF(ISNUMBER(OFFSET(Z27,-1,0)),OFFSET(Z27,-1,0),NA()))</f>
        <v>4.1415014266967773</v>
      </c>
      <c r="AA27" s="59">
        <f ca="1">IFERROR(VLOOKUP(C27,Coles_DD[[Week-Year]:[Core Reg]],5,FALSE),IF(ISNUMBER(OFFSET(AA27,-1,0)),OFFSET(AA27,-1,0),NA()))</f>
        <v>6.5068492889404297</v>
      </c>
      <c r="AB27" s="59">
        <f ca="1">IFERROR(VLOOKUP(C27,WOW_DD[[Week-Year]:[Core Reg]],4,FALSE),IF(ISNUMBER(OFFSET(AB27,-1,0)),OFFSET(AB27,-1,0),NA()))</f>
        <v>12.372372627258301</v>
      </c>
      <c r="AC27" s="59">
        <f ca="1">IFERROR(VLOOKUP(C27,WOW_DD[[Week-Year]:[Core Reg]],5,FALSE),IF(ISNUMBER(OFFSET(AC27,-1,0)),OFFSET(AC27,-1,0),NA()))</f>
        <v>14.169214248657227</v>
      </c>
      <c r="AD27" s="59">
        <f ca="1">IFERROR(VLOOKUP(C27,SSL_DD[[Week-Year]:[Core Reg]],4,FALSE),IF(ISNUMBER(OFFSET(AD27,-1,0)),OFFSET(AD27,-1,0),NA()))</f>
        <v>42.938251495361328</v>
      </c>
      <c r="AE27" s="59">
        <f ca="1">IFERROR(VLOOKUP(C27,SSL_DD[[Week-Year]:[Core Reg]],5,FALSE),IF(ISNUMBER(OFFSET(AE27,-1,0)),OFFSET(AE27,-1,0),NA()))</f>
        <v>56.410259246826172</v>
      </c>
      <c r="AF27" s="59">
        <f ca="1">IFERROR(VLOOKUP(C27,WFM_DD[[Week-Year]:[Core Reg]],4,FALSE),IF(ISNUMBER(OFFSET(AF27,-1,0)),OFFSET(AF27,-1,0),NA()))</f>
        <v>20.717132568359375</v>
      </c>
      <c r="AG27" s="59">
        <f ca="1">IFERROR(VLOOKUP(C27,WFM_DD[[Week-Year]:[Core Reg]],5,FALSE),IF(ISNUMBER(OFFSET(AG27,-1,0)),OFFSET(AG27,-1,0),NA()))</f>
        <v>24.242424011230469</v>
      </c>
      <c r="AH27" s="62">
        <f ca="1">IFERROR(VLOOKUP(C27,RTen_DD[[Week-Year]:[Core Reg]],4,FALSE),IF(ISNUMBER(OFFSET(AH27,-1,0)),OFFSET(AH27,-1,0),NA()))</f>
        <v>0</v>
      </c>
      <c r="AI27" s="62">
        <f ca="1">IFERROR(VLOOKUP(C27,RTen_DD[[Week-Year]:[Core Reg]],5,FALSE)/100,IF(ISNUMBER(OFFSET(AI27,-1,0)),OFFSET(AI27,-1,0),NA()))</f>
        <v>0.36503337860107421</v>
      </c>
      <c r="AJ27" s="62">
        <f ca="1">DD_Table[[#This Row],[TDM_Ext_Reg]]</f>
        <v>20.22471809387207</v>
      </c>
      <c r="AK27" s="62">
        <f ca="1">DD_Table[[#This Row],[Coles_Ext_Reg]]</f>
        <v>4.1415014266967773</v>
      </c>
      <c r="AL27" s="62">
        <f ca="1">DD_Table[[#This Row],[WOW_Ext_Reg]]</f>
        <v>12.372372627258301</v>
      </c>
      <c r="AM27" s="62">
        <f ca="1">DD_Table[[#This Row],[SSL_Ext_Reg]]</f>
        <v>42.938251495361328</v>
      </c>
      <c r="AN27" s="62">
        <f ca="1">DD_Table[[#This Row],[WFM_Ext_Reg]]</f>
        <v>20.717132568359375</v>
      </c>
      <c r="AO27" s="62">
        <f t="array" aca="1" ref="AO27" ca="1">IFERROR(AVERAGE(IF(ISNUMBER(DD_Table[[#This Row],[TDM_Avg]:[WFM_Avg]]),DD_Table[[#This Row],[TDM_Avg]:[WFM_Avg]]))/100,NA())</f>
        <v>0.20078795242309572</v>
      </c>
      <c r="AP27" s="62">
        <f t="array" aca="1" ref="AP27" ca="1">MAX(IF(ISERROR(DD_Table[[TDM_Avg]:[WFM_Avg]]),0,DD_Table[[TDM_Avg]:[WFM_Avg]]))*1.1</f>
        <v>48.107883834838873</v>
      </c>
      <c r="AQ27" s="62">
        <f t="array" aca="1" ref="AQ27" ca="1">MAX(IF(ISERROR(DD_Table[[TDM_Ext_Reg]:[WFM_Core_Reg]]),0,DD_Table[[TDM_Ext_Reg]:[WFM_Core_Reg]]))</f>
        <v>61.538463592529297</v>
      </c>
      <c r="AR27" s="65">
        <f ca="1">IFERROR(VLOOKUP(C27,TDM_DD[[Week-Year]:[DDP]],6,FALSE),IF(ISNUMBER(OFFSET(AR27,-1,0)),OFFSET(AR27,-1,0),NA()))</f>
        <v>0.21774193548387097</v>
      </c>
      <c r="AS27" s="65">
        <f ca="1">IFERROR(VLOOKUP(C27,Coles_DD[[Week-Year]:[DDP]],6,FALSE),IF(ISNUMBER(OFFSET(AS27,-1,0)),OFFSET(AS27,-1,0),NA()))</f>
        <v>0.18544366899302095</v>
      </c>
      <c r="AT27" s="65">
        <f ca="1">IFERROR(VLOOKUP(C27,WOW_DD[[Week-Year]:[DDP]],6,FALSE),IF(ISNUMBER(OFFSET(AT27,-1,0)),OFFSET(AT27,-1,0),NA()))</f>
        <v>0.35152582159624413</v>
      </c>
      <c r="AU27" s="65">
        <f ca="1">IFERROR(VLOOKUP(C27,SSL_DD[[Week-Year]:[DDP]],6,FALSE),IF(ISNUMBER(OFFSET(AU27,-1,0)),OFFSET(AU27,-1,0),NA()))</f>
        <v>0.3237768775319414</v>
      </c>
      <c r="AV27" s="65">
        <f ca="1">IFERROR(VLOOKUP(C27,WFM_DD[[Week-Year]:[DDP]],6,FALSE),IF(ISNUMBER(OFFSET(AV27,-1,0)),OFFSET(AV27,-1,0),NA()))</f>
        <v>0.23827392120075047</v>
      </c>
      <c r="AW27" s="65">
        <f t="array" aca="1" ref="AW27" ca="1">IFERROR(AVERAGE(IF(ISNUMBER(DD_Table[[#This Row],[TDM_DDP]:[WFM_DDP]]),DD_Table[[#This Row],[TDM_DDP]:[WFM_DDP]])),NA())</f>
        <v>0.26335244496116561</v>
      </c>
      <c r="AX27" s="65">
        <f t="array" aca="1" ref="AX27" ca="1">IFERROR(MAX(IF(ISNUMBER(DD_Table[[TDM_DDP]:[WFM_DDP]]),DD_Table[[TDM_DDP]:[WFM_DDP]])),NA())</f>
        <v>0.68</v>
      </c>
      <c r="AY27" s="88">
        <f ca="1">IFERROR(VLOOKUP(C27,RTen_DD[[Week-Year]:[Core DDP]],6,FALSE),IF(ISNUMBER(VLOOKUP(C27,RTen_DD[[Week-Year]:[Core DDP]],6,FALSE)),OFFSET(AY27,-1,0),OFFSET(AY27,-1,0)))</f>
        <v>0.22496536254882812</v>
      </c>
      <c r="AZ27" s="65"/>
      <c r="BA27" s="65"/>
      <c r="BC27">
        <v>25</v>
      </c>
      <c r="BD27">
        <v>1</v>
      </c>
      <c r="BE27">
        <v>0</v>
      </c>
      <c r="BF27">
        <v>0</v>
      </c>
      <c r="BG27">
        <v>0</v>
      </c>
      <c r="BI27">
        <v>6</v>
      </c>
      <c r="BO27" s="71"/>
      <c r="BP27" s="71">
        <f>MAX(Med_Table[[TDM]:[WFM]])</f>
        <v>29</v>
      </c>
      <c r="DN27" s="71"/>
      <c r="DO27" s="71"/>
      <c r="DV27" s="30"/>
      <c r="DW27" s="30"/>
    </row>
    <row r="28" spans="1:127" s="90" customFormat="1" ht="21" customHeight="1">
      <c r="A28" s="93">
        <f t="shared" si="2"/>
        <v>41829</v>
      </c>
      <c r="B28" s="94">
        <f t="shared" si="0"/>
        <v>28</v>
      </c>
      <c r="C28" s="94">
        <f t="shared" si="1"/>
        <v>282014</v>
      </c>
      <c r="D28" s="95">
        <f ca="1">IFERROR(VLOOKUP(C28,TDM_DD[[Week-Year]:[DD]],2,FALSE),IF(ISNUMBER(OFFSET(D28,-1,0)),OFFSET(D28,-1,0),NA()))</f>
        <v>19</v>
      </c>
      <c r="E28" s="96">
        <f ca="1">IFERROR(VLOOKUP(C28,Coles_DD[[Week-Year]:[DD]],2,FALSE),IF(ISNUMBER(OFFSET(E28,-1,0)),OFFSET(E28,-1,0),NA()))</f>
        <v>2205</v>
      </c>
      <c r="F28" s="96">
        <f ca="1">IFERROR(VLOOKUP(C28,WOW_DD[[Week-Year]:[DD]],2,FALSE),IF(ISNUMBER(OFFSET(F28,-1,0)),OFFSET(F28,-1,0),NA()))</f>
        <v>2822</v>
      </c>
      <c r="G28" s="95">
        <f ca="1">IFERROR(VLOOKUP(C28,SSL_DD[[Week-Year]:[DD]],2,FALSE),IF(ISNUMBER(OFFSET(G28,-1,0)),OFFSET(G28,-1,0),NA()))</f>
        <v>410</v>
      </c>
      <c r="H28" s="96">
        <f ca="1">IFERROR(VLOOKUP(C28,WFM_DD[[Week-Year]:[DD]],2,FALSE),IF(ISNUMBER(OFFSET(H28,-1,0)),OFFSET(H28,-1,0),NA()))</f>
        <v>171</v>
      </c>
      <c r="I28" s="95">
        <f ca="1">IFERROR(VLOOKUP(C28,RTen_DD[[Week-Year]:[DD]],2,FALSE),IF(ISNUMBER(OFFSET(I28,-1,0)),OFFSET(I28,-1,0),NA()))</f>
        <v>6009</v>
      </c>
      <c r="J28" s="95">
        <f ca="1">IFERROR(VLOOKUP(C28,TDM_DD[[Week-Year]:[DD]],3,FALSE),IF(ISNUMBER(OFFSET(J28,-1,0)),OFFSET(J28,-1,0),NA()))</f>
        <v>5.736842155456543</v>
      </c>
      <c r="K28" s="95">
        <f ca="1">IFERROR(VLOOKUP(C28,Coles_DD[[Week-Year]:[DD]],3,FALSE),IF(ISNUMBER(OFFSET(K28,-1,0)),OFFSET(K28,-1,0),NA()))</f>
        <v>0.52698415517807007</v>
      </c>
      <c r="L28" s="95">
        <f ca="1">IFERROR(VLOOKUP(C28,WOW_DD[[Week-Year]:[DD]],3,FALSE),IF(ISNUMBER(OFFSET(L28,-1,0)),OFFSET(L28,-1,0),NA()))</f>
        <v>0.59425938129425049</v>
      </c>
      <c r="M28" s="95">
        <f ca="1">IFERROR(VLOOKUP(C28,SSL_DD[[Week-Year]:[DD]],3,FALSE),IF(ISNUMBER(OFFSET(M28,-1,0)),OFFSET(M28,-1,0),NA()))</f>
        <v>3.5170731544494629</v>
      </c>
      <c r="N28" s="95">
        <f ca="1">IFERROR(VLOOKUP(C28,WFM_DD[[Week-Year]:[DD]],3,FALSE),IF(ISNUMBER(OFFSET(N28,-1,0)),OFFSET(N28,-1,0),NA()))</f>
        <v>1.5497076511383057</v>
      </c>
      <c r="O28" s="95">
        <f ca="1">IFERROR(VLOOKUP(C28,RTen_DD[[Week-Year]:[DD]],3,FALSE),IF(ISNUMBER(OFFSET(O28,-1,0)),OFFSET(O28,-1,0),NA()))</f>
        <v>1.3211848735809326</v>
      </c>
      <c r="P28" s="95">
        <f t="array" aca="1" ref="P28" ca="1">AVERAGE(IF(ISNUMBER(DD_Table[[#This Row],[TDM_DD]:[WFM_DD]]),DD_Table[[#This Row],[TDM_DD]:[WFM_DD]]))</f>
        <v>2.3849732995033266</v>
      </c>
      <c r="Q28" s="95">
        <f t="array" aca="1" ref="Q28" ca="1">MAX(IF(ISERROR(DD_Table[[TDM_DD]:[WFM_DD]]),0,DD_Table[[TDM_DD]:[WFM_DD]]))*0.8</f>
        <v>12.322580718994141</v>
      </c>
      <c r="R28" s="95">
        <v>0.5</v>
      </c>
      <c r="S28" s="95">
        <v>0.5</v>
      </c>
      <c r="T28" s="95">
        <v>0.5</v>
      </c>
      <c r="U28" s="95">
        <v>0.5</v>
      </c>
      <c r="V28" s="95">
        <v>0.5</v>
      </c>
      <c r="W28" s="95">
        <v>0.5</v>
      </c>
      <c r="X28" s="97">
        <f ca="1">IFERROR(VLOOKUP(C28,TDM_DD[[Week-Year]:[Core Reg]],4,FALSE),IF(ISNUMBER(OFFSET(X28,-1,0)),OFFSET(X28,-1,0),NA()))</f>
        <v>18.348623275756836</v>
      </c>
      <c r="Y28" s="97">
        <f ca="1">IFERROR(VLOOKUP(C28,TDM_DD[[Week-Year]:[Core Reg]],5,FALSE),IF(ISNUMBER(OFFSET(Y28,-1,0)),OFFSET(Y28,-1,0),NA()))</f>
        <v>36.842105865478516</v>
      </c>
      <c r="Z28" s="97">
        <f ca="1">IFERROR(VLOOKUP(C28,Coles_DD[[Week-Year]:[Core Reg]],4,FALSE),IF(ISNUMBER(OFFSET(Z28,-1,0)),OFFSET(Z28,-1,0),NA()))</f>
        <v>4.1308088302612305</v>
      </c>
      <c r="AA28" s="97">
        <f ca="1">IFERROR(VLOOKUP(C28,Coles_DD[[Week-Year]:[Core Reg]],5,FALSE),IF(ISNUMBER(OFFSET(AA28,-1,0)),OFFSET(AA28,-1,0),NA()))</f>
        <v>6.5068492889404297</v>
      </c>
      <c r="AB28" s="97">
        <f ca="1">IFERROR(VLOOKUP(C28,WOW_DD[[Week-Year]:[Core Reg]],4,FALSE),IF(ISNUMBER(OFFSET(AB28,-1,0)),OFFSET(AB28,-1,0),NA()))</f>
        <v>12.343470573425293</v>
      </c>
      <c r="AC28" s="97">
        <f ca="1">IFERROR(VLOOKUP(C28,WOW_DD[[Week-Year]:[Core Reg]],5,FALSE),IF(ISNUMBER(OFFSET(AC28,-1,0)),OFFSET(AC28,-1,0),NA()))</f>
        <v>14.126016616821289</v>
      </c>
      <c r="AD28" s="97">
        <f ca="1">IFERROR(VLOOKUP(C28,SSL_DD[[Week-Year]:[Core Reg]],4,FALSE),IF(ISNUMBER(OFFSET(AD28,-1,0)),OFFSET(AD28,-1,0),NA()))</f>
        <v>42.163661956787109</v>
      </c>
      <c r="AE28" s="97">
        <f ca="1">IFERROR(VLOOKUP(C28,SSL_DD[[Week-Year]:[Core Reg]],5,FALSE),IF(ISNUMBER(OFFSET(AE28,-1,0)),OFFSET(AE28,-1,0),NA()))</f>
        <v>55.369926452636719</v>
      </c>
      <c r="AF28" s="97">
        <f ca="1">IFERROR(VLOOKUP(C28,WFM_DD[[Week-Year]:[Core Reg]],4,FALSE),IF(ISNUMBER(OFFSET(AF28,-1,0)),OFFSET(AF28,-1,0),NA()))</f>
        <v>20.377359390258789</v>
      </c>
      <c r="AG28" s="97">
        <f ca="1">IFERROR(VLOOKUP(C28,WFM_DD[[Week-Year]:[Core Reg]],5,FALSE),IF(ISNUMBER(OFFSET(AG28,-1,0)),OFFSET(AG28,-1,0),NA()))</f>
        <v>24.242424011230469</v>
      </c>
      <c r="AH28" s="98">
        <f ca="1">IFERROR(VLOOKUP(C28,RTen_DD[[Week-Year]:[Core Reg]],4,FALSE),IF(ISNUMBER(OFFSET(AH28,-1,0)),OFFSET(AH28,-1,0),NA()))</f>
        <v>0</v>
      </c>
      <c r="AI28" s="98">
        <f ca="1">IFERROR(VLOOKUP(C28,RTen_DD[[Week-Year]:[Core Reg]],5,FALSE)/100,IF(ISNUMBER(OFFSET(AI28,-1,0)),OFFSET(AI28,-1,0),NA()))</f>
        <v>0.36503337860107421</v>
      </c>
      <c r="AJ28" s="98">
        <f ca="1">DD_Table[[#This Row],[TDM_Ext_Reg]]</f>
        <v>18.348623275756836</v>
      </c>
      <c r="AK28" s="98">
        <f ca="1">DD_Table[[#This Row],[Coles_Ext_Reg]]</f>
        <v>4.1308088302612305</v>
      </c>
      <c r="AL28" s="98">
        <f ca="1">DD_Table[[#This Row],[WOW_Ext_Reg]]</f>
        <v>12.343470573425293</v>
      </c>
      <c r="AM28" s="98">
        <f ca="1">DD_Table[[#This Row],[SSL_Ext_Reg]]</f>
        <v>42.163661956787109</v>
      </c>
      <c r="AN28" s="98">
        <f ca="1">DD_Table[[#This Row],[WFM_Ext_Reg]]</f>
        <v>20.377359390258789</v>
      </c>
      <c r="AO28" s="98">
        <f t="array" aca="1" ref="AO28" ca="1">IFERROR(AVERAGE(IF(ISNUMBER(DD_Table[[#This Row],[TDM_Avg]:[WFM_Avg]]),DD_Table[[#This Row],[TDM_Avg]:[WFM_Avg]]))/100,NA())</f>
        <v>0.19472784805297852</v>
      </c>
      <c r="AP28" s="98">
        <f t="array" aca="1" ref="AP28" ca="1">MAX(IF(ISERROR(DD_Table[[TDM_Avg]:[WFM_Avg]]),0,DD_Table[[TDM_Avg]:[WFM_Avg]]))*1.1</f>
        <v>48.107883834838873</v>
      </c>
      <c r="AQ28" s="98">
        <f t="array" aca="1" ref="AQ28" ca="1">MAX(IF(ISERROR(DD_Table[[TDM_Ext_Reg]:[WFM_Core_Reg]]),0,DD_Table[[TDM_Ext_Reg]:[WFM_Core_Reg]]))</f>
        <v>61.538463592529297</v>
      </c>
      <c r="AR28" s="99">
        <f ca="1">IFERROR(VLOOKUP(C28,TDM_DD[[Week-Year]:[DDP]],6,FALSE),IF(ISNUMBER(OFFSET(AR28,-1,0)),OFFSET(AR28,-1,0),NA()))</f>
        <v>0.24516129032258063</v>
      </c>
      <c r="AS28" s="99">
        <f ca="1">IFERROR(VLOOKUP(C28,Coles_DD[[Week-Year]:[DDP]],6,FALSE),IF(ISNUMBER(OFFSET(AS28,-1,0)),OFFSET(AS28,-1,0),NA()))</f>
        <v>0.18516674962667995</v>
      </c>
      <c r="AT28" s="99">
        <f ca="1">IFERROR(VLOOKUP(C28,WOW_DD[[Week-Year]:[DDP]],6,FALSE),IF(ISNUMBER(OFFSET(AT28,-1,0)),OFFSET(AT28,-1,0),NA()))</f>
        <v>0.35086181711948583</v>
      </c>
      <c r="AU28" s="99">
        <f ca="1">IFERROR(VLOOKUP(C28,SSL_DD[[Week-Year]:[DDP]],6,FALSE),IF(ISNUMBER(OFFSET(AU28,-1,0)),OFFSET(AU28,-1,0),NA()))</f>
        <v>0.32415902140672781</v>
      </c>
      <c r="AV28" s="99">
        <f ca="1">IFERROR(VLOOKUP(C28,WFM_DD[[Week-Year]:[DDP]],6,FALSE),IF(ISNUMBER(OFFSET(AV28,-1,0)),OFFSET(AV28,-1,0),NA()))</f>
        <v>0.23175182481751824</v>
      </c>
      <c r="AW28" s="99">
        <f t="array" aca="1" ref="AW28" ca="1">IFERROR(AVERAGE(IF(ISNUMBER(DD_Table[[#This Row],[TDM_DDP]:[WFM_DDP]]),DD_Table[[#This Row],[TDM_DDP]:[WFM_DDP]])),NA())</f>
        <v>0.26742014065859854</v>
      </c>
      <c r="AX28" s="99">
        <f t="array" aca="1" ref="AX28" ca="1">IFERROR(MAX(IF(ISNUMBER(DD_Table[[TDM_DDP]:[WFM_DDP]]),DD_Table[[TDM_DDP]:[WFM_DDP]])),NA())</f>
        <v>0.68</v>
      </c>
      <c r="AY28" s="99">
        <f ca="1">IFERROR(VLOOKUP(C28,RTen_DD[[Week-Year]:[Core DDP]],6,FALSE),IF(ISNUMBER(VLOOKUP(C28,RTen_DD[[Week-Year]:[Core DDP]],6,FALSE)),OFFSET(AY28,-1,0),OFFSET(AY28,-1,0)))</f>
        <v>0.22496536254882812</v>
      </c>
      <c r="AZ28" s="89"/>
      <c r="BA28" s="89"/>
      <c r="BC28" s="90">
        <v>26</v>
      </c>
      <c r="BD28" s="90">
        <v>1</v>
      </c>
      <c r="BE28" s="90">
        <v>1</v>
      </c>
      <c r="BF28" s="90">
        <v>0</v>
      </c>
      <c r="BG28" s="90">
        <v>0</v>
      </c>
      <c r="BI28" s="90">
        <v>3</v>
      </c>
      <c r="BO28" s="91"/>
      <c r="BP28" s="91">
        <f>MAX(Med_Table[[TDM]:[WFM]])</f>
        <v>29</v>
      </c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N28" s="91"/>
      <c r="DO28" s="91"/>
      <c r="DV28" s="92"/>
      <c r="DW28" s="92"/>
    </row>
    <row r="29" spans="1:127">
      <c r="A29" s="69">
        <f t="shared" si="2"/>
        <v>41836</v>
      </c>
      <c r="B29" s="70">
        <f t="shared" si="0"/>
        <v>29</v>
      </c>
      <c r="C29" s="70">
        <f t="shared" si="1"/>
        <v>292014</v>
      </c>
      <c r="D29" s="57">
        <f ca="1">IFERROR(VLOOKUP(C29,TDM_DD[[Week-Year]:[DD]],2,FALSE),IF(ISNUMBER(OFFSET(D29,-1,0)),OFFSET(D29,-1,0),NA()))</f>
        <v>19</v>
      </c>
      <c r="E29" s="58">
        <f ca="1">IFERROR(VLOOKUP(C29,Coles_DD[[Week-Year]:[DD]],2,FALSE),IF(ISNUMBER(OFFSET(E29,-1,0)),OFFSET(E29,-1,0),NA()))</f>
        <v>2205</v>
      </c>
      <c r="F29" s="58">
        <f ca="1">IFERROR(VLOOKUP(C29,WOW_DD[[Week-Year]:[DD]],2,FALSE),IF(ISNUMBER(OFFSET(F29,-1,0)),OFFSET(F29,-1,0),NA()))</f>
        <v>2822</v>
      </c>
      <c r="G29" s="57">
        <f ca="1">IFERROR(VLOOKUP(C29,SSL_DD[[Week-Year]:[DD]],2,FALSE),IF(ISNUMBER(OFFSET(G29,-1,0)),OFFSET(G29,-1,0),NA()))</f>
        <v>410</v>
      </c>
      <c r="H29" s="58">
        <f ca="1">IFERROR(VLOOKUP(C29,WFM_DD[[Week-Year]:[DD]],2,FALSE),IF(ISNUMBER(OFFSET(H29,-1,0)),OFFSET(H29,-1,0),NA()))</f>
        <v>171</v>
      </c>
      <c r="I29" s="57">
        <f ca="1">IFERROR(VLOOKUP(C29,RTen_DD[[Week-Year]:[DD]],2,FALSE),IF(ISNUMBER(OFFSET(I29,-1,0)),OFFSET(I29,-1,0),NA()))</f>
        <v>6009</v>
      </c>
      <c r="J29" s="57">
        <f ca="1">IFERROR(VLOOKUP(C29,TDM_DD[[Week-Year]:[DD]],3,FALSE),IF(ISNUMBER(OFFSET(J29,-1,0)),OFFSET(J29,-1,0),NA()))</f>
        <v>5.736842155456543</v>
      </c>
      <c r="K29" s="57">
        <f ca="1">IFERROR(VLOOKUP(C29,Coles_DD[[Week-Year]:[DD]],3,FALSE),IF(ISNUMBER(OFFSET(K29,-1,0)),OFFSET(K29,-1,0),NA()))</f>
        <v>0.52698415517807007</v>
      </c>
      <c r="L29" s="57">
        <f ca="1">IFERROR(VLOOKUP(C29,WOW_DD[[Week-Year]:[DD]],3,FALSE),IF(ISNUMBER(OFFSET(L29,-1,0)),OFFSET(L29,-1,0),NA()))</f>
        <v>0.59425938129425049</v>
      </c>
      <c r="M29" s="57">
        <f ca="1">IFERROR(VLOOKUP(C29,SSL_DD[[Week-Year]:[DD]],3,FALSE),IF(ISNUMBER(OFFSET(M29,-1,0)),OFFSET(M29,-1,0),NA()))</f>
        <v>3.5170731544494629</v>
      </c>
      <c r="N29" s="57">
        <f ca="1">IFERROR(VLOOKUP(C29,WFM_DD[[Week-Year]:[DD]],3,FALSE),IF(ISNUMBER(OFFSET(N29,-1,0)),OFFSET(N29,-1,0),NA()))</f>
        <v>1.5497076511383057</v>
      </c>
      <c r="O29" s="57">
        <f ca="1">IFERROR(VLOOKUP(C29,RTen_DD[[Week-Year]:[DD]],3,FALSE),IF(ISNUMBER(OFFSET(O29,-1,0)),OFFSET(O29,-1,0),NA()))</f>
        <v>1.3211848735809326</v>
      </c>
      <c r="P29" s="57">
        <f t="array" aca="1" ref="P29" ca="1">AVERAGE(IF(ISNUMBER(DD_Table[[#This Row],[TDM_DD]:[WFM_DD]]),DD_Table[[#This Row],[TDM_DD]:[WFM_DD]]))</f>
        <v>2.3849732995033266</v>
      </c>
      <c r="Q29" s="57">
        <f t="array" aca="1" ref="Q29" ca="1">MAX(IF(ISERROR(DD_Table[[TDM_DD]:[WFM_DD]]),0,DD_Table[[TDM_DD]:[WFM_DD]]))*0.8</f>
        <v>12.322580718994141</v>
      </c>
      <c r="R29" s="57">
        <v>0.5</v>
      </c>
      <c r="S29" s="57">
        <v>0.5</v>
      </c>
      <c r="T29" s="57">
        <v>0.5</v>
      </c>
      <c r="U29" s="57">
        <v>0.5</v>
      </c>
      <c r="V29" s="57">
        <v>0.5</v>
      </c>
      <c r="W29" s="57">
        <v>0.5</v>
      </c>
      <c r="X29" s="59">
        <f ca="1">IFERROR(VLOOKUP(C29,TDM_DD[[Week-Year]:[Core Reg]],4,FALSE),IF(ISNUMBER(OFFSET(X29,-1,0)),OFFSET(X29,-1,0),NA()))</f>
        <v>18.348623275756836</v>
      </c>
      <c r="Y29" s="59">
        <f ca="1">IFERROR(VLOOKUP(C29,TDM_DD[[Week-Year]:[Core Reg]],5,FALSE),IF(ISNUMBER(OFFSET(Y29,-1,0)),OFFSET(Y29,-1,0),NA()))</f>
        <v>36.842105865478516</v>
      </c>
      <c r="Z29" s="59">
        <f ca="1">IFERROR(VLOOKUP(C29,Coles_DD[[Week-Year]:[Core Reg]],4,FALSE),IF(ISNUMBER(OFFSET(Z29,-1,0)),OFFSET(Z29,-1,0),NA()))</f>
        <v>4.1308088302612305</v>
      </c>
      <c r="AA29" s="59">
        <f ca="1">IFERROR(VLOOKUP(C29,Coles_DD[[Week-Year]:[Core Reg]],5,FALSE),IF(ISNUMBER(OFFSET(AA29,-1,0)),OFFSET(AA29,-1,0),NA()))</f>
        <v>6.5068492889404297</v>
      </c>
      <c r="AB29" s="59">
        <f ca="1">IFERROR(VLOOKUP(C29,WOW_DD[[Week-Year]:[Core Reg]],4,FALSE),IF(ISNUMBER(OFFSET(AB29,-1,0)),OFFSET(AB29,-1,0),NA()))</f>
        <v>12.343470573425293</v>
      </c>
      <c r="AC29" s="59">
        <f ca="1">IFERROR(VLOOKUP(C29,WOW_DD[[Week-Year]:[Core Reg]],5,FALSE),IF(ISNUMBER(OFFSET(AC29,-1,0)),OFFSET(AC29,-1,0),NA()))</f>
        <v>14.126016616821289</v>
      </c>
      <c r="AD29" s="59">
        <f ca="1">IFERROR(VLOOKUP(C29,SSL_DD[[Week-Year]:[Core Reg]],4,FALSE),IF(ISNUMBER(OFFSET(AD29,-1,0)),OFFSET(AD29,-1,0),NA()))</f>
        <v>42.163661956787109</v>
      </c>
      <c r="AE29" s="59">
        <f ca="1">IFERROR(VLOOKUP(C29,SSL_DD[[Week-Year]:[Core Reg]],5,FALSE),IF(ISNUMBER(OFFSET(AE29,-1,0)),OFFSET(AE29,-1,0),NA()))</f>
        <v>55.369926452636719</v>
      </c>
      <c r="AF29" s="59">
        <f ca="1">IFERROR(VLOOKUP(C29,WFM_DD[[Week-Year]:[Core Reg]],4,FALSE),IF(ISNUMBER(OFFSET(AF29,-1,0)),OFFSET(AF29,-1,0),NA()))</f>
        <v>20.377359390258789</v>
      </c>
      <c r="AG29" s="59">
        <f ca="1">IFERROR(VLOOKUP(C29,WFM_DD[[Week-Year]:[Core Reg]],5,FALSE),IF(ISNUMBER(OFFSET(AG29,-1,0)),OFFSET(AG29,-1,0),NA()))</f>
        <v>24.242424011230469</v>
      </c>
      <c r="AH29" s="62">
        <f ca="1">IFERROR(VLOOKUP(C29,RTen_DD[[Week-Year]:[Core Reg]],4,FALSE),IF(ISNUMBER(OFFSET(AH29,-1,0)),OFFSET(AH29,-1,0),NA()))</f>
        <v>0</v>
      </c>
      <c r="AI29" s="62">
        <f ca="1">IFERROR(VLOOKUP(C29,RTen_DD[[Week-Year]:[Core Reg]],5,FALSE)/100,IF(ISNUMBER(OFFSET(AI29,-1,0)),OFFSET(AI29,-1,0),NA()))</f>
        <v>0.36503337860107421</v>
      </c>
      <c r="AJ29" s="62">
        <f ca="1">DD_Table[[#This Row],[TDM_Ext_Reg]]</f>
        <v>18.348623275756836</v>
      </c>
      <c r="AK29" s="62">
        <f ca="1">DD_Table[[#This Row],[Coles_Ext_Reg]]</f>
        <v>4.1308088302612305</v>
      </c>
      <c r="AL29" s="62">
        <f ca="1">DD_Table[[#This Row],[WOW_Ext_Reg]]</f>
        <v>12.343470573425293</v>
      </c>
      <c r="AM29" s="62">
        <f ca="1">DD_Table[[#This Row],[SSL_Ext_Reg]]</f>
        <v>42.163661956787109</v>
      </c>
      <c r="AN29" s="62">
        <f ca="1">DD_Table[[#This Row],[WFM_Ext_Reg]]</f>
        <v>20.377359390258789</v>
      </c>
      <c r="AO29" s="62">
        <f t="array" aca="1" ref="AO29" ca="1">IFERROR(AVERAGE(IF(ISNUMBER(DD_Table[[#This Row],[TDM_Avg]:[WFM_Avg]]),DD_Table[[#This Row],[TDM_Avg]:[WFM_Avg]]))/100,NA())</f>
        <v>0.19472784805297852</v>
      </c>
      <c r="AP29" s="62">
        <f t="array" aca="1" ref="AP29" ca="1">MAX(IF(ISERROR(DD_Table[[TDM_Avg]:[WFM_Avg]]),0,DD_Table[[TDM_Avg]:[WFM_Avg]]))*1.1</f>
        <v>48.107883834838873</v>
      </c>
      <c r="AQ29" s="62">
        <f t="array" aca="1" ref="AQ29" ca="1">MAX(IF(ISERROR(DD_Table[[TDM_Ext_Reg]:[WFM_Core_Reg]]),0,DD_Table[[TDM_Ext_Reg]:[WFM_Core_Reg]]))</f>
        <v>61.538463592529297</v>
      </c>
      <c r="AR29" s="65">
        <f ca="1">IFERROR(VLOOKUP(C29,TDM_DD[[Week-Year]:[DDP]],6,FALSE),IF(ISNUMBER(OFFSET(AR29,-1,0)),OFFSET(AR29,-1,0),NA()))</f>
        <v>0.24516129032258063</v>
      </c>
      <c r="AS29" s="65">
        <f ca="1">IFERROR(VLOOKUP(C29,Coles_DD[[Week-Year]:[DDP]],6,FALSE),IF(ISNUMBER(OFFSET(AS29,-1,0)),OFFSET(AS29,-1,0),NA()))</f>
        <v>0.18516674962667995</v>
      </c>
      <c r="AT29" s="65">
        <f ca="1">IFERROR(VLOOKUP(C29,WOW_DD[[Week-Year]:[DDP]],6,FALSE),IF(ISNUMBER(OFFSET(AT29,-1,0)),OFFSET(AT29,-1,0),NA()))</f>
        <v>0.35086181711948583</v>
      </c>
      <c r="AU29" s="65">
        <f ca="1">IFERROR(VLOOKUP(C29,SSL_DD[[Week-Year]:[DDP]],6,FALSE),IF(ISNUMBER(OFFSET(AU29,-1,0)),OFFSET(AU29,-1,0),NA()))</f>
        <v>0.32415902140672781</v>
      </c>
      <c r="AV29" s="65">
        <f ca="1">IFERROR(VLOOKUP(C29,WFM_DD[[Week-Year]:[DDP]],6,FALSE),IF(ISNUMBER(OFFSET(AV29,-1,0)),OFFSET(AV29,-1,0),NA()))</f>
        <v>0.23175182481751824</v>
      </c>
      <c r="AW29" s="65">
        <f t="array" aca="1" ref="AW29" ca="1">IFERROR(AVERAGE(IF(ISNUMBER(DD_Table[[#This Row],[TDM_DDP]:[WFM_DDP]]),DD_Table[[#This Row],[TDM_DDP]:[WFM_DDP]])),NA())</f>
        <v>0.26742014065859854</v>
      </c>
      <c r="AX29" s="65">
        <f t="array" aca="1" ref="AX29" ca="1">IFERROR(MAX(IF(ISNUMBER(DD_Table[[TDM_DDP]:[WFM_DDP]]),DD_Table[[TDM_DDP]:[WFM_DDP]])),NA())</f>
        <v>0.68</v>
      </c>
      <c r="AY29" s="88">
        <f ca="1">IFERROR(VLOOKUP(C29,RTen_DD[[Week-Year]:[Core DDP]],6,FALSE),IF(ISNUMBER(VLOOKUP(C29,RTen_DD[[Week-Year]:[Core DDP]],6,FALSE)),OFFSET(AY29,-1,0),OFFSET(AY29,-1,0)))</f>
        <v>0.22496536254882812</v>
      </c>
      <c r="AZ29" s="65"/>
      <c r="BA29" s="65"/>
      <c r="BC29">
        <v>27</v>
      </c>
      <c r="BE29">
        <v>0</v>
      </c>
      <c r="BF29">
        <v>0</v>
      </c>
      <c r="BG29">
        <v>0</v>
      </c>
      <c r="BI29">
        <v>1</v>
      </c>
      <c r="BO29" s="71"/>
      <c r="BP29" s="71">
        <f>MAX(Med_Table[[TDM]:[WFM]])</f>
        <v>29</v>
      </c>
      <c r="DN29" s="71"/>
      <c r="DO29" s="71"/>
      <c r="DV29" s="30"/>
      <c r="DW29" s="30"/>
    </row>
    <row r="30" spans="1:127">
      <c r="A30" s="69">
        <f t="shared" si="2"/>
        <v>41843</v>
      </c>
      <c r="B30" s="70">
        <f t="shared" si="0"/>
        <v>30</v>
      </c>
      <c r="C30" s="70">
        <f t="shared" si="1"/>
        <v>302014</v>
      </c>
      <c r="D30" s="57">
        <f ca="1">IFERROR(VLOOKUP(C30,TDM_DD[[Week-Year]:[DD]],2,FALSE),IF(ISNUMBER(OFFSET(D30,-1,0)),OFFSET(D30,-1,0),NA()))</f>
        <v>19</v>
      </c>
      <c r="E30" s="58">
        <f ca="1">IFERROR(VLOOKUP(C30,Coles_DD[[Week-Year]:[DD]],2,FALSE),IF(ISNUMBER(OFFSET(E30,-1,0)),OFFSET(E30,-1,0),NA()))</f>
        <v>2205</v>
      </c>
      <c r="F30" s="58">
        <f ca="1">IFERROR(VLOOKUP(C30,WOW_DD[[Week-Year]:[DD]],2,FALSE),IF(ISNUMBER(OFFSET(F30,-1,0)),OFFSET(F30,-1,0),NA()))</f>
        <v>2822</v>
      </c>
      <c r="G30" s="57">
        <f ca="1">IFERROR(VLOOKUP(C30,SSL_DD[[Week-Year]:[DD]],2,FALSE),IF(ISNUMBER(OFFSET(G30,-1,0)),OFFSET(G30,-1,0),NA()))</f>
        <v>410</v>
      </c>
      <c r="H30" s="58">
        <f ca="1">IFERROR(VLOOKUP(C30,WFM_DD[[Week-Year]:[DD]],2,FALSE),IF(ISNUMBER(OFFSET(H30,-1,0)),OFFSET(H30,-1,0),NA()))</f>
        <v>171</v>
      </c>
      <c r="I30" s="57">
        <f ca="1">IFERROR(VLOOKUP(C30,RTen_DD[[Week-Year]:[DD]],2,FALSE),IF(ISNUMBER(OFFSET(I30,-1,0)),OFFSET(I30,-1,0),NA()))</f>
        <v>6009</v>
      </c>
      <c r="J30" s="57">
        <f ca="1">IFERROR(VLOOKUP(C30,TDM_DD[[Week-Year]:[DD]],3,FALSE),IF(ISNUMBER(OFFSET(J30,-1,0)),OFFSET(J30,-1,0),NA()))</f>
        <v>5.736842155456543</v>
      </c>
      <c r="K30" s="57">
        <f ca="1">IFERROR(VLOOKUP(C30,Coles_DD[[Week-Year]:[DD]],3,FALSE),IF(ISNUMBER(OFFSET(K30,-1,0)),OFFSET(K30,-1,0),NA()))</f>
        <v>0.52698415517807007</v>
      </c>
      <c r="L30" s="57">
        <f ca="1">IFERROR(VLOOKUP(C30,WOW_DD[[Week-Year]:[DD]],3,FALSE),IF(ISNUMBER(OFFSET(L30,-1,0)),OFFSET(L30,-1,0),NA()))</f>
        <v>0.59425938129425049</v>
      </c>
      <c r="M30" s="57">
        <f ca="1">IFERROR(VLOOKUP(C30,SSL_DD[[Week-Year]:[DD]],3,FALSE),IF(ISNUMBER(OFFSET(M30,-1,0)),OFFSET(M30,-1,0),NA()))</f>
        <v>3.5170731544494629</v>
      </c>
      <c r="N30" s="57">
        <f ca="1">IFERROR(VLOOKUP(C30,WFM_DD[[Week-Year]:[DD]],3,FALSE),IF(ISNUMBER(OFFSET(N30,-1,0)),OFFSET(N30,-1,0),NA()))</f>
        <v>1.5497076511383057</v>
      </c>
      <c r="O30" s="57">
        <f ca="1">IFERROR(VLOOKUP(C30,RTen_DD[[Week-Year]:[DD]],3,FALSE),IF(ISNUMBER(OFFSET(O30,-1,0)),OFFSET(O30,-1,0),NA()))</f>
        <v>1.3211848735809326</v>
      </c>
      <c r="P30" s="57">
        <f t="array" aca="1" ref="P30" ca="1">AVERAGE(IF(ISNUMBER(DD_Table[[#This Row],[TDM_DD]:[WFM_DD]]),DD_Table[[#This Row],[TDM_DD]:[WFM_DD]]))</f>
        <v>2.3849732995033266</v>
      </c>
      <c r="Q30" s="57">
        <f t="array" aca="1" ref="Q30" ca="1">MAX(IF(ISERROR(DD_Table[[TDM_DD]:[WFM_DD]]),0,DD_Table[[TDM_DD]:[WFM_DD]]))*0.8</f>
        <v>12.322580718994141</v>
      </c>
      <c r="R30" s="57">
        <v>0.5</v>
      </c>
      <c r="S30" s="57">
        <v>0.5</v>
      </c>
      <c r="T30" s="57">
        <v>0.5</v>
      </c>
      <c r="U30" s="57">
        <v>0.5</v>
      </c>
      <c r="V30" s="57">
        <v>0.5</v>
      </c>
      <c r="W30" s="57">
        <v>0.5</v>
      </c>
      <c r="X30" s="59">
        <f ca="1">IFERROR(VLOOKUP(C30,TDM_DD[[Week-Year]:[Core Reg]],4,FALSE),IF(ISNUMBER(OFFSET(X30,-1,0)),OFFSET(X30,-1,0),NA()))</f>
        <v>18.348623275756836</v>
      </c>
      <c r="Y30" s="59">
        <f ca="1">IFERROR(VLOOKUP(C30,TDM_DD[[Week-Year]:[Core Reg]],5,FALSE),IF(ISNUMBER(OFFSET(Y30,-1,0)),OFFSET(Y30,-1,0),NA()))</f>
        <v>36.842105865478516</v>
      </c>
      <c r="Z30" s="59">
        <f ca="1">IFERROR(VLOOKUP(C30,Coles_DD[[Week-Year]:[Core Reg]],4,FALSE),IF(ISNUMBER(OFFSET(Z30,-1,0)),OFFSET(Z30,-1,0),NA()))</f>
        <v>4.1308088302612305</v>
      </c>
      <c r="AA30" s="59">
        <f ca="1">IFERROR(VLOOKUP(C30,Coles_DD[[Week-Year]:[Core Reg]],5,FALSE),IF(ISNUMBER(OFFSET(AA30,-1,0)),OFFSET(AA30,-1,0),NA()))</f>
        <v>6.5068492889404297</v>
      </c>
      <c r="AB30" s="59">
        <f ca="1">IFERROR(VLOOKUP(C30,WOW_DD[[Week-Year]:[Core Reg]],4,FALSE),IF(ISNUMBER(OFFSET(AB30,-1,0)),OFFSET(AB30,-1,0),NA()))</f>
        <v>12.343470573425293</v>
      </c>
      <c r="AC30" s="59">
        <f ca="1">IFERROR(VLOOKUP(C30,WOW_DD[[Week-Year]:[Core Reg]],5,FALSE),IF(ISNUMBER(OFFSET(AC30,-1,0)),OFFSET(AC30,-1,0),NA()))</f>
        <v>14.126016616821289</v>
      </c>
      <c r="AD30" s="59">
        <f ca="1">IFERROR(VLOOKUP(C30,SSL_DD[[Week-Year]:[Core Reg]],4,FALSE),IF(ISNUMBER(OFFSET(AD30,-1,0)),OFFSET(AD30,-1,0),NA()))</f>
        <v>42.163661956787109</v>
      </c>
      <c r="AE30" s="59">
        <f ca="1">IFERROR(VLOOKUP(C30,SSL_DD[[Week-Year]:[Core Reg]],5,FALSE),IF(ISNUMBER(OFFSET(AE30,-1,0)),OFFSET(AE30,-1,0),NA()))</f>
        <v>55.369926452636719</v>
      </c>
      <c r="AF30" s="59">
        <f ca="1">IFERROR(VLOOKUP(C30,WFM_DD[[Week-Year]:[Core Reg]],4,FALSE),IF(ISNUMBER(OFFSET(AF30,-1,0)),OFFSET(AF30,-1,0),NA()))</f>
        <v>20.377359390258789</v>
      </c>
      <c r="AG30" s="59">
        <f ca="1">IFERROR(VLOOKUP(C30,WFM_DD[[Week-Year]:[Core Reg]],5,FALSE),IF(ISNUMBER(OFFSET(AG30,-1,0)),OFFSET(AG30,-1,0),NA()))</f>
        <v>24.242424011230469</v>
      </c>
      <c r="AH30" s="62">
        <f ca="1">IFERROR(VLOOKUP(C30,RTen_DD[[Week-Year]:[Core Reg]],4,FALSE),IF(ISNUMBER(OFFSET(AH30,-1,0)),OFFSET(AH30,-1,0),NA()))</f>
        <v>0</v>
      </c>
      <c r="AI30" s="62">
        <f ca="1">IFERROR(VLOOKUP(C30,RTen_DD[[Week-Year]:[Core Reg]],5,FALSE)/100,IF(ISNUMBER(OFFSET(AI30,-1,0)),OFFSET(AI30,-1,0),NA()))</f>
        <v>0.36503337860107421</v>
      </c>
      <c r="AJ30" s="62">
        <f ca="1">DD_Table[[#This Row],[TDM_Ext_Reg]]</f>
        <v>18.348623275756836</v>
      </c>
      <c r="AK30" s="62">
        <f ca="1">DD_Table[[#This Row],[Coles_Ext_Reg]]</f>
        <v>4.1308088302612305</v>
      </c>
      <c r="AL30" s="62">
        <f ca="1">DD_Table[[#This Row],[WOW_Ext_Reg]]</f>
        <v>12.343470573425293</v>
      </c>
      <c r="AM30" s="62">
        <f ca="1">DD_Table[[#This Row],[SSL_Ext_Reg]]</f>
        <v>42.163661956787109</v>
      </c>
      <c r="AN30" s="62">
        <f ca="1">DD_Table[[#This Row],[WFM_Ext_Reg]]</f>
        <v>20.377359390258789</v>
      </c>
      <c r="AO30" s="62">
        <f t="array" aca="1" ref="AO30" ca="1">IFERROR(AVERAGE(IF(ISNUMBER(DD_Table[[#This Row],[TDM_Avg]:[WFM_Avg]]),DD_Table[[#This Row],[TDM_Avg]:[WFM_Avg]]))/100,NA())</f>
        <v>0.19472784805297852</v>
      </c>
      <c r="AP30" s="62">
        <f t="array" aca="1" ref="AP30" ca="1">MAX(IF(ISERROR(DD_Table[[TDM_Avg]:[WFM_Avg]]),0,DD_Table[[TDM_Avg]:[WFM_Avg]]))*1.1</f>
        <v>48.107883834838873</v>
      </c>
      <c r="AQ30" s="62">
        <f t="array" aca="1" ref="AQ30" ca="1">MAX(IF(ISERROR(DD_Table[[TDM_Ext_Reg]:[WFM_Core_Reg]]),0,DD_Table[[TDM_Ext_Reg]:[WFM_Core_Reg]]))</f>
        <v>61.538463592529297</v>
      </c>
      <c r="AR30" s="65">
        <f ca="1">IFERROR(VLOOKUP(C30,TDM_DD[[Week-Year]:[DDP]],6,FALSE),IF(ISNUMBER(OFFSET(AR30,-1,0)),OFFSET(AR30,-1,0),NA()))</f>
        <v>0.24516129032258063</v>
      </c>
      <c r="AS30" s="65">
        <f ca="1">IFERROR(VLOOKUP(C30,Coles_DD[[Week-Year]:[DDP]],6,FALSE),IF(ISNUMBER(OFFSET(AS30,-1,0)),OFFSET(AS30,-1,0),NA()))</f>
        <v>0.18516674962667995</v>
      </c>
      <c r="AT30" s="65">
        <f ca="1">IFERROR(VLOOKUP(C30,WOW_DD[[Week-Year]:[DDP]],6,FALSE),IF(ISNUMBER(OFFSET(AT30,-1,0)),OFFSET(AT30,-1,0),NA()))</f>
        <v>0.35086181711948583</v>
      </c>
      <c r="AU30" s="65">
        <f ca="1">IFERROR(VLOOKUP(C30,SSL_DD[[Week-Year]:[DDP]],6,FALSE),IF(ISNUMBER(OFFSET(AU30,-1,0)),OFFSET(AU30,-1,0),NA()))</f>
        <v>0.32415902140672781</v>
      </c>
      <c r="AV30" s="65">
        <f ca="1">IFERROR(VLOOKUP(C30,WFM_DD[[Week-Year]:[DDP]],6,FALSE),IF(ISNUMBER(OFFSET(AV30,-1,0)),OFFSET(AV30,-1,0),NA()))</f>
        <v>0.23175182481751824</v>
      </c>
      <c r="AW30" s="65">
        <f t="array" aca="1" ref="AW30" ca="1">IFERROR(AVERAGE(IF(ISNUMBER(DD_Table[[#This Row],[TDM_DDP]:[WFM_DDP]]),DD_Table[[#This Row],[TDM_DDP]:[WFM_DDP]])),NA())</f>
        <v>0.26742014065859854</v>
      </c>
      <c r="AX30" s="65">
        <f t="array" aca="1" ref="AX30" ca="1">IFERROR(MAX(IF(ISNUMBER(DD_Table[[TDM_DDP]:[WFM_DDP]]),DD_Table[[TDM_DDP]:[WFM_DDP]])),NA())</f>
        <v>0.68</v>
      </c>
      <c r="AY30" s="88">
        <f ca="1">IFERROR(VLOOKUP(C30,RTen_DD[[Week-Year]:[Core DDP]],6,FALSE),IF(ISNUMBER(VLOOKUP(C30,RTen_DD[[Week-Year]:[Core DDP]],6,FALSE)),OFFSET(AY30,-1,0),OFFSET(AY30,-1,0)))</f>
        <v>0.22496536254882812</v>
      </c>
      <c r="AZ30" s="65"/>
      <c r="BA30" s="65"/>
      <c r="BC30">
        <v>28</v>
      </c>
      <c r="BE30">
        <v>2</v>
      </c>
      <c r="BF30">
        <v>0</v>
      </c>
      <c r="BG30">
        <v>0</v>
      </c>
      <c r="BI30">
        <v>0</v>
      </c>
      <c r="BO30" s="71"/>
      <c r="BP30" s="71">
        <f>MAX(Med_Table[[TDM]:[WFM]])</f>
        <v>29</v>
      </c>
      <c r="DN30" s="71"/>
      <c r="DO30" s="71"/>
      <c r="DV30" s="30"/>
      <c r="DW30" s="30"/>
    </row>
    <row r="31" spans="1:127">
      <c r="A31" s="69">
        <f t="shared" si="2"/>
        <v>41850</v>
      </c>
      <c r="B31" s="70">
        <f t="shared" si="0"/>
        <v>31</v>
      </c>
      <c r="C31" s="70">
        <f t="shared" si="1"/>
        <v>312014</v>
      </c>
      <c r="D31" s="57">
        <f ca="1">IFERROR(VLOOKUP(C31,TDM_DD[[Week-Year]:[DD]],2,FALSE),IF(ISNUMBER(OFFSET(D31,-1,0)),OFFSET(D31,-1,0),NA()))</f>
        <v>19</v>
      </c>
      <c r="E31" s="58">
        <f ca="1">IFERROR(VLOOKUP(C31,Coles_DD[[Week-Year]:[DD]],2,FALSE),IF(ISNUMBER(OFFSET(E31,-1,0)),OFFSET(E31,-1,0),NA()))</f>
        <v>2205</v>
      </c>
      <c r="F31" s="58">
        <f ca="1">IFERROR(VLOOKUP(C31,WOW_DD[[Week-Year]:[DD]],2,FALSE),IF(ISNUMBER(OFFSET(F31,-1,0)),OFFSET(F31,-1,0),NA()))</f>
        <v>2822</v>
      </c>
      <c r="G31" s="57">
        <f ca="1">IFERROR(VLOOKUP(C31,SSL_DD[[Week-Year]:[DD]],2,FALSE),IF(ISNUMBER(OFFSET(G31,-1,0)),OFFSET(G31,-1,0),NA()))</f>
        <v>410</v>
      </c>
      <c r="H31" s="58">
        <f ca="1">IFERROR(VLOOKUP(C31,WFM_DD[[Week-Year]:[DD]],2,FALSE),IF(ISNUMBER(OFFSET(H31,-1,0)),OFFSET(H31,-1,0),NA()))</f>
        <v>171</v>
      </c>
      <c r="I31" s="57">
        <f ca="1">IFERROR(VLOOKUP(C31,RTen_DD[[Week-Year]:[DD]],2,FALSE),IF(ISNUMBER(OFFSET(I31,-1,0)),OFFSET(I31,-1,0),NA()))</f>
        <v>6009</v>
      </c>
      <c r="J31" s="57">
        <f ca="1">IFERROR(VLOOKUP(C31,TDM_DD[[Week-Year]:[DD]],3,FALSE),IF(ISNUMBER(OFFSET(J31,-1,0)),OFFSET(J31,-1,0),NA()))</f>
        <v>5.736842155456543</v>
      </c>
      <c r="K31" s="57">
        <f ca="1">IFERROR(VLOOKUP(C31,Coles_DD[[Week-Year]:[DD]],3,FALSE),IF(ISNUMBER(OFFSET(K31,-1,0)),OFFSET(K31,-1,0),NA()))</f>
        <v>0.52698415517807007</v>
      </c>
      <c r="L31" s="57">
        <f ca="1">IFERROR(VLOOKUP(C31,WOW_DD[[Week-Year]:[DD]],3,FALSE),IF(ISNUMBER(OFFSET(L31,-1,0)),OFFSET(L31,-1,0),NA()))</f>
        <v>0.59425938129425049</v>
      </c>
      <c r="M31" s="57">
        <f ca="1">IFERROR(VLOOKUP(C31,SSL_DD[[Week-Year]:[DD]],3,FALSE),IF(ISNUMBER(OFFSET(M31,-1,0)),OFFSET(M31,-1,0),NA()))</f>
        <v>3.5170731544494629</v>
      </c>
      <c r="N31" s="57">
        <f ca="1">IFERROR(VLOOKUP(C31,WFM_DD[[Week-Year]:[DD]],3,FALSE),IF(ISNUMBER(OFFSET(N31,-1,0)),OFFSET(N31,-1,0),NA()))</f>
        <v>1.5497076511383057</v>
      </c>
      <c r="O31" s="57">
        <f ca="1">IFERROR(VLOOKUP(C31,RTen_DD[[Week-Year]:[DD]],3,FALSE),IF(ISNUMBER(OFFSET(O31,-1,0)),OFFSET(O31,-1,0),NA()))</f>
        <v>1.3211848735809326</v>
      </c>
      <c r="P31" s="57">
        <f t="array" aca="1" ref="P31" ca="1">AVERAGE(IF(ISNUMBER(DD_Table[[#This Row],[TDM_DD]:[WFM_DD]]),DD_Table[[#This Row],[TDM_DD]:[WFM_DD]]))</f>
        <v>2.3849732995033266</v>
      </c>
      <c r="Q31" s="57">
        <f t="array" aca="1" ref="Q31" ca="1">MAX(IF(ISERROR(DD_Table[[TDM_DD]:[WFM_DD]]),0,DD_Table[[TDM_DD]:[WFM_DD]]))*0.8</f>
        <v>12.322580718994141</v>
      </c>
      <c r="R31" s="57">
        <v>0.5</v>
      </c>
      <c r="S31" s="57">
        <v>0.5</v>
      </c>
      <c r="T31" s="57">
        <v>0.5</v>
      </c>
      <c r="U31" s="57">
        <v>0.5</v>
      </c>
      <c r="V31" s="57">
        <v>0.5</v>
      </c>
      <c r="W31" s="57">
        <v>0.5</v>
      </c>
      <c r="X31" s="59">
        <f ca="1">IFERROR(VLOOKUP(C31,TDM_DD[[Week-Year]:[Core Reg]],4,FALSE),IF(ISNUMBER(OFFSET(X31,-1,0)),OFFSET(X31,-1,0),NA()))</f>
        <v>18.348623275756836</v>
      </c>
      <c r="Y31" s="59">
        <f ca="1">IFERROR(VLOOKUP(C31,TDM_DD[[Week-Year]:[Core Reg]],5,FALSE),IF(ISNUMBER(OFFSET(Y31,-1,0)),OFFSET(Y31,-1,0),NA()))</f>
        <v>36.842105865478516</v>
      </c>
      <c r="Z31" s="59">
        <f ca="1">IFERROR(VLOOKUP(C31,Coles_DD[[Week-Year]:[Core Reg]],4,FALSE),IF(ISNUMBER(OFFSET(Z31,-1,0)),OFFSET(Z31,-1,0),NA()))</f>
        <v>4.1308088302612305</v>
      </c>
      <c r="AA31" s="59">
        <f ca="1">IFERROR(VLOOKUP(C31,Coles_DD[[Week-Year]:[Core Reg]],5,FALSE),IF(ISNUMBER(OFFSET(AA31,-1,0)),OFFSET(AA31,-1,0),NA()))</f>
        <v>6.5068492889404297</v>
      </c>
      <c r="AB31" s="59">
        <f ca="1">IFERROR(VLOOKUP(C31,WOW_DD[[Week-Year]:[Core Reg]],4,FALSE),IF(ISNUMBER(OFFSET(AB31,-1,0)),OFFSET(AB31,-1,0),NA()))</f>
        <v>12.343470573425293</v>
      </c>
      <c r="AC31" s="59">
        <f ca="1">IFERROR(VLOOKUP(C31,WOW_DD[[Week-Year]:[Core Reg]],5,FALSE),IF(ISNUMBER(OFFSET(AC31,-1,0)),OFFSET(AC31,-1,0),NA()))</f>
        <v>14.126016616821289</v>
      </c>
      <c r="AD31" s="59">
        <f ca="1">IFERROR(VLOOKUP(C31,SSL_DD[[Week-Year]:[Core Reg]],4,FALSE),IF(ISNUMBER(OFFSET(AD31,-1,0)),OFFSET(AD31,-1,0),NA()))</f>
        <v>42.163661956787109</v>
      </c>
      <c r="AE31" s="59">
        <f ca="1">IFERROR(VLOOKUP(C31,SSL_DD[[Week-Year]:[Core Reg]],5,FALSE),IF(ISNUMBER(OFFSET(AE31,-1,0)),OFFSET(AE31,-1,0),NA()))</f>
        <v>55.369926452636719</v>
      </c>
      <c r="AF31" s="59">
        <f ca="1">IFERROR(VLOOKUP(C31,WFM_DD[[Week-Year]:[Core Reg]],4,FALSE),IF(ISNUMBER(OFFSET(AF31,-1,0)),OFFSET(AF31,-1,0),NA()))</f>
        <v>20.377359390258789</v>
      </c>
      <c r="AG31" s="59">
        <f ca="1">IFERROR(VLOOKUP(C31,WFM_DD[[Week-Year]:[Core Reg]],5,FALSE),IF(ISNUMBER(OFFSET(AG31,-1,0)),OFFSET(AG31,-1,0),NA()))</f>
        <v>24.242424011230469</v>
      </c>
      <c r="AH31" s="62">
        <f ca="1">IFERROR(VLOOKUP(C31,RTen_DD[[Week-Year]:[Core Reg]],4,FALSE),IF(ISNUMBER(OFFSET(AH31,-1,0)),OFFSET(AH31,-1,0),NA()))</f>
        <v>0</v>
      </c>
      <c r="AI31" s="62">
        <f ca="1">IFERROR(VLOOKUP(C31,RTen_DD[[Week-Year]:[Core Reg]],5,FALSE)/100,IF(ISNUMBER(OFFSET(AI31,-1,0)),OFFSET(AI31,-1,0),NA()))</f>
        <v>0.36503337860107421</v>
      </c>
      <c r="AJ31" s="62">
        <f ca="1">DD_Table[[#This Row],[TDM_Ext_Reg]]</f>
        <v>18.348623275756836</v>
      </c>
      <c r="AK31" s="62">
        <f ca="1">DD_Table[[#This Row],[Coles_Ext_Reg]]</f>
        <v>4.1308088302612305</v>
      </c>
      <c r="AL31" s="62">
        <f ca="1">DD_Table[[#This Row],[WOW_Ext_Reg]]</f>
        <v>12.343470573425293</v>
      </c>
      <c r="AM31" s="62">
        <f ca="1">DD_Table[[#This Row],[SSL_Ext_Reg]]</f>
        <v>42.163661956787109</v>
      </c>
      <c r="AN31" s="62">
        <f ca="1">DD_Table[[#This Row],[WFM_Ext_Reg]]</f>
        <v>20.377359390258789</v>
      </c>
      <c r="AO31" s="62">
        <f t="array" aca="1" ref="AO31" ca="1">IFERROR(AVERAGE(IF(ISNUMBER(DD_Table[[#This Row],[TDM_Avg]:[WFM_Avg]]),DD_Table[[#This Row],[TDM_Avg]:[WFM_Avg]]))/100,NA())</f>
        <v>0.19472784805297852</v>
      </c>
      <c r="AP31" s="62">
        <f t="array" aca="1" ref="AP31" ca="1">MAX(IF(ISERROR(DD_Table[[TDM_Avg]:[WFM_Avg]]),0,DD_Table[[TDM_Avg]:[WFM_Avg]]))*1.1</f>
        <v>48.107883834838873</v>
      </c>
      <c r="AQ31" s="62">
        <f t="array" aca="1" ref="AQ31" ca="1">MAX(IF(ISERROR(DD_Table[[TDM_Ext_Reg]:[WFM_Core_Reg]]),0,DD_Table[[TDM_Ext_Reg]:[WFM_Core_Reg]]))</f>
        <v>61.538463592529297</v>
      </c>
      <c r="AR31" s="65">
        <f ca="1">IFERROR(VLOOKUP(C31,TDM_DD[[Week-Year]:[DDP]],6,FALSE),IF(ISNUMBER(OFFSET(AR31,-1,0)),OFFSET(AR31,-1,0),NA()))</f>
        <v>0.24516129032258063</v>
      </c>
      <c r="AS31" s="65">
        <f ca="1">IFERROR(VLOOKUP(C31,Coles_DD[[Week-Year]:[DDP]],6,FALSE),IF(ISNUMBER(OFFSET(AS31,-1,0)),OFFSET(AS31,-1,0),NA()))</f>
        <v>0.18516674962667995</v>
      </c>
      <c r="AT31" s="65">
        <f ca="1">IFERROR(VLOOKUP(C31,WOW_DD[[Week-Year]:[DDP]],6,FALSE),IF(ISNUMBER(OFFSET(AT31,-1,0)),OFFSET(AT31,-1,0),NA()))</f>
        <v>0.35086181711948583</v>
      </c>
      <c r="AU31" s="65">
        <f ca="1">IFERROR(VLOOKUP(C31,SSL_DD[[Week-Year]:[DDP]],6,FALSE),IF(ISNUMBER(OFFSET(AU31,-1,0)),OFFSET(AU31,-1,0),NA()))</f>
        <v>0.32415902140672781</v>
      </c>
      <c r="AV31" s="65">
        <f ca="1">IFERROR(VLOOKUP(C31,WFM_DD[[Week-Year]:[DDP]],6,FALSE),IF(ISNUMBER(OFFSET(AV31,-1,0)),OFFSET(AV31,-1,0),NA()))</f>
        <v>0.23175182481751824</v>
      </c>
      <c r="AW31" s="65">
        <f t="array" aca="1" ref="AW31" ca="1">IFERROR(AVERAGE(IF(ISNUMBER(DD_Table[[#This Row],[TDM_DDP]:[WFM_DDP]]),DD_Table[[#This Row],[TDM_DDP]:[WFM_DDP]])),NA())</f>
        <v>0.26742014065859854</v>
      </c>
      <c r="AX31" s="65">
        <f t="array" aca="1" ref="AX31" ca="1">IFERROR(MAX(IF(ISNUMBER(DD_Table[[TDM_DDP]:[WFM_DDP]]),DD_Table[[TDM_DDP]:[WFM_DDP]])),NA())</f>
        <v>0.68</v>
      </c>
      <c r="AY31" s="88">
        <f ca="1">IFERROR(VLOOKUP(C31,RTen_DD[[Week-Year]:[Core DDP]],6,FALSE),IF(ISNUMBER(VLOOKUP(C31,RTen_DD[[Week-Year]:[Core DDP]],6,FALSE)),OFFSET(AY31,-1,0),OFFSET(AY31,-1,0)))</f>
        <v>0.22496536254882812</v>
      </c>
      <c r="AZ31" s="65"/>
      <c r="BA31" s="65"/>
      <c r="BC31">
        <v>29</v>
      </c>
      <c r="BE31">
        <v>1</v>
      </c>
      <c r="BF31">
        <v>0</v>
      </c>
      <c r="BG31">
        <v>1</v>
      </c>
      <c r="BI31">
        <v>2</v>
      </c>
      <c r="BO31" s="71"/>
      <c r="BP31" s="71">
        <f>MAX(Med_Table[[TDM]:[WFM]])</f>
        <v>29</v>
      </c>
      <c r="DN31" s="71"/>
      <c r="DO31" s="71"/>
      <c r="DV31" s="30"/>
      <c r="DW31" s="30"/>
    </row>
    <row r="32" spans="1:127">
      <c r="A32" s="69">
        <f t="shared" si="2"/>
        <v>41857</v>
      </c>
      <c r="B32" s="70">
        <f t="shared" si="0"/>
        <v>32</v>
      </c>
      <c r="C32" s="70">
        <f t="shared" si="1"/>
        <v>322014</v>
      </c>
      <c r="D32" s="57">
        <f ca="1">IFERROR(VLOOKUP(C32,TDM_DD[[Week-Year]:[DD]],2,FALSE),IF(ISNUMBER(OFFSET(D32,-1,0)),OFFSET(D32,-1,0),NA()))</f>
        <v>19</v>
      </c>
      <c r="E32" s="58">
        <f ca="1">IFERROR(VLOOKUP(C32,Coles_DD[[Week-Year]:[DD]],2,FALSE),IF(ISNUMBER(OFFSET(E32,-1,0)),OFFSET(E32,-1,0),NA()))</f>
        <v>2205</v>
      </c>
      <c r="F32" s="58">
        <f ca="1">IFERROR(VLOOKUP(C32,WOW_DD[[Week-Year]:[DD]],2,FALSE),IF(ISNUMBER(OFFSET(F32,-1,0)),OFFSET(F32,-1,0),NA()))</f>
        <v>2822</v>
      </c>
      <c r="G32" s="57">
        <f ca="1">IFERROR(VLOOKUP(C32,SSL_DD[[Week-Year]:[DD]],2,FALSE),IF(ISNUMBER(OFFSET(G32,-1,0)),OFFSET(G32,-1,0),NA()))</f>
        <v>410</v>
      </c>
      <c r="H32" s="58">
        <f ca="1">IFERROR(VLOOKUP(C32,WFM_DD[[Week-Year]:[DD]],2,FALSE),IF(ISNUMBER(OFFSET(H32,-1,0)),OFFSET(H32,-1,0),NA()))</f>
        <v>171</v>
      </c>
      <c r="I32" s="57">
        <f ca="1">IFERROR(VLOOKUP(C32,RTen_DD[[Week-Year]:[DD]],2,FALSE),IF(ISNUMBER(OFFSET(I32,-1,0)),OFFSET(I32,-1,0),NA()))</f>
        <v>6009</v>
      </c>
      <c r="J32" s="57">
        <f ca="1">IFERROR(VLOOKUP(C32,TDM_DD[[Week-Year]:[DD]],3,FALSE),IF(ISNUMBER(OFFSET(J32,-1,0)),OFFSET(J32,-1,0),NA()))</f>
        <v>5.736842155456543</v>
      </c>
      <c r="K32" s="57">
        <f ca="1">IFERROR(VLOOKUP(C32,Coles_DD[[Week-Year]:[DD]],3,FALSE),IF(ISNUMBER(OFFSET(K32,-1,0)),OFFSET(K32,-1,0),NA()))</f>
        <v>0.52698415517807007</v>
      </c>
      <c r="L32" s="57">
        <f ca="1">IFERROR(VLOOKUP(C32,WOW_DD[[Week-Year]:[DD]],3,FALSE),IF(ISNUMBER(OFFSET(L32,-1,0)),OFFSET(L32,-1,0),NA()))</f>
        <v>0.59425938129425049</v>
      </c>
      <c r="M32" s="57">
        <f ca="1">IFERROR(VLOOKUP(C32,SSL_DD[[Week-Year]:[DD]],3,FALSE),IF(ISNUMBER(OFFSET(M32,-1,0)),OFFSET(M32,-1,0),NA()))</f>
        <v>3.5170731544494629</v>
      </c>
      <c r="N32" s="57">
        <f ca="1">IFERROR(VLOOKUP(C32,WFM_DD[[Week-Year]:[DD]],3,FALSE),IF(ISNUMBER(OFFSET(N32,-1,0)),OFFSET(N32,-1,0),NA()))</f>
        <v>1.5497076511383057</v>
      </c>
      <c r="O32" s="57">
        <f ca="1">IFERROR(VLOOKUP(C32,RTen_DD[[Week-Year]:[DD]],3,FALSE),IF(ISNUMBER(OFFSET(O32,-1,0)),OFFSET(O32,-1,0),NA()))</f>
        <v>1.3211848735809326</v>
      </c>
      <c r="P32" s="57">
        <f t="array" aca="1" ref="P32" ca="1">AVERAGE(IF(ISNUMBER(DD_Table[[#This Row],[TDM_DD]:[WFM_DD]]),DD_Table[[#This Row],[TDM_DD]:[WFM_DD]]))</f>
        <v>2.3849732995033266</v>
      </c>
      <c r="Q32" s="57">
        <f t="array" aca="1" ref="Q32" ca="1">MAX(IF(ISERROR(DD_Table[[TDM_DD]:[WFM_DD]]),0,DD_Table[[TDM_DD]:[WFM_DD]]))*0.8</f>
        <v>12.322580718994141</v>
      </c>
      <c r="R32" s="57">
        <v>0.5</v>
      </c>
      <c r="S32" s="57">
        <v>0.5</v>
      </c>
      <c r="T32" s="57">
        <v>0.5</v>
      </c>
      <c r="U32" s="57">
        <v>0.5</v>
      </c>
      <c r="V32" s="57">
        <v>0.5</v>
      </c>
      <c r="W32" s="57">
        <v>0.5</v>
      </c>
      <c r="X32" s="59">
        <f ca="1">IFERROR(VLOOKUP(C32,TDM_DD[[Week-Year]:[Core Reg]],4,FALSE),IF(ISNUMBER(OFFSET(X32,-1,0)),OFFSET(X32,-1,0),NA()))</f>
        <v>18.348623275756836</v>
      </c>
      <c r="Y32" s="59">
        <f ca="1">IFERROR(VLOOKUP(C32,TDM_DD[[Week-Year]:[Core Reg]],5,FALSE),IF(ISNUMBER(OFFSET(Y32,-1,0)),OFFSET(Y32,-1,0),NA()))</f>
        <v>36.842105865478516</v>
      </c>
      <c r="Z32" s="59">
        <f ca="1">IFERROR(VLOOKUP(C32,Coles_DD[[Week-Year]:[Core Reg]],4,FALSE),IF(ISNUMBER(OFFSET(Z32,-1,0)),OFFSET(Z32,-1,0),NA()))</f>
        <v>4.1308088302612305</v>
      </c>
      <c r="AA32" s="59">
        <f ca="1">IFERROR(VLOOKUP(C32,Coles_DD[[Week-Year]:[Core Reg]],5,FALSE),IF(ISNUMBER(OFFSET(AA32,-1,0)),OFFSET(AA32,-1,0),NA()))</f>
        <v>6.5068492889404297</v>
      </c>
      <c r="AB32" s="59">
        <f ca="1">IFERROR(VLOOKUP(C32,WOW_DD[[Week-Year]:[Core Reg]],4,FALSE),IF(ISNUMBER(OFFSET(AB32,-1,0)),OFFSET(AB32,-1,0),NA()))</f>
        <v>12.343470573425293</v>
      </c>
      <c r="AC32" s="59">
        <f ca="1">IFERROR(VLOOKUP(C32,WOW_DD[[Week-Year]:[Core Reg]],5,FALSE),IF(ISNUMBER(OFFSET(AC32,-1,0)),OFFSET(AC32,-1,0),NA()))</f>
        <v>14.126016616821289</v>
      </c>
      <c r="AD32" s="59">
        <f ca="1">IFERROR(VLOOKUP(C32,SSL_DD[[Week-Year]:[Core Reg]],4,FALSE),IF(ISNUMBER(OFFSET(AD32,-1,0)),OFFSET(AD32,-1,0),NA()))</f>
        <v>42.163661956787109</v>
      </c>
      <c r="AE32" s="59">
        <f ca="1">IFERROR(VLOOKUP(C32,SSL_DD[[Week-Year]:[Core Reg]],5,FALSE),IF(ISNUMBER(OFFSET(AE32,-1,0)),OFFSET(AE32,-1,0),NA()))</f>
        <v>55.369926452636719</v>
      </c>
      <c r="AF32" s="59">
        <f ca="1">IFERROR(VLOOKUP(C32,WFM_DD[[Week-Year]:[Core Reg]],4,FALSE),IF(ISNUMBER(OFFSET(AF32,-1,0)),OFFSET(AF32,-1,0),NA()))</f>
        <v>20.377359390258789</v>
      </c>
      <c r="AG32" s="59">
        <f ca="1">IFERROR(VLOOKUP(C32,WFM_DD[[Week-Year]:[Core Reg]],5,FALSE),IF(ISNUMBER(OFFSET(AG32,-1,0)),OFFSET(AG32,-1,0),NA()))</f>
        <v>24.242424011230469</v>
      </c>
      <c r="AH32" s="62">
        <f ca="1">IFERROR(VLOOKUP(C32,RTen_DD[[Week-Year]:[Core Reg]],4,FALSE),IF(ISNUMBER(OFFSET(AH32,-1,0)),OFFSET(AH32,-1,0),NA()))</f>
        <v>0</v>
      </c>
      <c r="AI32" s="62">
        <f ca="1">IFERROR(VLOOKUP(C32,RTen_DD[[Week-Year]:[Core Reg]],5,FALSE)/100,IF(ISNUMBER(OFFSET(AI32,-1,0)),OFFSET(AI32,-1,0),NA()))</f>
        <v>0.36503337860107421</v>
      </c>
      <c r="AJ32" s="62">
        <f ca="1">DD_Table[[#This Row],[TDM_Ext_Reg]]</f>
        <v>18.348623275756836</v>
      </c>
      <c r="AK32" s="62">
        <f ca="1">DD_Table[[#This Row],[Coles_Ext_Reg]]</f>
        <v>4.1308088302612305</v>
      </c>
      <c r="AL32" s="62">
        <f ca="1">DD_Table[[#This Row],[WOW_Ext_Reg]]</f>
        <v>12.343470573425293</v>
      </c>
      <c r="AM32" s="62">
        <f ca="1">DD_Table[[#This Row],[SSL_Ext_Reg]]</f>
        <v>42.163661956787109</v>
      </c>
      <c r="AN32" s="62">
        <f ca="1">DD_Table[[#This Row],[WFM_Ext_Reg]]</f>
        <v>20.377359390258789</v>
      </c>
      <c r="AO32" s="62">
        <f t="array" aca="1" ref="AO32" ca="1">IFERROR(AVERAGE(IF(ISNUMBER(DD_Table[[#This Row],[TDM_Avg]:[WFM_Avg]]),DD_Table[[#This Row],[TDM_Avg]:[WFM_Avg]]))/100,NA())</f>
        <v>0.19472784805297852</v>
      </c>
      <c r="AP32" s="62">
        <f t="array" aca="1" ref="AP32" ca="1">MAX(IF(ISERROR(DD_Table[[TDM_Avg]:[WFM_Avg]]),0,DD_Table[[TDM_Avg]:[WFM_Avg]]))*1.1</f>
        <v>48.107883834838873</v>
      </c>
      <c r="AQ32" s="62">
        <f t="array" aca="1" ref="AQ32" ca="1">MAX(IF(ISERROR(DD_Table[[TDM_Ext_Reg]:[WFM_Core_Reg]]),0,DD_Table[[TDM_Ext_Reg]:[WFM_Core_Reg]]))</f>
        <v>61.538463592529297</v>
      </c>
      <c r="AR32" s="65">
        <f ca="1">IFERROR(VLOOKUP(C32,TDM_DD[[Week-Year]:[DDP]],6,FALSE),IF(ISNUMBER(OFFSET(AR32,-1,0)),OFFSET(AR32,-1,0),NA()))</f>
        <v>0.24516129032258063</v>
      </c>
      <c r="AS32" s="65">
        <f ca="1">IFERROR(VLOOKUP(C32,Coles_DD[[Week-Year]:[DDP]],6,FALSE),IF(ISNUMBER(OFFSET(AS32,-1,0)),OFFSET(AS32,-1,0),NA()))</f>
        <v>0.18516674962667995</v>
      </c>
      <c r="AT32" s="65">
        <f ca="1">IFERROR(VLOOKUP(C32,WOW_DD[[Week-Year]:[DDP]],6,FALSE),IF(ISNUMBER(OFFSET(AT32,-1,0)),OFFSET(AT32,-1,0),NA()))</f>
        <v>0.35086181711948583</v>
      </c>
      <c r="AU32" s="65">
        <f ca="1">IFERROR(VLOOKUP(C32,SSL_DD[[Week-Year]:[DDP]],6,FALSE),IF(ISNUMBER(OFFSET(AU32,-1,0)),OFFSET(AU32,-1,0),NA()))</f>
        <v>0.32415902140672781</v>
      </c>
      <c r="AV32" s="65">
        <f ca="1">IFERROR(VLOOKUP(C32,WFM_DD[[Week-Year]:[DDP]],6,FALSE),IF(ISNUMBER(OFFSET(AV32,-1,0)),OFFSET(AV32,-1,0),NA()))</f>
        <v>0.23175182481751824</v>
      </c>
      <c r="AW32" s="65">
        <f t="array" aca="1" ref="AW32" ca="1">IFERROR(AVERAGE(IF(ISNUMBER(DD_Table[[#This Row],[TDM_DDP]:[WFM_DDP]]),DD_Table[[#This Row],[TDM_DDP]:[WFM_DDP]])),NA())</f>
        <v>0.26742014065859854</v>
      </c>
      <c r="AX32" s="65">
        <f t="array" aca="1" ref="AX32" ca="1">IFERROR(MAX(IF(ISNUMBER(DD_Table[[TDM_DDP]:[WFM_DDP]]),DD_Table[[TDM_DDP]:[WFM_DDP]])),NA())</f>
        <v>0.68</v>
      </c>
      <c r="AY32" s="88">
        <f ca="1">IFERROR(VLOOKUP(C32,RTen_DD[[Week-Year]:[Core DDP]],6,FALSE),IF(ISNUMBER(VLOOKUP(C32,RTen_DD[[Week-Year]:[Core DDP]],6,FALSE)),OFFSET(AY32,-1,0),OFFSET(AY32,-1,0)))</f>
        <v>0.22496536254882812</v>
      </c>
      <c r="AZ32" s="65"/>
      <c r="BA32" s="65"/>
      <c r="BC32">
        <v>30</v>
      </c>
      <c r="BE32">
        <v>1</v>
      </c>
      <c r="BF32">
        <v>0</v>
      </c>
      <c r="BG32">
        <v>1</v>
      </c>
      <c r="BI32">
        <v>3</v>
      </c>
      <c r="BO32" s="71"/>
      <c r="BP32" s="71">
        <f>MAX(Med_Table[[TDM]:[WFM]])</f>
        <v>29</v>
      </c>
      <c r="DN32" s="71"/>
      <c r="DO32" s="71"/>
      <c r="DV32" s="30"/>
      <c r="DW32" s="30"/>
    </row>
    <row r="33" spans="1:127">
      <c r="A33" s="69">
        <f t="shared" si="2"/>
        <v>41864</v>
      </c>
      <c r="B33" s="70">
        <f t="shared" si="0"/>
        <v>33</v>
      </c>
      <c r="C33" s="70">
        <f t="shared" si="1"/>
        <v>332014</v>
      </c>
      <c r="D33" s="57">
        <f ca="1">IFERROR(VLOOKUP(C33,TDM_DD[[Week-Year]:[DD]],2,FALSE),IF(ISNUMBER(OFFSET(D33,-1,0)),OFFSET(D33,-1,0),NA()))</f>
        <v>19</v>
      </c>
      <c r="E33" s="58">
        <f ca="1">IFERROR(VLOOKUP(C33,Coles_DD[[Week-Year]:[DD]],2,FALSE),IF(ISNUMBER(OFFSET(E33,-1,0)),OFFSET(E33,-1,0),NA()))</f>
        <v>2205</v>
      </c>
      <c r="F33" s="58">
        <f ca="1">IFERROR(VLOOKUP(C33,WOW_DD[[Week-Year]:[DD]],2,FALSE),IF(ISNUMBER(OFFSET(F33,-1,0)),OFFSET(F33,-1,0),NA()))</f>
        <v>2822</v>
      </c>
      <c r="G33" s="57">
        <f ca="1">IFERROR(VLOOKUP(C33,SSL_DD[[Week-Year]:[DD]],2,FALSE),IF(ISNUMBER(OFFSET(G33,-1,0)),OFFSET(G33,-1,0),NA()))</f>
        <v>410</v>
      </c>
      <c r="H33" s="58">
        <f ca="1">IFERROR(VLOOKUP(C33,WFM_DD[[Week-Year]:[DD]],2,FALSE),IF(ISNUMBER(OFFSET(H33,-1,0)),OFFSET(H33,-1,0),NA()))</f>
        <v>171</v>
      </c>
      <c r="I33" s="57">
        <f ca="1">IFERROR(VLOOKUP(C33,RTen_DD[[Week-Year]:[DD]],2,FALSE),IF(ISNUMBER(OFFSET(I33,-1,0)),OFFSET(I33,-1,0),NA()))</f>
        <v>6009</v>
      </c>
      <c r="J33" s="57">
        <f ca="1">IFERROR(VLOOKUP(C33,TDM_DD[[Week-Year]:[DD]],3,FALSE),IF(ISNUMBER(OFFSET(J33,-1,0)),OFFSET(J33,-1,0),NA()))</f>
        <v>5.736842155456543</v>
      </c>
      <c r="K33" s="57">
        <f ca="1">IFERROR(VLOOKUP(C33,Coles_DD[[Week-Year]:[DD]],3,FALSE),IF(ISNUMBER(OFFSET(K33,-1,0)),OFFSET(K33,-1,0),NA()))</f>
        <v>0.52698415517807007</v>
      </c>
      <c r="L33" s="57">
        <f ca="1">IFERROR(VLOOKUP(C33,WOW_DD[[Week-Year]:[DD]],3,FALSE),IF(ISNUMBER(OFFSET(L33,-1,0)),OFFSET(L33,-1,0),NA()))</f>
        <v>0.59425938129425049</v>
      </c>
      <c r="M33" s="57">
        <f ca="1">IFERROR(VLOOKUP(C33,SSL_DD[[Week-Year]:[DD]],3,FALSE),IF(ISNUMBER(OFFSET(M33,-1,0)),OFFSET(M33,-1,0),NA()))</f>
        <v>3.5170731544494629</v>
      </c>
      <c r="N33" s="57">
        <f ca="1">IFERROR(VLOOKUP(C33,WFM_DD[[Week-Year]:[DD]],3,FALSE),IF(ISNUMBER(OFFSET(N33,-1,0)),OFFSET(N33,-1,0),NA()))</f>
        <v>1.5497076511383057</v>
      </c>
      <c r="O33" s="57">
        <f ca="1">IFERROR(VLOOKUP(C33,RTen_DD[[Week-Year]:[DD]],3,FALSE),IF(ISNUMBER(OFFSET(O33,-1,0)),OFFSET(O33,-1,0),NA()))</f>
        <v>1.3211848735809326</v>
      </c>
      <c r="P33" s="57">
        <f t="array" aca="1" ref="P33" ca="1">AVERAGE(IF(ISNUMBER(DD_Table[[#This Row],[TDM_DD]:[WFM_DD]]),DD_Table[[#This Row],[TDM_DD]:[WFM_DD]]))</f>
        <v>2.3849732995033266</v>
      </c>
      <c r="Q33" s="57">
        <f t="array" aca="1" ref="Q33" ca="1">MAX(IF(ISERROR(DD_Table[[TDM_DD]:[WFM_DD]]),0,DD_Table[[TDM_DD]:[WFM_DD]]))*0.8</f>
        <v>12.322580718994141</v>
      </c>
      <c r="R33" s="57">
        <v>0.5</v>
      </c>
      <c r="S33" s="57">
        <v>0.5</v>
      </c>
      <c r="T33" s="57">
        <v>0.5</v>
      </c>
      <c r="U33" s="57">
        <v>0.5</v>
      </c>
      <c r="V33" s="57">
        <v>0.5</v>
      </c>
      <c r="W33" s="57">
        <v>0.5</v>
      </c>
      <c r="X33" s="59">
        <f ca="1">IFERROR(VLOOKUP(C33,TDM_DD[[Week-Year]:[Core Reg]],4,FALSE),IF(ISNUMBER(OFFSET(X33,-1,0)),OFFSET(X33,-1,0),NA()))</f>
        <v>18.348623275756836</v>
      </c>
      <c r="Y33" s="59">
        <f ca="1">IFERROR(VLOOKUP(C33,TDM_DD[[Week-Year]:[Core Reg]],5,FALSE),IF(ISNUMBER(OFFSET(Y33,-1,0)),OFFSET(Y33,-1,0),NA()))</f>
        <v>36.842105865478516</v>
      </c>
      <c r="Z33" s="59">
        <f ca="1">IFERROR(VLOOKUP(C33,Coles_DD[[Week-Year]:[Core Reg]],4,FALSE),IF(ISNUMBER(OFFSET(Z33,-1,0)),OFFSET(Z33,-1,0),NA()))</f>
        <v>4.1308088302612305</v>
      </c>
      <c r="AA33" s="59">
        <f ca="1">IFERROR(VLOOKUP(C33,Coles_DD[[Week-Year]:[Core Reg]],5,FALSE),IF(ISNUMBER(OFFSET(AA33,-1,0)),OFFSET(AA33,-1,0),NA()))</f>
        <v>6.5068492889404297</v>
      </c>
      <c r="AB33" s="59">
        <f ca="1">IFERROR(VLOOKUP(C33,WOW_DD[[Week-Year]:[Core Reg]],4,FALSE),IF(ISNUMBER(OFFSET(AB33,-1,0)),OFFSET(AB33,-1,0),NA()))</f>
        <v>12.343470573425293</v>
      </c>
      <c r="AC33" s="59">
        <f ca="1">IFERROR(VLOOKUP(C33,WOW_DD[[Week-Year]:[Core Reg]],5,FALSE),IF(ISNUMBER(OFFSET(AC33,-1,0)),OFFSET(AC33,-1,0),NA()))</f>
        <v>14.126016616821289</v>
      </c>
      <c r="AD33" s="59">
        <f ca="1">IFERROR(VLOOKUP(C33,SSL_DD[[Week-Year]:[Core Reg]],4,FALSE),IF(ISNUMBER(OFFSET(AD33,-1,0)),OFFSET(AD33,-1,0),NA()))</f>
        <v>42.163661956787109</v>
      </c>
      <c r="AE33" s="59">
        <f ca="1">IFERROR(VLOOKUP(C33,SSL_DD[[Week-Year]:[Core Reg]],5,FALSE),IF(ISNUMBER(OFFSET(AE33,-1,0)),OFFSET(AE33,-1,0),NA()))</f>
        <v>55.369926452636719</v>
      </c>
      <c r="AF33" s="59">
        <f ca="1">IFERROR(VLOOKUP(C33,WFM_DD[[Week-Year]:[Core Reg]],4,FALSE),IF(ISNUMBER(OFFSET(AF33,-1,0)),OFFSET(AF33,-1,0),NA()))</f>
        <v>20.377359390258789</v>
      </c>
      <c r="AG33" s="59">
        <f ca="1">IFERROR(VLOOKUP(C33,WFM_DD[[Week-Year]:[Core Reg]],5,FALSE),IF(ISNUMBER(OFFSET(AG33,-1,0)),OFFSET(AG33,-1,0),NA()))</f>
        <v>24.242424011230469</v>
      </c>
      <c r="AH33" s="62">
        <f ca="1">IFERROR(VLOOKUP(C33,RTen_DD[[Week-Year]:[Core Reg]],4,FALSE),IF(ISNUMBER(OFFSET(AH33,-1,0)),OFFSET(AH33,-1,0),NA()))</f>
        <v>0</v>
      </c>
      <c r="AI33" s="62">
        <f ca="1">IFERROR(VLOOKUP(C33,RTen_DD[[Week-Year]:[Core Reg]],5,FALSE)/100,IF(ISNUMBER(OFFSET(AI33,-1,0)),OFFSET(AI33,-1,0),NA()))</f>
        <v>0.36503337860107421</v>
      </c>
      <c r="AJ33" s="62">
        <f ca="1">DD_Table[[#This Row],[TDM_Ext_Reg]]</f>
        <v>18.348623275756836</v>
      </c>
      <c r="AK33" s="62">
        <f ca="1">DD_Table[[#This Row],[Coles_Ext_Reg]]</f>
        <v>4.1308088302612305</v>
      </c>
      <c r="AL33" s="62">
        <f ca="1">DD_Table[[#This Row],[WOW_Ext_Reg]]</f>
        <v>12.343470573425293</v>
      </c>
      <c r="AM33" s="62">
        <f ca="1">DD_Table[[#This Row],[SSL_Ext_Reg]]</f>
        <v>42.163661956787109</v>
      </c>
      <c r="AN33" s="62">
        <f ca="1">DD_Table[[#This Row],[WFM_Ext_Reg]]</f>
        <v>20.377359390258789</v>
      </c>
      <c r="AO33" s="62">
        <f t="array" aca="1" ref="AO33" ca="1">IFERROR(AVERAGE(IF(ISNUMBER(DD_Table[[#This Row],[TDM_Avg]:[WFM_Avg]]),DD_Table[[#This Row],[TDM_Avg]:[WFM_Avg]]))/100,NA())</f>
        <v>0.19472784805297852</v>
      </c>
      <c r="AP33" s="62">
        <f t="array" aca="1" ref="AP33" ca="1">MAX(IF(ISERROR(DD_Table[[TDM_Avg]:[WFM_Avg]]),0,DD_Table[[TDM_Avg]:[WFM_Avg]]))*1.1</f>
        <v>48.107883834838873</v>
      </c>
      <c r="AQ33" s="62">
        <f t="array" aca="1" ref="AQ33" ca="1">MAX(IF(ISERROR(DD_Table[[TDM_Ext_Reg]:[WFM_Core_Reg]]),0,DD_Table[[TDM_Ext_Reg]:[WFM_Core_Reg]]))</f>
        <v>61.538463592529297</v>
      </c>
      <c r="AR33" s="65">
        <f ca="1">IFERROR(VLOOKUP(C33,TDM_DD[[Week-Year]:[DDP]],6,FALSE),IF(ISNUMBER(OFFSET(AR33,-1,0)),OFFSET(AR33,-1,0),NA()))</f>
        <v>0.24516129032258063</v>
      </c>
      <c r="AS33" s="65">
        <f ca="1">IFERROR(VLOOKUP(C33,Coles_DD[[Week-Year]:[DDP]],6,FALSE),IF(ISNUMBER(OFFSET(AS33,-1,0)),OFFSET(AS33,-1,0),NA()))</f>
        <v>0.18516674962667995</v>
      </c>
      <c r="AT33" s="65">
        <f ca="1">IFERROR(VLOOKUP(C33,WOW_DD[[Week-Year]:[DDP]],6,FALSE),IF(ISNUMBER(OFFSET(AT33,-1,0)),OFFSET(AT33,-1,0),NA()))</f>
        <v>0.35086181711948583</v>
      </c>
      <c r="AU33" s="65">
        <f ca="1">IFERROR(VLOOKUP(C33,SSL_DD[[Week-Year]:[DDP]],6,FALSE),IF(ISNUMBER(OFFSET(AU33,-1,0)),OFFSET(AU33,-1,0),NA()))</f>
        <v>0.32415902140672781</v>
      </c>
      <c r="AV33" s="65">
        <f ca="1">IFERROR(VLOOKUP(C33,WFM_DD[[Week-Year]:[DDP]],6,FALSE),IF(ISNUMBER(OFFSET(AV33,-1,0)),OFFSET(AV33,-1,0),NA()))</f>
        <v>0.23175182481751824</v>
      </c>
      <c r="AW33" s="65">
        <f t="array" aca="1" ref="AW33" ca="1">IFERROR(AVERAGE(IF(ISNUMBER(DD_Table[[#This Row],[TDM_DDP]:[WFM_DDP]]),DD_Table[[#This Row],[TDM_DDP]:[WFM_DDP]])),NA())</f>
        <v>0.26742014065859854</v>
      </c>
      <c r="AX33" s="65">
        <f t="array" aca="1" ref="AX33" ca="1">IFERROR(MAX(IF(ISNUMBER(DD_Table[[TDM_DDP]:[WFM_DDP]]),DD_Table[[TDM_DDP]:[WFM_DDP]])),NA())</f>
        <v>0.68</v>
      </c>
      <c r="AY33" s="88">
        <f ca="1">IFERROR(VLOOKUP(C33,RTen_DD[[Week-Year]:[Core DDP]],6,FALSE),IF(ISNUMBER(VLOOKUP(C33,RTen_DD[[Week-Year]:[Core DDP]],6,FALSE)),OFFSET(AY33,-1,0),OFFSET(AY33,-1,0)))</f>
        <v>0.22496536254882812</v>
      </c>
      <c r="AZ33" s="65"/>
      <c r="BA33" s="65"/>
      <c r="BC33">
        <v>31</v>
      </c>
      <c r="BE33">
        <v>0</v>
      </c>
      <c r="BF33">
        <v>0</v>
      </c>
      <c r="BG33">
        <v>1</v>
      </c>
      <c r="BI33">
        <v>1</v>
      </c>
      <c r="BO33" s="71"/>
      <c r="BP33" s="71">
        <f>MAX(Med_Table[[TDM]:[WFM]])</f>
        <v>29</v>
      </c>
      <c r="DN33" s="71"/>
      <c r="DO33" s="71"/>
      <c r="DV33" s="30"/>
      <c r="DW33" s="30"/>
    </row>
    <row r="34" spans="1:127">
      <c r="A34" s="69">
        <f t="shared" si="2"/>
        <v>41871</v>
      </c>
      <c r="B34" s="70">
        <f t="shared" ref="B34:B65" si="4">WEEKNUM(A34)</f>
        <v>34</v>
      </c>
      <c r="C34" s="70">
        <f t="shared" ref="C34:C66" si="5">VALUE(WEEKNUM(A34)&amp;YEAR(A34))</f>
        <v>342014</v>
      </c>
      <c r="D34" s="57">
        <f ca="1">IFERROR(VLOOKUP(C34,TDM_DD[[Week-Year]:[DD]],2,FALSE),IF(ISNUMBER(OFFSET(D34,-1,0)),OFFSET(D34,-1,0),NA()))</f>
        <v>19</v>
      </c>
      <c r="E34" s="58">
        <f ca="1">IFERROR(VLOOKUP(C34,Coles_DD[[Week-Year]:[DD]],2,FALSE),IF(ISNUMBER(OFFSET(E34,-1,0)),OFFSET(E34,-1,0),NA()))</f>
        <v>2205</v>
      </c>
      <c r="F34" s="58">
        <f ca="1">IFERROR(VLOOKUP(C34,WOW_DD[[Week-Year]:[DD]],2,FALSE),IF(ISNUMBER(OFFSET(F34,-1,0)),OFFSET(F34,-1,0),NA()))</f>
        <v>2822</v>
      </c>
      <c r="G34" s="57">
        <f ca="1">IFERROR(VLOOKUP(C34,SSL_DD[[Week-Year]:[DD]],2,FALSE),IF(ISNUMBER(OFFSET(G34,-1,0)),OFFSET(G34,-1,0),NA()))</f>
        <v>410</v>
      </c>
      <c r="H34" s="58">
        <f ca="1">IFERROR(VLOOKUP(C34,WFM_DD[[Week-Year]:[DD]],2,FALSE),IF(ISNUMBER(OFFSET(H34,-1,0)),OFFSET(H34,-1,0),NA()))</f>
        <v>171</v>
      </c>
      <c r="I34" s="57">
        <f ca="1">IFERROR(VLOOKUP(C34,RTen_DD[[Week-Year]:[DD]],2,FALSE),IF(ISNUMBER(OFFSET(I34,-1,0)),OFFSET(I34,-1,0),NA()))</f>
        <v>6009</v>
      </c>
      <c r="J34" s="57">
        <f ca="1">IFERROR(VLOOKUP(C34,TDM_DD[[Week-Year]:[DD]],3,FALSE),IF(ISNUMBER(OFFSET(J34,-1,0)),OFFSET(J34,-1,0),NA()))</f>
        <v>5.736842155456543</v>
      </c>
      <c r="K34" s="57">
        <f ca="1">IFERROR(VLOOKUP(C34,Coles_DD[[Week-Year]:[DD]],3,FALSE),IF(ISNUMBER(OFFSET(K34,-1,0)),OFFSET(K34,-1,0),NA()))</f>
        <v>0.52698415517807007</v>
      </c>
      <c r="L34" s="57">
        <f ca="1">IFERROR(VLOOKUP(C34,WOW_DD[[Week-Year]:[DD]],3,FALSE),IF(ISNUMBER(OFFSET(L34,-1,0)),OFFSET(L34,-1,0),NA()))</f>
        <v>0.59425938129425049</v>
      </c>
      <c r="M34" s="57">
        <f ca="1">IFERROR(VLOOKUP(C34,SSL_DD[[Week-Year]:[DD]],3,FALSE),IF(ISNUMBER(OFFSET(M34,-1,0)),OFFSET(M34,-1,0),NA()))</f>
        <v>3.5170731544494629</v>
      </c>
      <c r="N34" s="57">
        <f ca="1">IFERROR(VLOOKUP(C34,WFM_DD[[Week-Year]:[DD]],3,FALSE),IF(ISNUMBER(OFFSET(N34,-1,0)),OFFSET(N34,-1,0),NA()))</f>
        <v>1.5497076511383057</v>
      </c>
      <c r="O34" s="57">
        <f ca="1">IFERROR(VLOOKUP(C34,RTen_DD[[Week-Year]:[DD]],3,FALSE),IF(ISNUMBER(OFFSET(O34,-1,0)),OFFSET(O34,-1,0),NA()))</f>
        <v>1.3211848735809326</v>
      </c>
      <c r="P34" s="57">
        <f t="array" aca="1" ref="P34" ca="1">AVERAGE(IF(ISNUMBER(DD_Table[[#This Row],[TDM_DD]:[WFM_DD]]),DD_Table[[#This Row],[TDM_DD]:[WFM_DD]]))</f>
        <v>2.3849732995033266</v>
      </c>
      <c r="Q34" s="57">
        <f t="array" aca="1" ref="Q34" ca="1">MAX(IF(ISERROR(DD_Table[[TDM_DD]:[WFM_DD]]),0,DD_Table[[TDM_DD]:[WFM_DD]]))*0.8</f>
        <v>12.322580718994141</v>
      </c>
      <c r="R34" s="57">
        <v>0.5</v>
      </c>
      <c r="S34" s="57">
        <v>0.5</v>
      </c>
      <c r="T34" s="57">
        <v>0.5</v>
      </c>
      <c r="U34" s="57">
        <v>0.5</v>
      </c>
      <c r="V34" s="57">
        <v>0.5</v>
      </c>
      <c r="W34" s="57">
        <v>0.5</v>
      </c>
      <c r="X34" s="59">
        <f ca="1">IFERROR(VLOOKUP(C34,TDM_DD[[Week-Year]:[Core Reg]],4,FALSE),IF(ISNUMBER(OFFSET(X34,-1,0)),OFFSET(X34,-1,0),NA()))</f>
        <v>18.348623275756836</v>
      </c>
      <c r="Y34" s="59">
        <f ca="1">IFERROR(VLOOKUP(C34,TDM_DD[[Week-Year]:[Core Reg]],5,FALSE),IF(ISNUMBER(OFFSET(Y34,-1,0)),OFFSET(Y34,-1,0),NA()))</f>
        <v>36.842105865478516</v>
      </c>
      <c r="Z34" s="59">
        <f ca="1">IFERROR(VLOOKUP(C34,Coles_DD[[Week-Year]:[Core Reg]],4,FALSE),IF(ISNUMBER(OFFSET(Z34,-1,0)),OFFSET(Z34,-1,0),NA()))</f>
        <v>4.1308088302612305</v>
      </c>
      <c r="AA34" s="59">
        <f ca="1">IFERROR(VLOOKUP(C34,Coles_DD[[Week-Year]:[Core Reg]],5,FALSE),IF(ISNUMBER(OFFSET(AA34,-1,0)),OFFSET(AA34,-1,0),NA()))</f>
        <v>6.5068492889404297</v>
      </c>
      <c r="AB34" s="59">
        <f ca="1">IFERROR(VLOOKUP(C34,WOW_DD[[Week-Year]:[Core Reg]],4,FALSE),IF(ISNUMBER(OFFSET(AB34,-1,0)),OFFSET(AB34,-1,0),NA()))</f>
        <v>12.343470573425293</v>
      </c>
      <c r="AC34" s="59">
        <f ca="1">IFERROR(VLOOKUP(C34,WOW_DD[[Week-Year]:[Core Reg]],5,FALSE),IF(ISNUMBER(OFFSET(AC34,-1,0)),OFFSET(AC34,-1,0),NA()))</f>
        <v>14.126016616821289</v>
      </c>
      <c r="AD34" s="59">
        <f ca="1">IFERROR(VLOOKUP(C34,SSL_DD[[Week-Year]:[Core Reg]],4,FALSE),IF(ISNUMBER(OFFSET(AD34,-1,0)),OFFSET(AD34,-1,0),NA()))</f>
        <v>42.163661956787109</v>
      </c>
      <c r="AE34" s="59">
        <f ca="1">IFERROR(VLOOKUP(C34,SSL_DD[[Week-Year]:[Core Reg]],5,FALSE),IF(ISNUMBER(OFFSET(AE34,-1,0)),OFFSET(AE34,-1,0),NA()))</f>
        <v>55.369926452636719</v>
      </c>
      <c r="AF34" s="59">
        <f ca="1">IFERROR(VLOOKUP(C34,WFM_DD[[Week-Year]:[Core Reg]],4,FALSE),IF(ISNUMBER(OFFSET(AF34,-1,0)),OFFSET(AF34,-1,0),NA()))</f>
        <v>20.377359390258789</v>
      </c>
      <c r="AG34" s="59">
        <f ca="1">IFERROR(VLOOKUP(C34,WFM_DD[[Week-Year]:[Core Reg]],5,FALSE),IF(ISNUMBER(OFFSET(AG34,-1,0)),OFFSET(AG34,-1,0),NA()))</f>
        <v>24.242424011230469</v>
      </c>
      <c r="AH34" s="62">
        <f ca="1">IFERROR(VLOOKUP(C34,RTen_DD[[Week-Year]:[Core Reg]],4,FALSE),IF(ISNUMBER(OFFSET(AH34,-1,0)),OFFSET(AH34,-1,0),NA()))</f>
        <v>0</v>
      </c>
      <c r="AI34" s="62">
        <f ca="1">IFERROR(VLOOKUP(C34,RTen_DD[[Week-Year]:[Core Reg]],5,FALSE)/100,IF(ISNUMBER(OFFSET(AI34,-1,0)),OFFSET(AI34,-1,0),NA()))</f>
        <v>0.36503337860107421</v>
      </c>
      <c r="AJ34" s="62">
        <f ca="1">DD_Table[[#This Row],[TDM_Ext_Reg]]</f>
        <v>18.348623275756836</v>
      </c>
      <c r="AK34" s="62">
        <f ca="1">DD_Table[[#This Row],[Coles_Ext_Reg]]</f>
        <v>4.1308088302612305</v>
      </c>
      <c r="AL34" s="62">
        <f ca="1">DD_Table[[#This Row],[WOW_Ext_Reg]]</f>
        <v>12.343470573425293</v>
      </c>
      <c r="AM34" s="62">
        <f ca="1">DD_Table[[#This Row],[SSL_Ext_Reg]]</f>
        <v>42.163661956787109</v>
      </c>
      <c r="AN34" s="62">
        <f ca="1">DD_Table[[#This Row],[WFM_Ext_Reg]]</f>
        <v>20.377359390258789</v>
      </c>
      <c r="AO34" s="62">
        <f t="array" aca="1" ref="AO34" ca="1">IFERROR(AVERAGE(IF(ISNUMBER(DD_Table[[#This Row],[TDM_Avg]:[WFM_Avg]]),DD_Table[[#This Row],[TDM_Avg]:[WFM_Avg]]))/100,NA())</f>
        <v>0.19472784805297852</v>
      </c>
      <c r="AP34" s="62">
        <f t="array" aca="1" ref="AP34" ca="1">MAX(IF(ISERROR(DD_Table[[TDM_Avg]:[WFM_Avg]]),0,DD_Table[[TDM_Avg]:[WFM_Avg]]))*1.1</f>
        <v>48.107883834838873</v>
      </c>
      <c r="AQ34" s="62">
        <f t="array" aca="1" ref="AQ34" ca="1">MAX(IF(ISERROR(DD_Table[[TDM_Ext_Reg]:[WFM_Core_Reg]]),0,DD_Table[[TDM_Ext_Reg]:[WFM_Core_Reg]]))</f>
        <v>61.538463592529297</v>
      </c>
      <c r="AR34" s="65">
        <f ca="1">IFERROR(VLOOKUP(C34,TDM_DD[[Week-Year]:[DDP]],6,FALSE),IF(ISNUMBER(OFFSET(AR34,-1,0)),OFFSET(AR34,-1,0),NA()))</f>
        <v>0.24516129032258063</v>
      </c>
      <c r="AS34" s="65">
        <f ca="1">IFERROR(VLOOKUP(C34,Coles_DD[[Week-Year]:[DDP]],6,FALSE),IF(ISNUMBER(OFFSET(AS34,-1,0)),OFFSET(AS34,-1,0),NA()))</f>
        <v>0.18516674962667995</v>
      </c>
      <c r="AT34" s="65">
        <f ca="1">IFERROR(VLOOKUP(C34,WOW_DD[[Week-Year]:[DDP]],6,FALSE),IF(ISNUMBER(OFFSET(AT34,-1,0)),OFFSET(AT34,-1,0),NA()))</f>
        <v>0.35086181711948583</v>
      </c>
      <c r="AU34" s="65">
        <f ca="1">IFERROR(VLOOKUP(C34,SSL_DD[[Week-Year]:[DDP]],6,FALSE),IF(ISNUMBER(OFFSET(AU34,-1,0)),OFFSET(AU34,-1,0),NA()))</f>
        <v>0.32415902140672781</v>
      </c>
      <c r="AV34" s="65">
        <f ca="1">IFERROR(VLOOKUP(C34,WFM_DD[[Week-Year]:[DDP]],6,FALSE),IF(ISNUMBER(OFFSET(AV34,-1,0)),OFFSET(AV34,-1,0),NA()))</f>
        <v>0.23175182481751824</v>
      </c>
      <c r="AW34" s="65">
        <f t="array" aca="1" ref="AW34" ca="1">IFERROR(AVERAGE(IF(ISNUMBER(DD_Table[[#This Row],[TDM_DDP]:[WFM_DDP]]),DD_Table[[#This Row],[TDM_DDP]:[WFM_DDP]])),NA())</f>
        <v>0.26742014065859854</v>
      </c>
      <c r="AX34" s="65">
        <f t="array" aca="1" ref="AX34" ca="1">IFERROR(MAX(IF(ISNUMBER(DD_Table[[TDM_DDP]:[WFM_DDP]]),DD_Table[[TDM_DDP]:[WFM_DDP]])),NA())</f>
        <v>0.68</v>
      </c>
      <c r="AY34" s="88">
        <f ca="1">IFERROR(VLOOKUP(C34,RTen_DD[[Week-Year]:[Core DDP]],6,FALSE),IF(ISNUMBER(VLOOKUP(C34,RTen_DD[[Week-Year]:[Core DDP]],6,FALSE)),OFFSET(AY34,-1,0),OFFSET(AY34,-1,0)))</f>
        <v>0.22496536254882812</v>
      </c>
      <c r="AZ34" s="65"/>
      <c r="BA34" s="65"/>
      <c r="BC34">
        <v>32</v>
      </c>
      <c r="BE34">
        <v>0</v>
      </c>
      <c r="BF34">
        <v>0</v>
      </c>
      <c r="BG34">
        <v>0</v>
      </c>
      <c r="BI34">
        <v>1</v>
      </c>
      <c r="BO34" s="71"/>
      <c r="BP34" s="71">
        <f>MAX(Med_Table[[TDM]:[WFM]])</f>
        <v>29</v>
      </c>
      <c r="DN34" s="74"/>
      <c r="DO34" s="74"/>
      <c r="DP34" s="30"/>
      <c r="DQ34" s="30"/>
      <c r="DR34" s="30"/>
      <c r="DS34" s="30"/>
      <c r="DT34" s="30"/>
      <c r="DU34" s="30"/>
      <c r="DV34" s="30"/>
      <c r="DW34" s="30"/>
    </row>
    <row r="35" spans="1:127">
      <c r="A35" s="69">
        <f t="shared" ref="A35:A66" si="6">A34+7</f>
        <v>41878</v>
      </c>
      <c r="B35" s="70">
        <f t="shared" si="4"/>
        <v>35</v>
      </c>
      <c r="C35" s="70">
        <f t="shared" si="5"/>
        <v>352014</v>
      </c>
      <c r="D35" s="57">
        <f ca="1">IFERROR(VLOOKUP(C35,TDM_DD[[Week-Year]:[DD]],2,FALSE),IF(ISNUMBER(OFFSET(D35,-1,0)),OFFSET(D35,-1,0),NA()))</f>
        <v>19</v>
      </c>
      <c r="E35" s="58">
        <f ca="1">IFERROR(VLOOKUP(C35,Coles_DD[[Week-Year]:[DD]],2,FALSE),IF(ISNUMBER(OFFSET(E35,-1,0)),OFFSET(E35,-1,0),NA()))</f>
        <v>2205</v>
      </c>
      <c r="F35" s="58">
        <f ca="1">IFERROR(VLOOKUP(C35,WOW_DD[[Week-Year]:[DD]],2,FALSE),IF(ISNUMBER(OFFSET(F35,-1,0)),OFFSET(F35,-1,0),NA()))</f>
        <v>2822</v>
      </c>
      <c r="G35" s="57">
        <f ca="1">IFERROR(VLOOKUP(C35,SSL_DD[[Week-Year]:[DD]],2,FALSE),IF(ISNUMBER(OFFSET(G35,-1,0)),OFFSET(G35,-1,0),NA()))</f>
        <v>410</v>
      </c>
      <c r="H35" s="58">
        <f ca="1">IFERROR(VLOOKUP(C35,WFM_DD[[Week-Year]:[DD]],2,FALSE),IF(ISNUMBER(OFFSET(H35,-1,0)),OFFSET(H35,-1,0),NA()))</f>
        <v>171</v>
      </c>
      <c r="I35" s="57">
        <f ca="1">IFERROR(VLOOKUP(C35,RTen_DD[[Week-Year]:[DD]],2,FALSE),IF(ISNUMBER(OFFSET(I35,-1,0)),OFFSET(I35,-1,0),NA()))</f>
        <v>6009</v>
      </c>
      <c r="J35" s="57">
        <f ca="1">IFERROR(VLOOKUP(C35,TDM_DD[[Week-Year]:[DD]],3,FALSE),IF(ISNUMBER(OFFSET(J35,-1,0)),OFFSET(J35,-1,0),NA()))</f>
        <v>5.736842155456543</v>
      </c>
      <c r="K35" s="57">
        <f ca="1">IFERROR(VLOOKUP(C35,Coles_DD[[Week-Year]:[DD]],3,FALSE),IF(ISNUMBER(OFFSET(K35,-1,0)),OFFSET(K35,-1,0),NA()))</f>
        <v>0.52698415517807007</v>
      </c>
      <c r="L35" s="57">
        <f ca="1">IFERROR(VLOOKUP(C35,WOW_DD[[Week-Year]:[DD]],3,FALSE),IF(ISNUMBER(OFFSET(L35,-1,0)),OFFSET(L35,-1,0),NA()))</f>
        <v>0.59425938129425049</v>
      </c>
      <c r="M35" s="57">
        <f ca="1">IFERROR(VLOOKUP(C35,SSL_DD[[Week-Year]:[DD]],3,FALSE),IF(ISNUMBER(OFFSET(M35,-1,0)),OFFSET(M35,-1,0),NA()))</f>
        <v>3.5170731544494629</v>
      </c>
      <c r="N35" s="57">
        <f ca="1">IFERROR(VLOOKUP(C35,WFM_DD[[Week-Year]:[DD]],3,FALSE),IF(ISNUMBER(OFFSET(N35,-1,0)),OFFSET(N35,-1,0),NA()))</f>
        <v>1.5497076511383057</v>
      </c>
      <c r="O35" s="57">
        <f ca="1">IFERROR(VLOOKUP(C35,RTen_DD[[Week-Year]:[DD]],3,FALSE),IF(ISNUMBER(OFFSET(O35,-1,0)),OFFSET(O35,-1,0),NA()))</f>
        <v>1.3211848735809326</v>
      </c>
      <c r="P35" s="57">
        <f t="array" aca="1" ref="P35" ca="1">AVERAGE(IF(ISNUMBER(DD_Table[[#This Row],[TDM_DD]:[WFM_DD]]),DD_Table[[#This Row],[TDM_DD]:[WFM_DD]]))</f>
        <v>2.3849732995033266</v>
      </c>
      <c r="Q35" s="57">
        <f t="array" aca="1" ref="Q35" ca="1">MAX(IF(ISERROR(DD_Table[[TDM_DD]:[WFM_DD]]),0,DD_Table[[TDM_DD]:[WFM_DD]]))*0.8</f>
        <v>12.322580718994141</v>
      </c>
      <c r="R35" s="57">
        <v>0.5</v>
      </c>
      <c r="S35" s="57">
        <v>0.5</v>
      </c>
      <c r="T35" s="57">
        <v>0.5</v>
      </c>
      <c r="U35" s="57">
        <v>0.5</v>
      </c>
      <c r="V35" s="57">
        <v>0.5</v>
      </c>
      <c r="W35" s="57">
        <v>0.5</v>
      </c>
      <c r="X35" s="59">
        <f ca="1">IFERROR(VLOOKUP(C35,TDM_DD[[Week-Year]:[Core Reg]],4,FALSE),IF(ISNUMBER(OFFSET(X35,-1,0)),OFFSET(X35,-1,0),NA()))</f>
        <v>18.348623275756836</v>
      </c>
      <c r="Y35" s="59">
        <f ca="1">IFERROR(VLOOKUP(C35,TDM_DD[[Week-Year]:[Core Reg]],5,FALSE),IF(ISNUMBER(OFFSET(Y35,-1,0)),OFFSET(Y35,-1,0),NA()))</f>
        <v>36.842105865478516</v>
      </c>
      <c r="Z35" s="59">
        <f ca="1">IFERROR(VLOOKUP(C35,Coles_DD[[Week-Year]:[Core Reg]],4,FALSE),IF(ISNUMBER(OFFSET(Z35,-1,0)),OFFSET(Z35,-1,0),NA()))</f>
        <v>4.1308088302612305</v>
      </c>
      <c r="AA35" s="59">
        <f ca="1">IFERROR(VLOOKUP(C35,Coles_DD[[Week-Year]:[Core Reg]],5,FALSE),IF(ISNUMBER(OFFSET(AA35,-1,0)),OFFSET(AA35,-1,0),NA()))</f>
        <v>6.5068492889404297</v>
      </c>
      <c r="AB35" s="59">
        <f ca="1">IFERROR(VLOOKUP(C35,WOW_DD[[Week-Year]:[Core Reg]],4,FALSE),IF(ISNUMBER(OFFSET(AB35,-1,0)),OFFSET(AB35,-1,0),NA()))</f>
        <v>12.343470573425293</v>
      </c>
      <c r="AC35" s="59">
        <f ca="1">IFERROR(VLOOKUP(C35,WOW_DD[[Week-Year]:[Core Reg]],5,FALSE),IF(ISNUMBER(OFFSET(AC35,-1,0)),OFFSET(AC35,-1,0),NA()))</f>
        <v>14.126016616821289</v>
      </c>
      <c r="AD35" s="59">
        <f ca="1">IFERROR(VLOOKUP(C35,SSL_DD[[Week-Year]:[Core Reg]],4,FALSE),IF(ISNUMBER(OFFSET(AD35,-1,0)),OFFSET(AD35,-1,0),NA()))</f>
        <v>42.163661956787109</v>
      </c>
      <c r="AE35" s="59">
        <f ca="1">IFERROR(VLOOKUP(C35,SSL_DD[[Week-Year]:[Core Reg]],5,FALSE),IF(ISNUMBER(OFFSET(AE35,-1,0)),OFFSET(AE35,-1,0),NA()))</f>
        <v>55.369926452636719</v>
      </c>
      <c r="AF35" s="59">
        <f ca="1">IFERROR(VLOOKUP(C35,WFM_DD[[Week-Year]:[Core Reg]],4,FALSE),IF(ISNUMBER(OFFSET(AF35,-1,0)),OFFSET(AF35,-1,0),NA()))</f>
        <v>20.377359390258789</v>
      </c>
      <c r="AG35" s="59">
        <f ca="1">IFERROR(VLOOKUP(C35,WFM_DD[[Week-Year]:[Core Reg]],5,FALSE),IF(ISNUMBER(OFFSET(AG35,-1,0)),OFFSET(AG35,-1,0),NA()))</f>
        <v>24.242424011230469</v>
      </c>
      <c r="AH35" s="62">
        <f ca="1">IFERROR(VLOOKUP(C35,RTen_DD[[Week-Year]:[Core Reg]],4,FALSE),IF(ISNUMBER(OFFSET(AH35,-1,0)),OFFSET(AH35,-1,0),NA()))</f>
        <v>0</v>
      </c>
      <c r="AI35" s="62">
        <f ca="1">IFERROR(VLOOKUP(C35,RTen_DD[[Week-Year]:[Core Reg]],5,FALSE)/100,IF(ISNUMBER(OFFSET(AI35,-1,0)),OFFSET(AI35,-1,0),NA()))</f>
        <v>0.36503337860107421</v>
      </c>
      <c r="AJ35" s="62">
        <f ca="1">DD_Table[[#This Row],[TDM_Ext_Reg]]</f>
        <v>18.348623275756836</v>
      </c>
      <c r="AK35" s="62">
        <f ca="1">DD_Table[[#This Row],[Coles_Ext_Reg]]</f>
        <v>4.1308088302612305</v>
      </c>
      <c r="AL35" s="62">
        <f ca="1">DD_Table[[#This Row],[WOW_Ext_Reg]]</f>
        <v>12.343470573425293</v>
      </c>
      <c r="AM35" s="62">
        <f ca="1">DD_Table[[#This Row],[SSL_Ext_Reg]]</f>
        <v>42.163661956787109</v>
      </c>
      <c r="AN35" s="62">
        <f ca="1">DD_Table[[#This Row],[WFM_Ext_Reg]]</f>
        <v>20.377359390258789</v>
      </c>
      <c r="AO35" s="62">
        <f t="array" aca="1" ref="AO35" ca="1">IFERROR(AVERAGE(IF(ISNUMBER(DD_Table[[#This Row],[TDM_Avg]:[WFM_Avg]]),DD_Table[[#This Row],[TDM_Avg]:[WFM_Avg]]))/100,NA())</f>
        <v>0.19472784805297852</v>
      </c>
      <c r="AP35" s="62">
        <f t="array" aca="1" ref="AP35" ca="1">MAX(IF(ISERROR(DD_Table[[TDM_Avg]:[WFM_Avg]]),0,DD_Table[[TDM_Avg]:[WFM_Avg]]))*1.1</f>
        <v>48.107883834838873</v>
      </c>
      <c r="AQ35" s="62">
        <f t="array" aca="1" ref="AQ35" ca="1">MAX(IF(ISERROR(DD_Table[[TDM_Ext_Reg]:[WFM_Core_Reg]]),0,DD_Table[[TDM_Ext_Reg]:[WFM_Core_Reg]]))</f>
        <v>61.538463592529297</v>
      </c>
      <c r="AR35" s="65">
        <f ca="1">IFERROR(VLOOKUP(C35,TDM_DD[[Week-Year]:[DDP]],6,FALSE),IF(ISNUMBER(OFFSET(AR35,-1,0)),OFFSET(AR35,-1,0),NA()))</f>
        <v>0.24516129032258063</v>
      </c>
      <c r="AS35" s="65">
        <f ca="1">IFERROR(VLOOKUP(C35,Coles_DD[[Week-Year]:[DDP]],6,FALSE),IF(ISNUMBER(OFFSET(AS35,-1,0)),OFFSET(AS35,-1,0),NA()))</f>
        <v>0.18516674962667995</v>
      </c>
      <c r="AT35" s="65">
        <f ca="1">IFERROR(VLOOKUP(C35,WOW_DD[[Week-Year]:[DDP]],6,FALSE),IF(ISNUMBER(OFFSET(AT35,-1,0)),OFFSET(AT35,-1,0),NA()))</f>
        <v>0.35086181711948583</v>
      </c>
      <c r="AU35" s="65">
        <f ca="1">IFERROR(VLOOKUP(C35,SSL_DD[[Week-Year]:[DDP]],6,FALSE),IF(ISNUMBER(OFFSET(AU35,-1,0)),OFFSET(AU35,-1,0),NA()))</f>
        <v>0.32415902140672781</v>
      </c>
      <c r="AV35" s="65">
        <f ca="1">IFERROR(VLOOKUP(C35,WFM_DD[[Week-Year]:[DDP]],6,FALSE),IF(ISNUMBER(OFFSET(AV35,-1,0)),OFFSET(AV35,-1,0),NA()))</f>
        <v>0.23175182481751824</v>
      </c>
      <c r="AW35" s="65">
        <f t="array" aca="1" ref="AW35" ca="1">IFERROR(AVERAGE(IF(ISNUMBER(DD_Table[[#This Row],[TDM_DDP]:[WFM_DDP]]),DD_Table[[#This Row],[TDM_DDP]:[WFM_DDP]])),NA())</f>
        <v>0.26742014065859854</v>
      </c>
      <c r="AX35" s="65">
        <f t="array" aca="1" ref="AX35" ca="1">IFERROR(MAX(IF(ISNUMBER(DD_Table[[TDM_DDP]:[WFM_DDP]]),DD_Table[[TDM_DDP]:[WFM_DDP]])),NA())</f>
        <v>0.68</v>
      </c>
      <c r="AY35" s="88">
        <f ca="1">IFERROR(VLOOKUP(C35,RTen_DD[[Week-Year]:[Core DDP]],6,FALSE),IF(ISNUMBER(VLOOKUP(C35,RTen_DD[[Week-Year]:[Core DDP]],6,FALSE)),OFFSET(AY35,-1,0),OFFSET(AY35,-1,0)))</f>
        <v>0.22496536254882812</v>
      </c>
      <c r="AZ35" s="65"/>
      <c r="BA35" s="65"/>
      <c r="BC35">
        <v>33</v>
      </c>
      <c r="BE35">
        <v>0</v>
      </c>
      <c r="BF35">
        <v>0</v>
      </c>
      <c r="BG35">
        <v>0</v>
      </c>
      <c r="BI35">
        <v>5</v>
      </c>
      <c r="BO35" s="71"/>
      <c r="BP35" s="71">
        <f>MAX(Med_Table[[TDM]:[WFM]])</f>
        <v>29</v>
      </c>
      <c r="DN35" s="74"/>
      <c r="DO35" s="74"/>
      <c r="DP35" s="30"/>
      <c r="DQ35" s="30"/>
      <c r="DR35" s="30"/>
      <c r="DS35" s="30"/>
      <c r="DT35" s="30"/>
      <c r="DU35" s="30"/>
      <c r="DV35" s="30"/>
      <c r="DW35" s="30"/>
    </row>
    <row r="36" spans="1:127">
      <c r="A36" s="69">
        <f t="shared" si="6"/>
        <v>41885</v>
      </c>
      <c r="B36" s="70">
        <f t="shared" si="4"/>
        <v>36</v>
      </c>
      <c r="C36" s="70">
        <f t="shared" si="5"/>
        <v>362014</v>
      </c>
      <c r="D36" s="57">
        <f ca="1">IFERROR(VLOOKUP(C36,TDM_DD[[Week-Year]:[DD]],2,FALSE),IF(ISNUMBER(OFFSET(D36,-1,0)),OFFSET(D36,-1,0),NA()))</f>
        <v>19</v>
      </c>
      <c r="E36" s="58">
        <f ca="1">IFERROR(VLOOKUP(C36,Coles_DD[[Week-Year]:[DD]],2,FALSE),IF(ISNUMBER(OFFSET(E36,-1,0)),OFFSET(E36,-1,0),NA()))</f>
        <v>2205</v>
      </c>
      <c r="F36" s="58">
        <f ca="1">IFERROR(VLOOKUP(C36,WOW_DD[[Week-Year]:[DD]],2,FALSE),IF(ISNUMBER(OFFSET(F36,-1,0)),OFFSET(F36,-1,0),NA()))</f>
        <v>2822</v>
      </c>
      <c r="G36" s="57">
        <f ca="1">IFERROR(VLOOKUP(C36,SSL_DD[[Week-Year]:[DD]],2,FALSE),IF(ISNUMBER(OFFSET(G36,-1,0)),OFFSET(G36,-1,0),NA()))</f>
        <v>410</v>
      </c>
      <c r="H36" s="58">
        <f ca="1">IFERROR(VLOOKUP(C36,WFM_DD[[Week-Year]:[DD]],2,FALSE),IF(ISNUMBER(OFFSET(H36,-1,0)),OFFSET(H36,-1,0),NA()))</f>
        <v>171</v>
      </c>
      <c r="I36" s="57">
        <f ca="1">IFERROR(VLOOKUP(C36,RTen_DD[[Week-Year]:[DD]],2,FALSE),IF(ISNUMBER(OFFSET(I36,-1,0)),OFFSET(I36,-1,0),NA()))</f>
        <v>6009</v>
      </c>
      <c r="J36" s="57">
        <f ca="1">IFERROR(VLOOKUP(C36,TDM_DD[[Week-Year]:[DD]],3,FALSE),IF(ISNUMBER(OFFSET(J36,-1,0)),OFFSET(J36,-1,0),NA()))</f>
        <v>5.736842155456543</v>
      </c>
      <c r="K36" s="57">
        <f ca="1">IFERROR(VLOOKUP(C36,Coles_DD[[Week-Year]:[DD]],3,FALSE),IF(ISNUMBER(OFFSET(K36,-1,0)),OFFSET(K36,-1,0),NA()))</f>
        <v>0.52698415517807007</v>
      </c>
      <c r="L36" s="57">
        <f ca="1">IFERROR(VLOOKUP(C36,WOW_DD[[Week-Year]:[DD]],3,FALSE),IF(ISNUMBER(OFFSET(L36,-1,0)),OFFSET(L36,-1,0),NA()))</f>
        <v>0.59425938129425049</v>
      </c>
      <c r="M36" s="57">
        <f ca="1">IFERROR(VLOOKUP(C36,SSL_DD[[Week-Year]:[DD]],3,FALSE),IF(ISNUMBER(OFFSET(M36,-1,0)),OFFSET(M36,-1,0),NA()))</f>
        <v>3.5170731544494629</v>
      </c>
      <c r="N36" s="57">
        <f ca="1">IFERROR(VLOOKUP(C36,WFM_DD[[Week-Year]:[DD]],3,FALSE),IF(ISNUMBER(OFFSET(N36,-1,0)),OFFSET(N36,-1,0),NA()))</f>
        <v>1.5497076511383057</v>
      </c>
      <c r="O36" s="57">
        <f ca="1">IFERROR(VLOOKUP(C36,RTen_DD[[Week-Year]:[DD]],3,FALSE),IF(ISNUMBER(OFFSET(O36,-1,0)),OFFSET(O36,-1,0),NA()))</f>
        <v>1.3211848735809326</v>
      </c>
      <c r="P36" s="57">
        <f t="array" aca="1" ref="P36" ca="1">AVERAGE(IF(ISNUMBER(DD_Table[[#This Row],[TDM_DD]:[WFM_DD]]),DD_Table[[#This Row],[TDM_DD]:[WFM_DD]]))</f>
        <v>2.3849732995033266</v>
      </c>
      <c r="Q36" s="57">
        <f t="array" aca="1" ref="Q36" ca="1">MAX(IF(ISERROR(DD_Table[[TDM_DD]:[WFM_DD]]),0,DD_Table[[TDM_DD]:[WFM_DD]]))*0.8</f>
        <v>12.322580718994141</v>
      </c>
      <c r="R36" s="57">
        <v>0.5</v>
      </c>
      <c r="S36" s="57">
        <v>0.5</v>
      </c>
      <c r="T36" s="57">
        <v>0.5</v>
      </c>
      <c r="U36" s="57">
        <v>0.5</v>
      </c>
      <c r="V36" s="57">
        <v>0.5</v>
      </c>
      <c r="W36" s="57">
        <v>0.5</v>
      </c>
      <c r="X36" s="59">
        <f ca="1">IFERROR(VLOOKUP(C36,TDM_DD[[Week-Year]:[Core Reg]],4,FALSE),IF(ISNUMBER(OFFSET(X36,-1,0)),OFFSET(X36,-1,0),NA()))</f>
        <v>18.348623275756836</v>
      </c>
      <c r="Y36" s="59">
        <f ca="1">IFERROR(VLOOKUP(C36,TDM_DD[[Week-Year]:[Core Reg]],5,FALSE),IF(ISNUMBER(OFFSET(Y36,-1,0)),OFFSET(Y36,-1,0),NA()))</f>
        <v>36.842105865478516</v>
      </c>
      <c r="Z36" s="59">
        <f ca="1">IFERROR(VLOOKUP(C36,Coles_DD[[Week-Year]:[Core Reg]],4,FALSE),IF(ISNUMBER(OFFSET(Z36,-1,0)),OFFSET(Z36,-1,0),NA()))</f>
        <v>4.1308088302612305</v>
      </c>
      <c r="AA36" s="59">
        <f ca="1">IFERROR(VLOOKUP(C36,Coles_DD[[Week-Year]:[Core Reg]],5,FALSE),IF(ISNUMBER(OFFSET(AA36,-1,0)),OFFSET(AA36,-1,0),NA()))</f>
        <v>6.5068492889404297</v>
      </c>
      <c r="AB36" s="59">
        <f ca="1">IFERROR(VLOOKUP(C36,WOW_DD[[Week-Year]:[Core Reg]],4,FALSE),IF(ISNUMBER(OFFSET(AB36,-1,0)),OFFSET(AB36,-1,0),NA()))</f>
        <v>12.343470573425293</v>
      </c>
      <c r="AC36" s="59">
        <f ca="1">IFERROR(VLOOKUP(C36,WOW_DD[[Week-Year]:[Core Reg]],5,FALSE),IF(ISNUMBER(OFFSET(AC36,-1,0)),OFFSET(AC36,-1,0),NA()))</f>
        <v>14.126016616821289</v>
      </c>
      <c r="AD36" s="59">
        <f ca="1">IFERROR(VLOOKUP(C36,SSL_DD[[Week-Year]:[Core Reg]],4,FALSE),IF(ISNUMBER(OFFSET(AD36,-1,0)),OFFSET(AD36,-1,0),NA()))</f>
        <v>42.163661956787109</v>
      </c>
      <c r="AE36" s="59">
        <f ca="1">IFERROR(VLOOKUP(C36,SSL_DD[[Week-Year]:[Core Reg]],5,FALSE),IF(ISNUMBER(OFFSET(AE36,-1,0)),OFFSET(AE36,-1,0),NA()))</f>
        <v>55.369926452636719</v>
      </c>
      <c r="AF36" s="59">
        <f ca="1">IFERROR(VLOOKUP(C36,WFM_DD[[Week-Year]:[Core Reg]],4,FALSE),IF(ISNUMBER(OFFSET(AF36,-1,0)),OFFSET(AF36,-1,0),NA()))</f>
        <v>20.377359390258789</v>
      </c>
      <c r="AG36" s="59">
        <f ca="1">IFERROR(VLOOKUP(C36,WFM_DD[[Week-Year]:[Core Reg]],5,FALSE),IF(ISNUMBER(OFFSET(AG36,-1,0)),OFFSET(AG36,-1,0),NA()))</f>
        <v>24.242424011230469</v>
      </c>
      <c r="AH36" s="62">
        <f ca="1">IFERROR(VLOOKUP(C36,RTen_DD[[Week-Year]:[Core Reg]],4,FALSE),IF(ISNUMBER(OFFSET(AH36,-1,0)),OFFSET(AH36,-1,0),NA()))</f>
        <v>0</v>
      </c>
      <c r="AI36" s="62">
        <f ca="1">IFERROR(VLOOKUP(C36,RTen_DD[[Week-Year]:[Core Reg]],5,FALSE)/100,IF(ISNUMBER(OFFSET(AI36,-1,0)),OFFSET(AI36,-1,0),NA()))</f>
        <v>0.36503337860107421</v>
      </c>
      <c r="AJ36" s="62">
        <f ca="1">DD_Table[[#This Row],[TDM_Ext_Reg]]</f>
        <v>18.348623275756836</v>
      </c>
      <c r="AK36" s="62">
        <f ca="1">DD_Table[[#This Row],[Coles_Ext_Reg]]</f>
        <v>4.1308088302612305</v>
      </c>
      <c r="AL36" s="62">
        <f ca="1">DD_Table[[#This Row],[WOW_Ext_Reg]]</f>
        <v>12.343470573425293</v>
      </c>
      <c r="AM36" s="62">
        <f ca="1">DD_Table[[#This Row],[SSL_Ext_Reg]]</f>
        <v>42.163661956787109</v>
      </c>
      <c r="AN36" s="62">
        <f ca="1">DD_Table[[#This Row],[WFM_Ext_Reg]]</f>
        <v>20.377359390258789</v>
      </c>
      <c r="AO36" s="62">
        <f t="array" aca="1" ref="AO36" ca="1">IFERROR(AVERAGE(IF(ISNUMBER(DD_Table[[#This Row],[TDM_Avg]:[WFM_Avg]]),DD_Table[[#This Row],[TDM_Avg]:[WFM_Avg]]))/100,NA())</f>
        <v>0.19472784805297852</v>
      </c>
      <c r="AP36" s="62">
        <f t="array" aca="1" ref="AP36" ca="1">MAX(IF(ISERROR(DD_Table[[TDM_Avg]:[WFM_Avg]]),0,DD_Table[[TDM_Avg]:[WFM_Avg]]))*1.1</f>
        <v>48.107883834838873</v>
      </c>
      <c r="AQ36" s="62">
        <f t="array" aca="1" ref="AQ36" ca="1">MAX(IF(ISERROR(DD_Table[[TDM_Ext_Reg]:[WFM_Core_Reg]]),0,DD_Table[[TDM_Ext_Reg]:[WFM_Core_Reg]]))</f>
        <v>61.538463592529297</v>
      </c>
      <c r="AR36" s="65">
        <f ca="1">IFERROR(VLOOKUP(C36,TDM_DD[[Week-Year]:[DDP]],6,FALSE),IF(ISNUMBER(OFFSET(AR36,-1,0)),OFFSET(AR36,-1,0),NA()))</f>
        <v>0.24516129032258063</v>
      </c>
      <c r="AS36" s="65">
        <f ca="1">IFERROR(VLOOKUP(C36,Coles_DD[[Week-Year]:[DDP]],6,FALSE),IF(ISNUMBER(OFFSET(AS36,-1,0)),OFFSET(AS36,-1,0),NA()))</f>
        <v>0.18516674962667995</v>
      </c>
      <c r="AT36" s="65">
        <f ca="1">IFERROR(VLOOKUP(C36,WOW_DD[[Week-Year]:[DDP]],6,FALSE),IF(ISNUMBER(OFFSET(AT36,-1,0)),OFFSET(AT36,-1,0),NA()))</f>
        <v>0.35086181711948583</v>
      </c>
      <c r="AU36" s="65">
        <f ca="1">IFERROR(VLOOKUP(C36,SSL_DD[[Week-Year]:[DDP]],6,FALSE),IF(ISNUMBER(OFFSET(AU36,-1,0)),OFFSET(AU36,-1,0),NA()))</f>
        <v>0.32415902140672781</v>
      </c>
      <c r="AV36" s="65">
        <f ca="1">IFERROR(VLOOKUP(C36,WFM_DD[[Week-Year]:[DDP]],6,FALSE),IF(ISNUMBER(OFFSET(AV36,-1,0)),OFFSET(AV36,-1,0),NA()))</f>
        <v>0.23175182481751824</v>
      </c>
      <c r="AW36" s="65">
        <f t="array" aca="1" ref="AW36" ca="1">IFERROR(AVERAGE(IF(ISNUMBER(DD_Table[[#This Row],[TDM_DDP]:[WFM_DDP]]),DD_Table[[#This Row],[TDM_DDP]:[WFM_DDP]])),NA())</f>
        <v>0.26742014065859854</v>
      </c>
      <c r="AX36" s="65">
        <f t="array" aca="1" ref="AX36" ca="1">IFERROR(MAX(IF(ISNUMBER(DD_Table[[TDM_DDP]:[WFM_DDP]]),DD_Table[[TDM_DDP]:[WFM_DDP]])),NA())</f>
        <v>0.68</v>
      </c>
      <c r="AY36" s="88">
        <f ca="1">IFERROR(VLOOKUP(C36,RTen_DD[[Week-Year]:[Core DDP]],6,FALSE),IF(ISNUMBER(VLOOKUP(C36,RTen_DD[[Week-Year]:[Core DDP]],6,FALSE)),OFFSET(AY36,-1,0),OFFSET(AY36,-1,0)))</f>
        <v>0.22496536254882812</v>
      </c>
      <c r="AZ36" s="65"/>
      <c r="BA36" s="65"/>
      <c r="BC36">
        <v>34</v>
      </c>
      <c r="BE36">
        <v>0</v>
      </c>
      <c r="BF36">
        <v>0</v>
      </c>
      <c r="BG36">
        <v>0</v>
      </c>
      <c r="BI36">
        <v>8</v>
      </c>
      <c r="BO36" s="71"/>
      <c r="BP36" s="71">
        <f>MAX(Med_Table[[TDM]:[WFM]])</f>
        <v>29</v>
      </c>
      <c r="DN36" s="74"/>
      <c r="DO36" s="74"/>
      <c r="DP36" s="30"/>
      <c r="DQ36" s="30"/>
      <c r="DR36" s="30"/>
      <c r="DS36" s="30"/>
      <c r="DT36" s="30"/>
      <c r="DU36" s="30"/>
      <c r="DV36" s="30"/>
      <c r="DW36" s="30"/>
    </row>
    <row r="37" spans="1:127">
      <c r="A37" s="69">
        <f t="shared" si="6"/>
        <v>41892</v>
      </c>
      <c r="B37" s="70">
        <f t="shared" si="4"/>
        <v>37</v>
      </c>
      <c r="C37" s="70">
        <f t="shared" si="5"/>
        <v>372014</v>
      </c>
      <c r="D37" s="57">
        <f ca="1">IFERROR(VLOOKUP(C37,TDM_DD[[Week-Year]:[DD]],2,FALSE),IF(ISNUMBER(OFFSET(D37,-1,0)),OFFSET(D37,-1,0),NA()))</f>
        <v>19</v>
      </c>
      <c r="E37" s="58">
        <f ca="1">IFERROR(VLOOKUP(C37,Coles_DD[[Week-Year]:[DD]],2,FALSE),IF(ISNUMBER(OFFSET(E37,-1,0)),OFFSET(E37,-1,0),NA()))</f>
        <v>2205</v>
      </c>
      <c r="F37" s="58">
        <f ca="1">IFERROR(VLOOKUP(C37,WOW_DD[[Week-Year]:[DD]],2,FALSE),IF(ISNUMBER(OFFSET(F37,-1,0)),OFFSET(F37,-1,0),NA()))</f>
        <v>2822</v>
      </c>
      <c r="G37" s="57">
        <f ca="1">IFERROR(VLOOKUP(C37,SSL_DD[[Week-Year]:[DD]],2,FALSE),IF(ISNUMBER(OFFSET(G37,-1,0)),OFFSET(G37,-1,0),NA()))</f>
        <v>410</v>
      </c>
      <c r="H37" s="58">
        <f ca="1">IFERROR(VLOOKUP(C37,WFM_DD[[Week-Year]:[DD]],2,FALSE),IF(ISNUMBER(OFFSET(H37,-1,0)),OFFSET(H37,-1,0),NA()))</f>
        <v>171</v>
      </c>
      <c r="I37" s="57">
        <f ca="1">IFERROR(VLOOKUP(C37,RTen_DD[[Week-Year]:[DD]],2,FALSE),IF(ISNUMBER(OFFSET(I37,-1,0)),OFFSET(I37,-1,0),NA()))</f>
        <v>6009</v>
      </c>
      <c r="J37" s="57">
        <f ca="1">IFERROR(VLOOKUP(C37,TDM_DD[[Week-Year]:[DD]],3,FALSE),IF(ISNUMBER(OFFSET(J37,-1,0)),OFFSET(J37,-1,0),NA()))</f>
        <v>5.736842155456543</v>
      </c>
      <c r="K37" s="57">
        <f ca="1">IFERROR(VLOOKUP(C37,Coles_DD[[Week-Year]:[DD]],3,FALSE),IF(ISNUMBER(OFFSET(K37,-1,0)),OFFSET(K37,-1,0),NA()))</f>
        <v>0.52698415517807007</v>
      </c>
      <c r="L37" s="57">
        <f ca="1">IFERROR(VLOOKUP(C37,WOW_DD[[Week-Year]:[DD]],3,FALSE),IF(ISNUMBER(OFFSET(L37,-1,0)),OFFSET(L37,-1,0),NA()))</f>
        <v>0.59425938129425049</v>
      </c>
      <c r="M37" s="57">
        <f ca="1">IFERROR(VLOOKUP(C37,SSL_DD[[Week-Year]:[DD]],3,FALSE),IF(ISNUMBER(OFFSET(M37,-1,0)),OFFSET(M37,-1,0),NA()))</f>
        <v>3.5170731544494629</v>
      </c>
      <c r="N37" s="57">
        <f ca="1">IFERROR(VLOOKUP(C37,WFM_DD[[Week-Year]:[DD]],3,FALSE),IF(ISNUMBER(OFFSET(N37,-1,0)),OFFSET(N37,-1,0),NA()))</f>
        <v>1.5497076511383057</v>
      </c>
      <c r="O37" s="57">
        <f ca="1">IFERROR(VLOOKUP(C37,RTen_DD[[Week-Year]:[DD]],3,FALSE),IF(ISNUMBER(OFFSET(O37,-1,0)),OFFSET(O37,-1,0),NA()))</f>
        <v>1.3211848735809326</v>
      </c>
      <c r="P37" s="57">
        <f t="array" aca="1" ref="P37" ca="1">AVERAGE(IF(ISNUMBER(DD_Table[[#This Row],[TDM_DD]:[WFM_DD]]),DD_Table[[#This Row],[TDM_DD]:[WFM_DD]]))</f>
        <v>2.3849732995033266</v>
      </c>
      <c r="Q37" s="57">
        <f t="array" aca="1" ref="Q37" ca="1">MAX(IF(ISERROR(DD_Table[[TDM_DD]:[WFM_DD]]),0,DD_Table[[TDM_DD]:[WFM_DD]]))*0.8</f>
        <v>12.322580718994141</v>
      </c>
      <c r="R37" s="57">
        <v>0.5</v>
      </c>
      <c r="S37" s="57">
        <v>0.5</v>
      </c>
      <c r="T37" s="57">
        <v>0.5</v>
      </c>
      <c r="U37" s="57">
        <v>0.5</v>
      </c>
      <c r="V37" s="57">
        <v>0.5</v>
      </c>
      <c r="W37" s="57">
        <v>0.5</v>
      </c>
      <c r="X37" s="59">
        <f ca="1">IFERROR(VLOOKUP(C37,TDM_DD[[Week-Year]:[Core Reg]],4,FALSE),IF(ISNUMBER(OFFSET(X37,-1,0)),OFFSET(X37,-1,0),NA()))</f>
        <v>18.348623275756836</v>
      </c>
      <c r="Y37" s="59">
        <f ca="1">IFERROR(VLOOKUP(C37,TDM_DD[[Week-Year]:[Core Reg]],5,FALSE),IF(ISNUMBER(OFFSET(Y37,-1,0)),OFFSET(Y37,-1,0),NA()))</f>
        <v>36.842105865478516</v>
      </c>
      <c r="Z37" s="59">
        <f ca="1">IFERROR(VLOOKUP(C37,Coles_DD[[Week-Year]:[Core Reg]],4,FALSE),IF(ISNUMBER(OFFSET(Z37,-1,0)),OFFSET(Z37,-1,0),NA()))</f>
        <v>4.1308088302612305</v>
      </c>
      <c r="AA37" s="59">
        <f ca="1">IFERROR(VLOOKUP(C37,Coles_DD[[Week-Year]:[Core Reg]],5,FALSE),IF(ISNUMBER(OFFSET(AA37,-1,0)),OFFSET(AA37,-1,0),NA()))</f>
        <v>6.5068492889404297</v>
      </c>
      <c r="AB37" s="59">
        <f ca="1">IFERROR(VLOOKUP(C37,WOW_DD[[Week-Year]:[Core Reg]],4,FALSE),IF(ISNUMBER(OFFSET(AB37,-1,0)),OFFSET(AB37,-1,0),NA()))</f>
        <v>12.343470573425293</v>
      </c>
      <c r="AC37" s="59">
        <f ca="1">IFERROR(VLOOKUP(C37,WOW_DD[[Week-Year]:[Core Reg]],5,FALSE),IF(ISNUMBER(OFFSET(AC37,-1,0)),OFFSET(AC37,-1,0),NA()))</f>
        <v>14.126016616821289</v>
      </c>
      <c r="AD37" s="59">
        <f ca="1">IFERROR(VLOOKUP(C37,SSL_DD[[Week-Year]:[Core Reg]],4,FALSE),IF(ISNUMBER(OFFSET(AD37,-1,0)),OFFSET(AD37,-1,0),NA()))</f>
        <v>42.163661956787109</v>
      </c>
      <c r="AE37" s="59">
        <f ca="1">IFERROR(VLOOKUP(C37,SSL_DD[[Week-Year]:[Core Reg]],5,FALSE),IF(ISNUMBER(OFFSET(AE37,-1,0)),OFFSET(AE37,-1,0),NA()))</f>
        <v>55.369926452636719</v>
      </c>
      <c r="AF37" s="59">
        <f ca="1">IFERROR(VLOOKUP(C37,WFM_DD[[Week-Year]:[Core Reg]],4,FALSE),IF(ISNUMBER(OFFSET(AF37,-1,0)),OFFSET(AF37,-1,0),NA()))</f>
        <v>20.377359390258789</v>
      </c>
      <c r="AG37" s="59">
        <f ca="1">IFERROR(VLOOKUP(C37,WFM_DD[[Week-Year]:[Core Reg]],5,FALSE),IF(ISNUMBER(OFFSET(AG37,-1,0)),OFFSET(AG37,-1,0),NA()))</f>
        <v>24.242424011230469</v>
      </c>
      <c r="AH37" s="62">
        <f ca="1">IFERROR(VLOOKUP(C37,RTen_DD[[Week-Year]:[Core Reg]],4,FALSE),IF(ISNUMBER(OFFSET(AH37,-1,0)),OFFSET(AH37,-1,0),NA()))</f>
        <v>0</v>
      </c>
      <c r="AI37" s="62">
        <f ca="1">IFERROR(VLOOKUP(C37,RTen_DD[[Week-Year]:[Core Reg]],5,FALSE)/100,IF(ISNUMBER(OFFSET(AI37,-1,0)),OFFSET(AI37,-1,0),NA()))</f>
        <v>0.36503337860107421</v>
      </c>
      <c r="AJ37" s="62">
        <f ca="1">DD_Table[[#This Row],[TDM_Ext_Reg]]</f>
        <v>18.348623275756836</v>
      </c>
      <c r="AK37" s="62">
        <f ca="1">DD_Table[[#This Row],[Coles_Ext_Reg]]</f>
        <v>4.1308088302612305</v>
      </c>
      <c r="AL37" s="62">
        <f ca="1">DD_Table[[#This Row],[WOW_Ext_Reg]]</f>
        <v>12.343470573425293</v>
      </c>
      <c r="AM37" s="62">
        <f ca="1">DD_Table[[#This Row],[SSL_Ext_Reg]]</f>
        <v>42.163661956787109</v>
      </c>
      <c r="AN37" s="62">
        <f ca="1">DD_Table[[#This Row],[WFM_Ext_Reg]]</f>
        <v>20.377359390258789</v>
      </c>
      <c r="AO37" s="62">
        <f t="array" aca="1" ref="AO37" ca="1">IFERROR(AVERAGE(IF(ISNUMBER(DD_Table[[#This Row],[TDM_Avg]:[WFM_Avg]]),DD_Table[[#This Row],[TDM_Avg]:[WFM_Avg]]))/100,NA())</f>
        <v>0.19472784805297852</v>
      </c>
      <c r="AP37" s="62">
        <f t="array" aca="1" ref="AP37" ca="1">MAX(IF(ISERROR(DD_Table[[TDM_Avg]:[WFM_Avg]]),0,DD_Table[[TDM_Avg]:[WFM_Avg]]))*1.1</f>
        <v>48.107883834838873</v>
      </c>
      <c r="AQ37" s="62">
        <f t="array" aca="1" ref="AQ37" ca="1">MAX(IF(ISERROR(DD_Table[[TDM_Ext_Reg]:[WFM_Core_Reg]]),0,DD_Table[[TDM_Ext_Reg]:[WFM_Core_Reg]]))</f>
        <v>61.538463592529297</v>
      </c>
      <c r="AR37" s="65">
        <f ca="1">IFERROR(VLOOKUP(C37,TDM_DD[[Week-Year]:[DDP]],6,FALSE),IF(ISNUMBER(OFFSET(AR37,-1,0)),OFFSET(AR37,-1,0),NA()))</f>
        <v>0.24516129032258063</v>
      </c>
      <c r="AS37" s="65">
        <f ca="1">IFERROR(VLOOKUP(C37,Coles_DD[[Week-Year]:[DDP]],6,FALSE),IF(ISNUMBER(OFFSET(AS37,-1,0)),OFFSET(AS37,-1,0),NA()))</f>
        <v>0.18516674962667995</v>
      </c>
      <c r="AT37" s="65">
        <f ca="1">IFERROR(VLOOKUP(C37,WOW_DD[[Week-Year]:[DDP]],6,FALSE),IF(ISNUMBER(OFFSET(AT37,-1,0)),OFFSET(AT37,-1,0),NA()))</f>
        <v>0.35086181711948583</v>
      </c>
      <c r="AU37" s="65">
        <f ca="1">IFERROR(VLOOKUP(C37,SSL_DD[[Week-Year]:[DDP]],6,FALSE),IF(ISNUMBER(OFFSET(AU37,-1,0)),OFFSET(AU37,-1,0),NA()))</f>
        <v>0.32415902140672781</v>
      </c>
      <c r="AV37" s="65">
        <f ca="1">IFERROR(VLOOKUP(C37,WFM_DD[[Week-Year]:[DDP]],6,FALSE),IF(ISNUMBER(OFFSET(AV37,-1,0)),OFFSET(AV37,-1,0),NA()))</f>
        <v>0.23175182481751824</v>
      </c>
      <c r="AW37" s="65">
        <f t="array" aca="1" ref="AW37" ca="1">IFERROR(AVERAGE(IF(ISNUMBER(DD_Table[[#This Row],[TDM_DDP]:[WFM_DDP]]),DD_Table[[#This Row],[TDM_DDP]:[WFM_DDP]])),NA())</f>
        <v>0.26742014065859854</v>
      </c>
      <c r="AX37" s="65">
        <f t="array" aca="1" ref="AX37" ca="1">IFERROR(MAX(IF(ISNUMBER(DD_Table[[TDM_DDP]:[WFM_DDP]]),DD_Table[[TDM_DDP]:[WFM_DDP]])),NA())</f>
        <v>0.68</v>
      </c>
      <c r="AY37" s="88">
        <f ca="1">IFERROR(VLOOKUP(C37,RTen_DD[[Week-Year]:[Core DDP]],6,FALSE),IF(ISNUMBER(VLOOKUP(C37,RTen_DD[[Week-Year]:[Core DDP]],6,FALSE)),OFFSET(AY37,-1,0),OFFSET(AY37,-1,0)))</f>
        <v>0.22496536254882812</v>
      </c>
      <c r="AZ37" s="65"/>
      <c r="BA37" s="65"/>
      <c r="BC37">
        <v>35</v>
      </c>
      <c r="BE37">
        <v>0</v>
      </c>
      <c r="BF37">
        <v>0</v>
      </c>
      <c r="BG37">
        <v>0</v>
      </c>
      <c r="BI37">
        <v>3</v>
      </c>
      <c r="BO37" s="71"/>
      <c r="BP37" s="71">
        <f>MAX(Med_Table[[TDM]:[WFM]])</f>
        <v>29</v>
      </c>
      <c r="DN37" s="74"/>
      <c r="DO37" s="74"/>
      <c r="DP37" s="30"/>
      <c r="DQ37" s="30"/>
      <c r="DR37" s="30"/>
      <c r="DS37" s="30"/>
      <c r="DT37" s="30"/>
      <c r="DU37" s="30"/>
      <c r="DV37" s="30"/>
      <c r="DW37" s="30"/>
    </row>
    <row r="38" spans="1:127">
      <c r="A38" s="69">
        <f t="shared" si="6"/>
        <v>41899</v>
      </c>
      <c r="B38" s="70">
        <f t="shared" si="4"/>
        <v>38</v>
      </c>
      <c r="C38" s="70">
        <f t="shared" si="5"/>
        <v>382014</v>
      </c>
      <c r="D38" s="57">
        <f ca="1">IFERROR(VLOOKUP(C38,TDM_DD[[Week-Year]:[DD]],2,FALSE),IF(ISNUMBER(OFFSET(D38,-1,0)),OFFSET(D38,-1,0),NA()))</f>
        <v>19</v>
      </c>
      <c r="E38" s="58">
        <f ca="1">IFERROR(VLOOKUP(C38,Coles_DD[[Week-Year]:[DD]],2,FALSE),IF(ISNUMBER(OFFSET(E38,-1,0)),OFFSET(E38,-1,0),NA()))</f>
        <v>2205</v>
      </c>
      <c r="F38" s="58">
        <f ca="1">IFERROR(VLOOKUP(C38,WOW_DD[[Week-Year]:[DD]],2,FALSE),IF(ISNUMBER(OFFSET(F38,-1,0)),OFFSET(F38,-1,0),NA()))</f>
        <v>2822</v>
      </c>
      <c r="G38" s="57">
        <f ca="1">IFERROR(VLOOKUP(C38,SSL_DD[[Week-Year]:[DD]],2,FALSE),IF(ISNUMBER(OFFSET(G38,-1,0)),OFFSET(G38,-1,0),NA()))</f>
        <v>410</v>
      </c>
      <c r="H38" s="58">
        <f ca="1">IFERROR(VLOOKUP(C38,WFM_DD[[Week-Year]:[DD]],2,FALSE),IF(ISNUMBER(OFFSET(H38,-1,0)),OFFSET(H38,-1,0),NA()))</f>
        <v>171</v>
      </c>
      <c r="I38" s="57">
        <f ca="1">IFERROR(VLOOKUP(C38,RTen_DD[[Week-Year]:[DD]],2,FALSE),IF(ISNUMBER(OFFSET(I38,-1,0)),OFFSET(I38,-1,0),NA()))</f>
        <v>6009</v>
      </c>
      <c r="J38" s="57">
        <f ca="1">IFERROR(VLOOKUP(C38,TDM_DD[[Week-Year]:[DD]],3,FALSE),IF(ISNUMBER(OFFSET(J38,-1,0)),OFFSET(J38,-1,0),NA()))</f>
        <v>5.736842155456543</v>
      </c>
      <c r="K38" s="57">
        <f ca="1">IFERROR(VLOOKUP(C38,Coles_DD[[Week-Year]:[DD]],3,FALSE),IF(ISNUMBER(OFFSET(K38,-1,0)),OFFSET(K38,-1,0),NA()))</f>
        <v>0.52698415517807007</v>
      </c>
      <c r="L38" s="57">
        <f ca="1">IFERROR(VLOOKUP(C38,WOW_DD[[Week-Year]:[DD]],3,FALSE),IF(ISNUMBER(OFFSET(L38,-1,0)),OFFSET(L38,-1,0),NA()))</f>
        <v>0.59425938129425049</v>
      </c>
      <c r="M38" s="57">
        <f ca="1">IFERROR(VLOOKUP(C38,SSL_DD[[Week-Year]:[DD]],3,FALSE),IF(ISNUMBER(OFFSET(M38,-1,0)),OFFSET(M38,-1,0),NA()))</f>
        <v>3.5170731544494629</v>
      </c>
      <c r="N38" s="57">
        <f ca="1">IFERROR(VLOOKUP(C38,WFM_DD[[Week-Year]:[DD]],3,FALSE),IF(ISNUMBER(OFFSET(N38,-1,0)),OFFSET(N38,-1,0),NA()))</f>
        <v>1.5497076511383057</v>
      </c>
      <c r="O38" s="57">
        <f ca="1">IFERROR(VLOOKUP(C38,RTen_DD[[Week-Year]:[DD]],3,FALSE),IF(ISNUMBER(OFFSET(O38,-1,0)),OFFSET(O38,-1,0),NA()))</f>
        <v>1.3211848735809326</v>
      </c>
      <c r="P38" s="57">
        <f t="array" aca="1" ref="P38" ca="1">AVERAGE(IF(ISNUMBER(DD_Table[[#This Row],[TDM_DD]:[WFM_DD]]),DD_Table[[#This Row],[TDM_DD]:[WFM_DD]]))</f>
        <v>2.3849732995033266</v>
      </c>
      <c r="Q38" s="57">
        <f t="array" aca="1" ref="Q38" ca="1">MAX(IF(ISERROR(DD_Table[[TDM_DD]:[WFM_DD]]),0,DD_Table[[TDM_DD]:[WFM_DD]]))*0.8</f>
        <v>12.322580718994141</v>
      </c>
      <c r="R38" s="57">
        <v>0.5</v>
      </c>
      <c r="S38" s="57">
        <v>0.5</v>
      </c>
      <c r="T38" s="57">
        <v>0.5</v>
      </c>
      <c r="U38" s="57">
        <v>0.5</v>
      </c>
      <c r="V38" s="57">
        <v>0.5</v>
      </c>
      <c r="W38" s="57">
        <v>0.5</v>
      </c>
      <c r="X38" s="59">
        <f ca="1">IFERROR(VLOOKUP(C38,TDM_DD[[Week-Year]:[Core Reg]],4,FALSE),IF(ISNUMBER(OFFSET(X38,-1,0)),OFFSET(X38,-1,0),NA()))</f>
        <v>18.348623275756836</v>
      </c>
      <c r="Y38" s="59">
        <f ca="1">IFERROR(VLOOKUP(C38,TDM_DD[[Week-Year]:[Core Reg]],5,FALSE),IF(ISNUMBER(OFFSET(Y38,-1,0)),OFFSET(Y38,-1,0),NA()))</f>
        <v>36.842105865478516</v>
      </c>
      <c r="Z38" s="59">
        <f ca="1">IFERROR(VLOOKUP(C38,Coles_DD[[Week-Year]:[Core Reg]],4,FALSE),IF(ISNUMBER(OFFSET(Z38,-1,0)),OFFSET(Z38,-1,0),NA()))</f>
        <v>4.1308088302612305</v>
      </c>
      <c r="AA38" s="59">
        <f ca="1">IFERROR(VLOOKUP(C38,Coles_DD[[Week-Year]:[Core Reg]],5,FALSE),IF(ISNUMBER(OFFSET(AA38,-1,0)),OFFSET(AA38,-1,0),NA()))</f>
        <v>6.5068492889404297</v>
      </c>
      <c r="AB38" s="59">
        <f ca="1">IFERROR(VLOOKUP(C38,WOW_DD[[Week-Year]:[Core Reg]],4,FALSE),IF(ISNUMBER(OFFSET(AB38,-1,0)),OFFSET(AB38,-1,0),NA()))</f>
        <v>12.343470573425293</v>
      </c>
      <c r="AC38" s="59">
        <f ca="1">IFERROR(VLOOKUP(C38,WOW_DD[[Week-Year]:[Core Reg]],5,FALSE),IF(ISNUMBER(OFFSET(AC38,-1,0)),OFFSET(AC38,-1,0),NA()))</f>
        <v>14.126016616821289</v>
      </c>
      <c r="AD38" s="59">
        <f ca="1">IFERROR(VLOOKUP(C38,SSL_DD[[Week-Year]:[Core Reg]],4,FALSE),IF(ISNUMBER(OFFSET(AD38,-1,0)),OFFSET(AD38,-1,0),NA()))</f>
        <v>42.163661956787109</v>
      </c>
      <c r="AE38" s="59">
        <f ca="1">IFERROR(VLOOKUP(C38,SSL_DD[[Week-Year]:[Core Reg]],5,FALSE),IF(ISNUMBER(OFFSET(AE38,-1,0)),OFFSET(AE38,-1,0),NA()))</f>
        <v>55.369926452636719</v>
      </c>
      <c r="AF38" s="59">
        <f ca="1">IFERROR(VLOOKUP(C38,WFM_DD[[Week-Year]:[Core Reg]],4,FALSE),IF(ISNUMBER(OFFSET(AF38,-1,0)),OFFSET(AF38,-1,0),NA()))</f>
        <v>20.377359390258789</v>
      </c>
      <c r="AG38" s="59">
        <f ca="1">IFERROR(VLOOKUP(C38,WFM_DD[[Week-Year]:[Core Reg]],5,FALSE),IF(ISNUMBER(OFFSET(AG38,-1,0)),OFFSET(AG38,-1,0),NA()))</f>
        <v>24.242424011230469</v>
      </c>
      <c r="AH38" s="62">
        <f ca="1">IFERROR(VLOOKUP(C38,RTen_DD[[Week-Year]:[Core Reg]],4,FALSE),IF(ISNUMBER(OFFSET(AH38,-1,0)),OFFSET(AH38,-1,0),NA()))</f>
        <v>0</v>
      </c>
      <c r="AI38" s="62">
        <f ca="1">IFERROR(VLOOKUP(C38,RTen_DD[[Week-Year]:[Core Reg]],5,FALSE)/100,IF(ISNUMBER(OFFSET(AI38,-1,0)),OFFSET(AI38,-1,0),NA()))</f>
        <v>0.36503337860107421</v>
      </c>
      <c r="AJ38" s="62">
        <f ca="1">DD_Table[[#This Row],[TDM_Ext_Reg]]</f>
        <v>18.348623275756836</v>
      </c>
      <c r="AK38" s="62">
        <f ca="1">DD_Table[[#This Row],[Coles_Ext_Reg]]</f>
        <v>4.1308088302612305</v>
      </c>
      <c r="AL38" s="62">
        <f ca="1">DD_Table[[#This Row],[WOW_Ext_Reg]]</f>
        <v>12.343470573425293</v>
      </c>
      <c r="AM38" s="62">
        <f ca="1">DD_Table[[#This Row],[SSL_Ext_Reg]]</f>
        <v>42.163661956787109</v>
      </c>
      <c r="AN38" s="62">
        <f ca="1">DD_Table[[#This Row],[WFM_Ext_Reg]]</f>
        <v>20.377359390258789</v>
      </c>
      <c r="AO38" s="62">
        <f t="array" aca="1" ref="AO38" ca="1">IFERROR(AVERAGE(IF(ISNUMBER(DD_Table[[#This Row],[TDM_Avg]:[WFM_Avg]]),DD_Table[[#This Row],[TDM_Avg]:[WFM_Avg]]))/100,NA())</f>
        <v>0.19472784805297852</v>
      </c>
      <c r="AP38" s="62">
        <f t="array" aca="1" ref="AP38" ca="1">MAX(IF(ISERROR(DD_Table[[TDM_Avg]:[WFM_Avg]]),0,DD_Table[[TDM_Avg]:[WFM_Avg]]))*1.1</f>
        <v>48.107883834838873</v>
      </c>
      <c r="AQ38" s="62">
        <f t="array" aca="1" ref="AQ38" ca="1">MAX(IF(ISERROR(DD_Table[[TDM_Ext_Reg]:[WFM_Core_Reg]]),0,DD_Table[[TDM_Ext_Reg]:[WFM_Core_Reg]]))</f>
        <v>61.538463592529297</v>
      </c>
      <c r="AR38" s="65">
        <f ca="1">IFERROR(VLOOKUP(C38,TDM_DD[[Week-Year]:[DDP]],6,FALSE),IF(ISNUMBER(OFFSET(AR38,-1,0)),OFFSET(AR38,-1,0),NA()))</f>
        <v>0.24516129032258063</v>
      </c>
      <c r="AS38" s="65">
        <f ca="1">IFERROR(VLOOKUP(C38,Coles_DD[[Week-Year]:[DDP]],6,FALSE),IF(ISNUMBER(OFFSET(AS38,-1,0)),OFFSET(AS38,-1,0),NA()))</f>
        <v>0.18516674962667995</v>
      </c>
      <c r="AT38" s="65">
        <f ca="1">IFERROR(VLOOKUP(C38,WOW_DD[[Week-Year]:[DDP]],6,FALSE),IF(ISNUMBER(OFFSET(AT38,-1,0)),OFFSET(AT38,-1,0),NA()))</f>
        <v>0.35086181711948583</v>
      </c>
      <c r="AU38" s="65">
        <f ca="1">IFERROR(VLOOKUP(C38,SSL_DD[[Week-Year]:[DDP]],6,FALSE),IF(ISNUMBER(OFFSET(AU38,-1,0)),OFFSET(AU38,-1,0),NA()))</f>
        <v>0.32415902140672781</v>
      </c>
      <c r="AV38" s="65">
        <f ca="1">IFERROR(VLOOKUP(C38,WFM_DD[[Week-Year]:[DDP]],6,FALSE),IF(ISNUMBER(OFFSET(AV38,-1,0)),OFFSET(AV38,-1,0),NA()))</f>
        <v>0.23175182481751824</v>
      </c>
      <c r="AW38" s="65">
        <f t="array" aca="1" ref="AW38" ca="1">IFERROR(AVERAGE(IF(ISNUMBER(DD_Table[[#This Row],[TDM_DDP]:[WFM_DDP]]),DD_Table[[#This Row],[TDM_DDP]:[WFM_DDP]])),NA())</f>
        <v>0.26742014065859854</v>
      </c>
      <c r="AX38" s="65">
        <f t="array" aca="1" ref="AX38" ca="1">IFERROR(MAX(IF(ISNUMBER(DD_Table[[TDM_DDP]:[WFM_DDP]]),DD_Table[[TDM_DDP]:[WFM_DDP]])),NA())</f>
        <v>0.68</v>
      </c>
      <c r="AY38" s="88">
        <f ca="1">IFERROR(VLOOKUP(C38,RTen_DD[[Week-Year]:[Core DDP]],6,FALSE),IF(ISNUMBER(VLOOKUP(C38,RTen_DD[[Week-Year]:[Core DDP]],6,FALSE)),OFFSET(AY38,-1,0),OFFSET(AY38,-1,0)))</f>
        <v>0.22496536254882812</v>
      </c>
      <c r="AZ38" s="65"/>
      <c r="BA38" s="65"/>
      <c r="BC38">
        <v>36</v>
      </c>
      <c r="BE38">
        <v>0</v>
      </c>
      <c r="BF38">
        <v>0</v>
      </c>
      <c r="BG38">
        <v>0</v>
      </c>
      <c r="BI38">
        <v>0</v>
      </c>
      <c r="BO38" s="71"/>
      <c r="BP38" s="71">
        <f>MAX(Med_Table[[TDM]:[WFM]])</f>
        <v>29</v>
      </c>
      <c r="DN38" s="74"/>
      <c r="DO38" s="74"/>
      <c r="DP38" s="30"/>
      <c r="DQ38" s="30"/>
      <c r="DR38" s="30"/>
      <c r="DS38" s="30"/>
      <c r="DT38" s="30"/>
      <c r="DU38" s="30"/>
      <c r="DV38" s="30"/>
      <c r="DW38" s="30"/>
    </row>
    <row r="39" spans="1:127">
      <c r="A39" s="69">
        <f t="shared" si="6"/>
        <v>41906</v>
      </c>
      <c r="B39" s="70">
        <f t="shared" si="4"/>
        <v>39</v>
      </c>
      <c r="C39" s="70">
        <f t="shared" si="5"/>
        <v>392014</v>
      </c>
      <c r="D39" s="57">
        <f ca="1">IFERROR(VLOOKUP(C39,TDM_DD[[Week-Year]:[DD]],2,FALSE),IF(ISNUMBER(OFFSET(D39,-1,0)),OFFSET(D39,-1,0),NA()))</f>
        <v>19</v>
      </c>
      <c r="E39" s="58">
        <f ca="1">IFERROR(VLOOKUP(C39,Coles_DD[[Week-Year]:[DD]],2,FALSE),IF(ISNUMBER(OFFSET(E39,-1,0)),OFFSET(E39,-1,0),NA()))</f>
        <v>2205</v>
      </c>
      <c r="F39" s="58">
        <f ca="1">IFERROR(VLOOKUP(C39,WOW_DD[[Week-Year]:[DD]],2,FALSE),IF(ISNUMBER(OFFSET(F39,-1,0)),OFFSET(F39,-1,0),NA()))</f>
        <v>2822</v>
      </c>
      <c r="G39" s="57">
        <f ca="1">IFERROR(VLOOKUP(C39,SSL_DD[[Week-Year]:[DD]],2,FALSE),IF(ISNUMBER(OFFSET(G39,-1,0)),OFFSET(G39,-1,0),NA()))</f>
        <v>410</v>
      </c>
      <c r="H39" s="58">
        <f ca="1">IFERROR(VLOOKUP(C39,WFM_DD[[Week-Year]:[DD]],2,FALSE),IF(ISNUMBER(OFFSET(H39,-1,0)),OFFSET(H39,-1,0),NA()))</f>
        <v>171</v>
      </c>
      <c r="I39" s="57">
        <f ca="1">IFERROR(VLOOKUP(C39,RTen_DD[[Week-Year]:[DD]],2,FALSE),IF(ISNUMBER(OFFSET(I39,-1,0)),OFFSET(I39,-1,0),NA()))</f>
        <v>6009</v>
      </c>
      <c r="J39" s="57">
        <f ca="1">IFERROR(VLOOKUP(C39,TDM_DD[[Week-Year]:[DD]],3,FALSE),IF(ISNUMBER(OFFSET(J39,-1,0)),OFFSET(J39,-1,0),NA()))</f>
        <v>5.736842155456543</v>
      </c>
      <c r="K39" s="57">
        <f ca="1">IFERROR(VLOOKUP(C39,Coles_DD[[Week-Year]:[DD]],3,FALSE),IF(ISNUMBER(OFFSET(K39,-1,0)),OFFSET(K39,-1,0),NA()))</f>
        <v>0.52698415517807007</v>
      </c>
      <c r="L39" s="57">
        <f ca="1">IFERROR(VLOOKUP(C39,WOW_DD[[Week-Year]:[DD]],3,FALSE),IF(ISNUMBER(OFFSET(L39,-1,0)),OFFSET(L39,-1,0),NA()))</f>
        <v>0.59425938129425049</v>
      </c>
      <c r="M39" s="57">
        <f ca="1">IFERROR(VLOOKUP(C39,SSL_DD[[Week-Year]:[DD]],3,FALSE),IF(ISNUMBER(OFFSET(M39,-1,0)),OFFSET(M39,-1,0),NA()))</f>
        <v>3.5170731544494629</v>
      </c>
      <c r="N39" s="57">
        <f ca="1">IFERROR(VLOOKUP(C39,WFM_DD[[Week-Year]:[DD]],3,FALSE),IF(ISNUMBER(OFFSET(N39,-1,0)),OFFSET(N39,-1,0),NA()))</f>
        <v>1.5497076511383057</v>
      </c>
      <c r="O39" s="57">
        <f ca="1">IFERROR(VLOOKUP(C39,RTen_DD[[Week-Year]:[DD]],3,FALSE),IF(ISNUMBER(OFFSET(O39,-1,0)),OFFSET(O39,-1,0),NA()))</f>
        <v>1.3211848735809326</v>
      </c>
      <c r="P39" s="57">
        <f t="array" aca="1" ref="P39" ca="1">AVERAGE(IF(ISNUMBER(DD_Table[[#This Row],[TDM_DD]:[WFM_DD]]),DD_Table[[#This Row],[TDM_DD]:[WFM_DD]]))</f>
        <v>2.3849732995033266</v>
      </c>
      <c r="Q39" s="57">
        <f t="array" aca="1" ref="Q39" ca="1">MAX(IF(ISERROR(DD_Table[[TDM_DD]:[WFM_DD]]),0,DD_Table[[TDM_DD]:[WFM_DD]]))*0.8</f>
        <v>12.322580718994141</v>
      </c>
      <c r="R39" s="57">
        <v>0.5</v>
      </c>
      <c r="S39" s="57">
        <v>0.5</v>
      </c>
      <c r="T39" s="57">
        <v>0.5</v>
      </c>
      <c r="U39" s="57">
        <v>0.5</v>
      </c>
      <c r="V39" s="57">
        <v>0.5</v>
      </c>
      <c r="W39" s="57">
        <v>0.5</v>
      </c>
      <c r="X39" s="59">
        <f ca="1">IFERROR(VLOOKUP(C39,TDM_DD[[Week-Year]:[Core Reg]],4,FALSE),IF(ISNUMBER(OFFSET(X39,-1,0)),OFFSET(X39,-1,0),NA()))</f>
        <v>18.348623275756836</v>
      </c>
      <c r="Y39" s="59">
        <f ca="1">IFERROR(VLOOKUP(C39,TDM_DD[[Week-Year]:[Core Reg]],5,FALSE),IF(ISNUMBER(OFFSET(Y39,-1,0)),OFFSET(Y39,-1,0),NA()))</f>
        <v>36.842105865478516</v>
      </c>
      <c r="Z39" s="59">
        <f ca="1">IFERROR(VLOOKUP(C39,Coles_DD[[Week-Year]:[Core Reg]],4,FALSE),IF(ISNUMBER(OFFSET(Z39,-1,0)),OFFSET(Z39,-1,0),NA()))</f>
        <v>4.1308088302612305</v>
      </c>
      <c r="AA39" s="59">
        <f ca="1">IFERROR(VLOOKUP(C39,Coles_DD[[Week-Year]:[Core Reg]],5,FALSE),IF(ISNUMBER(OFFSET(AA39,-1,0)),OFFSET(AA39,-1,0),NA()))</f>
        <v>6.5068492889404297</v>
      </c>
      <c r="AB39" s="59">
        <f ca="1">IFERROR(VLOOKUP(C39,WOW_DD[[Week-Year]:[Core Reg]],4,FALSE),IF(ISNUMBER(OFFSET(AB39,-1,0)),OFFSET(AB39,-1,0),NA()))</f>
        <v>12.343470573425293</v>
      </c>
      <c r="AC39" s="59">
        <f ca="1">IFERROR(VLOOKUP(C39,WOW_DD[[Week-Year]:[Core Reg]],5,FALSE),IF(ISNUMBER(OFFSET(AC39,-1,0)),OFFSET(AC39,-1,0),NA()))</f>
        <v>14.126016616821289</v>
      </c>
      <c r="AD39" s="59">
        <f ca="1">IFERROR(VLOOKUP(C39,SSL_DD[[Week-Year]:[Core Reg]],4,FALSE),IF(ISNUMBER(OFFSET(AD39,-1,0)),OFFSET(AD39,-1,0),NA()))</f>
        <v>42.163661956787109</v>
      </c>
      <c r="AE39" s="59">
        <f ca="1">IFERROR(VLOOKUP(C39,SSL_DD[[Week-Year]:[Core Reg]],5,FALSE),IF(ISNUMBER(OFFSET(AE39,-1,0)),OFFSET(AE39,-1,0),NA()))</f>
        <v>55.369926452636719</v>
      </c>
      <c r="AF39" s="59">
        <f ca="1">IFERROR(VLOOKUP(C39,WFM_DD[[Week-Year]:[Core Reg]],4,FALSE),IF(ISNUMBER(OFFSET(AF39,-1,0)),OFFSET(AF39,-1,0),NA()))</f>
        <v>20.377359390258789</v>
      </c>
      <c r="AG39" s="59">
        <f ca="1">IFERROR(VLOOKUP(C39,WFM_DD[[Week-Year]:[Core Reg]],5,FALSE),IF(ISNUMBER(OFFSET(AG39,-1,0)),OFFSET(AG39,-1,0),NA()))</f>
        <v>24.242424011230469</v>
      </c>
      <c r="AH39" s="62">
        <f ca="1">IFERROR(VLOOKUP(C39,RTen_DD[[Week-Year]:[Core Reg]],4,FALSE),IF(ISNUMBER(OFFSET(AH39,-1,0)),OFFSET(AH39,-1,0),NA()))</f>
        <v>0</v>
      </c>
      <c r="AI39" s="62">
        <f ca="1">IFERROR(VLOOKUP(C39,RTen_DD[[Week-Year]:[Core Reg]],5,FALSE)/100,IF(ISNUMBER(OFFSET(AI39,-1,0)),OFFSET(AI39,-1,0),NA()))</f>
        <v>0.36503337860107421</v>
      </c>
      <c r="AJ39" s="62">
        <f ca="1">DD_Table[[#This Row],[TDM_Ext_Reg]]</f>
        <v>18.348623275756836</v>
      </c>
      <c r="AK39" s="62">
        <f ca="1">DD_Table[[#This Row],[Coles_Ext_Reg]]</f>
        <v>4.1308088302612305</v>
      </c>
      <c r="AL39" s="62">
        <f ca="1">DD_Table[[#This Row],[WOW_Ext_Reg]]</f>
        <v>12.343470573425293</v>
      </c>
      <c r="AM39" s="62">
        <f ca="1">DD_Table[[#This Row],[SSL_Ext_Reg]]</f>
        <v>42.163661956787109</v>
      </c>
      <c r="AN39" s="62">
        <f ca="1">DD_Table[[#This Row],[WFM_Ext_Reg]]</f>
        <v>20.377359390258789</v>
      </c>
      <c r="AO39" s="62">
        <f t="array" aca="1" ref="AO39" ca="1">IFERROR(AVERAGE(IF(ISNUMBER(DD_Table[[#This Row],[TDM_Avg]:[WFM_Avg]]),DD_Table[[#This Row],[TDM_Avg]:[WFM_Avg]]))/100,NA())</f>
        <v>0.19472784805297852</v>
      </c>
      <c r="AP39" s="62">
        <f t="array" aca="1" ref="AP39" ca="1">MAX(IF(ISERROR(DD_Table[[TDM_Avg]:[WFM_Avg]]),0,DD_Table[[TDM_Avg]:[WFM_Avg]]))*1.1</f>
        <v>48.107883834838873</v>
      </c>
      <c r="AQ39" s="62">
        <f t="array" aca="1" ref="AQ39" ca="1">MAX(IF(ISERROR(DD_Table[[TDM_Ext_Reg]:[WFM_Core_Reg]]),0,DD_Table[[TDM_Ext_Reg]:[WFM_Core_Reg]]))</f>
        <v>61.538463592529297</v>
      </c>
      <c r="AR39" s="65">
        <f ca="1">IFERROR(VLOOKUP(C39,TDM_DD[[Week-Year]:[DDP]],6,FALSE),IF(ISNUMBER(OFFSET(AR39,-1,0)),OFFSET(AR39,-1,0),NA()))</f>
        <v>0.24516129032258063</v>
      </c>
      <c r="AS39" s="65">
        <f ca="1">IFERROR(VLOOKUP(C39,Coles_DD[[Week-Year]:[DDP]],6,FALSE),IF(ISNUMBER(OFFSET(AS39,-1,0)),OFFSET(AS39,-1,0),NA()))</f>
        <v>0.18516674962667995</v>
      </c>
      <c r="AT39" s="65">
        <f ca="1">IFERROR(VLOOKUP(C39,WOW_DD[[Week-Year]:[DDP]],6,FALSE),IF(ISNUMBER(OFFSET(AT39,-1,0)),OFFSET(AT39,-1,0),NA()))</f>
        <v>0.35086181711948583</v>
      </c>
      <c r="AU39" s="65">
        <f ca="1">IFERROR(VLOOKUP(C39,SSL_DD[[Week-Year]:[DDP]],6,FALSE),IF(ISNUMBER(OFFSET(AU39,-1,0)),OFFSET(AU39,-1,0),NA()))</f>
        <v>0.32415902140672781</v>
      </c>
      <c r="AV39" s="65">
        <f ca="1">IFERROR(VLOOKUP(C39,WFM_DD[[Week-Year]:[DDP]],6,FALSE),IF(ISNUMBER(OFFSET(AV39,-1,0)),OFFSET(AV39,-1,0),NA()))</f>
        <v>0.23175182481751824</v>
      </c>
      <c r="AW39" s="65">
        <f t="array" aca="1" ref="AW39" ca="1">IFERROR(AVERAGE(IF(ISNUMBER(DD_Table[[#This Row],[TDM_DDP]:[WFM_DDP]]),DD_Table[[#This Row],[TDM_DDP]:[WFM_DDP]])),NA())</f>
        <v>0.26742014065859854</v>
      </c>
      <c r="AX39" s="65">
        <f t="array" aca="1" ref="AX39" ca="1">IFERROR(MAX(IF(ISNUMBER(DD_Table[[TDM_DDP]:[WFM_DDP]]),DD_Table[[TDM_DDP]:[WFM_DDP]])),NA())</f>
        <v>0.68</v>
      </c>
      <c r="AY39" s="88">
        <f ca="1">IFERROR(VLOOKUP(C39,RTen_DD[[Week-Year]:[Core DDP]],6,FALSE),IF(ISNUMBER(VLOOKUP(C39,RTen_DD[[Week-Year]:[Core DDP]],6,FALSE)),OFFSET(AY39,-1,0),OFFSET(AY39,-1,0)))</f>
        <v>0.22496536254882812</v>
      </c>
      <c r="AZ39" s="65"/>
      <c r="BA39" s="65"/>
      <c r="BC39">
        <v>37</v>
      </c>
      <c r="BE39">
        <v>0</v>
      </c>
      <c r="BF39">
        <v>0</v>
      </c>
      <c r="BG39">
        <v>0</v>
      </c>
      <c r="BI39">
        <v>2</v>
      </c>
      <c r="BO39" s="71"/>
      <c r="BP39" s="71">
        <f>MAX(Med_Table[[TDM]:[WFM]])</f>
        <v>29</v>
      </c>
      <c r="DN39" s="74"/>
      <c r="DO39" s="74"/>
      <c r="DP39" s="30"/>
      <c r="DQ39" s="30"/>
      <c r="DR39" s="30"/>
      <c r="DS39" s="30"/>
      <c r="DT39" s="30"/>
      <c r="DU39" s="30"/>
      <c r="DV39" s="30"/>
      <c r="DW39" s="30"/>
    </row>
    <row r="40" spans="1:127">
      <c r="A40" s="69">
        <f t="shared" si="6"/>
        <v>41913</v>
      </c>
      <c r="B40" s="70">
        <f t="shared" si="4"/>
        <v>40</v>
      </c>
      <c r="C40" s="70">
        <f t="shared" si="5"/>
        <v>402014</v>
      </c>
      <c r="D40" s="57">
        <f ca="1">IFERROR(VLOOKUP(C40,TDM_DD[[Week-Year]:[DD]],2,FALSE),IF(ISNUMBER(OFFSET(D40,-1,0)),OFFSET(D40,-1,0),NA()))</f>
        <v>19</v>
      </c>
      <c r="E40" s="58">
        <f ca="1">IFERROR(VLOOKUP(C40,Coles_DD[[Week-Year]:[DD]],2,FALSE),IF(ISNUMBER(OFFSET(E40,-1,0)),OFFSET(E40,-1,0),NA()))</f>
        <v>2205</v>
      </c>
      <c r="F40" s="58">
        <f ca="1">IFERROR(VLOOKUP(C40,WOW_DD[[Week-Year]:[DD]],2,FALSE),IF(ISNUMBER(OFFSET(F40,-1,0)),OFFSET(F40,-1,0),NA()))</f>
        <v>2822</v>
      </c>
      <c r="G40" s="57">
        <f ca="1">IFERROR(VLOOKUP(C40,SSL_DD[[Week-Year]:[DD]],2,FALSE),IF(ISNUMBER(OFFSET(G40,-1,0)),OFFSET(G40,-1,0),NA()))</f>
        <v>410</v>
      </c>
      <c r="H40" s="58">
        <f ca="1">IFERROR(VLOOKUP(C40,WFM_DD[[Week-Year]:[DD]],2,FALSE),IF(ISNUMBER(OFFSET(H40,-1,0)),OFFSET(H40,-1,0),NA()))</f>
        <v>171</v>
      </c>
      <c r="I40" s="57">
        <f ca="1">IFERROR(VLOOKUP(C40,RTen_DD[[Week-Year]:[DD]],2,FALSE),IF(ISNUMBER(OFFSET(I40,-1,0)),OFFSET(I40,-1,0),NA()))</f>
        <v>6009</v>
      </c>
      <c r="J40" s="57">
        <f ca="1">IFERROR(VLOOKUP(C40,TDM_DD[[Week-Year]:[DD]],3,FALSE),IF(ISNUMBER(OFFSET(J40,-1,0)),OFFSET(J40,-1,0),NA()))</f>
        <v>5.736842155456543</v>
      </c>
      <c r="K40" s="57">
        <f ca="1">IFERROR(VLOOKUP(C40,Coles_DD[[Week-Year]:[DD]],3,FALSE),IF(ISNUMBER(OFFSET(K40,-1,0)),OFFSET(K40,-1,0),NA()))</f>
        <v>0.52698415517807007</v>
      </c>
      <c r="L40" s="57">
        <f ca="1">IFERROR(VLOOKUP(C40,WOW_DD[[Week-Year]:[DD]],3,FALSE),IF(ISNUMBER(OFFSET(L40,-1,0)),OFFSET(L40,-1,0),NA()))</f>
        <v>0.59425938129425049</v>
      </c>
      <c r="M40" s="57">
        <f ca="1">IFERROR(VLOOKUP(C40,SSL_DD[[Week-Year]:[DD]],3,FALSE),IF(ISNUMBER(OFFSET(M40,-1,0)),OFFSET(M40,-1,0),NA()))</f>
        <v>3.5170731544494629</v>
      </c>
      <c r="N40" s="57">
        <f ca="1">IFERROR(VLOOKUP(C40,WFM_DD[[Week-Year]:[DD]],3,FALSE),IF(ISNUMBER(OFFSET(N40,-1,0)),OFFSET(N40,-1,0),NA()))</f>
        <v>1.5497076511383057</v>
      </c>
      <c r="O40" s="57">
        <f ca="1">IFERROR(VLOOKUP(C40,RTen_DD[[Week-Year]:[DD]],3,FALSE),IF(ISNUMBER(OFFSET(O40,-1,0)),OFFSET(O40,-1,0),NA()))</f>
        <v>1.3211848735809326</v>
      </c>
      <c r="P40" s="57">
        <f t="array" aca="1" ref="P40" ca="1">AVERAGE(IF(ISNUMBER(DD_Table[[#This Row],[TDM_DD]:[WFM_DD]]),DD_Table[[#This Row],[TDM_DD]:[WFM_DD]]))</f>
        <v>2.3849732995033266</v>
      </c>
      <c r="Q40" s="57">
        <f t="array" aca="1" ref="Q40" ca="1">MAX(IF(ISERROR(DD_Table[[TDM_DD]:[WFM_DD]]),0,DD_Table[[TDM_DD]:[WFM_DD]]))*0.8</f>
        <v>12.322580718994141</v>
      </c>
      <c r="R40" s="57">
        <v>0.5</v>
      </c>
      <c r="S40" s="57">
        <v>0.5</v>
      </c>
      <c r="T40" s="57">
        <v>0.5</v>
      </c>
      <c r="U40" s="57">
        <v>0.5</v>
      </c>
      <c r="V40" s="57">
        <v>0.5</v>
      </c>
      <c r="W40" s="57">
        <v>0.5</v>
      </c>
      <c r="X40" s="59">
        <f ca="1">IFERROR(VLOOKUP(C40,TDM_DD[[Week-Year]:[Core Reg]],4,FALSE),IF(ISNUMBER(OFFSET(X40,-1,0)),OFFSET(X40,-1,0),NA()))</f>
        <v>18.348623275756836</v>
      </c>
      <c r="Y40" s="59">
        <f ca="1">IFERROR(VLOOKUP(C40,TDM_DD[[Week-Year]:[Core Reg]],5,FALSE),IF(ISNUMBER(OFFSET(Y40,-1,0)),OFFSET(Y40,-1,0),NA()))</f>
        <v>36.842105865478516</v>
      </c>
      <c r="Z40" s="59">
        <f ca="1">IFERROR(VLOOKUP(C40,Coles_DD[[Week-Year]:[Core Reg]],4,FALSE),IF(ISNUMBER(OFFSET(Z40,-1,0)),OFFSET(Z40,-1,0),NA()))</f>
        <v>4.1308088302612305</v>
      </c>
      <c r="AA40" s="59">
        <f ca="1">IFERROR(VLOOKUP(C40,Coles_DD[[Week-Year]:[Core Reg]],5,FALSE),IF(ISNUMBER(OFFSET(AA40,-1,0)),OFFSET(AA40,-1,0),NA()))</f>
        <v>6.5068492889404297</v>
      </c>
      <c r="AB40" s="59">
        <f ca="1">IFERROR(VLOOKUP(C40,WOW_DD[[Week-Year]:[Core Reg]],4,FALSE),IF(ISNUMBER(OFFSET(AB40,-1,0)),OFFSET(AB40,-1,0),NA()))</f>
        <v>12.343470573425293</v>
      </c>
      <c r="AC40" s="59">
        <f ca="1">IFERROR(VLOOKUP(C40,WOW_DD[[Week-Year]:[Core Reg]],5,FALSE),IF(ISNUMBER(OFFSET(AC40,-1,0)),OFFSET(AC40,-1,0),NA()))</f>
        <v>14.126016616821289</v>
      </c>
      <c r="AD40" s="59">
        <f ca="1">IFERROR(VLOOKUP(C40,SSL_DD[[Week-Year]:[Core Reg]],4,FALSE),IF(ISNUMBER(OFFSET(AD40,-1,0)),OFFSET(AD40,-1,0),NA()))</f>
        <v>42.163661956787109</v>
      </c>
      <c r="AE40" s="59">
        <f ca="1">IFERROR(VLOOKUP(C40,SSL_DD[[Week-Year]:[Core Reg]],5,FALSE),IF(ISNUMBER(OFFSET(AE40,-1,0)),OFFSET(AE40,-1,0),NA()))</f>
        <v>55.369926452636719</v>
      </c>
      <c r="AF40" s="59">
        <f ca="1">IFERROR(VLOOKUP(C40,WFM_DD[[Week-Year]:[Core Reg]],4,FALSE),IF(ISNUMBER(OFFSET(AF40,-1,0)),OFFSET(AF40,-1,0),NA()))</f>
        <v>20.377359390258789</v>
      </c>
      <c r="AG40" s="59">
        <f ca="1">IFERROR(VLOOKUP(C40,WFM_DD[[Week-Year]:[Core Reg]],5,FALSE),IF(ISNUMBER(OFFSET(AG40,-1,0)),OFFSET(AG40,-1,0),NA()))</f>
        <v>24.242424011230469</v>
      </c>
      <c r="AH40" s="62">
        <f ca="1">IFERROR(VLOOKUP(C40,RTen_DD[[Week-Year]:[Core Reg]],4,FALSE),IF(ISNUMBER(OFFSET(AH40,-1,0)),OFFSET(AH40,-1,0),NA()))</f>
        <v>0</v>
      </c>
      <c r="AI40" s="62">
        <f ca="1">IFERROR(VLOOKUP(C40,RTen_DD[[Week-Year]:[Core Reg]],5,FALSE)/100,IF(ISNUMBER(OFFSET(AI40,-1,0)),OFFSET(AI40,-1,0),NA()))</f>
        <v>0.36503337860107421</v>
      </c>
      <c r="AJ40" s="62">
        <f ca="1">DD_Table[[#This Row],[TDM_Ext_Reg]]</f>
        <v>18.348623275756836</v>
      </c>
      <c r="AK40" s="62">
        <f ca="1">DD_Table[[#This Row],[Coles_Ext_Reg]]</f>
        <v>4.1308088302612305</v>
      </c>
      <c r="AL40" s="62">
        <f ca="1">DD_Table[[#This Row],[WOW_Ext_Reg]]</f>
        <v>12.343470573425293</v>
      </c>
      <c r="AM40" s="62">
        <f ca="1">DD_Table[[#This Row],[SSL_Ext_Reg]]</f>
        <v>42.163661956787109</v>
      </c>
      <c r="AN40" s="62">
        <f ca="1">DD_Table[[#This Row],[WFM_Ext_Reg]]</f>
        <v>20.377359390258789</v>
      </c>
      <c r="AO40" s="62">
        <f t="array" aca="1" ref="AO40" ca="1">IFERROR(AVERAGE(IF(ISNUMBER(DD_Table[[#This Row],[TDM_Avg]:[WFM_Avg]]),DD_Table[[#This Row],[TDM_Avg]:[WFM_Avg]]))/100,NA())</f>
        <v>0.19472784805297852</v>
      </c>
      <c r="AP40" s="62">
        <f t="array" aca="1" ref="AP40" ca="1">MAX(IF(ISERROR(DD_Table[[TDM_Avg]:[WFM_Avg]]),0,DD_Table[[TDM_Avg]:[WFM_Avg]]))*1.1</f>
        <v>48.107883834838873</v>
      </c>
      <c r="AQ40" s="62">
        <f t="array" aca="1" ref="AQ40" ca="1">MAX(IF(ISERROR(DD_Table[[TDM_Ext_Reg]:[WFM_Core_Reg]]),0,DD_Table[[TDM_Ext_Reg]:[WFM_Core_Reg]]))</f>
        <v>61.538463592529297</v>
      </c>
      <c r="AR40" s="65">
        <f ca="1">IFERROR(VLOOKUP(C40,TDM_DD[[Week-Year]:[DDP]],6,FALSE),IF(ISNUMBER(OFFSET(AR40,-1,0)),OFFSET(AR40,-1,0),NA()))</f>
        <v>0.24516129032258063</v>
      </c>
      <c r="AS40" s="65">
        <f ca="1">IFERROR(VLOOKUP(C40,Coles_DD[[Week-Year]:[DDP]],6,FALSE),IF(ISNUMBER(OFFSET(AS40,-1,0)),OFFSET(AS40,-1,0),NA()))</f>
        <v>0.18516674962667995</v>
      </c>
      <c r="AT40" s="65">
        <f ca="1">IFERROR(VLOOKUP(C40,WOW_DD[[Week-Year]:[DDP]],6,FALSE),IF(ISNUMBER(OFFSET(AT40,-1,0)),OFFSET(AT40,-1,0),NA()))</f>
        <v>0.35086181711948583</v>
      </c>
      <c r="AU40" s="65">
        <f ca="1">IFERROR(VLOOKUP(C40,SSL_DD[[Week-Year]:[DDP]],6,FALSE),IF(ISNUMBER(OFFSET(AU40,-1,0)),OFFSET(AU40,-1,0),NA()))</f>
        <v>0.32415902140672781</v>
      </c>
      <c r="AV40" s="65">
        <f ca="1">IFERROR(VLOOKUP(C40,WFM_DD[[Week-Year]:[DDP]],6,FALSE),IF(ISNUMBER(OFFSET(AV40,-1,0)),OFFSET(AV40,-1,0),NA()))</f>
        <v>0.23175182481751824</v>
      </c>
      <c r="AW40" s="65">
        <f t="array" aca="1" ref="AW40" ca="1">IFERROR(AVERAGE(IF(ISNUMBER(DD_Table[[#This Row],[TDM_DDP]:[WFM_DDP]]),DD_Table[[#This Row],[TDM_DDP]:[WFM_DDP]])),NA())</f>
        <v>0.26742014065859854</v>
      </c>
      <c r="AX40" s="65">
        <f t="array" aca="1" ref="AX40" ca="1">IFERROR(MAX(IF(ISNUMBER(DD_Table[[TDM_DDP]:[WFM_DDP]]),DD_Table[[TDM_DDP]:[WFM_DDP]])),NA())</f>
        <v>0.68</v>
      </c>
      <c r="AY40" s="88">
        <f ca="1">IFERROR(VLOOKUP(C40,RTen_DD[[Week-Year]:[Core DDP]],6,FALSE),IF(ISNUMBER(VLOOKUP(C40,RTen_DD[[Week-Year]:[Core DDP]],6,FALSE)),OFFSET(AY40,-1,0),OFFSET(AY40,-1,0)))</f>
        <v>0.22496536254882812</v>
      </c>
      <c r="AZ40" s="65"/>
      <c r="BA40" s="65"/>
      <c r="BC40">
        <v>38</v>
      </c>
      <c r="BE40">
        <v>0</v>
      </c>
      <c r="BF40">
        <v>0</v>
      </c>
      <c r="BG40">
        <v>0</v>
      </c>
      <c r="BI40">
        <v>3</v>
      </c>
      <c r="BO40" s="71"/>
      <c r="BP40" s="71">
        <f>MAX(Med_Table[[TDM]:[WFM]])</f>
        <v>29</v>
      </c>
      <c r="DN40" s="74"/>
      <c r="DO40" s="74"/>
      <c r="DP40" s="30"/>
      <c r="DQ40" s="30"/>
      <c r="DR40" s="30"/>
      <c r="DS40" s="30"/>
      <c r="DT40" s="30"/>
      <c r="DU40" s="30"/>
      <c r="DV40" s="30"/>
      <c r="DW40" s="30"/>
    </row>
    <row r="41" spans="1:127">
      <c r="A41" s="69">
        <f t="shared" si="6"/>
        <v>41920</v>
      </c>
      <c r="B41" s="70">
        <f t="shared" si="4"/>
        <v>41</v>
      </c>
      <c r="C41" s="70">
        <f t="shared" si="5"/>
        <v>412014</v>
      </c>
      <c r="D41" s="57">
        <f ca="1">IFERROR(VLOOKUP(C41,TDM_DD[[Week-Year]:[DD]],2,FALSE),IF(ISNUMBER(OFFSET(D41,-1,0)),OFFSET(D41,-1,0),NA()))</f>
        <v>19</v>
      </c>
      <c r="E41" s="58">
        <f ca="1">IFERROR(VLOOKUP(C41,Coles_DD[[Week-Year]:[DD]],2,FALSE),IF(ISNUMBER(OFFSET(E41,-1,0)),OFFSET(E41,-1,0),NA()))</f>
        <v>2205</v>
      </c>
      <c r="F41" s="58">
        <f ca="1">IFERROR(VLOOKUP(C41,WOW_DD[[Week-Year]:[DD]],2,FALSE),IF(ISNUMBER(OFFSET(F41,-1,0)),OFFSET(F41,-1,0),NA()))</f>
        <v>2822</v>
      </c>
      <c r="G41" s="57">
        <f ca="1">IFERROR(VLOOKUP(C41,SSL_DD[[Week-Year]:[DD]],2,FALSE),IF(ISNUMBER(OFFSET(G41,-1,0)),OFFSET(G41,-1,0),NA()))</f>
        <v>410</v>
      </c>
      <c r="H41" s="58">
        <f ca="1">IFERROR(VLOOKUP(C41,WFM_DD[[Week-Year]:[DD]],2,FALSE),IF(ISNUMBER(OFFSET(H41,-1,0)),OFFSET(H41,-1,0),NA()))</f>
        <v>171</v>
      </c>
      <c r="I41" s="57">
        <f ca="1">IFERROR(VLOOKUP(C41,RTen_DD[[Week-Year]:[DD]],2,FALSE),IF(ISNUMBER(OFFSET(I41,-1,0)),OFFSET(I41,-1,0),NA()))</f>
        <v>6009</v>
      </c>
      <c r="J41" s="57">
        <f ca="1">IFERROR(VLOOKUP(C41,TDM_DD[[Week-Year]:[DD]],3,FALSE),IF(ISNUMBER(OFFSET(J41,-1,0)),OFFSET(J41,-1,0),NA()))</f>
        <v>5.736842155456543</v>
      </c>
      <c r="K41" s="57">
        <f ca="1">IFERROR(VLOOKUP(C41,Coles_DD[[Week-Year]:[DD]],3,FALSE),IF(ISNUMBER(OFFSET(K41,-1,0)),OFFSET(K41,-1,0),NA()))</f>
        <v>0.52698415517807007</v>
      </c>
      <c r="L41" s="57">
        <f ca="1">IFERROR(VLOOKUP(C41,WOW_DD[[Week-Year]:[DD]],3,FALSE),IF(ISNUMBER(OFFSET(L41,-1,0)),OFFSET(L41,-1,0),NA()))</f>
        <v>0.59425938129425049</v>
      </c>
      <c r="M41" s="57">
        <f ca="1">IFERROR(VLOOKUP(C41,SSL_DD[[Week-Year]:[DD]],3,FALSE),IF(ISNUMBER(OFFSET(M41,-1,0)),OFFSET(M41,-1,0),NA()))</f>
        <v>3.5170731544494629</v>
      </c>
      <c r="N41" s="57">
        <f ca="1">IFERROR(VLOOKUP(C41,WFM_DD[[Week-Year]:[DD]],3,FALSE),IF(ISNUMBER(OFFSET(N41,-1,0)),OFFSET(N41,-1,0),NA()))</f>
        <v>1.5497076511383057</v>
      </c>
      <c r="O41" s="57">
        <f ca="1">IFERROR(VLOOKUP(C41,RTen_DD[[Week-Year]:[DD]],3,FALSE),IF(ISNUMBER(OFFSET(O41,-1,0)),OFFSET(O41,-1,0),NA()))</f>
        <v>1.3211848735809326</v>
      </c>
      <c r="P41" s="57">
        <f t="array" aca="1" ref="P41" ca="1">AVERAGE(IF(ISNUMBER(DD_Table[[#This Row],[TDM_DD]:[WFM_DD]]),DD_Table[[#This Row],[TDM_DD]:[WFM_DD]]))</f>
        <v>2.3849732995033266</v>
      </c>
      <c r="Q41" s="57">
        <f t="array" aca="1" ref="Q41" ca="1">MAX(IF(ISERROR(DD_Table[[TDM_DD]:[WFM_DD]]),0,DD_Table[[TDM_DD]:[WFM_DD]]))*0.8</f>
        <v>12.322580718994141</v>
      </c>
      <c r="R41" s="57">
        <v>0.5</v>
      </c>
      <c r="S41" s="57">
        <v>0.5</v>
      </c>
      <c r="T41" s="57">
        <v>0.5</v>
      </c>
      <c r="U41" s="57">
        <v>0.5</v>
      </c>
      <c r="V41" s="57">
        <v>0.5</v>
      </c>
      <c r="W41" s="57">
        <v>0.5</v>
      </c>
      <c r="X41" s="59">
        <f ca="1">IFERROR(VLOOKUP(C41,TDM_DD[[Week-Year]:[Core Reg]],4,FALSE),IF(ISNUMBER(OFFSET(X41,-1,0)),OFFSET(X41,-1,0),NA()))</f>
        <v>18.348623275756836</v>
      </c>
      <c r="Y41" s="59">
        <f ca="1">IFERROR(VLOOKUP(C41,TDM_DD[[Week-Year]:[Core Reg]],5,FALSE),IF(ISNUMBER(OFFSET(Y41,-1,0)),OFFSET(Y41,-1,0),NA()))</f>
        <v>36.842105865478516</v>
      </c>
      <c r="Z41" s="59">
        <f ca="1">IFERROR(VLOOKUP(C41,Coles_DD[[Week-Year]:[Core Reg]],4,FALSE),IF(ISNUMBER(OFFSET(Z41,-1,0)),OFFSET(Z41,-1,0),NA()))</f>
        <v>4.1308088302612305</v>
      </c>
      <c r="AA41" s="59">
        <f ca="1">IFERROR(VLOOKUP(C41,Coles_DD[[Week-Year]:[Core Reg]],5,FALSE),IF(ISNUMBER(OFFSET(AA41,-1,0)),OFFSET(AA41,-1,0),NA()))</f>
        <v>6.5068492889404297</v>
      </c>
      <c r="AB41" s="59">
        <f ca="1">IFERROR(VLOOKUP(C41,WOW_DD[[Week-Year]:[Core Reg]],4,FALSE),IF(ISNUMBER(OFFSET(AB41,-1,0)),OFFSET(AB41,-1,0),NA()))</f>
        <v>12.343470573425293</v>
      </c>
      <c r="AC41" s="59">
        <f ca="1">IFERROR(VLOOKUP(C41,WOW_DD[[Week-Year]:[Core Reg]],5,FALSE),IF(ISNUMBER(OFFSET(AC41,-1,0)),OFFSET(AC41,-1,0),NA()))</f>
        <v>14.126016616821289</v>
      </c>
      <c r="AD41" s="59">
        <f ca="1">IFERROR(VLOOKUP(C41,SSL_DD[[Week-Year]:[Core Reg]],4,FALSE),IF(ISNUMBER(OFFSET(AD41,-1,0)),OFFSET(AD41,-1,0),NA()))</f>
        <v>42.163661956787109</v>
      </c>
      <c r="AE41" s="59">
        <f ca="1">IFERROR(VLOOKUP(C41,SSL_DD[[Week-Year]:[Core Reg]],5,FALSE),IF(ISNUMBER(OFFSET(AE41,-1,0)),OFFSET(AE41,-1,0),NA()))</f>
        <v>55.369926452636719</v>
      </c>
      <c r="AF41" s="59">
        <f ca="1">IFERROR(VLOOKUP(C41,WFM_DD[[Week-Year]:[Core Reg]],4,FALSE),IF(ISNUMBER(OFFSET(AF41,-1,0)),OFFSET(AF41,-1,0),NA()))</f>
        <v>20.377359390258789</v>
      </c>
      <c r="AG41" s="59">
        <f ca="1">IFERROR(VLOOKUP(C41,WFM_DD[[Week-Year]:[Core Reg]],5,FALSE),IF(ISNUMBER(OFFSET(AG41,-1,0)),OFFSET(AG41,-1,0),NA()))</f>
        <v>24.242424011230469</v>
      </c>
      <c r="AH41" s="62">
        <f ca="1">IFERROR(VLOOKUP(C41,RTen_DD[[Week-Year]:[Core Reg]],4,FALSE),IF(ISNUMBER(OFFSET(AH41,-1,0)),OFFSET(AH41,-1,0),NA()))</f>
        <v>0</v>
      </c>
      <c r="AI41" s="62">
        <f ca="1">IFERROR(VLOOKUP(C41,RTen_DD[[Week-Year]:[Core Reg]],5,FALSE)/100,IF(ISNUMBER(OFFSET(AI41,-1,0)),OFFSET(AI41,-1,0),NA()))</f>
        <v>0.36503337860107421</v>
      </c>
      <c r="AJ41" s="62">
        <f ca="1">DD_Table[[#This Row],[TDM_Ext_Reg]]</f>
        <v>18.348623275756836</v>
      </c>
      <c r="AK41" s="62">
        <f ca="1">DD_Table[[#This Row],[Coles_Ext_Reg]]</f>
        <v>4.1308088302612305</v>
      </c>
      <c r="AL41" s="62">
        <f ca="1">DD_Table[[#This Row],[WOW_Ext_Reg]]</f>
        <v>12.343470573425293</v>
      </c>
      <c r="AM41" s="62">
        <f ca="1">DD_Table[[#This Row],[SSL_Ext_Reg]]</f>
        <v>42.163661956787109</v>
      </c>
      <c r="AN41" s="62">
        <f ca="1">DD_Table[[#This Row],[WFM_Ext_Reg]]</f>
        <v>20.377359390258789</v>
      </c>
      <c r="AO41" s="62">
        <f t="array" aca="1" ref="AO41" ca="1">IFERROR(AVERAGE(IF(ISNUMBER(DD_Table[[#This Row],[TDM_Avg]:[WFM_Avg]]),DD_Table[[#This Row],[TDM_Avg]:[WFM_Avg]]))/100,NA())</f>
        <v>0.19472784805297852</v>
      </c>
      <c r="AP41" s="62">
        <f t="array" aca="1" ref="AP41" ca="1">MAX(IF(ISERROR(DD_Table[[TDM_Avg]:[WFM_Avg]]),0,DD_Table[[TDM_Avg]:[WFM_Avg]]))*1.1</f>
        <v>48.107883834838873</v>
      </c>
      <c r="AQ41" s="62">
        <f t="array" aca="1" ref="AQ41" ca="1">MAX(IF(ISERROR(DD_Table[[TDM_Ext_Reg]:[WFM_Core_Reg]]),0,DD_Table[[TDM_Ext_Reg]:[WFM_Core_Reg]]))</f>
        <v>61.538463592529297</v>
      </c>
      <c r="AR41" s="65">
        <f ca="1">IFERROR(VLOOKUP(C41,TDM_DD[[Week-Year]:[DDP]],6,FALSE),IF(ISNUMBER(OFFSET(AR41,-1,0)),OFFSET(AR41,-1,0),NA()))</f>
        <v>0.24516129032258063</v>
      </c>
      <c r="AS41" s="65">
        <f ca="1">IFERROR(VLOOKUP(C41,Coles_DD[[Week-Year]:[DDP]],6,FALSE),IF(ISNUMBER(OFFSET(AS41,-1,0)),OFFSET(AS41,-1,0),NA()))</f>
        <v>0.18516674962667995</v>
      </c>
      <c r="AT41" s="65">
        <f ca="1">IFERROR(VLOOKUP(C41,WOW_DD[[Week-Year]:[DDP]],6,FALSE),IF(ISNUMBER(OFFSET(AT41,-1,0)),OFFSET(AT41,-1,0),NA()))</f>
        <v>0.35086181711948583</v>
      </c>
      <c r="AU41" s="65">
        <f ca="1">IFERROR(VLOOKUP(C41,SSL_DD[[Week-Year]:[DDP]],6,FALSE),IF(ISNUMBER(OFFSET(AU41,-1,0)),OFFSET(AU41,-1,0),NA()))</f>
        <v>0.32415902140672781</v>
      </c>
      <c r="AV41" s="65">
        <f ca="1">IFERROR(VLOOKUP(C41,WFM_DD[[Week-Year]:[DDP]],6,FALSE),IF(ISNUMBER(OFFSET(AV41,-1,0)),OFFSET(AV41,-1,0),NA()))</f>
        <v>0.23175182481751824</v>
      </c>
      <c r="AW41" s="65">
        <f t="array" aca="1" ref="AW41" ca="1">IFERROR(AVERAGE(IF(ISNUMBER(DD_Table[[#This Row],[TDM_DDP]:[WFM_DDP]]),DD_Table[[#This Row],[TDM_DDP]:[WFM_DDP]])),NA())</f>
        <v>0.26742014065859854</v>
      </c>
      <c r="AX41" s="65">
        <f t="array" aca="1" ref="AX41" ca="1">IFERROR(MAX(IF(ISNUMBER(DD_Table[[TDM_DDP]:[WFM_DDP]]),DD_Table[[TDM_DDP]:[WFM_DDP]])),NA())</f>
        <v>0.68</v>
      </c>
      <c r="AY41" s="88">
        <f ca="1">IFERROR(VLOOKUP(C41,RTen_DD[[Week-Year]:[Core DDP]],6,FALSE),IF(ISNUMBER(VLOOKUP(C41,RTen_DD[[Week-Year]:[Core DDP]],6,FALSE)),OFFSET(AY41,-1,0),OFFSET(AY41,-1,0)))</f>
        <v>0.22496536254882812</v>
      </c>
      <c r="AZ41" s="65"/>
      <c r="BA41" s="65"/>
      <c r="BC41">
        <v>39</v>
      </c>
      <c r="BE41">
        <v>0</v>
      </c>
      <c r="BF41">
        <v>0</v>
      </c>
      <c r="BG41">
        <v>0</v>
      </c>
      <c r="BI41">
        <v>1</v>
      </c>
      <c r="BO41" s="71"/>
      <c r="BP41" s="71">
        <f>MAX(Med_Table[[TDM]:[WFM]])</f>
        <v>29</v>
      </c>
      <c r="DN41" s="74"/>
      <c r="DO41" s="74"/>
      <c r="DP41" s="30"/>
      <c r="DQ41" s="30"/>
      <c r="DR41" s="30"/>
      <c r="DS41" s="30"/>
      <c r="DT41" s="30"/>
      <c r="DU41" s="30"/>
      <c r="DV41" s="30"/>
      <c r="DW41" s="30"/>
    </row>
    <row r="42" spans="1:127">
      <c r="A42" s="69">
        <f t="shared" si="6"/>
        <v>41927</v>
      </c>
      <c r="B42" s="70">
        <f t="shared" si="4"/>
        <v>42</v>
      </c>
      <c r="C42" s="70">
        <f t="shared" si="5"/>
        <v>422014</v>
      </c>
      <c r="D42" s="57">
        <f ca="1">IFERROR(VLOOKUP(C42,TDM_DD[[Week-Year]:[DD]],2,FALSE),IF(ISNUMBER(OFFSET(D42,-1,0)),OFFSET(D42,-1,0),NA()))</f>
        <v>19</v>
      </c>
      <c r="E42" s="58">
        <f ca="1">IFERROR(VLOOKUP(C42,Coles_DD[[Week-Year]:[DD]],2,FALSE),IF(ISNUMBER(OFFSET(E42,-1,0)),OFFSET(E42,-1,0),NA()))</f>
        <v>2205</v>
      </c>
      <c r="F42" s="58">
        <f ca="1">IFERROR(VLOOKUP(C42,WOW_DD[[Week-Year]:[DD]],2,FALSE),IF(ISNUMBER(OFFSET(F42,-1,0)),OFFSET(F42,-1,0),NA()))</f>
        <v>2822</v>
      </c>
      <c r="G42" s="57">
        <f ca="1">IFERROR(VLOOKUP(C42,SSL_DD[[Week-Year]:[DD]],2,FALSE),IF(ISNUMBER(OFFSET(G42,-1,0)),OFFSET(G42,-1,0),NA()))</f>
        <v>410</v>
      </c>
      <c r="H42" s="58">
        <f ca="1">IFERROR(VLOOKUP(C42,WFM_DD[[Week-Year]:[DD]],2,FALSE),IF(ISNUMBER(OFFSET(H42,-1,0)),OFFSET(H42,-1,0),NA()))</f>
        <v>171</v>
      </c>
      <c r="I42" s="57">
        <f ca="1">IFERROR(VLOOKUP(C42,RTen_DD[[Week-Year]:[DD]],2,FALSE),IF(ISNUMBER(OFFSET(I42,-1,0)),OFFSET(I42,-1,0),NA()))</f>
        <v>6009</v>
      </c>
      <c r="J42" s="57">
        <f ca="1">IFERROR(VLOOKUP(C42,TDM_DD[[Week-Year]:[DD]],3,FALSE),IF(ISNUMBER(OFFSET(J42,-1,0)),OFFSET(J42,-1,0),NA()))</f>
        <v>5.736842155456543</v>
      </c>
      <c r="K42" s="57">
        <f ca="1">IFERROR(VLOOKUP(C42,Coles_DD[[Week-Year]:[DD]],3,FALSE),IF(ISNUMBER(OFFSET(K42,-1,0)),OFFSET(K42,-1,0),NA()))</f>
        <v>0.52698415517807007</v>
      </c>
      <c r="L42" s="57">
        <f ca="1">IFERROR(VLOOKUP(C42,WOW_DD[[Week-Year]:[DD]],3,FALSE),IF(ISNUMBER(OFFSET(L42,-1,0)),OFFSET(L42,-1,0),NA()))</f>
        <v>0.59425938129425049</v>
      </c>
      <c r="M42" s="57">
        <f ca="1">IFERROR(VLOOKUP(C42,SSL_DD[[Week-Year]:[DD]],3,FALSE),IF(ISNUMBER(OFFSET(M42,-1,0)),OFFSET(M42,-1,0),NA()))</f>
        <v>3.5170731544494629</v>
      </c>
      <c r="N42" s="57">
        <f ca="1">IFERROR(VLOOKUP(C42,WFM_DD[[Week-Year]:[DD]],3,FALSE),IF(ISNUMBER(OFFSET(N42,-1,0)),OFFSET(N42,-1,0),NA()))</f>
        <v>1.5497076511383057</v>
      </c>
      <c r="O42" s="57">
        <f ca="1">IFERROR(VLOOKUP(C42,RTen_DD[[Week-Year]:[DD]],3,FALSE),IF(ISNUMBER(OFFSET(O42,-1,0)),OFFSET(O42,-1,0),NA()))</f>
        <v>1.3211848735809326</v>
      </c>
      <c r="P42" s="57">
        <f t="array" aca="1" ref="P42" ca="1">AVERAGE(IF(ISNUMBER(DD_Table[[#This Row],[TDM_DD]:[WFM_DD]]),DD_Table[[#This Row],[TDM_DD]:[WFM_DD]]))</f>
        <v>2.3849732995033266</v>
      </c>
      <c r="Q42" s="57">
        <f t="array" aca="1" ref="Q42" ca="1">MAX(IF(ISERROR(DD_Table[[TDM_DD]:[WFM_DD]]),0,DD_Table[[TDM_DD]:[WFM_DD]]))*0.8</f>
        <v>12.322580718994141</v>
      </c>
      <c r="R42" s="57">
        <v>0.5</v>
      </c>
      <c r="S42" s="57">
        <v>0.5</v>
      </c>
      <c r="T42" s="57">
        <v>0.5</v>
      </c>
      <c r="U42" s="57">
        <v>0.5</v>
      </c>
      <c r="V42" s="57">
        <v>0.5</v>
      </c>
      <c r="W42" s="57">
        <v>0.5</v>
      </c>
      <c r="X42" s="59">
        <f ca="1">IFERROR(VLOOKUP(C42,TDM_DD[[Week-Year]:[Core Reg]],4,FALSE),IF(ISNUMBER(OFFSET(X42,-1,0)),OFFSET(X42,-1,0),NA()))</f>
        <v>18.348623275756836</v>
      </c>
      <c r="Y42" s="59">
        <f ca="1">IFERROR(VLOOKUP(C42,TDM_DD[[Week-Year]:[Core Reg]],5,FALSE),IF(ISNUMBER(OFFSET(Y42,-1,0)),OFFSET(Y42,-1,0),NA()))</f>
        <v>36.842105865478516</v>
      </c>
      <c r="Z42" s="59">
        <f ca="1">IFERROR(VLOOKUP(C42,Coles_DD[[Week-Year]:[Core Reg]],4,FALSE),IF(ISNUMBER(OFFSET(Z42,-1,0)),OFFSET(Z42,-1,0),NA()))</f>
        <v>4.1308088302612305</v>
      </c>
      <c r="AA42" s="59">
        <f ca="1">IFERROR(VLOOKUP(C42,Coles_DD[[Week-Year]:[Core Reg]],5,FALSE),IF(ISNUMBER(OFFSET(AA42,-1,0)),OFFSET(AA42,-1,0),NA()))</f>
        <v>6.5068492889404297</v>
      </c>
      <c r="AB42" s="59">
        <f ca="1">IFERROR(VLOOKUP(C42,WOW_DD[[Week-Year]:[Core Reg]],4,FALSE),IF(ISNUMBER(OFFSET(AB42,-1,0)),OFFSET(AB42,-1,0),NA()))</f>
        <v>12.343470573425293</v>
      </c>
      <c r="AC42" s="59">
        <f ca="1">IFERROR(VLOOKUP(C42,WOW_DD[[Week-Year]:[Core Reg]],5,FALSE),IF(ISNUMBER(OFFSET(AC42,-1,0)),OFFSET(AC42,-1,0),NA()))</f>
        <v>14.126016616821289</v>
      </c>
      <c r="AD42" s="59">
        <f ca="1">IFERROR(VLOOKUP(C42,SSL_DD[[Week-Year]:[Core Reg]],4,FALSE),IF(ISNUMBER(OFFSET(AD42,-1,0)),OFFSET(AD42,-1,0),NA()))</f>
        <v>42.163661956787109</v>
      </c>
      <c r="AE42" s="59">
        <f ca="1">IFERROR(VLOOKUP(C42,SSL_DD[[Week-Year]:[Core Reg]],5,FALSE),IF(ISNUMBER(OFFSET(AE42,-1,0)),OFFSET(AE42,-1,0),NA()))</f>
        <v>55.369926452636719</v>
      </c>
      <c r="AF42" s="59">
        <f ca="1">IFERROR(VLOOKUP(C42,WFM_DD[[Week-Year]:[Core Reg]],4,FALSE),IF(ISNUMBER(OFFSET(AF42,-1,0)),OFFSET(AF42,-1,0),NA()))</f>
        <v>20.377359390258789</v>
      </c>
      <c r="AG42" s="59">
        <f ca="1">IFERROR(VLOOKUP(C42,WFM_DD[[Week-Year]:[Core Reg]],5,FALSE),IF(ISNUMBER(OFFSET(AG42,-1,0)),OFFSET(AG42,-1,0),NA()))</f>
        <v>24.242424011230469</v>
      </c>
      <c r="AH42" s="62">
        <f ca="1">IFERROR(VLOOKUP(C42,RTen_DD[[Week-Year]:[Core Reg]],4,FALSE),IF(ISNUMBER(OFFSET(AH42,-1,0)),OFFSET(AH42,-1,0),NA()))</f>
        <v>0</v>
      </c>
      <c r="AI42" s="62">
        <f ca="1">IFERROR(VLOOKUP(C42,RTen_DD[[Week-Year]:[Core Reg]],5,FALSE)/100,IF(ISNUMBER(OFFSET(AI42,-1,0)),OFFSET(AI42,-1,0),NA()))</f>
        <v>0.36503337860107421</v>
      </c>
      <c r="AJ42" s="62">
        <f ca="1">DD_Table[[#This Row],[TDM_Ext_Reg]]</f>
        <v>18.348623275756836</v>
      </c>
      <c r="AK42" s="62">
        <f ca="1">DD_Table[[#This Row],[Coles_Ext_Reg]]</f>
        <v>4.1308088302612305</v>
      </c>
      <c r="AL42" s="62">
        <f ca="1">DD_Table[[#This Row],[WOW_Ext_Reg]]</f>
        <v>12.343470573425293</v>
      </c>
      <c r="AM42" s="62">
        <f ca="1">DD_Table[[#This Row],[SSL_Ext_Reg]]</f>
        <v>42.163661956787109</v>
      </c>
      <c r="AN42" s="62">
        <f ca="1">DD_Table[[#This Row],[WFM_Ext_Reg]]</f>
        <v>20.377359390258789</v>
      </c>
      <c r="AO42" s="62">
        <f t="array" aca="1" ref="AO42" ca="1">IFERROR(AVERAGE(IF(ISNUMBER(DD_Table[[#This Row],[TDM_Avg]:[WFM_Avg]]),DD_Table[[#This Row],[TDM_Avg]:[WFM_Avg]]))/100,NA())</f>
        <v>0.19472784805297852</v>
      </c>
      <c r="AP42" s="62">
        <f t="array" aca="1" ref="AP42" ca="1">MAX(IF(ISERROR(DD_Table[[TDM_Avg]:[WFM_Avg]]),0,DD_Table[[TDM_Avg]:[WFM_Avg]]))*1.1</f>
        <v>48.107883834838873</v>
      </c>
      <c r="AQ42" s="62">
        <f t="array" aca="1" ref="AQ42" ca="1">MAX(IF(ISERROR(DD_Table[[TDM_Ext_Reg]:[WFM_Core_Reg]]),0,DD_Table[[TDM_Ext_Reg]:[WFM_Core_Reg]]))</f>
        <v>61.538463592529297</v>
      </c>
      <c r="AR42" s="65">
        <f ca="1">IFERROR(VLOOKUP(C42,TDM_DD[[Week-Year]:[DDP]],6,FALSE),IF(ISNUMBER(OFFSET(AR42,-1,0)),OFFSET(AR42,-1,0),NA()))</f>
        <v>0.24516129032258063</v>
      </c>
      <c r="AS42" s="65">
        <f ca="1">IFERROR(VLOOKUP(C42,Coles_DD[[Week-Year]:[DDP]],6,FALSE),IF(ISNUMBER(OFFSET(AS42,-1,0)),OFFSET(AS42,-1,0),NA()))</f>
        <v>0.18516674962667995</v>
      </c>
      <c r="AT42" s="65">
        <f ca="1">IFERROR(VLOOKUP(C42,WOW_DD[[Week-Year]:[DDP]],6,FALSE),IF(ISNUMBER(OFFSET(AT42,-1,0)),OFFSET(AT42,-1,0),NA()))</f>
        <v>0.35086181711948583</v>
      </c>
      <c r="AU42" s="65">
        <f ca="1">IFERROR(VLOOKUP(C42,SSL_DD[[Week-Year]:[DDP]],6,FALSE),IF(ISNUMBER(OFFSET(AU42,-1,0)),OFFSET(AU42,-1,0),NA()))</f>
        <v>0.32415902140672781</v>
      </c>
      <c r="AV42" s="65">
        <f ca="1">IFERROR(VLOOKUP(C42,WFM_DD[[Week-Year]:[DDP]],6,FALSE),IF(ISNUMBER(OFFSET(AV42,-1,0)),OFFSET(AV42,-1,0),NA()))</f>
        <v>0.23175182481751824</v>
      </c>
      <c r="AW42" s="65">
        <f t="array" aca="1" ref="AW42" ca="1">IFERROR(AVERAGE(IF(ISNUMBER(DD_Table[[#This Row],[TDM_DDP]:[WFM_DDP]]),DD_Table[[#This Row],[TDM_DDP]:[WFM_DDP]])),NA())</f>
        <v>0.26742014065859854</v>
      </c>
      <c r="AX42" s="65">
        <f t="array" aca="1" ref="AX42" ca="1">IFERROR(MAX(IF(ISNUMBER(DD_Table[[TDM_DDP]:[WFM_DDP]]),DD_Table[[TDM_DDP]:[WFM_DDP]])),NA())</f>
        <v>0.68</v>
      </c>
      <c r="AY42" s="88">
        <f ca="1">IFERROR(VLOOKUP(C42,RTen_DD[[Week-Year]:[Core DDP]],6,FALSE),IF(ISNUMBER(VLOOKUP(C42,RTen_DD[[Week-Year]:[Core DDP]],6,FALSE)),OFFSET(AY42,-1,0),OFFSET(AY42,-1,0)))</f>
        <v>0.22496536254882812</v>
      </c>
      <c r="AZ42" s="65"/>
      <c r="BA42" s="65"/>
      <c r="BC42">
        <v>40</v>
      </c>
      <c r="BE42">
        <v>0</v>
      </c>
      <c r="BF42">
        <v>0</v>
      </c>
      <c r="BG42">
        <v>1</v>
      </c>
      <c r="BI42">
        <v>0</v>
      </c>
      <c r="BO42" s="71"/>
      <c r="BP42" s="71">
        <f>MAX(Med_Table[[TDM]:[WFM]])</f>
        <v>29</v>
      </c>
      <c r="DN42" s="74"/>
      <c r="DO42" s="74"/>
      <c r="DP42" s="30"/>
      <c r="DQ42" s="30"/>
      <c r="DR42" s="30"/>
      <c r="DS42" s="30"/>
      <c r="DT42" s="30"/>
      <c r="DU42" s="30"/>
      <c r="DV42" s="30"/>
      <c r="DW42" s="30"/>
    </row>
    <row r="43" spans="1:127">
      <c r="A43" s="69">
        <f t="shared" si="6"/>
        <v>41934</v>
      </c>
      <c r="B43" s="70">
        <f t="shared" si="4"/>
        <v>43</v>
      </c>
      <c r="C43" s="70">
        <f t="shared" si="5"/>
        <v>432014</v>
      </c>
      <c r="D43" s="57">
        <f ca="1">IFERROR(VLOOKUP(C43,TDM_DD[[Week-Year]:[DD]],2,FALSE),IF(ISNUMBER(OFFSET(D43,-1,0)),OFFSET(D43,-1,0),NA()))</f>
        <v>19</v>
      </c>
      <c r="E43" s="58">
        <f ca="1">IFERROR(VLOOKUP(C43,Coles_DD[[Week-Year]:[DD]],2,FALSE),IF(ISNUMBER(OFFSET(E43,-1,0)),OFFSET(E43,-1,0),NA()))</f>
        <v>2205</v>
      </c>
      <c r="F43" s="58">
        <f ca="1">IFERROR(VLOOKUP(C43,WOW_DD[[Week-Year]:[DD]],2,FALSE),IF(ISNUMBER(OFFSET(F43,-1,0)),OFFSET(F43,-1,0),NA()))</f>
        <v>2822</v>
      </c>
      <c r="G43" s="57">
        <f ca="1">IFERROR(VLOOKUP(C43,SSL_DD[[Week-Year]:[DD]],2,FALSE),IF(ISNUMBER(OFFSET(G43,-1,0)),OFFSET(G43,-1,0),NA()))</f>
        <v>410</v>
      </c>
      <c r="H43" s="58">
        <f ca="1">IFERROR(VLOOKUP(C43,WFM_DD[[Week-Year]:[DD]],2,FALSE),IF(ISNUMBER(OFFSET(H43,-1,0)),OFFSET(H43,-1,0),NA()))</f>
        <v>171</v>
      </c>
      <c r="I43" s="57">
        <f ca="1">IFERROR(VLOOKUP(C43,RTen_DD[[Week-Year]:[DD]],2,FALSE),IF(ISNUMBER(OFFSET(I43,-1,0)),OFFSET(I43,-1,0),NA()))</f>
        <v>6009</v>
      </c>
      <c r="J43" s="57">
        <f ca="1">IFERROR(VLOOKUP(C43,TDM_DD[[Week-Year]:[DD]],3,FALSE),IF(ISNUMBER(OFFSET(J43,-1,0)),OFFSET(J43,-1,0),NA()))</f>
        <v>5.736842155456543</v>
      </c>
      <c r="K43" s="57">
        <f ca="1">IFERROR(VLOOKUP(C43,Coles_DD[[Week-Year]:[DD]],3,FALSE),IF(ISNUMBER(OFFSET(K43,-1,0)),OFFSET(K43,-1,0),NA()))</f>
        <v>0.52698415517807007</v>
      </c>
      <c r="L43" s="57">
        <f ca="1">IFERROR(VLOOKUP(C43,WOW_DD[[Week-Year]:[DD]],3,FALSE),IF(ISNUMBER(OFFSET(L43,-1,0)),OFFSET(L43,-1,0),NA()))</f>
        <v>0.59425938129425049</v>
      </c>
      <c r="M43" s="57">
        <f ca="1">IFERROR(VLOOKUP(C43,SSL_DD[[Week-Year]:[DD]],3,FALSE),IF(ISNUMBER(OFFSET(M43,-1,0)),OFFSET(M43,-1,0),NA()))</f>
        <v>3.5170731544494629</v>
      </c>
      <c r="N43" s="57">
        <f ca="1">IFERROR(VLOOKUP(C43,WFM_DD[[Week-Year]:[DD]],3,FALSE),IF(ISNUMBER(OFFSET(N43,-1,0)),OFFSET(N43,-1,0),NA()))</f>
        <v>1.5497076511383057</v>
      </c>
      <c r="O43" s="57">
        <f ca="1">IFERROR(VLOOKUP(C43,RTen_DD[[Week-Year]:[DD]],3,FALSE),IF(ISNUMBER(OFFSET(O43,-1,0)),OFFSET(O43,-1,0),NA()))</f>
        <v>1.3211848735809326</v>
      </c>
      <c r="P43" s="57">
        <f t="array" aca="1" ref="P43" ca="1">AVERAGE(IF(ISNUMBER(DD_Table[[#This Row],[TDM_DD]:[WFM_DD]]),DD_Table[[#This Row],[TDM_DD]:[WFM_DD]]))</f>
        <v>2.3849732995033266</v>
      </c>
      <c r="Q43" s="57">
        <f t="array" aca="1" ref="Q43" ca="1">MAX(IF(ISERROR(DD_Table[[TDM_DD]:[WFM_DD]]),0,DD_Table[[TDM_DD]:[WFM_DD]]))*0.8</f>
        <v>12.322580718994141</v>
      </c>
      <c r="R43" s="57">
        <v>0.5</v>
      </c>
      <c r="S43" s="57">
        <v>0.5</v>
      </c>
      <c r="T43" s="57">
        <v>0.5</v>
      </c>
      <c r="U43" s="57">
        <v>0.5</v>
      </c>
      <c r="V43" s="57">
        <v>0.5</v>
      </c>
      <c r="W43" s="57">
        <v>0.5</v>
      </c>
      <c r="X43" s="59">
        <f ca="1">IFERROR(VLOOKUP(C43,TDM_DD[[Week-Year]:[Core Reg]],4,FALSE),IF(ISNUMBER(OFFSET(X43,-1,0)),OFFSET(X43,-1,0),NA()))</f>
        <v>18.348623275756836</v>
      </c>
      <c r="Y43" s="59">
        <f ca="1">IFERROR(VLOOKUP(C43,TDM_DD[[Week-Year]:[Core Reg]],5,FALSE),IF(ISNUMBER(OFFSET(Y43,-1,0)),OFFSET(Y43,-1,0),NA()))</f>
        <v>36.842105865478516</v>
      </c>
      <c r="Z43" s="59">
        <f ca="1">IFERROR(VLOOKUP(C43,Coles_DD[[Week-Year]:[Core Reg]],4,FALSE),IF(ISNUMBER(OFFSET(Z43,-1,0)),OFFSET(Z43,-1,0),NA()))</f>
        <v>4.1308088302612305</v>
      </c>
      <c r="AA43" s="59">
        <f ca="1">IFERROR(VLOOKUP(C43,Coles_DD[[Week-Year]:[Core Reg]],5,FALSE),IF(ISNUMBER(OFFSET(AA43,-1,0)),OFFSET(AA43,-1,0),NA()))</f>
        <v>6.5068492889404297</v>
      </c>
      <c r="AB43" s="59">
        <f ca="1">IFERROR(VLOOKUP(C43,WOW_DD[[Week-Year]:[Core Reg]],4,FALSE),IF(ISNUMBER(OFFSET(AB43,-1,0)),OFFSET(AB43,-1,0),NA()))</f>
        <v>12.343470573425293</v>
      </c>
      <c r="AC43" s="59">
        <f ca="1">IFERROR(VLOOKUP(C43,WOW_DD[[Week-Year]:[Core Reg]],5,FALSE),IF(ISNUMBER(OFFSET(AC43,-1,0)),OFFSET(AC43,-1,0),NA()))</f>
        <v>14.126016616821289</v>
      </c>
      <c r="AD43" s="59">
        <f ca="1">IFERROR(VLOOKUP(C43,SSL_DD[[Week-Year]:[Core Reg]],4,FALSE),IF(ISNUMBER(OFFSET(AD43,-1,0)),OFFSET(AD43,-1,0),NA()))</f>
        <v>42.163661956787109</v>
      </c>
      <c r="AE43" s="59">
        <f ca="1">IFERROR(VLOOKUP(C43,SSL_DD[[Week-Year]:[Core Reg]],5,FALSE),IF(ISNUMBER(OFFSET(AE43,-1,0)),OFFSET(AE43,-1,0),NA()))</f>
        <v>55.369926452636719</v>
      </c>
      <c r="AF43" s="59">
        <f ca="1">IFERROR(VLOOKUP(C43,WFM_DD[[Week-Year]:[Core Reg]],4,FALSE),IF(ISNUMBER(OFFSET(AF43,-1,0)),OFFSET(AF43,-1,0),NA()))</f>
        <v>20.377359390258789</v>
      </c>
      <c r="AG43" s="59">
        <f ca="1">IFERROR(VLOOKUP(C43,WFM_DD[[Week-Year]:[Core Reg]],5,FALSE),IF(ISNUMBER(OFFSET(AG43,-1,0)),OFFSET(AG43,-1,0),NA()))</f>
        <v>24.242424011230469</v>
      </c>
      <c r="AH43" s="62">
        <f ca="1">IFERROR(VLOOKUP(C43,RTen_DD[[Week-Year]:[Core Reg]],4,FALSE),IF(ISNUMBER(OFFSET(AH43,-1,0)),OFFSET(AH43,-1,0),NA()))</f>
        <v>0</v>
      </c>
      <c r="AI43" s="62">
        <f ca="1">IFERROR(VLOOKUP(C43,RTen_DD[[Week-Year]:[Core Reg]],5,FALSE)/100,IF(ISNUMBER(OFFSET(AI43,-1,0)),OFFSET(AI43,-1,0),NA()))</f>
        <v>0.36503337860107421</v>
      </c>
      <c r="AJ43" s="62">
        <f ca="1">DD_Table[[#This Row],[TDM_Ext_Reg]]</f>
        <v>18.348623275756836</v>
      </c>
      <c r="AK43" s="62">
        <f ca="1">DD_Table[[#This Row],[Coles_Ext_Reg]]</f>
        <v>4.1308088302612305</v>
      </c>
      <c r="AL43" s="62">
        <f ca="1">DD_Table[[#This Row],[WOW_Ext_Reg]]</f>
        <v>12.343470573425293</v>
      </c>
      <c r="AM43" s="62">
        <f ca="1">DD_Table[[#This Row],[SSL_Ext_Reg]]</f>
        <v>42.163661956787109</v>
      </c>
      <c r="AN43" s="62">
        <f ca="1">DD_Table[[#This Row],[WFM_Ext_Reg]]</f>
        <v>20.377359390258789</v>
      </c>
      <c r="AO43" s="62">
        <f t="array" aca="1" ref="AO43" ca="1">IFERROR(AVERAGE(IF(ISNUMBER(DD_Table[[#This Row],[TDM_Avg]:[WFM_Avg]]),DD_Table[[#This Row],[TDM_Avg]:[WFM_Avg]]))/100,NA())</f>
        <v>0.19472784805297852</v>
      </c>
      <c r="AP43" s="62">
        <f t="array" aca="1" ref="AP43" ca="1">MAX(IF(ISERROR(DD_Table[[TDM_Avg]:[WFM_Avg]]),0,DD_Table[[TDM_Avg]:[WFM_Avg]]))*1.1</f>
        <v>48.107883834838873</v>
      </c>
      <c r="AQ43" s="62">
        <f t="array" aca="1" ref="AQ43" ca="1">MAX(IF(ISERROR(DD_Table[[TDM_Ext_Reg]:[WFM_Core_Reg]]),0,DD_Table[[TDM_Ext_Reg]:[WFM_Core_Reg]]))</f>
        <v>61.538463592529297</v>
      </c>
      <c r="AR43" s="65">
        <f ca="1">IFERROR(VLOOKUP(C43,TDM_DD[[Week-Year]:[DDP]],6,FALSE),IF(ISNUMBER(OFFSET(AR43,-1,0)),OFFSET(AR43,-1,0),NA()))</f>
        <v>0.24516129032258063</v>
      </c>
      <c r="AS43" s="65">
        <f ca="1">IFERROR(VLOOKUP(C43,Coles_DD[[Week-Year]:[DDP]],6,FALSE),IF(ISNUMBER(OFFSET(AS43,-1,0)),OFFSET(AS43,-1,0),NA()))</f>
        <v>0.18516674962667995</v>
      </c>
      <c r="AT43" s="65">
        <f ca="1">IFERROR(VLOOKUP(C43,WOW_DD[[Week-Year]:[DDP]],6,FALSE),IF(ISNUMBER(OFFSET(AT43,-1,0)),OFFSET(AT43,-1,0),NA()))</f>
        <v>0.35086181711948583</v>
      </c>
      <c r="AU43" s="65">
        <f ca="1">IFERROR(VLOOKUP(C43,SSL_DD[[Week-Year]:[DDP]],6,FALSE),IF(ISNUMBER(OFFSET(AU43,-1,0)),OFFSET(AU43,-1,0),NA()))</f>
        <v>0.32415902140672781</v>
      </c>
      <c r="AV43" s="65">
        <f ca="1">IFERROR(VLOOKUP(C43,WFM_DD[[Week-Year]:[DDP]],6,FALSE),IF(ISNUMBER(OFFSET(AV43,-1,0)),OFFSET(AV43,-1,0),NA()))</f>
        <v>0.23175182481751824</v>
      </c>
      <c r="AW43" s="65">
        <f t="array" aca="1" ref="AW43" ca="1">IFERROR(AVERAGE(IF(ISNUMBER(DD_Table[[#This Row],[TDM_DDP]:[WFM_DDP]]),DD_Table[[#This Row],[TDM_DDP]:[WFM_DDP]])),NA())</f>
        <v>0.26742014065859854</v>
      </c>
      <c r="AX43" s="65">
        <f t="array" aca="1" ref="AX43" ca="1">IFERROR(MAX(IF(ISNUMBER(DD_Table[[TDM_DDP]:[WFM_DDP]]),DD_Table[[TDM_DDP]:[WFM_DDP]])),NA())</f>
        <v>0.68</v>
      </c>
      <c r="AY43" s="88">
        <f ca="1">IFERROR(VLOOKUP(C43,RTen_DD[[Week-Year]:[Core DDP]],6,FALSE),IF(ISNUMBER(VLOOKUP(C43,RTen_DD[[Week-Year]:[Core DDP]],6,FALSE)),OFFSET(AY43,-1,0),OFFSET(AY43,-1,0)))</f>
        <v>0.22496536254882812</v>
      </c>
      <c r="AZ43" s="65"/>
      <c r="BA43" s="65"/>
      <c r="BC43">
        <v>41</v>
      </c>
      <c r="BE43">
        <v>0</v>
      </c>
      <c r="BF43">
        <v>0</v>
      </c>
      <c r="BG43">
        <v>0</v>
      </c>
      <c r="BI43">
        <v>0</v>
      </c>
      <c r="BO43" s="71"/>
      <c r="BP43" s="71">
        <f>MAX(Med_Table[[TDM]:[WFM]])</f>
        <v>29</v>
      </c>
      <c r="DN43" s="74"/>
      <c r="DO43" s="74"/>
      <c r="DP43" s="30"/>
      <c r="DQ43" s="30"/>
      <c r="DR43" s="30"/>
      <c r="DS43" s="30"/>
      <c r="DT43" s="30"/>
      <c r="DU43" s="30"/>
      <c r="DV43" s="30"/>
      <c r="DW43" s="30"/>
    </row>
    <row r="44" spans="1:127">
      <c r="A44" s="69">
        <f t="shared" si="6"/>
        <v>41941</v>
      </c>
      <c r="B44" s="70">
        <f t="shared" si="4"/>
        <v>44</v>
      </c>
      <c r="C44" s="70">
        <f t="shared" si="5"/>
        <v>442014</v>
      </c>
      <c r="D44" s="57">
        <f ca="1">IFERROR(VLOOKUP(C44,TDM_DD[[Week-Year]:[DD]],2,FALSE),IF(ISNUMBER(OFFSET(D44,-1,0)),OFFSET(D44,-1,0),NA()))</f>
        <v>19</v>
      </c>
      <c r="E44" s="58">
        <f ca="1">IFERROR(VLOOKUP(C44,Coles_DD[[Week-Year]:[DD]],2,FALSE),IF(ISNUMBER(OFFSET(E44,-1,0)),OFFSET(E44,-1,0),NA()))</f>
        <v>2205</v>
      </c>
      <c r="F44" s="58">
        <f ca="1">IFERROR(VLOOKUP(C44,WOW_DD[[Week-Year]:[DD]],2,FALSE),IF(ISNUMBER(OFFSET(F44,-1,0)),OFFSET(F44,-1,0),NA()))</f>
        <v>2822</v>
      </c>
      <c r="G44" s="57">
        <f ca="1">IFERROR(VLOOKUP(C44,SSL_DD[[Week-Year]:[DD]],2,FALSE),IF(ISNUMBER(OFFSET(G44,-1,0)),OFFSET(G44,-1,0),NA()))</f>
        <v>410</v>
      </c>
      <c r="H44" s="58">
        <f ca="1">IFERROR(VLOOKUP(C44,WFM_DD[[Week-Year]:[DD]],2,FALSE),IF(ISNUMBER(OFFSET(H44,-1,0)),OFFSET(H44,-1,0),NA()))</f>
        <v>171</v>
      </c>
      <c r="I44" s="57">
        <f ca="1">IFERROR(VLOOKUP(C44,RTen_DD[[Week-Year]:[DD]],2,FALSE),IF(ISNUMBER(OFFSET(I44,-1,0)),OFFSET(I44,-1,0),NA()))</f>
        <v>6009</v>
      </c>
      <c r="J44" s="57">
        <f ca="1">IFERROR(VLOOKUP(C44,TDM_DD[[Week-Year]:[DD]],3,FALSE),IF(ISNUMBER(OFFSET(J44,-1,0)),OFFSET(J44,-1,0),NA()))</f>
        <v>5.736842155456543</v>
      </c>
      <c r="K44" s="57">
        <f ca="1">IFERROR(VLOOKUP(C44,Coles_DD[[Week-Year]:[DD]],3,FALSE),IF(ISNUMBER(OFFSET(K44,-1,0)),OFFSET(K44,-1,0),NA()))</f>
        <v>0.52698415517807007</v>
      </c>
      <c r="L44" s="57">
        <f ca="1">IFERROR(VLOOKUP(C44,WOW_DD[[Week-Year]:[DD]],3,FALSE),IF(ISNUMBER(OFFSET(L44,-1,0)),OFFSET(L44,-1,0),NA()))</f>
        <v>0.59425938129425049</v>
      </c>
      <c r="M44" s="57">
        <f ca="1">IFERROR(VLOOKUP(C44,SSL_DD[[Week-Year]:[DD]],3,FALSE),IF(ISNUMBER(OFFSET(M44,-1,0)),OFFSET(M44,-1,0),NA()))</f>
        <v>3.5170731544494629</v>
      </c>
      <c r="N44" s="57">
        <f ca="1">IFERROR(VLOOKUP(C44,WFM_DD[[Week-Year]:[DD]],3,FALSE),IF(ISNUMBER(OFFSET(N44,-1,0)),OFFSET(N44,-1,0),NA()))</f>
        <v>1.5497076511383057</v>
      </c>
      <c r="O44" s="57">
        <f ca="1">IFERROR(VLOOKUP(C44,RTen_DD[[Week-Year]:[DD]],3,FALSE),IF(ISNUMBER(OFFSET(O44,-1,0)),OFFSET(O44,-1,0),NA()))</f>
        <v>1.3211848735809326</v>
      </c>
      <c r="P44" s="57">
        <f t="array" aca="1" ref="P44" ca="1">AVERAGE(IF(ISNUMBER(DD_Table[[#This Row],[TDM_DD]:[WFM_DD]]),DD_Table[[#This Row],[TDM_DD]:[WFM_DD]]))</f>
        <v>2.3849732995033266</v>
      </c>
      <c r="Q44" s="57">
        <f t="array" aca="1" ref="Q44" ca="1">MAX(IF(ISERROR(DD_Table[[TDM_DD]:[WFM_DD]]),0,DD_Table[[TDM_DD]:[WFM_DD]]))*0.8</f>
        <v>12.322580718994141</v>
      </c>
      <c r="R44" s="57">
        <v>0.5</v>
      </c>
      <c r="S44" s="57">
        <v>0.5</v>
      </c>
      <c r="T44" s="57">
        <v>0.5</v>
      </c>
      <c r="U44" s="57">
        <v>0.5</v>
      </c>
      <c r="V44" s="57">
        <v>0.5</v>
      </c>
      <c r="W44" s="57">
        <v>0.5</v>
      </c>
      <c r="X44" s="59">
        <f ca="1">IFERROR(VLOOKUP(C44,TDM_DD[[Week-Year]:[Core Reg]],4,FALSE),IF(ISNUMBER(OFFSET(X44,-1,0)),OFFSET(X44,-1,0),NA()))</f>
        <v>18.348623275756836</v>
      </c>
      <c r="Y44" s="59">
        <f ca="1">IFERROR(VLOOKUP(C44,TDM_DD[[Week-Year]:[Core Reg]],5,FALSE),IF(ISNUMBER(OFFSET(Y44,-1,0)),OFFSET(Y44,-1,0),NA()))</f>
        <v>36.842105865478516</v>
      </c>
      <c r="Z44" s="59">
        <f ca="1">IFERROR(VLOOKUP(C44,Coles_DD[[Week-Year]:[Core Reg]],4,FALSE),IF(ISNUMBER(OFFSET(Z44,-1,0)),OFFSET(Z44,-1,0),NA()))</f>
        <v>4.1308088302612305</v>
      </c>
      <c r="AA44" s="59">
        <f ca="1">IFERROR(VLOOKUP(C44,Coles_DD[[Week-Year]:[Core Reg]],5,FALSE),IF(ISNUMBER(OFFSET(AA44,-1,0)),OFFSET(AA44,-1,0),NA()))</f>
        <v>6.5068492889404297</v>
      </c>
      <c r="AB44" s="59">
        <f ca="1">IFERROR(VLOOKUP(C44,WOW_DD[[Week-Year]:[Core Reg]],4,FALSE),IF(ISNUMBER(OFFSET(AB44,-1,0)),OFFSET(AB44,-1,0),NA()))</f>
        <v>12.343470573425293</v>
      </c>
      <c r="AC44" s="59">
        <f ca="1">IFERROR(VLOOKUP(C44,WOW_DD[[Week-Year]:[Core Reg]],5,FALSE),IF(ISNUMBER(OFFSET(AC44,-1,0)),OFFSET(AC44,-1,0),NA()))</f>
        <v>14.126016616821289</v>
      </c>
      <c r="AD44" s="59">
        <f ca="1">IFERROR(VLOOKUP(C44,SSL_DD[[Week-Year]:[Core Reg]],4,FALSE),IF(ISNUMBER(OFFSET(AD44,-1,0)),OFFSET(AD44,-1,0),NA()))</f>
        <v>42.163661956787109</v>
      </c>
      <c r="AE44" s="59">
        <f ca="1">IFERROR(VLOOKUP(C44,SSL_DD[[Week-Year]:[Core Reg]],5,FALSE),IF(ISNUMBER(OFFSET(AE44,-1,0)),OFFSET(AE44,-1,0),NA()))</f>
        <v>55.369926452636719</v>
      </c>
      <c r="AF44" s="59">
        <f ca="1">IFERROR(VLOOKUP(C44,WFM_DD[[Week-Year]:[Core Reg]],4,FALSE),IF(ISNUMBER(OFFSET(AF44,-1,0)),OFFSET(AF44,-1,0),NA()))</f>
        <v>20.377359390258789</v>
      </c>
      <c r="AG44" s="59">
        <f ca="1">IFERROR(VLOOKUP(C44,WFM_DD[[Week-Year]:[Core Reg]],5,FALSE),IF(ISNUMBER(OFFSET(AG44,-1,0)),OFFSET(AG44,-1,0),NA()))</f>
        <v>24.242424011230469</v>
      </c>
      <c r="AH44" s="62">
        <f ca="1">IFERROR(VLOOKUP(C44,RTen_DD[[Week-Year]:[Core Reg]],4,FALSE),IF(ISNUMBER(OFFSET(AH44,-1,0)),OFFSET(AH44,-1,0),NA()))</f>
        <v>0</v>
      </c>
      <c r="AI44" s="62">
        <f ca="1">IFERROR(VLOOKUP(C44,RTen_DD[[Week-Year]:[Core Reg]],5,FALSE)/100,IF(ISNUMBER(OFFSET(AI44,-1,0)),OFFSET(AI44,-1,0),NA()))</f>
        <v>0.36503337860107421</v>
      </c>
      <c r="AJ44" s="62">
        <f ca="1">DD_Table[[#This Row],[TDM_Ext_Reg]]</f>
        <v>18.348623275756836</v>
      </c>
      <c r="AK44" s="62">
        <f ca="1">DD_Table[[#This Row],[Coles_Ext_Reg]]</f>
        <v>4.1308088302612305</v>
      </c>
      <c r="AL44" s="62">
        <f ca="1">DD_Table[[#This Row],[WOW_Ext_Reg]]</f>
        <v>12.343470573425293</v>
      </c>
      <c r="AM44" s="62">
        <f ca="1">DD_Table[[#This Row],[SSL_Ext_Reg]]</f>
        <v>42.163661956787109</v>
      </c>
      <c r="AN44" s="62">
        <f ca="1">DD_Table[[#This Row],[WFM_Ext_Reg]]</f>
        <v>20.377359390258789</v>
      </c>
      <c r="AO44" s="62">
        <f t="array" aca="1" ref="AO44" ca="1">IFERROR(AVERAGE(IF(ISNUMBER(DD_Table[[#This Row],[TDM_Avg]:[WFM_Avg]]),DD_Table[[#This Row],[TDM_Avg]:[WFM_Avg]]))/100,NA())</f>
        <v>0.19472784805297852</v>
      </c>
      <c r="AP44" s="62">
        <f t="array" aca="1" ref="AP44" ca="1">MAX(IF(ISERROR(DD_Table[[TDM_Avg]:[WFM_Avg]]),0,DD_Table[[TDM_Avg]:[WFM_Avg]]))*1.1</f>
        <v>48.107883834838873</v>
      </c>
      <c r="AQ44" s="62">
        <f t="array" aca="1" ref="AQ44" ca="1">MAX(IF(ISERROR(DD_Table[[TDM_Ext_Reg]:[WFM_Core_Reg]]),0,DD_Table[[TDM_Ext_Reg]:[WFM_Core_Reg]]))</f>
        <v>61.538463592529297</v>
      </c>
      <c r="AR44" s="65">
        <f ca="1">IFERROR(VLOOKUP(C44,TDM_DD[[Week-Year]:[DDP]],6,FALSE),IF(ISNUMBER(OFFSET(AR44,-1,0)),OFFSET(AR44,-1,0),NA()))</f>
        <v>0.24516129032258063</v>
      </c>
      <c r="AS44" s="65">
        <f ca="1">IFERROR(VLOOKUP(C44,Coles_DD[[Week-Year]:[DDP]],6,FALSE),IF(ISNUMBER(OFFSET(AS44,-1,0)),OFFSET(AS44,-1,0),NA()))</f>
        <v>0.18516674962667995</v>
      </c>
      <c r="AT44" s="65">
        <f ca="1">IFERROR(VLOOKUP(C44,WOW_DD[[Week-Year]:[DDP]],6,FALSE),IF(ISNUMBER(OFFSET(AT44,-1,0)),OFFSET(AT44,-1,0),NA()))</f>
        <v>0.35086181711948583</v>
      </c>
      <c r="AU44" s="65">
        <f ca="1">IFERROR(VLOOKUP(C44,SSL_DD[[Week-Year]:[DDP]],6,FALSE),IF(ISNUMBER(OFFSET(AU44,-1,0)),OFFSET(AU44,-1,0),NA()))</f>
        <v>0.32415902140672781</v>
      </c>
      <c r="AV44" s="65">
        <f ca="1">IFERROR(VLOOKUP(C44,WFM_DD[[Week-Year]:[DDP]],6,FALSE),IF(ISNUMBER(OFFSET(AV44,-1,0)),OFFSET(AV44,-1,0),NA()))</f>
        <v>0.23175182481751824</v>
      </c>
      <c r="AW44" s="65">
        <f t="array" aca="1" ref="AW44" ca="1">IFERROR(AVERAGE(IF(ISNUMBER(DD_Table[[#This Row],[TDM_DDP]:[WFM_DDP]]),DD_Table[[#This Row],[TDM_DDP]:[WFM_DDP]])),NA())</f>
        <v>0.26742014065859854</v>
      </c>
      <c r="AX44" s="65">
        <f t="array" aca="1" ref="AX44" ca="1">IFERROR(MAX(IF(ISNUMBER(DD_Table[[TDM_DDP]:[WFM_DDP]]),DD_Table[[TDM_DDP]:[WFM_DDP]])),NA())</f>
        <v>0.68</v>
      </c>
      <c r="AY44" s="88">
        <f ca="1">IFERROR(VLOOKUP(C44,RTen_DD[[Week-Year]:[Core DDP]],6,FALSE),IF(ISNUMBER(VLOOKUP(C44,RTen_DD[[Week-Year]:[Core DDP]],6,FALSE)),OFFSET(AY44,-1,0),OFFSET(AY44,-1,0)))</f>
        <v>0.22496536254882812</v>
      </c>
      <c r="AZ44" s="65"/>
      <c r="BA44" s="65"/>
      <c r="BC44">
        <v>42</v>
      </c>
      <c r="BE44">
        <v>0</v>
      </c>
      <c r="BF44">
        <v>0</v>
      </c>
      <c r="BG44">
        <v>0</v>
      </c>
      <c r="BI44">
        <v>2</v>
      </c>
      <c r="BO44" s="71"/>
      <c r="BP44" s="71">
        <f>MAX(Med_Table[[TDM]:[WFM]])</f>
        <v>29</v>
      </c>
      <c r="DN44" s="74"/>
      <c r="DO44" s="74"/>
      <c r="DP44" s="30"/>
      <c r="DQ44" s="30"/>
      <c r="DR44" s="30"/>
      <c r="DS44" s="30"/>
      <c r="DT44" s="30"/>
      <c r="DU44" s="30"/>
      <c r="DV44" s="30"/>
      <c r="DW44" s="30"/>
    </row>
    <row r="45" spans="1:127">
      <c r="A45" s="69">
        <f t="shared" si="6"/>
        <v>41948</v>
      </c>
      <c r="B45" s="70">
        <f t="shared" si="4"/>
        <v>45</v>
      </c>
      <c r="C45" s="70">
        <f t="shared" si="5"/>
        <v>452014</v>
      </c>
      <c r="D45" s="57">
        <f ca="1">IFERROR(VLOOKUP(C45,TDM_DD[[Week-Year]:[DD]],2,FALSE),IF(ISNUMBER(OFFSET(D45,-1,0)),OFFSET(D45,-1,0),NA()))</f>
        <v>19</v>
      </c>
      <c r="E45" s="58">
        <f ca="1">IFERROR(VLOOKUP(C45,Coles_DD[[Week-Year]:[DD]],2,FALSE),IF(ISNUMBER(OFFSET(E45,-1,0)),OFFSET(E45,-1,0),NA()))</f>
        <v>2205</v>
      </c>
      <c r="F45" s="58">
        <f ca="1">IFERROR(VLOOKUP(C45,WOW_DD[[Week-Year]:[DD]],2,FALSE),IF(ISNUMBER(OFFSET(F45,-1,0)),OFFSET(F45,-1,0),NA()))</f>
        <v>2822</v>
      </c>
      <c r="G45" s="57">
        <f ca="1">IFERROR(VLOOKUP(C45,SSL_DD[[Week-Year]:[DD]],2,FALSE),IF(ISNUMBER(OFFSET(G45,-1,0)),OFFSET(G45,-1,0),NA()))</f>
        <v>410</v>
      </c>
      <c r="H45" s="58">
        <f ca="1">IFERROR(VLOOKUP(C45,WFM_DD[[Week-Year]:[DD]],2,FALSE),IF(ISNUMBER(OFFSET(H45,-1,0)),OFFSET(H45,-1,0),NA()))</f>
        <v>171</v>
      </c>
      <c r="I45" s="57">
        <f ca="1">IFERROR(VLOOKUP(C45,RTen_DD[[Week-Year]:[DD]],2,FALSE),IF(ISNUMBER(OFFSET(I45,-1,0)),OFFSET(I45,-1,0),NA()))</f>
        <v>6009</v>
      </c>
      <c r="J45" s="57">
        <f ca="1">IFERROR(VLOOKUP(C45,TDM_DD[[Week-Year]:[DD]],3,FALSE),IF(ISNUMBER(OFFSET(J45,-1,0)),OFFSET(J45,-1,0),NA()))</f>
        <v>5.736842155456543</v>
      </c>
      <c r="K45" s="57">
        <f ca="1">IFERROR(VLOOKUP(C45,Coles_DD[[Week-Year]:[DD]],3,FALSE),IF(ISNUMBER(OFFSET(K45,-1,0)),OFFSET(K45,-1,0),NA()))</f>
        <v>0.52698415517807007</v>
      </c>
      <c r="L45" s="57">
        <f ca="1">IFERROR(VLOOKUP(C45,WOW_DD[[Week-Year]:[DD]],3,FALSE),IF(ISNUMBER(OFFSET(L45,-1,0)),OFFSET(L45,-1,0),NA()))</f>
        <v>0.59425938129425049</v>
      </c>
      <c r="M45" s="57">
        <f ca="1">IFERROR(VLOOKUP(C45,SSL_DD[[Week-Year]:[DD]],3,FALSE),IF(ISNUMBER(OFFSET(M45,-1,0)),OFFSET(M45,-1,0),NA()))</f>
        <v>3.5170731544494629</v>
      </c>
      <c r="N45" s="57">
        <f ca="1">IFERROR(VLOOKUP(C45,WFM_DD[[Week-Year]:[DD]],3,FALSE),IF(ISNUMBER(OFFSET(N45,-1,0)),OFFSET(N45,-1,0),NA()))</f>
        <v>1.5497076511383057</v>
      </c>
      <c r="O45" s="57">
        <f ca="1">IFERROR(VLOOKUP(C45,RTen_DD[[Week-Year]:[DD]],3,FALSE),IF(ISNUMBER(OFFSET(O45,-1,0)),OFFSET(O45,-1,0),NA()))</f>
        <v>1.3211848735809326</v>
      </c>
      <c r="P45" s="57">
        <f t="array" aca="1" ref="P45" ca="1">AVERAGE(IF(ISNUMBER(DD_Table[[#This Row],[TDM_DD]:[WFM_DD]]),DD_Table[[#This Row],[TDM_DD]:[WFM_DD]]))</f>
        <v>2.3849732995033266</v>
      </c>
      <c r="Q45" s="57">
        <f t="array" aca="1" ref="Q45" ca="1">MAX(IF(ISERROR(DD_Table[[TDM_DD]:[WFM_DD]]),0,DD_Table[[TDM_DD]:[WFM_DD]]))*0.8</f>
        <v>12.322580718994141</v>
      </c>
      <c r="R45" s="57">
        <v>0.5</v>
      </c>
      <c r="S45" s="57">
        <v>0.5</v>
      </c>
      <c r="T45" s="57">
        <v>0.5</v>
      </c>
      <c r="U45" s="57">
        <v>0.5</v>
      </c>
      <c r="V45" s="57">
        <v>0.5</v>
      </c>
      <c r="W45" s="57">
        <v>0.5</v>
      </c>
      <c r="X45" s="59">
        <f ca="1">IFERROR(VLOOKUP(C45,TDM_DD[[Week-Year]:[Core Reg]],4,FALSE),IF(ISNUMBER(OFFSET(X45,-1,0)),OFFSET(X45,-1,0),NA()))</f>
        <v>18.348623275756836</v>
      </c>
      <c r="Y45" s="59">
        <f ca="1">IFERROR(VLOOKUP(C45,TDM_DD[[Week-Year]:[Core Reg]],5,FALSE),IF(ISNUMBER(OFFSET(Y45,-1,0)),OFFSET(Y45,-1,0),NA()))</f>
        <v>36.842105865478516</v>
      </c>
      <c r="Z45" s="59">
        <f ca="1">IFERROR(VLOOKUP(C45,Coles_DD[[Week-Year]:[Core Reg]],4,FALSE),IF(ISNUMBER(OFFSET(Z45,-1,0)),OFFSET(Z45,-1,0),NA()))</f>
        <v>4.1308088302612305</v>
      </c>
      <c r="AA45" s="59">
        <f ca="1">IFERROR(VLOOKUP(C45,Coles_DD[[Week-Year]:[Core Reg]],5,FALSE),IF(ISNUMBER(OFFSET(AA45,-1,0)),OFFSET(AA45,-1,0),NA()))</f>
        <v>6.5068492889404297</v>
      </c>
      <c r="AB45" s="59">
        <f ca="1">IFERROR(VLOOKUP(C45,WOW_DD[[Week-Year]:[Core Reg]],4,FALSE),IF(ISNUMBER(OFFSET(AB45,-1,0)),OFFSET(AB45,-1,0),NA()))</f>
        <v>12.343470573425293</v>
      </c>
      <c r="AC45" s="59">
        <f ca="1">IFERROR(VLOOKUP(C45,WOW_DD[[Week-Year]:[Core Reg]],5,FALSE),IF(ISNUMBER(OFFSET(AC45,-1,0)),OFFSET(AC45,-1,0),NA()))</f>
        <v>14.126016616821289</v>
      </c>
      <c r="AD45" s="59">
        <f ca="1">IFERROR(VLOOKUP(C45,SSL_DD[[Week-Year]:[Core Reg]],4,FALSE),IF(ISNUMBER(OFFSET(AD45,-1,0)),OFFSET(AD45,-1,0),NA()))</f>
        <v>42.163661956787109</v>
      </c>
      <c r="AE45" s="59">
        <f ca="1">IFERROR(VLOOKUP(C45,SSL_DD[[Week-Year]:[Core Reg]],5,FALSE),IF(ISNUMBER(OFFSET(AE45,-1,0)),OFFSET(AE45,-1,0),NA()))</f>
        <v>55.369926452636719</v>
      </c>
      <c r="AF45" s="59">
        <f ca="1">IFERROR(VLOOKUP(C45,WFM_DD[[Week-Year]:[Core Reg]],4,FALSE),IF(ISNUMBER(OFFSET(AF45,-1,0)),OFFSET(AF45,-1,0),NA()))</f>
        <v>20.377359390258789</v>
      </c>
      <c r="AG45" s="59">
        <f ca="1">IFERROR(VLOOKUP(C45,WFM_DD[[Week-Year]:[Core Reg]],5,FALSE),IF(ISNUMBER(OFFSET(AG45,-1,0)),OFFSET(AG45,-1,0),NA()))</f>
        <v>24.242424011230469</v>
      </c>
      <c r="AH45" s="62">
        <f ca="1">IFERROR(VLOOKUP(C45,RTen_DD[[Week-Year]:[Core Reg]],4,FALSE),IF(ISNUMBER(OFFSET(AH45,-1,0)),OFFSET(AH45,-1,0),NA()))</f>
        <v>0</v>
      </c>
      <c r="AI45" s="62">
        <f ca="1">IFERROR(VLOOKUP(C45,RTen_DD[[Week-Year]:[Core Reg]],5,FALSE)/100,IF(ISNUMBER(OFFSET(AI45,-1,0)),OFFSET(AI45,-1,0),NA()))</f>
        <v>0.36503337860107421</v>
      </c>
      <c r="AJ45" s="62">
        <f ca="1">DD_Table[[#This Row],[TDM_Ext_Reg]]</f>
        <v>18.348623275756836</v>
      </c>
      <c r="AK45" s="62">
        <f ca="1">DD_Table[[#This Row],[Coles_Ext_Reg]]</f>
        <v>4.1308088302612305</v>
      </c>
      <c r="AL45" s="62">
        <f ca="1">DD_Table[[#This Row],[WOW_Ext_Reg]]</f>
        <v>12.343470573425293</v>
      </c>
      <c r="AM45" s="62">
        <f ca="1">DD_Table[[#This Row],[SSL_Ext_Reg]]</f>
        <v>42.163661956787109</v>
      </c>
      <c r="AN45" s="62">
        <f ca="1">DD_Table[[#This Row],[WFM_Ext_Reg]]</f>
        <v>20.377359390258789</v>
      </c>
      <c r="AO45" s="62">
        <f t="array" aca="1" ref="AO45" ca="1">IFERROR(AVERAGE(IF(ISNUMBER(DD_Table[[#This Row],[TDM_Avg]:[WFM_Avg]]),DD_Table[[#This Row],[TDM_Avg]:[WFM_Avg]]))/100,NA())</f>
        <v>0.19472784805297852</v>
      </c>
      <c r="AP45" s="62">
        <f t="array" aca="1" ref="AP45" ca="1">MAX(IF(ISERROR(DD_Table[[TDM_Avg]:[WFM_Avg]]),0,DD_Table[[TDM_Avg]:[WFM_Avg]]))*1.1</f>
        <v>48.107883834838873</v>
      </c>
      <c r="AQ45" s="62">
        <f t="array" aca="1" ref="AQ45" ca="1">MAX(IF(ISERROR(DD_Table[[TDM_Ext_Reg]:[WFM_Core_Reg]]),0,DD_Table[[TDM_Ext_Reg]:[WFM_Core_Reg]]))</f>
        <v>61.538463592529297</v>
      </c>
      <c r="AR45" s="65">
        <f ca="1">IFERROR(VLOOKUP(C45,TDM_DD[[Week-Year]:[DDP]],6,FALSE),IF(ISNUMBER(OFFSET(AR45,-1,0)),OFFSET(AR45,-1,0),NA()))</f>
        <v>0.24516129032258063</v>
      </c>
      <c r="AS45" s="65">
        <f ca="1">IFERROR(VLOOKUP(C45,Coles_DD[[Week-Year]:[DDP]],6,FALSE),IF(ISNUMBER(OFFSET(AS45,-1,0)),OFFSET(AS45,-1,0),NA()))</f>
        <v>0.18516674962667995</v>
      </c>
      <c r="AT45" s="65">
        <f ca="1">IFERROR(VLOOKUP(C45,WOW_DD[[Week-Year]:[DDP]],6,FALSE),IF(ISNUMBER(OFFSET(AT45,-1,0)),OFFSET(AT45,-1,0),NA()))</f>
        <v>0.35086181711948583</v>
      </c>
      <c r="AU45" s="65">
        <f ca="1">IFERROR(VLOOKUP(C45,SSL_DD[[Week-Year]:[DDP]],6,FALSE),IF(ISNUMBER(OFFSET(AU45,-1,0)),OFFSET(AU45,-1,0),NA()))</f>
        <v>0.32415902140672781</v>
      </c>
      <c r="AV45" s="65">
        <f ca="1">IFERROR(VLOOKUP(C45,WFM_DD[[Week-Year]:[DDP]],6,FALSE),IF(ISNUMBER(OFFSET(AV45,-1,0)),OFFSET(AV45,-1,0),NA()))</f>
        <v>0.23175182481751824</v>
      </c>
      <c r="AW45" s="65">
        <f t="array" aca="1" ref="AW45" ca="1">IFERROR(AVERAGE(IF(ISNUMBER(DD_Table[[#This Row],[TDM_DDP]:[WFM_DDP]]),DD_Table[[#This Row],[TDM_DDP]:[WFM_DDP]])),NA())</f>
        <v>0.26742014065859854</v>
      </c>
      <c r="AX45" s="65">
        <f t="array" aca="1" ref="AX45" ca="1">IFERROR(MAX(IF(ISNUMBER(DD_Table[[TDM_DDP]:[WFM_DDP]]),DD_Table[[TDM_DDP]:[WFM_DDP]])),NA())</f>
        <v>0.68</v>
      </c>
      <c r="AY45" s="88">
        <f ca="1">IFERROR(VLOOKUP(C45,RTen_DD[[Week-Year]:[Core DDP]],6,FALSE),IF(ISNUMBER(VLOOKUP(C45,RTen_DD[[Week-Year]:[Core DDP]],6,FALSE)),OFFSET(AY45,-1,0),OFFSET(AY45,-1,0)))</f>
        <v>0.22496536254882812</v>
      </c>
      <c r="AZ45" s="65"/>
      <c r="BA45" s="65"/>
      <c r="BC45">
        <v>43</v>
      </c>
      <c r="BE45">
        <v>0</v>
      </c>
      <c r="BF45">
        <v>0</v>
      </c>
      <c r="BG45">
        <v>0</v>
      </c>
      <c r="BI45">
        <v>3</v>
      </c>
      <c r="BO45" s="71"/>
      <c r="BP45" s="71">
        <f>MAX(Med_Table[[TDM]:[WFM]])</f>
        <v>29</v>
      </c>
      <c r="DN45" s="74"/>
      <c r="DO45" s="74"/>
      <c r="DP45" s="30"/>
      <c r="DQ45" s="30"/>
      <c r="DR45" s="30"/>
      <c r="DS45" s="30"/>
      <c r="DT45" s="30"/>
      <c r="DU45" s="30"/>
      <c r="DV45" s="30"/>
      <c r="DW45" s="30"/>
    </row>
    <row r="46" spans="1:127">
      <c r="A46" s="69">
        <f t="shared" si="6"/>
        <v>41955</v>
      </c>
      <c r="B46" s="70">
        <f t="shared" si="4"/>
        <v>46</v>
      </c>
      <c r="C46" s="70">
        <f t="shared" si="5"/>
        <v>462014</v>
      </c>
      <c r="D46" s="57">
        <f ca="1">IFERROR(VLOOKUP(C46,TDM_DD[[Week-Year]:[DD]],2,FALSE),IF(ISNUMBER(OFFSET(D46,-1,0)),OFFSET(D46,-1,0),NA()))</f>
        <v>19</v>
      </c>
      <c r="E46" s="58">
        <f ca="1">IFERROR(VLOOKUP(C46,Coles_DD[[Week-Year]:[DD]],2,FALSE),IF(ISNUMBER(OFFSET(E46,-1,0)),OFFSET(E46,-1,0),NA()))</f>
        <v>2205</v>
      </c>
      <c r="F46" s="58">
        <f ca="1">IFERROR(VLOOKUP(C46,WOW_DD[[Week-Year]:[DD]],2,FALSE),IF(ISNUMBER(OFFSET(F46,-1,0)),OFFSET(F46,-1,0),NA()))</f>
        <v>2822</v>
      </c>
      <c r="G46" s="57">
        <f ca="1">IFERROR(VLOOKUP(C46,SSL_DD[[Week-Year]:[DD]],2,FALSE),IF(ISNUMBER(OFFSET(G46,-1,0)),OFFSET(G46,-1,0),NA()))</f>
        <v>410</v>
      </c>
      <c r="H46" s="58">
        <f ca="1">IFERROR(VLOOKUP(C46,WFM_DD[[Week-Year]:[DD]],2,FALSE),IF(ISNUMBER(OFFSET(H46,-1,0)),OFFSET(H46,-1,0),NA()))</f>
        <v>171</v>
      </c>
      <c r="I46" s="57">
        <f ca="1">IFERROR(VLOOKUP(C46,RTen_DD[[Week-Year]:[DD]],2,FALSE),IF(ISNUMBER(OFFSET(I46,-1,0)),OFFSET(I46,-1,0),NA()))</f>
        <v>6009</v>
      </c>
      <c r="J46" s="57">
        <f ca="1">IFERROR(VLOOKUP(C46,TDM_DD[[Week-Year]:[DD]],3,FALSE),IF(ISNUMBER(OFFSET(J46,-1,0)),OFFSET(J46,-1,0),NA()))</f>
        <v>5.736842155456543</v>
      </c>
      <c r="K46" s="57">
        <f ca="1">IFERROR(VLOOKUP(C46,Coles_DD[[Week-Year]:[DD]],3,FALSE),IF(ISNUMBER(OFFSET(K46,-1,0)),OFFSET(K46,-1,0),NA()))</f>
        <v>0.52698415517807007</v>
      </c>
      <c r="L46" s="57">
        <f ca="1">IFERROR(VLOOKUP(C46,WOW_DD[[Week-Year]:[DD]],3,FALSE),IF(ISNUMBER(OFFSET(L46,-1,0)),OFFSET(L46,-1,0),NA()))</f>
        <v>0.59425938129425049</v>
      </c>
      <c r="M46" s="57">
        <f ca="1">IFERROR(VLOOKUP(C46,SSL_DD[[Week-Year]:[DD]],3,FALSE),IF(ISNUMBER(OFFSET(M46,-1,0)),OFFSET(M46,-1,0),NA()))</f>
        <v>3.5170731544494629</v>
      </c>
      <c r="N46" s="57">
        <f ca="1">IFERROR(VLOOKUP(C46,WFM_DD[[Week-Year]:[DD]],3,FALSE),IF(ISNUMBER(OFFSET(N46,-1,0)),OFFSET(N46,-1,0),NA()))</f>
        <v>1.5497076511383057</v>
      </c>
      <c r="O46" s="57">
        <f ca="1">IFERROR(VLOOKUP(C46,RTen_DD[[Week-Year]:[DD]],3,FALSE),IF(ISNUMBER(OFFSET(O46,-1,0)),OFFSET(O46,-1,0),NA()))</f>
        <v>1.3211848735809326</v>
      </c>
      <c r="P46" s="57">
        <f t="array" aca="1" ref="P46" ca="1">AVERAGE(IF(ISNUMBER(DD_Table[[#This Row],[TDM_DD]:[WFM_DD]]),DD_Table[[#This Row],[TDM_DD]:[WFM_DD]]))</f>
        <v>2.3849732995033266</v>
      </c>
      <c r="Q46" s="57">
        <f t="array" aca="1" ref="Q46" ca="1">MAX(IF(ISERROR(DD_Table[[TDM_DD]:[WFM_DD]]),0,DD_Table[[TDM_DD]:[WFM_DD]]))*0.8</f>
        <v>12.322580718994141</v>
      </c>
      <c r="R46" s="57">
        <v>0.5</v>
      </c>
      <c r="S46" s="57">
        <v>0.5</v>
      </c>
      <c r="T46" s="57">
        <v>0.5</v>
      </c>
      <c r="U46" s="57">
        <v>0.5</v>
      </c>
      <c r="V46" s="57">
        <v>0.5</v>
      </c>
      <c r="W46" s="57">
        <v>0.5</v>
      </c>
      <c r="X46" s="59">
        <f ca="1">IFERROR(VLOOKUP(C46,TDM_DD[[Week-Year]:[Core Reg]],4,FALSE),IF(ISNUMBER(OFFSET(X46,-1,0)),OFFSET(X46,-1,0),NA()))</f>
        <v>18.348623275756836</v>
      </c>
      <c r="Y46" s="59">
        <f ca="1">IFERROR(VLOOKUP(C46,TDM_DD[[Week-Year]:[Core Reg]],5,FALSE),IF(ISNUMBER(OFFSET(Y46,-1,0)),OFFSET(Y46,-1,0),NA()))</f>
        <v>36.842105865478516</v>
      </c>
      <c r="Z46" s="59">
        <f ca="1">IFERROR(VLOOKUP(C46,Coles_DD[[Week-Year]:[Core Reg]],4,FALSE),IF(ISNUMBER(OFFSET(Z46,-1,0)),OFFSET(Z46,-1,0),NA()))</f>
        <v>4.1308088302612305</v>
      </c>
      <c r="AA46" s="59">
        <f ca="1">IFERROR(VLOOKUP(C46,Coles_DD[[Week-Year]:[Core Reg]],5,FALSE),IF(ISNUMBER(OFFSET(AA46,-1,0)),OFFSET(AA46,-1,0),NA()))</f>
        <v>6.5068492889404297</v>
      </c>
      <c r="AB46" s="59">
        <f ca="1">IFERROR(VLOOKUP(C46,WOW_DD[[Week-Year]:[Core Reg]],4,FALSE),IF(ISNUMBER(OFFSET(AB46,-1,0)),OFFSET(AB46,-1,0),NA()))</f>
        <v>12.343470573425293</v>
      </c>
      <c r="AC46" s="59">
        <f ca="1">IFERROR(VLOOKUP(C46,WOW_DD[[Week-Year]:[Core Reg]],5,FALSE),IF(ISNUMBER(OFFSET(AC46,-1,0)),OFFSET(AC46,-1,0),NA()))</f>
        <v>14.126016616821289</v>
      </c>
      <c r="AD46" s="59">
        <f ca="1">IFERROR(VLOOKUP(C46,SSL_DD[[Week-Year]:[Core Reg]],4,FALSE),IF(ISNUMBER(OFFSET(AD46,-1,0)),OFFSET(AD46,-1,0),NA()))</f>
        <v>42.163661956787109</v>
      </c>
      <c r="AE46" s="59">
        <f ca="1">IFERROR(VLOOKUP(C46,SSL_DD[[Week-Year]:[Core Reg]],5,FALSE),IF(ISNUMBER(OFFSET(AE46,-1,0)),OFFSET(AE46,-1,0),NA()))</f>
        <v>55.369926452636719</v>
      </c>
      <c r="AF46" s="59">
        <f ca="1">IFERROR(VLOOKUP(C46,WFM_DD[[Week-Year]:[Core Reg]],4,FALSE),IF(ISNUMBER(OFFSET(AF46,-1,0)),OFFSET(AF46,-1,0),NA()))</f>
        <v>20.377359390258789</v>
      </c>
      <c r="AG46" s="59">
        <f ca="1">IFERROR(VLOOKUP(C46,WFM_DD[[Week-Year]:[Core Reg]],5,FALSE),IF(ISNUMBER(OFFSET(AG46,-1,0)),OFFSET(AG46,-1,0),NA()))</f>
        <v>24.242424011230469</v>
      </c>
      <c r="AH46" s="62">
        <f ca="1">IFERROR(VLOOKUP(C46,RTen_DD[[Week-Year]:[Core Reg]],4,FALSE),IF(ISNUMBER(OFFSET(AH46,-1,0)),OFFSET(AH46,-1,0),NA()))</f>
        <v>0</v>
      </c>
      <c r="AI46" s="62">
        <f ca="1">IFERROR(VLOOKUP(C46,RTen_DD[[Week-Year]:[Core Reg]],5,FALSE)/100,IF(ISNUMBER(OFFSET(AI46,-1,0)),OFFSET(AI46,-1,0),NA()))</f>
        <v>0.36503337860107421</v>
      </c>
      <c r="AJ46" s="62">
        <f ca="1">DD_Table[[#This Row],[TDM_Ext_Reg]]</f>
        <v>18.348623275756836</v>
      </c>
      <c r="AK46" s="62">
        <f ca="1">DD_Table[[#This Row],[Coles_Ext_Reg]]</f>
        <v>4.1308088302612305</v>
      </c>
      <c r="AL46" s="62">
        <f ca="1">DD_Table[[#This Row],[WOW_Ext_Reg]]</f>
        <v>12.343470573425293</v>
      </c>
      <c r="AM46" s="62">
        <f ca="1">DD_Table[[#This Row],[SSL_Ext_Reg]]</f>
        <v>42.163661956787109</v>
      </c>
      <c r="AN46" s="62">
        <f ca="1">DD_Table[[#This Row],[WFM_Ext_Reg]]</f>
        <v>20.377359390258789</v>
      </c>
      <c r="AO46" s="62">
        <f t="array" aca="1" ref="AO46" ca="1">IFERROR(AVERAGE(IF(ISNUMBER(DD_Table[[#This Row],[TDM_Avg]:[WFM_Avg]]),DD_Table[[#This Row],[TDM_Avg]:[WFM_Avg]]))/100,NA())</f>
        <v>0.19472784805297852</v>
      </c>
      <c r="AP46" s="62">
        <f t="array" aca="1" ref="AP46" ca="1">MAX(IF(ISERROR(DD_Table[[TDM_Avg]:[WFM_Avg]]),0,DD_Table[[TDM_Avg]:[WFM_Avg]]))*1.1</f>
        <v>48.107883834838873</v>
      </c>
      <c r="AQ46" s="62">
        <f t="array" aca="1" ref="AQ46" ca="1">MAX(IF(ISERROR(DD_Table[[TDM_Ext_Reg]:[WFM_Core_Reg]]),0,DD_Table[[TDM_Ext_Reg]:[WFM_Core_Reg]]))</f>
        <v>61.538463592529297</v>
      </c>
      <c r="AR46" s="65">
        <f ca="1">IFERROR(VLOOKUP(C46,TDM_DD[[Week-Year]:[DDP]],6,FALSE),IF(ISNUMBER(OFFSET(AR46,-1,0)),OFFSET(AR46,-1,0),NA()))</f>
        <v>0.24516129032258063</v>
      </c>
      <c r="AS46" s="65">
        <f ca="1">IFERROR(VLOOKUP(C46,Coles_DD[[Week-Year]:[DDP]],6,FALSE),IF(ISNUMBER(OFFSET(AS46,-1,0)),OFFSET(AS46,-1,0),NA()))</f>
        <v>0.18516674962667995</v>
      </c>
      <c r="AT46" s="65">
        <f ca="1">IFERROR(VLOOKUP(C46,WOW_DD[[Week-Year]:[DDP]],6,FALSE),IF(ISNUMBER(OFFSET(AT46,-1,0)),OFFSET(AT46,-1,0),NA()))</f>
        <v>0.35086181711948583</v>
      </c>
      <c r="AU46" s="65">
        <f ca="1">IFERROR(VLOOKUP(C46,SSL_DD[[Week-Year]:[DDP]],6,FALSE),IF(ISNUMBER(OFFSET(AU46,-1,0)),OFFSET(AU46,-1,0),NA()))</f>
        <v>0.32415902140672781</v>
      </c>
      <c r="AV46" s="65">
        <f ca="1">IFERROR(VLOOKUP(C46,WFM_DD[[Week-Year]:[DDP]],6,FALSE),IF(ISNUMBER(OFFSET(AV46,-1,0)),OFFSET(AV46,-1,0),NA()))</f>
        <v>0.23175182481751824</v>
      </c>
      <c r="AW46" s="65">
        <f t="array" aca="1" ref="AW46" ca="1">IFERROR(AVERAGE(IF(ISNUMBER(DD_Table[[#This Row],[TDM_DDP]:[WFM_DDP]]),DD_Table[[#This Row],[TDM_DDP]:[WFM_DDP]])),NA())</f>
        <v>0.26742014065859854</v>
      </c>
      <c r="AX46" s="65">
        <f t="array" aca="1" ref="AX46" ca="1">IFERROR(MAX(IF(ISNUMBER(DD_Table[[TDM_DDP]:[WFM_DDP]]),DD_Table[[TDM_DDP]:[WFM_DDP]])),NA())</f>
        <v>0.68</v>
      </c>
      <c r="AY46" s="88">
        <f ca="1">IFERROR(VLOOKUP(C46,RTen_DD[[Week-Year]:[Core DDP]],6,FALSE),IF(ISNUMBER(VLOOKUP(C46,RTen_DD[[Week-Year]:[Core DDP]],6,FALSE)),OFFSET(AY46,-1,0),OFFSET(AY46,-1,0)))</f>
        <v>0.22496536254882812</v>
      </c>
      <c r="AZ46" s="65"/>
      <c r="BA46" s="65"/>
      <c r="BC46">
        <v>44</v>
      </c>
      <c r="BE46">
        <v>0</v>
      </c>
      <c r="BF46">
        <v>0</v>
      </c>
      <c r="BG46">
        <v>0</v>
      </c>
      <c r="BI46">
        <v>0</v>
      </c>
      <c r="BO46" s="71"/>
      <c r="BP46" s="71">
        <f>MAX(Med_Table[[TDM]:[WFM]])</f>
        <v>29</v>
      </c>
      <c r="DN46" s="74"/>
      <c r="DO46" s="74"/>
      <c r="DP46" s="30"/>
      <c r="DQ46" s="30"/>
      <c r="DR46" s="30"/>
      <c r="DS46" s="30"/>
      <c r="DT46" s="30"/>
      <c r="DU46" s="30"/>
      <c r="DV46" s="30"/>
      <c r="DW46" s="30"/>
    </row>
    <row r="47" spans="1:127">
      <c r="A47" s="69">
        <f t="shared" si="6"/>
        <v>41962</v>
      </c>
      <c r="B47" s="70">
        <f t="shared" si="4"/>
        <v>47</v>
      </c>
      <c r="C47" s="70">
        <f t="shared" si="5"/>
        <v>472014</v>
      </c>
      <c r="D47" s="57">
        <f ca="1">IFERROR(VLOOKUP(C47,TDM_DD[[Week-Year]:[DD]],2,FALSE),IF(ISNUMBER(OFFSET(D47,-1,0)),OFFSET(D47,-1,0),NA()))</f>
        <v>19</v>
      </c>
      <c r="E47" s="58">
        <f ca="1">IFERROR(VLOOKUP(C47,Coles_DD[[Week-Year]:[DD]],2,FALSE),IF(ISNUMBER(OFFSET(E47,-1,0)),OFFSET(E47,-1,0),NA()))</f>
        <v>2205</v>
      </c>
      <c r="F47" s="58">
        <f ca="1">IFERROR(VLOOKUP(C47,WOW_DD[[Week-Year]:[DD]],2,FALSE),IF(ISNUMBER(OFFSET(F47,-1,0)),OFFSET(F47,-1,0),NA()))</f>
        <v>2822</v>
      </c>
      <c r="G47" s="57">
        <f ca="1">IFERROR(VLOOKUP(C47,SSL_DD[[Week-Year]:[DD]],2,FALSE),IF(ISNUMBER(OFFSET(G47,-1,0)),OFFSET(G47,-1,0),NA()))</f>
        <v>410</v>
      </c>
      <c r="H47" s="58">
        <f ca="1">IFERROR(VLOOKUP(C47,WFM_DD[[Week-Year]:[DD]],2,FALSE),IF(ISNUMBER(OFFSET(H47,-1,0)),OFFSET(H47,-1,0),NA()))</f>
        <v>171</v>
      </c>
      <c r="I47" s="57">
        <f ca="1">IFERROR(VLOOKUP(C47,RTen_DD[[Week-Year]:[DD]],2,FALSE),IF(ISNUMBER(OFFSET(I47,-1,0)),OFFSET(I47,-1,0),NA()))</f>
        <v>6009</v>
      </c>
      <c r="J47" s="57">
        <f ca="1">IFERROR(VLOOKUP(C47,TDM_DD[[Week-Year]:[DD]],3,FALSE),IF(ISNUMBER(OFFSET(J47,-1,0)),OFFSET(J47,-1,0),NA()))</f>
        <v>5.736842155456543</v>
      </c>
      <c r="K47" s="57">
        <f ca="1">IFERROR(VLOOKUP(C47,Coles_DD[[Week-Year]:[DD]],3,FALSE),IF(ISNUMBER(OFFSET(K47,-1,0)),OFFSET(K47,-1,0),NA()))</f>
        <v>0.52698415517807007</v>
      </c>
      <c r="L47" s="57">
        <f ca="1">IFERROR(VLOOKUP(C47,WOW_DD[[Week-Year]:[DD]],3,FALSE),IF(ISNUMBER(OFFSET(L47,-1,0)),OFFSET(L47,-1,0),NA()))</f>
        <v>0.59425938129425049</v>
      </c>
      <c r="M47" s="57">
        <f ca="1">IFERROR(VLOOKUP(C47,SSL_DD[[Week-Year]:[DD]],3,FALSE),IF(ISNUMBER(OFFSET(M47,-1,0)),OFFSET(M47,-1,0),NA()))</f>
        <v>3.5170731544494629</v>
      </c>
      <c r="N47" s="57">
        <f ca="1">IFERROR(VLOOKUP(C47,WFM_DD[[Week-Year]:[DD]],3,FALSE),IF(ISNUMBER(OFFSET(N47,-1,0)),OFFSET(N47,-1,0),NA()))</f>
        <v>1.5497076511383057</v>
      </c>
      <c r="O47" s="57">
        <f ca="1">IFERROR(VLOOKUP(C47,RTen_DD[[Week-Year]:[DD]],3,FALSE),IF(ISNUMBER(OFFSET(O47,-1,0)),OFFSET(O47,-1,0),NA()))</f>
        <v>1.3211848735809326</v>
      </c>
      <c r="P47" s="57">
        <f t="array" aca="1" ref="P47" ca="1">AVERAGE(IF(ISNUMBER(DD_Table[[#This Row],[TDM_DD]:[WFM_DD]]),DD_Table[[#This Row],[TDM_DD]:[WFM_DD]]))</f>
        <v>2.3849732995033266</v>
      </c>
      <c r="Q47" s="57">
        <f t="array" aca="1" ref="Q47" ca="1">MAX(IF(ISERROR(DD_Table[[TDM_DD]:[WFM_DD]]),0,DD_Table[[TDM_DD]:[WFM_DD]]))*0.8</f>
        <v>12.322580718994141</v>
      </c>
      <c r="R47" s="57">
        <v>0.5</v>
      </c>
      <c r="S47" s="57">
        <v>0.5</v>
      </c>
      <c r="T47" s="57">
        <v>0.5</v>
      </c>
      <c r="U47" s="57">
        <v>0.5</v>
      </c>
      <c r="V47" s="57">
        <v>0.5</v>
      </c>
      <c r="W47" s="57">
        <v>0.5</v>
      </c>
      <c r="X47" s="59">
        <f ca="1">IFERROR(VLOOKUP(C47,TDM_DD[[Week-Year]:[Core Reg]],4,FALSE),IF(ISNUMBER(OFFSET(X47,-1,0)),OFFSET(X47,-1,0),NA()))</f>
        <v>18.348623275756836</v>
      </c>
      <c r="Y47" s="59">
        <f ca="1">IFERROR(VLOOKUP(C47,TDM_DD[[Week-Year]:[Core Reg]],5,FALSE),IF(ISNUMBER(OFFSET(Y47,-1,0)),OFFSET(Y47,-1,0),NA()))</f>
        <v>36.842105865478516</v>
      </c>
      <c r="Z47" s="59">
        <f ca="1">IFERROR(VLOOKUP(C47,Coles_DD[[Week-Year]:[Core Reg]],4,FALSE),IF(ISNUMBER(OFFSET(Z47,-1,0)),OFFSET(Z47,-1,0),NA()))</f>
        <v>4.1308088302612305</v>
      </c>
      <c r="AA47" s="59">
        <f ca="1">IFERROR(VLOOKUP(C47,Coles_DD[[Week-Year]:[Core Reg]],5,FALSE),IF(ISNUMBER(OFFSET(AA47,-1,0)),OFFSET(AA47,-1,0),NA()))</f>
        <v>6.5068492889404297</v>
      </c>
      <c r="AB47" s="59">
        <f ca="1">IFERROR(VLOOKUP(C47,WOW_DD[[Week-Year]:[Core Reg]],4,FALSE),IF(ISNUMBER(OFFSET(AB47,-1,0)),OFFSET(AB47,-1,0),NA()))</f>
        <v>12.343470573425293</v>
      </c>
      <c r="AC47" s="59">
        <f ca="1">IFERROR(VLOOKUP(C47,WOW_DD[[Week-Year]:[Core Reg]],5,FALSE),IF(ISNUMBER(OFFSET(AC47,-1,0)),OFFSET(AC47,-1,0),NA()))</f>
        <v>14.126016616821289</v>
      </c>
      <c r="AD47" s="59">
        <f ca="1">IFERROR(VLOOKUP(C47,SSL_DD[[Week-Year]:[Core Reg]],4,FALSE),IF(ISNUMBER(OFFSET(AD47,-1,0)),OFFSET(AD47,-1,0),NA()))</f>
        <v>42.163661956787109</v>
      </c>
      <c r="AE47" s="59">
        <f ca="1">IFERROR(VLOOKUP(C47,SSL_DD[[Week-Year]:[Core Reg]],5,FALSE),IF(ISNUMBER(OFFSET(AE47,-1,0)),OFFSET(AE47,-1,0),NA()))</f>
        <v>55.369926452636719</v>
      </c>
      <c r="AF47" s="59">
        <f ca="1">IFERROR(VLOOKUP(C47,WFM_DD[[Week-Year]:[Core Reg]],4,FALSE),IF(ISNUMBER(OFFSET(AF47,-1,0)),OFFSET(AF47,-1,0),NA()))</f>
        <v>20.377359390258789</v>
      </c>
      <c r="AG47" s="59">
        <f ca="1">IFERROR(VLOOKUP(C47,WFM_DD[[Week-Year]:[Core Reg]],5,FALSE),IF(ISNUMBER(OFFSET(AG47,-1,0)),OFFSET(AG47,-1,0),NA()))</f>
        <v>24.242424011230469</v>
      </c>
      <c r="AH47" s="62">
        <f ca="1">IFERROR(VLOOKUP(C47,RTen_DD[[Week-Year]:[Core Reg]],4,FALSE),IF(ISNUMBER(OFFSET(AH47,-1,0)),OFFSET(AH47,-1,0),NA()))</f>
        <v>0</v>
      </c>
      <c r="AI47" s="62">
        <f ca="1">IFERROR(VLOOKUP(C47,RTen_DD[[Week-Year]:[Core Reg]],5,FALSE)/100,IF(ISNUMBER(OFFSET(AI47,-1,0)),OFFSET(AI47,-1,0),NA()))</f>
        <v>0.36503337860107421</v>
      </c>
      <c r="AJ47" s="62">
        <f ca="1">DD_Table[[#This Row],[TDM_Ext_Reg]]</f>
        <v>18.348623275756836</v>
      </c>
      <c r="AK47" s="62">
        <f ca="1">DD_Table[[#This Row],[Coles_Ext_Reg]]</f>
        <v>4.1308088302612305</v>
      </c>
      <c r="AL47" s="62">
        <f ca="1">DD_Table[[#This Row],[WOW_Ext_Reg]]</f>
        <v>12.343470573425293</v>
      </c>
      <c r="AM47" s="62">
        <f ca="1">DD_Table[[#This Row],[SSL_Ext_Reg]]</f>
        <v>42.163661956787109</v>
      </c>
      <c r="AN47" s="62">
        <f ca="1">DD_Table[[#This Row],[WFM_Ext_Reg]]</f>
        <v>20.377359390258789</v>
      </c>
      <c r="AO47" s="62">
        <f t="array" aca="1" ref="AO47" ca="1">IFERROR(AVERAGE(IF(ISNUMBER(DD_Table[[#This Row],[TDM_Avg]:[WFM_Avg]]),DD_Table[[#This Row],[TDM_Avg]:[WFM_Avg]]))/100,NA())</f>
        <v>0.19472784805297852</v>
      </c>
      <c r="AP47" s="62">
        <f t="array" aca="1" ref="AP47" ca="1">MAX(IF(ISERROR(DD_Table[[TDM_Avg]:[WFM_Avg]]),0,DD_Table[[TDM_Avg]:[WFM_Avg]]))*1.1</f>
        <v>48.107883834838873</v>
      </c>
      <c r="AQ47" s="62">
        <f t="array" aca="1" ref="AQ47" ca="1">MAX(IF(ISERROR(DD_Table[[TDM_Ext_Reg]:[WFM_Core_Reg]]),0,DD_Table[[TDM_Ext_Reg]:[WFM_Core_Reg]]))</f>
        <v>61.538463592529297</v>
      </c>
      <c r="AR47" s="65">
        <f ca="1">IFERROR(VLOOKUP(C47,TDM_DD[[Week-Year]:[DDP]],6,FALSE),IF(ISNUMBER(OFFSET(AR47,-1,0)),OFFSET(AR47,-1,0),NA()))</f>
        <v>0.24516129032258063</v>
      </c>
      <c r="AS47" s="65">
        <f ca="1">IFERROR(VLOOKUP(C47,Coles_DD[[Week-Year]:[DDP]],6,FALSE),IF(ISNUMBER(OFFSET(AS47,-1,0)),OFFSET(AS47,-1,0),NA()))</f>
        <v>0.18516674962667995</v>
      </c>
      <c r="AT47" s="65">
        <f ca="1">IFERROR(VLOOKUP(C47,WOW_DD[[Week-Year]:[DDP]],6,FALSE),IF(ISNUMBER(OFFSET(AT47,-1,0)),OFFSET(AT47,-1,0),NA()))</f>
        <v>0.35086181711948583</v>
      </c>
      <c r="AU47" s="65">
        <f ca="1">IFERROR(VLOOKUP(C47,SSL_DD[[Week-Year]:[DDP]],6,FALSE),IF(ISNUMBER(OFFSET(AU47,-1,0)),OFFSET(AU47,-1,0),NA()))</f>
        <v>0.32415902140672781</v>
      </c>
      <c r="AV47" s="65">
        <f ca="1">IFERROR(VLOOKUP(C47,WFM_DD[[Week-Year]:[DDP]],6,FALSE),IF(ISNUMBER(OFFSET(AV47,-1,0)),OFFSET(AV47,-1,0),NA()))</f>
        <v>0.23175182481751824</v>
      </c>
      <c r="AW47" s="65">
        <f t="array" aca="1" ref="AW47" ca="1">IFERROR(AVERAGE(IF(ISNUMBER(DD_Table[[#This Row],[TDM_DDP]:[WFM_DDP]]),DD_Table[[#This Row],[TDM_DDP]:[WFM_DDP]])),NA())</f>
        <v>0.26742014065859854</v>
      </c>
      <c r="AX47" s="65">
        <f t="array" aca="1" ref="AX47" ca="1">IFERROR(MAX(IF(ISNUMBER(DD_Table[[TDM_DDP]:[WFM_DDP]]),DD_Table[[TDM_DDP]:[WFM_DDP]])),NA())</f>
        <v>0.68</v>
      </c>
      <c r="AY47" s="88">
        <f ca="1">IFERROR(VLOOKUP(C47,RTen_DD[[Week-Year]:[Core DDP]],6,FALSE),IF(ISNUMBER(VLOOKUP(C47,RTen_DD[[Week-Year]:[Core DDP]],6,FALSE)),OFFSET(AY47,-1,0),OFFSET(AY47,-1,0)))</f>
        <v>0.22496536254882812</v>
      </c>
      <c r="AZ47" s="65"/>
      <c r="BA47" s="65"/>
      <c r="BC47">
        <v>45</v>
      </c>
      <c r="BE47">
        <v>0</v>
      </c>
      <c r="BF47">
        <v>0</v>
      </c>
      <c r="BG47">
        <v>0</v>
      </c>
      <c r="BI47">
        <v>1</v>
      </c>
      <c r="BO47" s="71"/>
      <c r="BP47" s="71">
        <f>MAX(Med_Table[[TDM]:[WFM]])</f>
        <v>29</v>
      </c>
      <c r="DN47" s="74"/>
      <c r="DO47" s="74"/>
      <c r="DP47" s="30"/>
      <c r="DQ47" s="30"/>
      <c r="DR47" s="30"/>
      <c r="DS47" s="30"/>
      <c r="DT47" s="30"/>
      <c r="DU47" s="30"/>
      <c r="DV47" s="30"/>
      <c r="DW47" s="30"/>
    </row>
    <row r="48" spans="1:127">
      <c r="A48" s="69">
        <f t="shared" si="6"/>
        <v>41969</v>
      </c>
      <c r="B48" s="70">
        <f t="shared" si="4"/>
        <v>48</v>
      </c>
      <c r="C48" s="70">
        <f t="shared" si="5"/>
        <v>482014</v>
      </c>
      <c r="D48" s="57">
        <f ca="1">IFERROR(VLOOKUP(C48,TDM_DD[[Week-Year]:[DD]],2,FALSE),IF(ISNUMBER(OFFSET(D48,-1,0)),OFFSET(D48,-1,0),NA()))</f>
        <v>19</v>
      </c>
      <c r="E48" s="58">
        <f ca="1">IFERROR(VLOOKUP(C48,Coles_DD[[Week-Year]:[DD]],2,FALSE),IF(ISNUMBER(OFFSET(E48,-1,0)),OFFSET(E48,-1,0),NA()))</f>
        <v>2205</v>
      </c>
      <c r="F48" s="58">
        <f ca="1">IFERROR(VLOOKUP(C48,WOW_DD[[Week-Year]:[DD]],2,FALSE),IF(ISNUMBER(OFFSET(F48,-1,0)),OFFSET(F48,-1,0),NA()))</f>
        <v>2822</v>
      </c>
      <c r="G48" s="57">
        <f ca="1">IFERROR(VLOOKUP(C48,SSL_DD[[Week-Year]:[DD]],2,FALSE),IF(ISNUMBER(OFFSET(G48,-1,0)),OFFSET(G48,-1,0),NA()))</f>
        <v>410</v>
      </c>
      <c r="H48" s="58">
        <f ca="1">IFERROR(VLOOKUP(C48,WFM_DD[[Week-Year]:[DD]],2,FALSE),IF(ISNUMBER(OFFSET(H48,-1,0)),OFFSET(H48,-1,0),NA()))</f>
        <v>171</v>
      </c>
      <c r="I48" s="57">
        <f ca="1">IFERROR(VLOOKUP(C48,RTen_DD[[Week-Year]:[DD]],2,FALSE),IF(ISNUMBER(OFFSET(I48,-1,0)),OFFSET(I48,-1,0),NA()))</f>
        <v>6009</v>
      </c>
      <c r="J48" s="57">
        <f ca="1">IFERROR(VLOOKUP(C48,TDM_DD[[Week-Year]:[DD]],3,FALSE),IF(ISNUMBER(OFFSET(J48,-1,0)),OFFSET(J48,-1,0),NA()))</f>
        <v>5.736842155456543</v>
      </c>
      <c r="K48" s="57">
        <f ca="1">IFERROR(VLOOKUP(C48,Coles_DD[[Week-Year]:[DD]],3,FALSE),IF(ISNUMBER(OFFSET(K48,-1,0)),OFFSET(K48,-1,0),NA()))</f>
        <v>0.52698415517807007</v>
      </c>
      <c r="L48" s="57">
        <f ca="1">IFERROR(VLOOKUP(C48,WOW_DD[[Week-Year]:[DD]],3,FALSE),IF(ISNUMBER(OFFSET(L48,-1,0)),OFFSET(L48,-1,0),NA()))</f>
        <v>0.59425938129425049</v>
      </c>
      <c r="M48" s="57">
        <f ca="1">IFERROR(VLOOKUP(C48,SSL_DD[[Week-Year]:[DD]],3,FALSE),IF(ISNUMBER(OFFSET(M48,-1,0)),OFFSET(M48,-1,0),NA()))</f>
        <v>3.5170731544494629</v>
      </c>
      <c r="N48" s="57">
        <f ca="1">IFERROR(VLOOKUP(C48,WFM_DD[[Week-Year]:[DD]],3,FALSE),IF(ISNUMBER(OFFSET(N48,-1,0)),OFFSET(N48,-1,0),NA()))</f>
        <v>1.5497076511383057</v>
      </c>
      <c r="O48" s="57">
        <f ca="1">IFERROR(VLOOKUP(C48,RTen_DD[[Week-Year]:[DD]],3,FALSE),IF(ISNUMBER(OFFSET(O48,-1,0)),OFFSET(O48,-1,0),NA()))</f>
        <v>1.3211848735809326</v>
      </c>
      <c r="P48" s="57">
        <f t="array" aca="1" ref="P48" ca="1">AVERAGE(IF(ISNUMBER(DD_Table[[#This Row],[TDM_DD]:[WFM_DD]]),DD_Table[[#This Row],[TDM_DD]:[WFM_DD]]))</f>
        <v>2.3849732995033266</v>
      </c>
      <c r="Q48" s="57">
        <f t="array" aca="1" ref="Q48" ca="1">MAX(IF(ISERROR(DD_Table[[TDM_DD]:[WFM_DD]]),0,DD_Table[[TDM_DD]:[WFM_DD]]))*0.8</f>
        <v>12.322580718994141</v>
      </c>
      <c r="R48" s="57">
        <v>0.5</v>
      </c>
      <c r="S48" s="57">
        <v>0.5</v>
      </c>
      <c r="T48" s="57">
        <v>0.5</v>
      </c>
      <c r="U48" s="57">
        <v>0.5</v>
      </c>
      <c r="V48" s="57">
        <v>0.5</v>
      </c>
      <c r="W48" s="57">
        <v>0.5</v>
      </c>
      <c r="X48" s="59">
        <f ca="1">IFERROR(VLOOKUP(C48,TDM_DD[[Week-Year]:[Core Reg]],4,FALSE),IF(ISNUMBER(OFFSET(X48,-1,0)),OFFSET(X48,-1,0),NA()))</f>
        <v>18.348623275756836</v>
      </c>
      <c r="Y48" s="59">
        <f ca="1">IFERROR(VLOOKUP(C48,TDM_DD[[Week-Year]:[Core Reg]],5,FALSE),IF(ISNUMBER(OFFSET(Y48,-1,0)),OFFSET(Y48,-1,0),NA()))</f>
        <v>36.842105865478516</v>
      </c>
      <c r="Z48" s="59">
        <f ca="1">IFERROR(VLOOKUP(C48,Coles_DD[[Week-Year]:[Core Reg]],4,FALSE),IF(ISNUMBER(OFFSET(Z48,-1,0)),OFFSET(Z48,-1,0),NA()))</f>
        <v>4.1308088302612305</v>
      </c>
      <c r="AA48" s="59">
        <f ca="1">IFERROR(VLOOKUP(C48,Coles_DD[[Week-Year]:[Core Reg]],5,FALSE),IF(ISNUMBER(OFFSET(AA48,-1,0)),OFFSET(AA48,-1,0),NA()))</f>
        <v>6.5068492889404297</v>
      </c>
      <c r="AB48" s="59">
        <f ca="1">IFERROR(VLOOKUP(C48,WOW_DD[[Week-Year]:[Core Reg]],4,FALSE),IF(ISNUMBER(OFFSET(AB48,-1,0)),OFFSET(AB48,-1,0),NA()))</f>
        <v>12.343470573425293</v>
      </c>
      <c r="AC48" s="59">
        <f ca="1">IFERROR(VLOOKUP(C48,WOW_DD[[Week-Year]:[Core Reg]],5,FALSE),IF(ISNUMBER(OFFSET(AC48,-1,0)),OFFSET(AC48,-1,0),NA()))</f>
        <v>14.126016616821289</v>
      </c>
      <c r="AD48" s="59">
        <f ca="1">IFERROR(VLOOKUP(C48,SSL_DD[[Week-Year]:[Core Reg]],4,FALSE),IF(ISNUMBER(OFFSET(AD48,-1,0)),OFFSET(AD48,-1,0),NA()))</f>
        <v>42.163661956787109</v>
      </c>
      <c r="AE48" s="59">
        <f ca="1">IFERROR(VLOOKUP(C48,SSL_DD[[Week-Year]:[Core Reg]],5,FALSE),IF(ISNUMBER(OFFSET(AE48,-1,0)),OFFSET(AE48,-1,0),NA()))</f>
        <v>55.369926452636719</v>
      </c>
      <c r="AF48" s="59">
        <f ca="1">IFERROR(VLOOKUP(C48,WFM_DD[[Week-Year]:[Core Reg]],4,FALSE),IF(ISNUMBER(OFFSET(AF48,-1,0)),OFFSET(AF48,-1,0),NA()))</f>
        <v>20.377359390258789</v>
      </c>
      <c r="AG48" s="59">
        <f ca="1">IFERROR(VLOOKUP(C48,WFM_DD[[Week-Year]:[Core Reg]],5,FALSE),IF(ISNUMBER(OFFSET(AG48,-1,0)),OFFSET(AG48,-1,0),NA()))</f>
        <v>24.242424011230469</v>
      </c>
      <c r="AH48" s="62">
        <f ca="1">IFERROR(VLOOKUP(C48,RTen_DD[[Week-Year]:[Core Reg]],4,FALSE),IF(ISNUMBER(OFFSET(AH48,-1,0)),OFFSET(AH48,-1,0),NA()))</f>
        <v>0</v>
      </c>
      <c r="AI48" s="62">
        <f ca="1">IFERROR(VLOOKUP(C48,RTen_DD[[Week-Year]:[Core Reg]],5,FALSE)/100,IF(ISNUMBER(OFFSET(AI48,-1,0)),OFFSET(AI48,-1,0),NA()))</f>
        <v>0.36503337860107421</v>
      </c>
      <c r="AJ48" s="62">
        <f ca="1">DD_Table[[#This Row],[TDM_Ext_Reg]]</f>
        <v>18.348623275756836</v>
      </c>
      <c r="AK48" s="62">
        <f ca="1">DD_Table[[#This Row],[Coles_Ext_Reg]]</f>
        <v>4.1308088302612305</v>
      </c>
      <c r="AL48" s="62">
        <f ca="1">DD_Table[[#This Row],[WOW_Ext_Reg]]</f>
        <v>12.343470573425293</v>
      </c>
      <c r="AM48" s="62">
        <f ca="1">DD_Table[[#This Row],[SSL_Ext_Reg]]</f>
        <v>42.163661956787109</v>
      </c>
      <c r="AN48" s="62">
        <f ca="1">DD_Table[[#This Row],[WFM_Ext_Reg]]</f>
        <v>20.377359390258789</v>
      </c>
      <c r="AO48" s="62">
        <f t="array" aca="1" ref="AO48" ca="1">IFERROR(AVERAGE(IF(ISNUMBER(DD_Table[[#This Row],[TDM_Avg]:[WFM_Avg]]),DD_Table[[#This Row],[TDM_Avg]:[WFM_Avg]]))/100,NA())</f>
        <v>0.19472784805297852</v>
      </c>
      <c r="AP48" s="62">
        <f t="array" aca="1" ref="AP48" ca="1">MAX(IF(ISERROR(DD_Table[[TDM_Avg]:[WFM_Avg]]),0,DD_Table[[TDM_Avg]:[WFM_Avg]]))*1.1</f>
        <v>48.107883834838873</v>
      </c>
      <c r="AQ48" s="62">
        <f t="array" aca="1" ref="AQ48" ca="1">MAX(IF(ISERROR(DD_Table[[TDM_Ext_Reg]:[WFM_Core_Reg]]),0,DD_Table[[TDM_Ext_Reg]:[WFM_Core_Reg]]))</f>
        <v>61.538463592529297</v>
      </c>
      <c r="AR48" s="65">
        <f ca="1">IFERROR(VLOOKUP(C48,TDM_DD[[Week-Year]:[DDP]],6,FALSE),IF(ISNUMBER(OFFSET(AR48,-1,0)),OFFSET(AR48,-1,0),NA()))</f>
        <v>0.24516129032258063</v>
      </c>
      <c r="AS48" s="65">
        <f ca="1">IFERROR(VLOOKUP(C48,Coles_DD[[Week-Year]:[DDP]],6,FALSE),IF(ISNUMBER(OFFSET(AS48,-1,0)),OFFSET(AS48,-1,0),NA()))</f>
        <v>0.18516674962667995</v>
      </c>
      <c r="AT48" s="65">
        <f ca="1">IFERROR(VLOOKUP(C48,WOW_DD[[Week-Year]:[DDP]],6,FALSE),IF(ISNUMBER(OFFSET(AT48,-1,0)),OFFSET(AT48,-1,0),NA()))</f>
        <v>0.35086181711948583</v>
      </c>
      <c r="AU48" s="65">
        <f ca="1">IFERROR(VLOOKUP(C48,SSL_DD[[Week-Year]:[DDP]],6,FALSE),IF(ISNUMBER(OFFSET(AU48,-1,0)),OFFSET(AU48,-1,0),NA()))</f>
        <v>0.32415902140672781</v>
      </c>
      <c r="AV48" s="65">
        <f ca="1">IFERROR(VLOOKUP(C48,WFM_DD[[Week-Year]:[DDP]],6,FALSE),IF(ISNUMBER(OFFSET(AV48,-1,0)),OFFSET(AV48,-1,0),NA()))</f>
        <v>0.23175182481751824</v>
      </c>
      <c r="AW48" s="65">
        <f t="array" aca="1" ref="AW48" ca="1">IFERROR(AVERAGE(IF(ISNUMBER(DD_Table[[#This Row],[TDM_DDP]:[WFM_DDP]]),DD_Table[[#This Row],[TDM_DDP]:[WFM_DDP]])),NA())</f>
        <v>0.26742014065859854</v>
      </c>
      <c r="AX48" s="65">
        <f t="array" aca="1" ref="AX48" ca="1">IFERROR(MAX(IF(ISNUMBER(DD_Table[[TDM_DDP]:[WFM_DDP]]),DD_Table[[TDM_DDP]:[WFM_DDP]])),NA())</f>
        <v>0.68</v>
      </c>
      <c r="AY48" s="88">
        <f ca="1">IFERROR(VLOOKUP(C48,RTen_DD[[Week-Year]:[Core DDP]],6,FALSE),IF(ISNUMBER(VLOOKUP(C48,RTen_DD[[Week-Year]:[Core DDP]],6,FALSE)),OFFSET(AY48,-1,0),OFFSET(AY48,-1,0)))</f>
        <v>0.22496536254882812</v>
      </c>
      <c r="AZ48" s="65"/>
      <c r="BA48" s="65"/>
      <c r="BC48">
        <v>46</v>
      </c>
      <c r="BE48">
        <v>0</v>
      </c>
      <c r="BF48">
        <v>0</v>
      </c>
      <c r="BG48">
        <v>0</v>
      </c>
      <c r="BI48">
        <v>0</v>
      </c>
      <c r="BO48" s="71"/>
      <c r="BP48" s="71">
        <f>MAX(Med_Table[[TDM]:[WFM]])</f>
        <v>29</v>
      </c>
      <c r="DN48" s="74"/>
      <c r="DO48" s="74"/>
      <c r="DP48" s="30"/>
      <c r="DQ48" s="30"/>
      <c r="DR48" s="30"/>
      <c r="DS48" s="30"/>
      <c r="DT48" s="30"/>
      <c r="DU48" s="30"/>
      <c r="DV48" s="30"/>
      <c r="DW48" s="30"/>
    </row>
    <row r="49" spans="1:127">
      <c r="A49" s="69">
        <f t="shared" si="6"/>
        <v>41976</v>
      </c>
      <c r="B49" s="70">
        <f t="shared" si="4"/>
        <v>49</v>
      </c>
      <c r="C49" s="70">
        <f t="shared" si="5"/>
        <v>492014</v>
      </c>
      <c r="D49" s="57">
        <f ca="1">IFERROR(VLOOKUP(C49,TDM_DD[[Week-Year]:[DD]],2,FALSE),IF(ISNUMBER(OFFSET(D49,-1,0)),OFFSET(D49,-1,0),NA()))</f>
        <v>19</v>
      </c>
      <c r="E49" s="58">
        <f ca="1">IFERROR(VLOOKUP(C49,Coles_DD[[Week-Year]:[DD]],2,FALSE),IF(ISNUMBER(OFFSET(E49,-1,0)),OFFSET(E49,-1,0),NA()))</f>
        <v>2205</v>
      </c>
      <c r="F49" s="58">
        <f ca="1">IFERROR(VLOOKUP(C49,WOW_DD[[Week-Year]:[DD]],2,FALSE),IF(ISNUMBER(OFFSET(F49,-1,0)),OFFSET(F49,-1,0),NA()))</f>
        <v>2822</v>
      </c>
      <c r="G49" s="57">
        <f ca="1">IFERROR(VLOOKUP(C49,SSL_DD[[Week-Year]:[DD]],2,FALSE),IF(ISNUMBER(OFFSET(G49,-1,0)),OFFSET(G49,-1,0),NA()))</f>
        <v>410</v>
      </c>
      <c r="H49" s="58">
        <f ca="1">IFERROR(VLOOKUP(C49,WFM_DD[[Week-Year]:[DD]],2,FALSE),IF(ISNUMBER(OFFSET(H49,-1,0)),OFFSET(H49,-1,0),NA()))</f>
        <v>171</v>
      </c>
      <c r="I49" s="57">
        <f ca="1">IFERROR(VLOOKUP(C49,RTen_DD[[Week-Year]:[DD]],2,FALSE),IF(ISNUMBER(OFFSET(I49,-1,0)),OFFSET(I49,-1,0),NA()))</f>
        <v>6009</v>
      </c>
      <c r="J49" s="57">
        <f ca="1">IFERROR(VLOOKUP(C49,TDM_DD[[Week-Year]:[DD]],3,FALSE),IF(ISNUMBER(OFFSET(J49,-1,0)),OFFSET(J49,-1,0),NA()))</f>
        <v>5.736842155456543</v>
      </c>
      <c r="K49" s="57">
        <f ca="1">IFERROR(VLOOKUP(C49,Coles_DD[[Week-Year]:[DD]],3,FALSE),IF(ISNUMBER(OFFSET(K49,-1,0)),OFFSET(K49,-1,0),NA()))</f>
        <v>0.52698415517807007</v>
      </c>
      <c r="L49" s="57">
        <f ca="1">IFERROR(VLOOKUP(C49,WOW_DD[[Week-Year]:[DD]],3,FALSE),IF(ISNUMBER(OFFSET(L49,-1,0)),OFFSET(L49,-1,0),NA()))</f>
        <v>0.59425938129425049</v>
      </c>
      <c r="M49" s="57">
        <f ca="1">IFERROR(VLOOKUP(C49,SSL_DD[[Week-Year]:[DD]],3,FALSE),IF(ISNUMBER(OFFSET(M49,-1,0)),OFFSET(M49,-1,0),NA()))</f>
        <v>3.5170731544494629</v>
      </c>
      <c r="N49" s="57">
        <f ca="1">IFERROR(VLOOKUP(C49,WFM_DD[[Week-Year]:[DD]],3,FALSE),IF(ISNUMBER(OFFSET(N49,-1,0)),OFFSET(N49,-1,0),NA()))</f>
        <v>1.5497076511383057</v>
      </c>
      <c r="O49" s="57">
        <f ca="1">IFERROR(VLOOKUP(C49,RTen_DD[[Week-Year]:[DD]],3,FALSE),IF(ISNUMBER(OFFSET(O49,-1,0)),OFFSET(O49,-1,0),NA()))</f>
        <v>1.3211848735809326</v>
      </c>
      <c r="P49" s="57">
        <f t="array" aca="1" ref="P49" ca="1">AVERAGE(IF(ISNUMBER(DD_Table[[#This Row],[TDM_DD]:[WFM_DD]]),DD_Table[[#This Row],[TDM_DD]:[WFM_DD]]))</f>
        <v>2.3849732995033266</v>
      </c>
      <c r="Q49" s="57">
        <f t="array" aca="1" ref="Q49" ca="1">MAX(IF(ISERROR(DD_Table[[TDM_DD]:[WFM_DD]]),0,DD_Table[[TDM_DD]:[WFM_DD]]))*0.8</f>
        <v>12.322580718994141</v>
      </c>
      <c r="R49" s="57">
        <v>0.5</v>
      </c>
      <c r="S49" s="57">
        <v>0.5</v>
      </c>
      <c r="T49" s="57">
        <v>0.5</v>
      </c>
      <c r="U49" s="57">
        <v>0.5</v>
      </c>
      <c r="V49" s="57">
        <v>0.5</v>
      </c>
      <c r="W49" s="57">
        <v>0.5</v>
      </c>
      <c r="X49" s="59">
        <f ca="1">IFERROR(VLOOKUP(C49,TDM_DD[[Week-Year]:[Core Reg]],4,FALSE),IF(ISNUMBER(OFFSET(X49,-1,0)),OFFSET(X49,-1,0),NA()))</f>
        <v>18.348623275756836</v>
      </c>
      <c r="Y49" s="59">
        <f ca="1">IFERROR(VLOOKUP(C49,TDM_DD[[Week-Year]:[Core Reg]],5,FALSE),IF(ISNUMBER(OFFSET(Y49,-1,0)),OFFSET(Y49,-1,0),NA()))</f>
        <v>36.842105865478516</v>
      </c>
      <c r="Z49" s="59">
        <f ca="1">IFERROR(VLOOKUP(C49,Coles_DD[[Week-Year]:[Core Reg]],4,FALSE),IF(ISNUMBER(OFFSET(Z49,-1,0)),OFFSET(Z49,-1,0),NA()))</f>
        <v>4.1308088302612305</v>
      </c>
      <c r="AA49" s="59">
        <f ca="1">IFERROR(VLOOKUP(C49,Coles_DD[[Week-Year]:[Core Reg]],5,FALSE),IF(ISNUMBER(OFFSET(AA49,-1,0)),OFFSET(AA49,-1,0),NA()))</f>
        <v>6.5068492889404297</v>
      </c>
      <c r="AB49" s="59">
        <f ca="1">IFERROR(VLOOKUP(C49,WOW_DD[[Week-Year]:[Core Reg]],4,FALSE),IF(ISNUMBER(OFFSET(AB49,-1,0)),OFFSET(AB49,-1,0),NA()))</f>
        <v>12.343470573425293</v>
      </c>
      <c r="AC49" s="59">
        <f ca="1">IFERROR(VLOOKUP(C49,WOW_DD[[Week-Year]:[Core Reg]],5,FALSE),IF(ISNUMBER(OFFSET(AC49,-1,0)),OFFSET(AC49,-1,0),NA()))</f>
        <v>14.126016616821289</v>
      </c>
      <c r="AD49" s="59">
        <f ca="1">IFERROR(VLOOKUP(C49,SSL_DD[[Week-Year]:[Core Reg]],4,FALSE),IF(ISNUMBER(OFFSET(AD49,-1,0)),OFFSET(AD49,-1,0),NA()))</f>
        <v>42.163661956787109</v>
      </c>
      <c r="AE49" s="59">
        <f ca="1">IFERROR(VLOOKUP(C49,SSL_DD[[Week-Year]:[Core Reg]],5,FALSE),IF(ISNUMBER(OFFSET(AE49,-1,0)),OFFSET(AE49,-1,0),NA()))</f>
        <v>55.369926452636719</v>
      </c>
      <c r="AF49" s="59">
        <f ca="1">IFERROR(VLOOKUP(C49,WFM_DD[[Week-Year]:[Core Reg]],4,FALSE),IF(ISNUMBER(OFFSET(AF49,-1,0)),OFFSET(AF49,-1,0),NA()))</f>
        <v>20.377359390258789</v>
      </c>
      <c r="AG49" s="59">
        <f ca="1">IFERROR(VLOOKUP(C49,WFM_DD[[Week-Year]:[Core Reg]],5,FALSE),IF(ISNUMBER(OFFSET(AG49,-1,0)),OFFSET(AG49,-1,0),NA()))</f>
        <v>24.242424011230469</v>
      </c>
      <c r="AH49" s="62">
        <f ca="1">IFERROR(VLOOKUP(C49,RTen_DD[[Week-Year]:[Core Reg]],4,FALSE),IF(ISNUMBER(OFFSET(AH49,-1,0)),OFFSET(AH49,-1,0),NA()))</f>
        <v>0</v>
      </c>
      <c r="AI49" s="62">
        <f ca="1">IFERROR(VLOOKUP(C49,RTen_DD[[Week-Year]:[Core Reg]],5,FALSE)/100,IF(ISNUMBER(OFFSET(AI49,-1,0)),OFFSET(AI49,-1,0),NA()))</f>
        <v>0.36503337860107421</v>
      </c>
      <c r="AJ49" s="62">
        <f ca="1">DD_Table[[#This Row],[TDM_Ext_Reg]]</f>
        <v>18.348623275756836</v>
      </c>
      <c r="AK49" s="62">
        <f ca="1">DD_Table[[#This Row],[Coles_Ext_Reg]]</f>
        <v>4.1308088302612305</v>
      </c>
      <c r="AL49" s="62">
        <f ca="1">DD_Table[[#This Row],[WOW_Ext_Reg]]</f>
        <v>12.343470573425293</v>
      </c>
      <c r="AM49" s="62">
        <f ca="1">DD_Table[[#This Row],[SSL_Ext_Reg]]</f>
        <v>42.163661956787109</v>
      </c>
      <c r="AN49" s="62">
        <f ca="1">DD_Table[[#This Row],[WFM_Ext_Reg]]</f>
        <v>20.377359390258789</v>
      </c>
      <c r="AO49" s="62">
        <f t="array" aca="1" ref="AO49" ca="1">IFERROR(AVERAGE(IF(ISNUMBER(DD_Table[[#This Row],[TDM_Avg]:[WFM_Avg]]),DD_Table[[#This Row],[TDM_Avg]:[WFM_Avg]]))/100,NA())</f>
        <v>0.19472784805297852</v>
      </c>
      <c r="AP49" s="62">
        <f t="array" aca="1" ref="AP49" ca="1">MAX(IF(ISERROR(DD_Table[[TDM_Avg]:[WFM_Avg]]),0,DD_Table[[TDM_Avg]:[WFM_Avg]]))*1.1</f>
        <v>48.107883834838873</v>
      </c>
      <c r="AQ49" s="62">
        <f t="array" aca="1" ref="AQ49" ca="1">MAX(IF(ISERROR(DD_Table[[TDM_Ext_Reg]:[WFM_Core_Reg]]),0,DD_Table[[TDM_Ext_Reg]:[WFM_Core_Reg]]))</f>
        <v>61.538463592529297</v>
      </c>
      <c r="AR49" s="65">
        <f ca="1">IFERROR(VLOOKUP(C49,TDM_DD[[Week-Year]:[DDP]],6,FALSE),IF(ISNUMBER(OFFSET(AR49,-1,0)),OFFSET(AR49,-1,0),NA()))</f>
        <v>0.24516129032258063</v>
      </c>
      <c r="AS49" s="65">
        <f ca="1">IFERROR(VLOOKUP(C49,Coles_DD[[Week-Year]:[DDP]],6,FALSE),IF(ISNUMBER(OFFSET(AS49,-1,0)),OFFSET(AS49,-1,0),NA()))</f>
        <v>0.18516674962667995</v>
      </c>
      <c r="AT49" s="65">
        <f ca="1">IFERROR(VLOOKUP(C49,WOW_DD[[Week-Year]:[DDP]],6,FALSE),IF(ISNUMBER(OFFSET(AT49,-1,0)),OFFSET(AT49,-1,0),NA()))</f>
        <v>0.35086181711948583</v>
      </c>
      <c r="AU49" s="65">
        <f ca="1">IFERROR(VLOOKUP(C49,SSL_DD[[Week-Year]:[DDP]],6,FALSE),IF(ISNUMBER(OFFSET(AU49,-1,0)),OFFSET(AU49,-1,0),NA()))</f>
        <v>0.32415902140672781</v>
      </c>
      <c r="AV49" s="65">
        <f ca="1">IFERROR(VLOOKUP(C49,WFM_DD[[Week-Year]:[DDP]],6,FALSE),IF(ISNUMBER(OFFSET(AV49,-1,0)),OFFSET(AV49,-1,0),NA()))</f>
        <v>0.23175182481751824</v>
      </c>
      <c r="AW49" s="65">
        <f t="array" aca="1" ref="AW49" ca="1">IFERROR(AVERAGE(IF(ISNUMBER(DD_Table[[#This Row],[TDM_DDP]:[WFM_DDP]]),DD_Table[[#This Row],[TDM_DDP]:[WFM_DDP]])),NA())</f>
        <v>0.26742014065859854</v>
      </c>
      <c r="AX49" s="65">
        <f t="array" aca="1" ref="AX49" ca="1">IFERROR(MAX(IF(ISNUMBER(DD_Table[[TDM_DDP]:[WFM_DDP]]),DD_Table[[TDM_DDP]:[WFM_DDP]])),NA())</f>
        <v>0.68</v>
      </c>
      <c r="AY49" s="88">
        <f ca="1">IFERROR(VLOOKUP(C49,RTen_DD[[Week-Year]:[Core DDP]],6,FALSE),IF(ISNUMBER(VLOOKUP(C49,RTen_DD[[Week-Year]:[Core DDP]],6,FALSE)),OFFSET(AY49,-1,0),OFFSET(AY49,-1,0)))</f>
        <v>0.22496536254882812</v>
      </c>
      <c r="AZ49" s="65"/>
      <c r="BA49" s="65"/>
      <c r="BC49">
        <v>47</v>
      </c>
      <c r="BE49">
        <v>0</v>
      </c>
      <c r="BF49">
        <v>0</v>
      </c>
      <c r="BG49">
        <v>0</v>
      </c>
      <c r="BI49">
        <v>0</v>
      </c>
      <c r="BO49" s="71"/>
      <c r="BP49" s="71">
        <f>MAX(Med_Table[[TDM]:[WFM]])</f>
        <v>29</v>
      </c>
      <c r="DN49" s="74"/>
      <c r="DO49" s="74"/>
      <c r="DP49" s="30"/>
      <c r="DQ49" s="30"/>
      <c r="DR49" s="30"/>
      <c r="DS49" s="30"/>
      <c r="DT49" s="30"/>
      <c r="DU49" s="30"/>
      <c r="DV49" s="30"/>
      <c r="DW49" s="30"/>
    </row>
    <row r="50" spans="1:127">
      <c r="A50" s="69">
        <f t="shared" si="6"/>
        <v>41983</v>
      </c>
      <c r="B50" s="70">
        <f t="shared" si="4"/>
        <v>50</v>
      </c>
      <c r="C50" s="70">
        <f t="shared" si="5"/>
        <v>502014</v>
      </c>
      <c r="D50" s="57">
        <f ca="1">IFERROR(VLOOKUP(C50,TDM_DD[[Week-Year]:[DD]],2,FALSE),IF(ISNUMBER(OFFSET(D50,-1,0)),OFFSET(D50,-1,0),NA()))</f>
        <v>19</v>
      </c>
      <c r="E50" s="58">
        <f ca="1">IFERROR(VLOOKUP(C50,Coles_DD[[Week-Year]:[DD]],2,FALSE),IF(ISNUMBER(OFFSET(E50,-1,0)),OFFSET(E50,-1,0),NA()))</f>
        <v>2205</v>
      </c>
      <c r="F50" s="58">
        <f ca="1">IFERROR(VLOOKUP(C50,WOW_DD[[Week-Year]:[DD]],2,FALSE),IF(ISNUMBER(OFFSET(F50,-1,0)),OFFSET(F50,-1,0),NA()))</f>
        <v>2822</v>
      </c>
      <c r="G50" s="57">
        <f ca="1">IFERROR(VLOOKUP(C50,SSL_DD[[Week-Year]:[DD]],2,FALSE),IF(ISNUMBER(OFFSET(G50,-1,0)),OFFSET(G50,-1,0),NA()))</f>
        <v>410</v>
      </c>
      <c r="H50" s="58">
        <f ca="1">IFERROR(VLOOKUP(C50,WFM_DD[[Week-Year]:[DD]],2,FALSE),IF(ISNUMBER(OFFSET(H50,-1,0)),OFFSET(H50,-1,0),NA()))</f>
        <v>171</v>
      </c>
      <c r="I50" s="57">
        <f ca="1">IFERROR(VLOOKUP(C50,RTen_DD[[Week-Year]:[DD]],2,FALSE),IF(ISNUMBER(OFFSET(I50,-1,0)),OFFSET(I50,-1,0),NA()))</f>
        <v>6009</v>
      </c>
      <c r="J50" s="57">
        <f ca="1">IFERROR(VLOOKUP(C50,TDM_DD[[Week-Year]:[DD]],3,FALSE),IF(ISNUMBER(OFFSET(J50,-1,0)),OFFSET(J50,-1,0),NA()))</f>
        <v>5.736842155456543</v>
      </c>
      <c r="K50" s="57">
        <f ca="1">IFERROR(VLOOKUP(C50,Coles_DD[[Week-Year]:[DD]],3,FALSE),IF(ISNUMBER(OFFSET(K50,-1,0)),OFFSET(K50,-1,0),NA()))</f>
        <v>0.52698415517807007</v>
      </c>
      <c r="L50" s="57">
        <f ca="1">IFERROR(VLOOKUP(C50,WOW_DD[[Week-Year]:[DD]],3,FALSE),IF(ISNUMBER(OFFSET(L50,-1,0)),OFFSET(L50,-1,0),NA()))</f>
        <v>0.59425938129425049</v>
      </c>
      <c r="M50" s="57">
        <f ca="1">IFERROR(VLOOKUP(C50,SSL_DD[[Week-Year]:[DD]],3,FALSE),IF(ISNUMBER(OFFSET(M50,-1,0)),OFFSET(M50,-1,0),NA()))</f>
        <v>3.5170731544494629</v>
      </c>
      <c r="N50" s="57">
        <f ca="1">IFERROR(VLOOKUP(C50,WFM_DD[[Week-Year]:[DD]],3,FALSE),IF(ISNUMBER(OFFSET(N50,-1,0)),OFFSET(N50,-1,0),NA()))</f>
        <v>1.5497076511383057</v>
      </c>
      <c r="O50" s="57">
        <f ca="1">IFERROR(VLOOKUP(C50,RTen_DD[[Week-Year]:[DD]],3,FALSE),IF(ISNUMBER(OFFSET(O50,-1,0)),OFFSET(O50,-1,0),NA()))</f>
        <v>1.3211848735809326</v>
      </c>
      <c r="P50" s="57">
        <f t="array" aca="1" ref="P50" ca="1">AVERAGE(IF(ISNUMBER(DD_Table[[#This Row],[TDM_DD]:[WFM_DD]]),DD_Table[[#This Row],[TDM_DD]:[WFM_DD]]))</f>
        <v>2.3849732995033266</v>
      </c>
      <c r="Q50" s="57">
        <f t="array" aca="1" ref="Q50" ca="1">MAX(IF(ISERROR(DD_Table[[TDM_DD]:[WFM_DD]]),0,DD_Table[[TDM_DD]:[WFM_DD]]))*0.8</f>
        <v>12.322580718994141</v>
      </c>
      <c r="R50" s="57">
        <v>0.5</v>
      </c>
      <c r="S50" s="57">
        <v>0.5</v>
      </c>
      <c r="T50" s="57">
        <v>0.5</v>
      </c>
      <c r="U50" s="57">
        <v>0.5</v>
      </c>
      <c r="V50" s="57">
        <v>0.5</v>
      </c>
      <c r="W50" s="57">
        <v>0.5</v>
      </c>
      <c r="X50" s="59">
        <f ca="1">IFERROR(VLOOKUP(C50,TDM_DD[[Week-Year]:[Core Reg]],4,FALSE),IF(ISNUMBER(OFFSET(X50,-1,0)),OFFSET(X50,-1,0),NA()))</f>
        <v>18.348623275756836</v>
      </c>
      <c r="Y50" s="59">
        <f ca="1">IFERROR(VLOOKUP(C50,TDM_DD[[Week-Year]:[Core Reg]],5,FALSE),IF(ISNUMBER(OFFSET(Y50,-1,0)),OFFSET(Y50,-1,0),NA()))</f>
        <v>36.842105865478516</v>
      </c>
      <c r="Z50" s="59">
        <f ca="1">IFERROR(VLOOKUP(C50,Coles_DD[[Week-Year]:[Core Reg]],4,FALSE),IF(ISNUMBER(OFFSET(Z50,-1,0)),OFFSET(Z50,-1,0),NA()))</f>
        <v>4.1308088302612305</v>
      </c>
      <c r="AA50" s="59">
        <f ca="1">IFERROR(VLOOKUP(C50,Coles_DD[[Week-Year]:[Core Reg]],5,FALSE),IF(ISNUMBER(OFFSET(AA50,-1,0)),OFFSET(AA50,-1,0),NA()))</f>
        <v>6.5068492889404297</v>
      </c>
      <c r="AB50" s="59">
        <f ca="1">IFERROR(VLOOKUP(C50,WOW_DD[[Week-Year]:[Core Reg]],4,FALSE),IF(ISNUMBER(OFFSET(AB50,-1,0)),OFFSET(AB50,-1,0),NA()))</f>
        <v>12.343470573425293</v>
      </c>
      <c r="AC50" s="59">
        <f ca="1">IFERROR(VLOOKUP(C50,WOW_DD[[Week-Year]:[Core Reg]],5,FALSE),IF(ISNUMBER(OFFSET(AC50,-1,0)),OFFSET(AC50,-1,0),NA()))</f>
        <v>14.126016616821289</v>
      </c>
      <c r="AD50" s="59">
        <f ca="1">IFERROR(VLOOKUP(C50,SSL_DD[[Week-Year]:[Core Reg]],4,FALSE),IF(ISNUMBER(OFFSET(AD50,-1,0)),OFFSET(AD50,-1,0),NA()))</f>
        <v>42.163661956787109</v>
      </c>
      <c r="AE50" s="59">
        <f ca="1">IFERROR(VLOOKUP(C50,SSL_DD[[Week-Year]:[Core Reg]],5,FALSE),IF(ISNUMBER(OFFSET(AE50,-1,0)),OFFSET(AE50,-1,0),NA()))</f>
        <v>55.369926452636719</v>
      </c>
      <c r="AF50" s="59">
        <f ca="1">IFERROR(VLOOKUP(C50,WFM_DD[[Week-Year]:[Core Reg]],4,FALSE),IF(ISNUMBER(OFFSET(AF50,-1,0)),OFFSET(AF50,-1,0),NA()))</f>
        <v>20.377359390258789</v>
      </c>
      <c r="AG50" s="59">
        <f ca="1">IFERROR(VLOOKUP(C50,WFM_DD[[Week-Year]:[Core Reg]],5,FALSE),IF(ISNUMBER(OFFSET(AG50,-1,0)),OFFSET(AG50,-1,0),NA()))</f>
        <v>24.242424011230469</v>
      </c>
      <c r="AH50" s="62">
        <f ca="1">IFERROR(VLOOKUP(C50,RTen_DD[[Week-Year]:[Core Reg]],4,FALSE),IF(ISNUMBER(OFFSET(AH50,-1,0)),OFFSET(AH50,-1,0),NA()))</f>
        <v>0</v>
      </c>
      <c r="AI50" s="62">
        <f ca="1">IFERROR(VLOOKUP(C50,RTen_DD[[Week-Year]:[Core Reg]],5,FALSE)/100,IF(ISNUMBER(OFFSET(AI50,-1,0)),OFFSET(AI50,-1,0),NA()))</f>
        <v>0.36503337860107421</v>
      </c>
      <c r="AJ50" s="62">
        <f ca="1">DD_Table[[#This Row],[TDM_Ext_Reg]]</f>
        <v>18.348623275756836</v>
      </c>
      <c r="AK50" s="62">
        <f ca="1">DD_Table[[#This Row],[Coles_Ext_Reg]]</f>
        <v>4.1308088302612305</v>
      </c>
      <c r="AL50" s="62">
        <f ca="1">DD_Table[[#This Row],[WOW_Ext_Reg]]</f>
        <v>12.343470573425293</v>
      </c>
      <c r="AM50" s="62">
        <f ca="1">DD_Table[[#This Row],[SSL_Ext_Reg]]</f>
        <v>42.163661956787109</v>
      </c>
      <c r="AN50" s="62">
        <f ca="1">DD_Table[[#This Row],[WFM_Ext_Reg]]</f>
        <v>20.377359390258789</v>
      </c>
      <c r="AO50" s="62">
        <f t="array" aca="1" ref="AO50" ca="1">IFERROR(AVERAGE(IF(ISNUMBER(DD_Table[[#This Row],[TDM_Avg]:[WFM_Avg]]),DD_Table[[#This Row],[TDM_Avg]:[WFM_Avg]]))/100,NA())</f>
        <v>0.19472784805297852</v>
      </c>
      <c r="AP50" s="62">
        <f t="array" aca="1" ref="AP50" ca="1">MAX(IF(ISERROR(DD_Table[[TDM_Avg]:[WFM_Avg]]),0,DD_Table[[TDM_Avg]:[WFM_Avg]]))*1.1</f>
        <v>48.107883834838873</v>
      </c>
      <c r="AQ50" s="62">
        <f t="array" aca="1" ref="AQ50" ca="1">MAX(IF(ISERROR(DD_Table[[TDM_Ext_Reg]:[WFM_Core_Reg]]),0,DD_Table[[TDM_Ext_Reg]:[WFM_Core_Reg]]))</f>
        <v>61.538463592529297</v>
      </c>
      <c r="AR50" s="65">
        <f ca="1">IFERROR(VLOOKUP(C50,TDM_DD[[Week-Year]:[DDP]],6,FALSE),IF(ISNUMBER(OFFSET(AR50,-1,0)),OFFSET(AR50,-1,0),NA()))</f>
        <v>0.24516129032258063</v>
      </c>
      <c r="AS50" s="65">
        <f ca="1">IFERROR(VLOOKUP(C50,Coles_DD[[Week-Year]:[DDP]],6,FALSE),IF(ISNUMBER(OFFSET(AS50,-1,0)),OFFSET(AS50,-1,0),NA()))</f>
        <v>0.18516674962667995</v>
      </c>
      <c r="AT50" s="65">
        <f ca="1">IFERROR(VLOOKUP(C50,WOW_DD[[Week-Year]:[DDP]],6,FALSE),IF(ISNUMBER(OFFSET(AT50,-1,0)),OFFSET(AT50,-1,0),NA()))</f>
        <v>0.35086181711948583</v>
      </c>
      <c r="AU50" s="65">
        <f ca="1">IFERROR(VLOOKUP(C50,SSL_DD[[Week-Year]:[DDP]],6,FALSE),IF(ISNUMBER(OFFSET(AU50,-1,0)),OFFSET(AU50,-1,0),NA()))</f>
        <v>0.32415902140672781</v>
      </c>
      <c r="AV50" s="65">
        <f ca="1">IFERROR(VLOOKUP(C50,WFM_DD[[Week-Year]:[DDP]],6,FALSE),IF(ISNUMBER(OFFSET(AV50,-1,0)),OFFSET(AV50,-1,0),NA()))</f>
        <v>0.23175182481751824</v>
      </c>
      <c r="AW50" s="65">
        <f t="array" aca="1" ref="AW50" ca="1">IFERROR(AVERAGE(IF(ISNUMBER(DD_Table[[#This Row],[TDM_DDP]:[WFM_DDP]]),DD_Table[[#This Row],[TDM_DDP]:[WFM_DDP]])),NA())</f>
        <v>0.26742014065859854</v>
      </c>
      <c r="AX50" s="65">
        <f t="array" aca="1" ref="AX50" ca="1">IFERROR(MAX(IF(ISNUMBER(DD_Table[[TDM_DDP]:[WFM_DDP]]),DD_Table[[TDM_DDP]:[WFM_DDP]])),NA())</f>
        <v>0.68</v>
      </c>
      <c r="AY50" s="88">
        <f ca="1">IFERROR(VLOOKUP(C50,RTen_DD[[Week-Year]:[Core DDP]],6,FALSE),IF(ISNUMBER(VLOOKUP(C50,RTen_DD[[Week-Year]:[Core DDP]],6,FALSE)),OFFSET(AY50,-1,0),OFFSET(AY50,-1,0)))</f>
        <v>0.22496536254882812</v>
      </c>
      <c r="AZ50" s="65"/>
      <c r="BA50" s="65"/>
      <c r="BC50">
        <v>48</v>
      </c>
      <c r="BE50">
        <v>0</v>
      </c>
      <c r="BF50">
        <v>0</v>
      </c>
      <c r="BG50">
        <v>0</v>
      </c>
      <c r="BI50">
        <v>0</v>
      </c>
      <c r="BO50" s="71"/>
      <c r="BP50" s="71">
        <f>MAX(Med_Table[[TDM]:[WFM]])</f>
        <v>29</v>
      </c>
      <c r="DN50" s="74"/>
      <c r="DO50" s="74"/>
      <c r="DP50" s="30"/>
      <c r="DQ50" s="30"/>
      <c r="DR50" s="30"/>
      <c r="DS50" s="30"/>
      <c r="DT50" s="30"/>
      <c r="DU50" s="30"/>
      <c r="DV50" s="30"/>
      <c r="DW50" s="30"/>
    </row>
    <row r="51" spans="1:127">
      <c r="A51" s="69">
        <f t="shared" si="6"/>
        <v>41990</v>
      </c>
      <c r="B51" s="70">
        <f t="shared" si="4"/>
        <v>51</v>
      </c>
      <c r="C51" s="70">
        <f t="shared" si="5"/>
        <v>512014</v>
      </c>
      <c r="D51" s="57">
        <f ca="1">IFERROR(VLOOKUP(C51,TDM_DD[[Week-Year]:[DD]],2,FALSE),IF(ISNUMBER(OFFSET(D51,-1,0)),OFFSET(D51,-1,0),NA()))</f>
        <v>19</v>
      </c>
      <c r="E51" s="58">
        <f ca="1">IFERROR(VLOOKUP(C51,Coles_DD[[Week-Year]:[DD]],2,FALSE),IF(ISNUMBER(OFFSET(E51,-1,0)),OFFSET(E51,-1,0),NA()))</f>
        <v>2205</v>
      </c>
      <c r="F51" s="58">
        <f ca="1">IFERROR(VLOOKUP(C51,WOW_DD[[Week-Year]:[DD]],2,FALSE),IF(ISNUMBER(OFFSET(F51,-1,0)),OFFSET(F51,-1,0),NA()))</f>
        <v>2822</v>
      </c>
      <c r="G51" s="57">
        <f ca="1">IFERROR(VLOOKUP(C51,SSL_DD[[Week-Year]:[DD]],2,FALSE),IF(ISNUMBER(OFFSET(G51,-1,0)),OFFSET(G51,-1,0),NA()))</f>
        <v>410</v>
      </c>
      <c r="H51" s="58">
        <f ca="1">IFERROR(VLOOKUP(C51,WFM_DD[[Week-Year]:[DD]],2,FALSE),IF(ISNUMBER(OFFSET(H51,-1,0)),OFFSET(H51,-1,0),NA()))</f>
        <v>171</v>
      </c>
      <c r="I51" s="57">
        <f ca="1">IFERROR(VLOOKUP(C51,RTen_DD[[Week-Year]:[DD]],2,FALSE),IF(ISNUMBER(OFFSET(I51,-1,0)),OFFSET(I51,-1,0),NA()))</f>
        <v>6009</v>
      </c>
      <c r="J51" s="57">
        <f ca="1">IFERROR(VLOOKUP(C51,TDM_DD[[Week-Year]:[DD]],3,FALSE),IF(ISNUMBER(OFFSET(J51,-1,0)),OFFSET(J51,-1,0),NA()))</f>
        <v>5.736842155456543</v>
      </c>
      <c r="K51" s="57">
        <f ca="1">IFERROR(VLOOKUP(C51,Coles_DD[[Week-Year]:[DD]],3,FALSE),IF(ISNUMBER(OFFSET(K51,-1,0)),OFFSET(K51,-1,0),NA()))</f>
        <v>0.52698415517807007</v>
      </c>
      <c r="L51" s="57">
        <f ca="1">IFERROR(VLOOKUP(C51,WOW_DD[[Week-Year]:[DD]],3,FALSE),IF(ISNUMBER(OFFSET(L51,-1,0)),OFFSET(L51,-1,0),NA()))</f>
        <v>0.59425938129425049</v>
      </c>
      <c r="M51" s="57">
        <f ca="1">IFERROR(VLOOKUP(C51,SSL_DD[[Week-Year]:[DD]],3,FALSE),IF(ISNUMBER(OFFSET(M51,-1,0)),OFFSET(M51,-1,0),NA()))</f>
        <v>3.5170731544494629</v>
      </c>
      <c r="N51" s="57">
        <f ca="1">IFERROR(VLOOKUP(C51,WFM_DD[[Week-Year]:[DD]],3,FALSE),IF(ISNUMBER(OFFSET(N51,-1,0)),OFFSET(N51,-1,0),NA()))</f>
        <v>1.5497076511383057</v>
      </c>
      <c r="O51" s="57">
        <f ca="1">IFERROR(VLOOKUP(C51,RTen_DD[[Week-Year]:[DD]],3,FALSE),IF(ISNUMBER(OFFSET(O51,-1,0)),OFFSET(O51,-1,0),NA()))</f>
        <v>1.3211848735809326</v>
      </c>
      <c r="P51" s="57">
        <f t="array" aca="1" ref="P51" ca="1">AVERAGE(IF(ISNUMBER(DD_Table[[#This Row],[TDM_DD]:[WFM_DD]]),DD_Table[[#This Row],[TDM_DD]:[WFM_DD]]))</f>
        <v>2.3849732995033266</v>
      </c>
      <c r="Q51" s="57">
        <f t="array" aca="1" ref="Q51" ca="1">MAX(IF(ISERROR(DD_Table[[TDM_DD]:[WFM_DD]]),0,DD_Table[[TDM_DD]:[WFM_DD]]))*0.8</f>
        <v>12.322580718994141</v>
      </c>
      <c r="R51" s="57">
        <v>0.5</v>
      </c>
      <c r="S51" s="57">
        <v>0.5</v>
      </c>
      <c r="T51" s="57">
        <v>0.5</v>
      </c>
      <c r="U51" s="57">
        <v>0.5</v>
      </c>
      <c r="V51" s="57">
        <v>0.5</v>
      </c>
      <c r="W51" s="57">
        <v>0.5</v>
      </c>
      <c r="X51" s="59">
        <f ca="1">IFERROR(VLOOKUP(C51,TDM_DD[[Week-Year]:[Core Reg]],4,FALSE),IF(ISNUMBER(OFFSET(X51,-1,0)),OFFSET(X51,-1,0),NA()))</f>
        <v>18.348623275756836</v>
      </c>
      <c r="Y51" s="59">
        <f ca="1">IFERROR(VLOOKUP(C51,TDM_DD[[Week-Year]:[Core Reg]],5,FALSE),IF(ISNUMBER(OFFSET(Y51,-1,0)),OFFSET(Y51,-1,0),NA()))</f>
        <v>36.842105865478516</v>
      </c>
      <c r="Z51" s="59">
        <f ca="1">IFERROR(VLOOKUP(C51,Coles_DD[[Week-Year]:[Core Reg]],4,FALSE),IF(ISNUMBER(OFFSET(Z51,-1,0)),OFFSET(Z51,-1,0),NA()))</f>
        <v>4.1308088302612305</v>
      </c>
      <c r="AA51" s="59">
        <f ca="1">IFERROR(VLOOKUP(C51,Coles_DD[[Week-Year]:[Core Reg]],5,FALSE),IF(ISNUMBER(OFFSET(AA51,-1,0)),OFFSET(AA51,-1,0),NA()))</f>
        <v>6.5068492889404297</v>
      </c>
      <c r="AB51" s="59">
        <f ca="1">IFERROR(VLOOKUP(C51,WOW_DD[[Week-Year]:[Core Reg]],4,FALSE),IF(ISNUMBER(OFFSET(AB51,-1,0)),OFFSET(AB51,-1,0),NA()))</f>
        <v>12.343470573425293</v>
      </c>
      <c r="AC51" s="59">
        <f ca="1">IFERROR(VLOOKUP(C51,WOW_DD[[Week-Year]:[Core Reg]],5,FALSE),IF(ISNUMBER(OFFSET(AC51,-1,0)),OFFSET(AC51,-1,0),NA()))</f>
        <v>14.126016616821289</v>
      </c>
      <c r="AD51" s="59">
        <f ca="1">IFERROR(VLOOKUP(C51,SSL_DD[[Week-Year]:[Core Reg]],4,FALSE),IF(ISNUMBER(OFFSET(AD51,-1,0)),OFFSET(AD51,-1,0),NA()))</f>
        <v>42.163661956787109</v>
      </c>
      <c r="AE51" s="59">
        <f ca="1">IFERROR(VLOOKUP(C51,SSL_DD[[Week-Year]:[Core Reg]],5,FALSE),IF(ISNUMBER(OFFSET(AE51,-1,0)),OFFSET(AE51,-1,0),NA()))</f>
        <v>55.369926452636719</v>
      </c>
      <c r="AF51" s="59">
        <f ca="1">IFERROR(VLOOKUP(C51,WFM_DD[[Week-Year]:[Core Reg]],4,FALSE),IF(ISNUMBER(OFFSET(AF51,-1,0)),OFFSET(AF51,-1,0),NA()))</f>
        <v>20.377359390258789</v>
      </c>
      <c r="AG51" s="59">
        <f ca="1">IFERROR(VLOOKUP(C51,WFM_DD[[Week-Year]:[Core Reg]],5,FALSE),IF(ISNUMBER(OFFSET(AG51,-1,0)),OFFSET(AG51,-1,0),NA()))</f>
        <v>24.242424011230469</v>
      </c>
      <c r="AH51" s="62">
        <f ca="1">IFERROR(VLOOKUP(C51,RTen_DD[[Week-Year]:[Core Reg]],4,FALSE),IF(ISNUMBER(OFFSET(AH51,-1,0)),OFFSET(AH51,-1,0),NA()))</f>
        <v>0</v>
      </c>
      <c r="AI51" s="62">
        <f ca="1">IFERROR(VLOOKUP(C51,RTen_DD[[Week-Year]:[Core Reg]],5,FALSE)/100,IF(ISNUMBER(OFFSET(AI51,-1,0)),OFFSET(AI51,-1,0),NA()))</f>
        <v>0.36503337860107421</v>
      </c>
      <c r="AJ51" s="62">
        <f ca="1">DD_Table[[#This Row],[TDM_Ext_Reg]]</f>
        <v>18.348623275756836</v>
      </c>
      <c r="AK51" s="62">
        <f ca="1">DD_Table[[#This Row],[Coles_Ext_Reg]]</f>
        <v>4.1308088302612305</v>
      </c>
      <c r="AL51" s="62">
        <f ca="1">DD_Table[[#This Row],[WOW_Ext_Reg]]</f>
        <v>12.343470573425293</v>
      </c>
      <c r="AM51" s="62">
        <f ca="1">DD_Table[[#This Row],[SSL_Ext_Reg]]</f>
        <v>42.163661956787109</v>
      </c>
      <c r="AN51" s="62">
        <f ca="1">DD_Table[[#This Row],[WFM_Ext_Reg]]</f>
        <v>20.377359390258789</v>
      </c>
      <c r="AO51" s="62">
        <f t="array" aca="1" ref="AO51" ca="1">IFERROR(AVERAGE(IF(ISNUMBER(DD_Table[[#This Row],[TDM_Avg]:[WFM_Avg]]),DD_Table[[#This Row],[TDM_Avg]:[WFM_Avg]]))/100,NA())</f>
        <v>0.19472784805297852</v>
      </c>
      <c r="AP51" s="62">
        <f t="array" aca="1" ref="AP51" ca="1">MAX(IF(ISERROR(DD_Table[[TDM_Avg]:[WFM_Avg]]),0,DD_Table[[TDM_Avg]:[WFM_Avg]]))*1.1</f>
        <v>48.107883834838873</v>
      </c>
      <c r="AQ51" s="62">
        <f t="array" aca="1" ref="AQ51" ca="1">MAX(IF(ISERROR(DD_Table[[TDM_Ext_Reg]:[WFM_Core_Reg]]),0,DD_Table[[TDM_Ext_Reg]:[WFM_Core_Reg]]))</f>
        <v>61.538463592529297</v>
      </c>
      <c r="AR51" s="65">
        <f ca="1">IFERROR(VLOOKUP(C51,TDM_DD[[Week-Year]:[DDP]],6,FALSE),IF(ISNUMBER(OFFSET(AR51,-1,0)),OFFSET(AR51,-1,0),NA()))</f>
        <v>0.24516129032258063</v>
      </c>
      <c r="AS51" s="65">
        <f ca="1">IFERROR(VLOOKUP(C51,Coles_DD[[Week-Year]:[DDP]],6,FALSE),IF(ISNUMBER(OFFSET(AS51,-1,0)),OFFSET(AS51,-1,0),NA()))</f>
        <v>0.18516674962667995</v>
      </c>
      <c r="AT51" s="65">
        <f ca="1">IFERROR(VLOOKUP(C51,WOW_DD[[Week-Year]:[DDP]],6,FALSE),IF(ISNUMBER(OFFSET(AT51,-1,0)),OFFSET(AT51,-1,0),NA()))</f>
        <v>0.35086181711948583</v>
      </c>
      <c r="AU51" s="65">
        <f ca="1">IFERROR(VLOOKUP(C51,SSL_DD[[Week-Year]:[DDP]],6,FALSE),IF(ISNUMBER(OFFSET(AU51,-1,0)),OFFSET(AU51,-1,0),NA()))</f>
        <v>0.32415902140672781</v>
      </c>
      <c r="AV51" s="65">
        <f ca="1">IFERROR(VLOOKUP(C51,WFM_DD[[Week-Year]:[DDP]],6,FALSE),IF(ISNUMBER(OFFSET(AV51,-1,0)),OFFSET(AV51,-1,0),NA()))</f>
        <v>0.23175182481751824</v>
      </c>
      <c r="AW51" s="65">
        <f t="array" aca="1" ref="AW51" ca="1">IFERROR(AVERAGE(IF(ISNUMBER(DD_Table[[#This Row],[TDM_DDP]:[WFM_DDP]]),DD_Table[[#This Row],[TDM_DDP]:[WFM_DDP]])),NA())</f>
        <v>0.26742014065859854</v>
      </c>
      <c r="AX51" s="65">
        <f t="array" aca="1" ref="AX51" ca="1">IFERROR(MAX(IF(ISNUMBER(DD_Table[[TDM_DDP]:[WFM_DDP]]),DD_Table[[TDM_DDP]:[WFM_DDP]])),NA())</f>
        <v>0.68</v>
      </c>
      <c r="AY51" s="88">
        <f ca="1">IFERROR(VLOOKUP(C51,RTen_DD[[Week-Year]:[Core DDP]],6,FALSE),IF(ISNUMBER(VLOOKUP(C51,RTen_DD[[Week-Year]:[Core DDP]],6,FALSE)),OFFSET(AY51,-1,0),OFFSET(AY51,-1,0)))</f>
        <v>0.22496536254882812</v>
      </c>
      <c r="AZ51" s="65"/>
      <c r="BA51" s="65"/>
      <c r="BC51">
        <v>49</v>
      </c>
      <c r="BE51">
        <v>0</v>
      </c>
      <c r="BF51">
        <v>0</v>
      </c>
      <c r="BG51">
        <v>0</v>
      </c>
      <c r="BI51">
        <v>1</v>
      </c>
      <c r="BO51" s="71"/>
      <c r="BP51" s="71">
        <f>MAX(Med_Table[[TDM]:[WFM]])</f>
        <v>29</v>
      </c>
      <c r="DN51" s="74"/>
      <c r="DO51" s="74"/>
      <c r="DP51" s="30"/>
      <c r="DQ51" s="30"/>
      <c r="DR51" s="30"/>
      <c r="DS51" s="30"/>
      <c r="DT51" s="30"/>
      <c r="DU51" s="30"/>
      <c r="DV51" s="30"/>
      <c r="DW51" s="30"/>
    </row>
    <row r="52" spans="1:127">
      <c r="A52" s="69">
        <f t="shared" si="6"/>
        <v>41997</v>
      </c>
      <c r="B52" s="70">
        <f t="shared" si="4"/>
        <v>52</v>
      </c>
      <c r="C52" s="70">
        <f t="shared" si="5"/>
        <v>522014</v>
      </c>
      <c r="D52" s="57">
        <f ca="1">IFERROR(VLOOKUP(C52,TDM_DD[[Week-Year]:[DD]],2,FALSE),IF(ISNUMBER(OFFSET(D52,-1,0)),OFFSET(D52,-1,0),NA()))</f>
        <v>19</v>
      </c>
      <c r="E52" s="58">
        <f ca="1">IFERROR(VLOOKUP(C52,Coles_DD[[Week-Year]:[DD]],2,FALSE),IF(ISNUMBER(OFFSET(E52,-1,0)),OFFSET(E52,-1,0),NA()))</f>
        <v>2205</v>
      </c>
      <c r="F52" s="58">
        <f ca="1">IFERROR(VLOOKUP(C52,WOW_DD[[Week-Year]:[DD]],2,FALSE),IF(ISNUMBER(OFFSET(F52,-1,0)),OFFSET(F52,-1,0),NA()))</f>
        <v>2822</v>
      </c>
      <c r="G52" s="57">
        <f ca="1">IFERROR(VLOOKUP(C52,SSL_DD[[Week-Year]:[DD]],2,FALSE),IF(ISNUMBER(OFFSET(G52,-1,0)),OFFSET(G52,-1,0),NA()))</f>
        <v>410</v>
      </c>
      <c r="H52" s="58">
        <f ca="1">IFERROR(VLOOKUP(C52,WFM_DD[[Week-Year]:[DD]],2,FALSE),IF(ISNUMBER(OFFSET(H52,-1,0)),OFFSET(H52,-1,0),NA()))</f>
        <v>171</v>
      </c>
      <c r="I52" s="57">
        <f ca="1">IFERROR(VLOOKUP(C52,RTen_DD[[Week-Year]:[DD]],2,FALSE),IF(ISNUMBER(OFFSET(I52,-1,0)),OFFSET(I52,-1,0),NA()))</f>
        <v>6009</v>
      </c>
      <c r="J52" s="57">
        <f ca="1">IFERROR(VLOOKUP(C52,TDM_DD[[Week-Year]:[DD]],3,FALSE),IF(ISNUMBER(OFFSET(J52,-1,0)),OFFSET(J52,-1,0),NA()))</f>
        <v>5.736842155456543</v>
      </c>
      <c r="K52" s="57">
        <f ca="1">IFERROR(VLOOKUP(C52,Coles_DD[[Week-Year]:[DD]],3,FALSE),IF(ISNUMBER(OFFSET(K52,-1,0)),OFFSET(K52,-1,0),NA()))</f>
        <v>0.52698415517807007</v>
      </c>
      <c r="L52" s="57">
        <f ca="1">IFERROR(VLOOKUP(C52,WOW_DD[[Week-Year]:[DD]],3,FALSE),IF(ISNUMBER(OFFSET(L52,-1,0)),OFFSET(L52,-1,0),NA()))</f>
        <v>0.59425938129425049</v>
      </c>
      <c r="M52" s="57">
        <f ca="1">IFERROR(VLOOKUP(C52,SSL_DD[[Week-Year]:[DD]],3,FALSE),IF(ISNUMBER(OFFSET(M52,-1,0)),OFFSET(M52,-1,0),NA()))</f>
        <v>3.5170731544494629</v>
      </c>
      <c r="N52" s="57">
        <f ca="1">IFERROR(VLOOKUP(C52,WFM_DD[[Week-Year]:[DD]],3,FALSE),IF(ISNUMBER(OFFSET(N52,-1,0)),OFFSET(N52,-1,0),NA()))</f>
        <v>1.5497076511383057</v>
      </c>
      <c r="O52" s="57">
        <f ca="1">IFERROR(VLOOKUP(C52,RTen_DD[[Week-Year]:[DD]],3,FALSE),IF(ISNUMBER(OFFSET(O52,-1,0)),OFFSET(O52,-1,0),NA()))</f>
        <v>1.3211848735809326</v>
      </c>
      <c r="P52" s="57">
        <f t="array" aca="1" ref="P52" ca="1">AVERAGE(IF(ISNUMBER(DD_Table[[#This Row],[TDM_DD]:[WFM_DD]]),DD_Table[[#This Row],[TDM_DD]:[WFM_DD]]))</f>
        <v>2.3849732995033266</v>
      </c>
      <c r="Q52" s="57">
        <f t="array" aca="1" ref="Q52" ca="1">MAX(IF(ISERROR(DD_Table[[TDM_DD]:[WFM_DD]]),0,DD_Table[[TDM_DD]:[WFM_DD]]))*0.8</f>
        <v>12.322580718994141</v>
      </c>
      <c r="R52" s="57">
        <v>0.5</v>
      </c>
      <c r="S52" s="57">
        <v>0.5</v>
      </c>
      <c r="T52" s="57">
        <v>0.5</v>
      </c>
      <c r="U52" s="57">
        <v>0.5</v>
      </c>
      <c r="V52" s="57">
        <v>0.5</v>
      </c>
      <c r="W52" s="57">
        <v>0.5</v>
      </c>
      <c r="X52" s="59">
        <f ca="1">IFERROR(VLOOKUP(C52,TDM_DD[[Week-Year]:[Core Reg]],4,FALSE),IF(ISNUMBER(OFFSET(X52,-1,0)),OFFSET(X52,-1,0),NA()))</f>
        <v>18.348623275756836</v>
      </c>
      <c r="Y52" s="59">
        <f ca="1">IFERROR(VLOOKUP(C52,TDM_DD[[Week-Year]:[Core Reg]],5,FALSE),IF(ISNUMBER(OFFSET(Y52,-1,0)),OFFSET(Y52,-1,0),NA()))</f>
        <v>36.842105865478516</v>
      </c>
      <c r="Z52" s="59">
        <f ca="1">IFERROR(VLOOKUP(C52,Coles_DD[[Week-Year]:[Core Reg]],4,FALSE),IF(ISNUMBER(OFFSET(Z52,-1,0)),OFFSET(Z52,-1,0),NA()))</f>
        <v>4.1308088302612305</v>
      </c>
      <c r="AA52" s="59">
        <f ca="1">IFERROR(VLOOKUP(C52,Coles_DD[[Week-Year]:[Core Reg]],5,FALSE),IF(ISNUMBER(OFFSET(AA52,-1,0)),OFFSET(AA52,-1,0),NA()))</f>
        <v>6.5068492889404297</v>
      </c>
      <c r="AB52" s="59">
        <f ca="1">IFERROR(VLOOKUP(C52,WOW_DD[[Week-Year]:[Core Reg]],4,FALSE),IF(ISNUMBER(OFFSET(AB52,-1,0)),OFFSET(AB52,-1,0),NA()))</f>
        <v>12.343470573425293</v>
      </c>
      <c r="AC52" s="59">
        <f ca="1">IFERROR(VLOOKUP(C52,WOW_DD[[Week-Year]:[Core Reg]],5,FALSE),IF(ISNUMBER(OFFSET(AC52,-1,0)),OFFSET(AC52,-1,0),NA()))</f>
        <v>14.126016616821289</v>
      </c>
      <c r="AD52" s="59">
        <f ca="1">IFERROR(VLOOKUP(C52,SSL_DD[[Week-Year]:[Core Reg]],4,FALSE),IF(ISNUMBER(OFFSET(AD52,-1,0)),OFFSET(AD52,-1,0),NA()))</f>
        <v>42.163661956787109</v>
      </c>
      <c r="AE52" s="59">
        <f ca="1">IFERROR(VLOOKUP(C52,SSL_DD[[Week-Year]:[Core Reg]],5,FALSE),IF(ISNUMBER(OFFSET(AE52,-1,0)),OFFSET(AE52,-1,0),NA()))</f>
        <v>55.369926452636719</v>
      </c>
      <c r="AF52" s="59">
        <f ca="1">IFERROR(VLOOKUP(C52,WFM_DD[[Week-Year]:[Core Reg]],4,FALSE),IF(ISNUMBER(OFFSET(AF52,-1,0)),OFFSET(AF52,-1,0),NA()))</f>
        <v>20.377359390258789</v>
      </c>
      <c r="AG52" s="59">
        <f ca="1">IFERROR(VLOOKUP(C52,WFM_DD[[Week-Year]:[Core Reg]],5,FALSE),IF(ISNUMBER(OFFSET(AG52,-1,0)),OFFSET(AG52,-1,0),NA()))</f>
        <v>24.242424011230469</v>
      </c>
      <c r="AH52" s="62">
        <f ca="1">IFERROR(VLOOKUP(C52,RTen_DD[[Week-Year]:[Core Reg]],4,FALSE),IF(ISNUMBER(OFFSET(AH52,-1,0)),OFFSET(AH52,-1,0),NA()))</f>
        <v>0</v>
      </c>
      <c r="AI52" s="62">
        <f ca="1">IFERROR(VLOOKUP(C52,RTen_DD[[Week-Year]:[Core Reg]],5,FALSE)/100,IF(ISNUMBER(OFFSET(AI52,-1,0)),OFFSET(AI52,-1,0),NA()))</f>
        <v>0.36503337860107421</v>
      </c>
      <c r="AJ52" s="62">
        <f ca="1">DD_Table[[#This Row],[TDM_Ext_Reg]]</f>
        <v>18.348623275756836</v>
      </c>
      <c r="AK52" s="62">
        <f ca="1">DD_Table[[#This Row],[Coles_Ext_Reg]]</f>
        <v>4.1308088302612305</v>
      </c>
      <c r="AL52" s="62">
        <f ca="1">DD_Table[[#This Row],[WOW_Ext_Reg]]</f>
        <v>12.343470573425293</v>
      </c>
      <c r="AM52" s="62">
        <f ca="1">DD_Table[[#This Row],[SSL_Ext_Reg]]</f>
        <v>42.163661956787109</v>
      </c>
      <c r="AN52" s="62">
        <f ca="1">DD_Table[[#This Row],[WFM_Ext_Reg]]</f>
        <v>20.377359390258789</v>
      </c>
      <c r="AO52" s="62">
        <f t="array" aca="1" ref="AO52" ca="1">IFERROR(AVERAGE(IF(ISNUMBER(DD_Table[[#This Row],[TDM_Avg]:[WFM_Avg]]),DD_Table[[#This Row],[TDM_Avg]:[WFM_Avg]]))/100,NA())</f>
        <v>0.19472784805297852</v>
      </c>
      <c r="AP52" s="62">
        <f t="array" aca="1" ref="AP52" ca="1">MAX(IF(ISERROR(DD_Table[[TDM_Avg]:[WFM_Avg]]),0,DD_Table[[TDM_Avg]:[WFM_Avg]]))*1.1</f>
        <v>48.107883834838873</v>
      </c>
      <c r="AQ52" s="62">
        <f t="array" aca="1" ref="AQ52" ca="1">MAX(IF(ISERROR(DD_Table[[TDM_Ext_Reg]:[WFM_Core_Reg]]),0,DD_Table[[TDM_Ext_Reg]:[WFM_Core_Reg]]))</f>
        <v>61.538463592529297</v>
      </c>
      <c r="AR52" s="65">
        <f ca="1">IFERROR(VLOOKUP(C52,TDM_DD[[Week-Year]:[DDP]],6,FALSE),IF(ISNUMBER(OFFSET(AR52,-1,0)),OFFSET(AR52,-1,0),NA()))</f>
        <v>0.24516129032258063</v>
      </c>
      <c r="AS52" s="65">
        <f ca="1">IFERROR(VLOOKUP(C52,Coles_DD[[Week-Year]:[DDP]],6,FALSE),IF(ISNUMBER(OFFSET(AS52,-1,0)),OFFSET(AS52,-1,0),NA()))</f>
        <v>0.18516674962667995</v>
      </c>
      <c r="AT52" s="65">
        <f ca="1">IFERROR(VLOOKUP(C52,WOW_DD[[Week-Year]:[DDP]],6,FALSE),IF(ISNUMBER(OFFSET(AT52,-1,0)),OFFSET(AT52,-1,0),NA()))</f>
        <v>0.35086181711948583</v>
      </c>
      <c r="AU52" s="65">
        <f ca="1">IFERROR(VLOOKUP(C52,SSL_DD[[Week-Year]:[DDP]],6,FALSE),IF(ISNUMBER(OFFSET(AU52,-1,0)),OFFSET(AU52,-1,0),NA()))</f>
        <v>0.32415902140672781</v>
      </c>
      <c r="AV52" s="65">
        <f ca="1">IFERROR(VLOOKUP(C52,WFM_DD[[Week-Year]:[DDP]],6,FALSE),IF(ISNUMBER(OFFSET(AV52,-1,0)),OFFSET(AV52,-1,0),NA()))</f>
        <v>0.23175182481751824</v>
      </c>
      <c r="AW52" s="65">
        <f t="array" aca="1" ref="AW52" ca="1">IFERROR(AVERAGE(IF(ISNUMBER(DD_Table[[#This Row],[TDM_DDP]:[WFM_DDP]]),DD_Table[[#This Row],[TDM_DDP]:[WFM_DDP]])),NA())</f>
        <v>0.26742014065859854</v>
      </c>
      <c r="AX52" s="65">
        <f t="array" aca="1" ref="AX52" ca="1">IFERROR(MAX(IF(ISNUMBER(DD_Table[[TDM_DDP]:[WFM_DDP]]),DD_Table[[TDM_DDP]:[WFM_DDP]])),NA())</f>
        <v>0.68</v>
      </c>
      <c r="AY52" s="88">
        <f ca="1">IFERROR(VLOOKUP(C52,RTen_DD[[Week-Year]:[Core DDP]],6,FALSE),IF(ISNUMBER(VLOOKUP(C52,RTen_DD[[Week-Year]:[Core DDP]],6,FALSE)),OFFSET(AY52,-1,0),OFFSET(AY52,-1,0)))</f>
        <v>0.22496536254882812</v>
      </c>
      <c r="AZ52" s="65"/>
      <c r="BA52" s="65"/>
      <c r="BC52">
        <v>50</v>
      </c>
      <c r="BE52">
        <v>0</v>
      </c>
      <c r="BF52">
        <v>0</v>
      </c>
      <c r="BG52">
        <v>0</v>
      </c>
      <c r="BI52">
        <v>0</v>
      </c>
      <c r="BO52" s="71"/>
      <c r="BP52" s="71">
        <f>MAX(Med_Table[[TDM]:[WFM]])</f>
        <v>29</v>
      </c>
      <c r="DN52" s="74"/>
      <c r="DO52" s="74"/>
      <c r="DP52" s="30"/>
      <c r="DQ52" s="30"/>
      <c r="DR52" s="30"/>
      <c r="DS52" s="30"/>
      <c r="DT52" s="30"/>
      <c r="DU52" s="30"/>
      <c r="DV52" s="30"/>
      <c r="DW52" s="30"/>
    </row>
    <row r="53" spans="1:127">
      <c r="A53" s="69">
        <f t="shared" si="6"/>
        <v>42004</v>
      </c>
      <c r="B53" s="70">
        <f t="shared" si="4"/>
        <v>53</v>
      </c>
      <c r="C53" s="70">
        <f t="shared" si="5"/>
        <v>532014</v>
      </c>
      <c r="D53" s="57">
        <f ca="1">IFERROR(VLOOKUP(C53,TDM_DD[[Week-Year]:[DD]],2,FALSE),IF(ISNUMBER(OFFSET(D53,-1,0)),OFFSET(D53,-1,0),NA()))</f>
        <v>19</v>
      </c>
      <c r="E53" s="58">
        <f ca="1">IFERROR(VLOOKUP(C53,Coles_DD[[Week-Year]:[DD]],2,FALSE),IF(ISNUMBER(OFFSET(E53,-1,0)),OFFSET(E53,-1,0),NA()))</f>
        <v>2205</v>
      </c>
      <c r="F53" s="58">
        <f ca="1">IFERROR(VLOOKUP(C53,WOW_DD[[Week-Year]:[DD]],2,FALSE),IF(ISNUMBER(OFFSET(F53,-1,0)),OFFSET(F53,-1,0),NA()))</f>
        <v>2822</v>
      </c>
      <c r="G53" s="57">
        <f ca="1">IFERROR(VLOOKUP(C53,SSL_DD[[Week-Year]:[DD]],2,FALSE),IF(ISNUMBER(OFFSET(G53,-1,0)),OFFSET(G53,-1,0),NA()))</f>
        <v>410</v>
      </c>
      <c r="H53" s="58">
        <f ca="1">IFERROR(VLOOKUP(C53,WFM_DD[[Week-Year]:[DD]],2,FALSE),IF(ISNUMBER(OFFSET(H53,-1,0)),OFFSET(H53,-1,0),NA()))</f>
        <v>171</v>
      </c>
      <c r="I53" s="57">
        <f ca="1">IFERROR(VLOOKUP(C53,RTen_DD[[Week-Year]:[DD]],2,FALSE),IF(ISNUMBER(OFFSET(I53,-1,0)),OFFSET(I53,-1,0),NA()))</f>
        <v>6009</v>
      </c>
      <c r="J53" s="57">
        <f ca="1">IFERROR(VLOOKUP(C53,TDM_DD[[Week-Year]:[DD]],3,FALSE),IF(ISNUMBER(OFFSET(J53,-1,0)),OFFSET(J53,-1,0),NA()))</f>
        <v>5.736842155456543</v>
      </c>
      <c r="K53" s="57">
        <f ca="1">IFERROR(VLOOKUP(C53,Coles_DD[[Week-Year]:[DD]],3,FALSE),IF(ISNUMBER(OFFSET(K53,-1,0)),OFFSET(K53,-1,0),NA()))</f>
        <v>0.52698415517807007</v>
      </c>
      <c r="L53" s="57">
        <f ca="1">IFERROR(VLOOKUP(C53,WOW_DD[[Week-Year]:[DD]],3,FALSE),IF(ISNUMBER(OFFSET(L53,-1,0)),OFFSET(L53,-1,0),NA()))</f>
        <v>0.59425938129425049</v>
      </c>
      <c r="M53" s="57">
        <f ca="1">IFERROR(VLOOKUP(C53,SSL_DD[[Week-Year]:[DD]],3,FALSE),IF(ISNUMBER(OFFSET(M53,-1,0)),OFFSET(M53,-1,0),NA()))</f>
        <v>3.5170731544494629</v>
      </c>
      <c r="N53" s="57">
        <f ca="1">IFERROR(VLOOKUP(C53,WFM_DD[[Week-Year]:[DD]],3,FALSE),IF(ISNUMBER(OFFSET(N53,-1,0)),OFFSET(N53,-1,0),NA()))</f>
        <v>1.5497076511383057</v>
      </c>
      <c r="O53" s="57">
        <f ca="1">IFERROR(VLOOKUP(C53,RTen_DD[[Week-Year]:[DD]],3,FALSE),IF(ISNUMBER(OFFSET(O53,-1,0)),OFFSET(O53,-1,0),NA()))</f>
        <v>1.3211848735809326</v>
      </c>
      <c r="P53" s="57">
        <f t="array" aca="1" ref="P53" ca="1">AVERAGE(IF(ISNUMBER(DD_Table[[#This Row],[TDM_DD]:[WFM_DD]]),DD_Table[[#This Row],[TDM_DD]:[WFM_DD]]))</f>
        <v>2.3849732995033266</v>
      </c>
      <c r="Q53" s="57">
        <f t="array" aca="1" ref="Q53" ca="1">MAX(IF(ISERROR(DD_Table[[TDM_DD]:[WFM_DD]]),0,DD_Table[[TDM_DD]:[WFM_DD]]))*0.8</f>
        <v>12.322580718994141</v>
      </c>
      <c r="R53" s="57">
        <v>0.5</v>
      </c>
      <c r="S53" s="57">
        <v>0.5</v>
      </c>
      <c r="T53" s="57">
        <v>0.5</v>
      </c>
      <c r="U53" s="57">
        <v>0.5</v>
      </c>
      <c r="V53" s="57">
        <v>0.5</v>
      </c>
      <c r="W53" s="57">
        <v>0.5</v>
      </c>
      <c r="X53" s="59">
        <f ca="1">IFERROR(VLOOKUP(C53,TDM_DD[[Week-Year]:[Core Reg]],4,FALSE),IF(ISNUMBER(OFFSET(X53,-1,0)),OFFSET(X53,-1,0),NA()))</f>
        <v>18.348623275756836</v>
      </c>
      <c r="Y53" s="59">
        <f ca="1">IFERROR(VLOOKUP(C53,TDM_DD[[Week-Year]:[Core Reg]],5,FALSE),IF(ISNUMBER(OFFSET(Y53,-1,0)),OFFSET(Y53,-1,0),NA()))</f>
        <v>36.842105865478516</v>
      </c>
      <c r="Z53" s="59">
        <f ca="1">IFERROR(VLOOKUP(C53,Coles_DD[[Week-Year]:[Core Reg]],4,FALSE),IF(ISNUMBER(OFFSET(Z53,-1,0)),OFFSET(Z53,-1,0),NA()))</f>
        <v>4.1308088302612305</v>
      </c>
      <c r="AA53" s="59">
        <f ca="1">IFERROR(VLOOKUP(C53,Coles_DD[[Week-Year]:[Core Reg]],5,FALSE),IF(ISNUMBER(OFFSET(AA53,-1,0)),OFFSET(AA53,-1,0),NA()))</f>
        <v>6.5068492889404297</v>
      </c>
      <c r="AB53" s="59">
        <f ca="1">IFERROR(VLOOKUP(C53,WOW_DD[[Week-Year]:[Core Reg]],4,FALSE),IF(ISNUMBER(OFFSET(AB53,-1,0)),OFFSET(AB53,-1,0),NA()))</f>
        <v>12.343470573425293</v>
      </c>
      <c r="AC53" s="59">
        <f ca="1">IFERROR(VLOOKUP(C53,WOW_DD[[Week-Year]:[Core Reg]],5,FALSE),IF(ISNUMBER(OFFSET(AC53,-1,0)),OFFSET(AC53,-1,0),NA()))</f>
        <v>14.126016616821289</v>
      </c>
      <c r="AD53" s="59">
        <f ca="1">IFERROR(VLOOKUP(C53,SSL_DD[[Week-Year]:[Core Reg]],4,FALSE),IF(ISNUMBER(OFFSET(AD53,-1,0)),OFFSET(AD53,-1,0),NA()))</f>
        <v>42.163661956787109</v>
      </c>
      <c r="AE53" s="59">
        <f ca="1">IFERROR(VLOOKUP(C53,SSL_DD[[Week-Year]:[Core Reg]],5,FALSE),IF(ISNUMBER(OFFSET(AE53,-1,0)),OFFSET(AE53,-1,0),NA()))</f>
        <v>55.369926452636719</v>
      </c>
      <c r="AF53" s="59">
        <f ca="1">IFERROR(VLOOKUP(C53,WFM_DD[[Week-Year]:[Core Reg]],4,FALSE),IF(ISNUMBER(OFFSET(AF53,-1,0)),OFFSET(AF53,-1,0),NA()))</f>
        <v>20.377359390258789</v>
      </c>
      <c r="AG53" s="59">
        <f ca="1">IFERROR(VLOOKUP(C53,WFM_DD[[Week-Year]:[Core Reg]],5,FALSE),IF(ISNUMBER(OFFSET(AG53,-1,0)),OFFSET(AG53,-1,0),NA()))</f>
        <v>24.242424011230469</v>
      </c>
      <c r="AH53" s="62">
        <f ca="1">IFERROR(VLOOKUP(C53,RTen_DD[[Week-Year]:[Core Reg]],4,FALSE),IF(ISNUMBER(OFFSET(AH53,-1,0)),OFFSET(AH53,-1,0),NA()))</f>
        <v>0</v>
      </c>
      <c r="AI53" s="62">
        <f ca="1">IFERROR(VLOOKUP(C53,RTen_DD[[Week-Year]:[Core Reg]],5,FALSE)/100,IF(ISNUMBER(OFFSET(AI53,-1,0)),OFFSET(AI53,-1,0),NA()))</f>
        <v>0.36503337860107421</v>
      </c>
      <c r="AJ53" s="62">
        <f ca="1">DD_Table[[#This Row],[TDM_Ext_Reg]]</f>
        <v>18.348623275756836</v>
      </c>
      <c r="AK53" s="62">
        <f ca="1">DD_Table[[#This Row],[Coles_Ext_Reg]]</f>
        <v>4.1308088302612305</v>
      </c>
      <c r="AL53" s="62">
        <f ca="1">DD_Table[[#This Row],[WOW_Ext_Reg]]</f>
        <v>12.343470573425293</v>
      </c>
      <c r="AM53" s="62">
        <f ca="1">DD_Table[[#This Row],[SSL_Ext_Reg]]</f>
        <v>42.163661956787109</v>
      </c>
      <c r="AN53" s="62">
        <f ca="1">DD_Table[[#This Row],[WFM_Ext_Reg]]</f>
        <v>20.377359390258789</v>
      </c>
      <c r="AO53" s="62">
        <f t="array" aca="1" ref="AO53" ca="1">IFERROR(AVERAGE(IF(ISNUMBER(DD_Table[[#This Row],[TDM_Avg]:[WFM_Avg]]),DD_Table[[#This Row],[TDM_Avg]:[WFM_Avg]]))/100,NA())</f>
        <v>0.19472784805297852</v>
      </c>
      <c r="AP53" s="62">
        <f t="array" aca="1" ref="AP53" ca="1">MAX(IF(ISERROR(DD_Table[[TDM_Avg]:[WFM_Avg]]),0,DD_Table[[TDM_Avg]:[WFM_Avg]]))*1.1</f>
        <v>48.107883834838873</v>
      </c>
      <c r="AQ53" s="62">
        <f t="array" aca="1" ref="AQ53" ca="1">MAX(IF(ISERROR(DD_Table[[TDM_Ext_Reg]:[WFM_Core_Reg]]),0,DD_Table[[TDM_Ext_Reg]:[WFM_Core_Reg]]))</f>
        <v>61.538463592529297</v>
      </c>
      <c r="AR53" s="65">
        <f ca="1">IFERROR(VLOOKUP(C53,TDM_DD[[Week-Year]:[DDP]],6,FALSE),IF(ISNUMBER(OFFSET(AR53,-1,0)),OFFSET(AR53,-1,0),NA()))</f>
        <v>0.24516129032258063</v>
      </c>
      <c r="AS53" s="65">
        <f ca="1">IFERROR(VLOOKUP(C53,Coles_DD[[Week-Year]:[DDP]],6,FALSE),IF(ISNUMBER(OFFSET(AS53,-1,0)),OFFSET(AS53,-1,0),NA()))</f>
        <v>0.18516674962667995</v>
      </c>
      <c r="AT53" s="65">
        <f ca="1">IFERROR(VLOOKUP(C53,WOW_DD[[Week-Year]:[DDP]],6,FALSE),IF(ISNUMBER(OFFSET(AT53,-1,0)),OFFSET(AT53,-1,0),NA()))</f>
        <v>0.35086181711948583</v>
      </c>
      <c r="AU53" s="65">
        <f ca="1">IFERROR(VLOOKUP(C53,SSL_DD[[Week-Year]:[DDP]],6,FALSE),IF(ISNUMBER(OFFSET(AU53,-1,0)),OFFSET(AU53,-1,0),NA()))</f>
        <v>0.32415902140672781</v>
      </c>
      <c r="AV53" s="65">
        <f ca="1">IFERROR(VLOOKUP(C53,WFM_DD[[Week-Year]:[DDP]],6,FALSE),IF(ISNUMBER(OFFSET(AV53,-1,0)),OFFSET(AV53,-1,0),NA()))</f>
        <v>0.23175182481751824</v>
      </c>
      <c r="AW53" s="65">
        <f t="array" aca="1" ref="AW53" ca="1">IFERROR(AVERAGE(IF(ISNUMBER(DD_Table[[#This Row],[TDM_DDP]:[WFM_DDP]]),DD_Table[[#This Row],[TDM_DDP]:[WFM_DDP]])),NA())</f>
        <v>0.26742014065859854</v>
      </c>
      <c r="AX53" s="65">
        <f t="array" aca="1" ref="AX53" ca="1">IFERROR(MAX(IF(ISNUMBER(DD_Table[[TDM_DDP]:[WFM_DDP]]),DD_Table[[TDM_DDP]:[WFM_DDP]])),NA())</f>
        <v>0.68</v>
      </c>
      <c r="AY53" s="88">
        <f ca="1">IFERROR(VLOOKUP(C53,RTen_DD[[Week-Year]:[Core DDP]],6,FALSE),IF(ISNUMBER(VLOOKUP(C53,RTen_DD[[Week-Year]:[Core DDP]],6,FALSE)),OFFSET(AY53,-1,0),OFFSET(AY53,-1,0)))</f>
        <v>0.22496536254882812</v>
      </c>
      <c r="AZ53" s="65"/>
      <c r="BA53" s="65"/>
      <c r="BC53">
        <v>51</v>
      </c>
      <c r="BE53">
        <v>0</v>
      </c>
      <c r="BF53">
        <v>0</v>
      </c>
      <c r="BG53">
        <v>0</v>
      </c>
      <c r="BI53">
        <v>1</v>
      </c>
      <c r="BO53" s="71"/>
      <c r="BP53" s="71">
        <f>MAX(Med_Table[[TDM]:[WFM]])</f>
        <v>29</v>
      </c>
      <c r="DN53" s="74"/>
      <c r="DO53" s="74"/>
      <c r="DP53" s="30"/>
      <c r="DQ53" s="30"/>
      <c r="DR53" s="30"/>
      <c r="DS53" s="30"/>
      <c r="DT53" s="30"/>
      <c r="DU53" s="30"/>
      <c r="DV53" s="30"/>
      <c r="DW53" s="30"/>
    </row>
    <row r="54" spans="1:127">
      <c r="A54" s="69">
        <f t="shared" si="6"/>
        <v>42011</v>
      </c>
      <c r="B54" s="70">
        <f t="shared" si="4"/>
        <v>2</v>
      </c>
      <c r="C54" s="70">
        <f t="shared" si="5"/>
        <v>22015</v>
      </c>
      <c r="D54" s="57">
        <f ca="1">IFERROR(VLOOKUP(C54,TDM_DD[[Week-Year]:[DD]],2,FALSE),IF(ISNUMBER(OFFSET(D54,-1,0)),OFFSET(D54,-1,0),NA()))</f>
        <v>19</v>
      </c>
      <c r="E54" s="58">
        <f ca="1">IFERROR(VLOOKUP(C54,Coles_DD[[Week-Year]:[DD]],2,FALSE),IF(ISNUMBER(OFFSET(E54,-1,0)),OFFSET(E54,-1,0),NA()))</f>
        <v>2205</v>
      </c>
      <c r="F54" s="58">
        <f ca="1">IFERROR(VLOOKUP(C54,WOW_DD[[Week-Year]:[DD]],2,FALSE),IF(ISNUMBER(OFFSET(F54,-1,0)),OFFSET(F54,-1,0),NA()))</f>
        <v>2822</v>
      </c>
      <c r="G54" s="57">
        <f ca="1">IFERROR(VLOOKUP(C54,SSL_DD[[Week-Year]:[DD]],2,FALSE),IF(ISNUMBER(OFFSET(G54,-1,0)),OFFSET(G54,-1,0),NA()))</f>
        <v>410</v>
      </c>
      <c r="H54" s="58">
        <f ca="1">IFERROR(VLOOKUP(C54,WFM_DD[[Week-Year]:[DD]],2,FALSE),IF(ISNUMBER(OFFSET(H54,-1,0)),OFFSET(H54,-1,0),NA()))</f>
        <v>171</v>
      </c>
      <c r="I54" s="57">
        <f ca="1">IFERROR(VLOOKUP(C54,RTen_DD[[Week-Year]:[DD]],2,FALSE),IF(ISNUMBER(OFFSET(I54,-1,0)),OFFSET(I54,-1,0),NA()))</f>
        <v>6009</v>
      </c>
      <c r="J54" s="57">
        <f ca="1">IFERROR(VLOOKUP(C54,TDM_DD[[Week-Year]:[DD]],3,FALSE),IF(ISNUMBER(OFFSET(J54,-1,0)),OFFSET(J54,-1,0),NA()))</f>
        <v>5.736842155456543</v>
      </c>
      <c r="K54" s="57">
        <f ca="1">IFERROR(VLOOKUP(C54,Coles_DD[[Week-Year]:[DD]],3,FALSE),IF(ISNUMBER(OFFSET(K54,-1,0)),OFFSET(K54,-1,0),NA()))</f>
        <v>0.52698415517807007</v>
      </c>
      <c r="L54" s="57">
        <f ca="1">IFERROR(VLOOKUP(C54,WOW_DD[[Week-Year]:[DD]],3,FALSE),IF(ISNUMBER(OFFSET(L54,-1,0)),OFFSET(L54,-1,0),NA()))</f>
        <v>0.59425938129425049</v>
      </c>
      <c r="M54" s="57">
        <f ca="1">IFERROR(VLOOKUP(C54,SSL_DD[[Week-Year]:[DD]],3,FALSE),IF(ISNUMBER(OFFSET(M54,-1,0)),OFFSET(M54,-1,0),NA()))</f>
        <v>3.5170731544494629</v>
      </c>
      <c r="N54" s="57">
        <f ca="1">IFERROR(VLOOKUP(C54,WFM_DD[[Week-Year]:[DD]],3,FALSE),IF(ISNUMBER(OFFSET(N54,-1,0)),OFFSET(N54,-1,0),NA()))</f>
        <v>1.5497076511383057</v>
      </c>
      <c r="O54" s="57">
        <f ca="1">IFERROR(VLOOKUP(C54,RTen_DD[[Week-Year]:[DD]],3,FALSE),IF(ISNUMBER(OFFSET(O54,-1,0)),OFFSET(O54,-1,0),NA()))</f>
        <v>1.3211848735809326</v>
      </c>
      <c r="P54" s="57">
        <f t="array" aca="1" ref="P54" ca="1">AVERAGE(IF(ISNUMBER(DD_Table[[#This Row],[TDM_DD]:[WFM_DD]]),DD_Table[[#This Row],[TDM_DD]:[WFM_DD]]))</f>
        <v>2.3849732995033266</v>
      </c>
      <c r="Q54" s="57">
        <f t="array" aca="1" ref="Q54" ca="1">MAX(IF(ISERROR(DD_Table[[TDM_DD]:[WFM_DD]]),0,DD_Table[[TDM_DD]:[WFM_DD]]))*0.8</f>
        <v>12.322580718994141</v>
      </c>
      <c r="R54" s="57">
        <v>0.5</v>
      </c>
      <c r="S54" s="57">
        <v>0.5</v>
      </c>
      <c r="T54" s="57">
        <v>0.5</v>
      </c>
      <c r="U54" s="57">
        <v>0.5</v>
      </c>
      <c r="V54" s="57">
        <v>0.5</v>
      </c>
      <c r="W54" s="57">
        <v>0.5</v>
      </c>
      <c r="X54" s="59">
        <f ca="1">IFERROR(VLOOKUP(C54,TDM_DD[[Week-Year]:[Core Reg]],4,FALSE),IF(ISNUMBER(OFFSET(X54,-1,0)),OFFSET(X54,-1,0),NA()))</f>
        <v>18.348623275756836</v>
      </c>
      <c r="Y54" s="59">
        <f ca="1">IFERROR(VLOOKUP(C54,TDM_DD[[Week-Year]:[Core Reg]],5,FALSE),IF(ISNUMBER(OFFSET(Y54,-1,0)),OFFSET(Y54,-1,0),NA()))</f>
        <v>36.842105865478516</v>
      </c>
      <c r="Z54" s="59">
        <f ca="1">IFERROR(VLOOKUP(C54,Coles_DD[[Week-Year]:[Core Reg]],4,FALSE),IF(ISNUMBER(OFFSET(Z54,-1,0)),OFFSET(Z54,-1,0),NA()))</f>
        <v>4.1308088302612305</v>
      </c>
      <c r="AA54" s="59">
        <f ca="1">IFERROR(VLOOKUP(C54,Coles_DD[[Week-Year]:[Core Reg]],5,FALSE),IF(ISNUMBER(OFFSET(AA54,-1,0)),OFFSET(AA54,-1,0),NA()))</f>
        <v>6.5068492889404297</v>
      </c>
      <c r="AB54" s="59">
        <f ca="1">IFERROR(VLOOKUP(C54,WOW_DD[[Week-Year]:[Core Reg]],4,FALSE),IF(ISNUMBER(OFFSET(AB54,-1,0)),OFFSET(AB54,-1,0),NA()))</f>
        <v>12.343470573425293</v>
      </c>
      <c r="AC54" s="59">
        <f ca="1">IFERROR(VLOOKUP(C54,WOW_DD[[Week-Year]:[Core Reg]],5,FALSE),IF(ISNUMBER(OFFSET(AC54,-1,0)),OFFSET(AC54,-1,0),NA()))</f>
        <v>14.126016616821289</v>
      </c>
      <c r="AD54" s="59">
        <f ca="1">IFERROR(VLOOKUP(C54,SSL_DD[[Week-Year]:[Core Reg]],4,FALSE),IF(ISNUMBER(OFFSET(AD54,-1,0)),OFFSET(AD54,-1,0),NA()))</f>
        <v>42.163661956787109</v>
      </c>
      <c r="AE54" s="59">
        <f ca="1">IFERROR(VLOOKUP(C54,SSL_DD[[Week-Year]:[Core Reg]],5,FALSE),IF(ISNUMBER(OFFSET(AE54,-1,0)),OFFSET(AE54,-1,0),NA()))</f>
        <v>55.369926452636719</v>
      </c>
      <c r="AF54" s="59">
        <f ca="1">IFERROR(VLOOKUP(C54,WFM_DD[[Week-Year]:[Core Reg]],4,FALSE),IF(ISNUMBER(OFFSET(AF54,-1,0)),OFFSET(AF54,-1,0),NA()))</f>
        <v>20.377359390258789</v>
      </c>
      <c r="AG54" s="59">
        <f ca="1">IFERROR(VLOOKUP(C54,WFM_DD[[Week-Year]:[Core Reg]],5,FALSE),IF(ISNUMBER(OFFSET(AG54,-1,0)),OFFSET(AG54,-1,0),NA()))</f>
        <v>24.242424011230469</v>
      </c>
      <c r="AH54" s="62">
        <f ca="1">IFERROR(VLOOKUP(C54,RTen_DD[[Week-Year]:[Core Reg]],4,FALSE),IF(ISNUMBER(OFFSET(AH54,-1,0)),OFFSET(AH54,-1,0),NA()))</f>
        <v>0</v>
      </c>
      <c r="AI54" s="62">
        <f ca="1">IFERROR(VLOOKUP(C54,RTen_DD[[Week-Year]:[Core Reg]],5,FALSE)/100,IF(ISNUMBER(OFFSET(AI54,-1,0)),OFFSET(AI54,-1,0),NA()))</f>
        <v>0.36503337860107421</v>
      </c>
      <c r="AJ54" s="62">
        <f ca="1">DD_Table[[#This Row],[TDM_Ext_Reg]]</f>
        <v>18.348623275756836</v>
      </c>
      <c r="AK54" s="62">
        <f ca="1">DD_Table[[#This Row],[Coles_Ext_Reg]]</f>
        <v>4.1308088302612305</v>
      </c>
      <c r="AL54" s="62">
        <f ca="1">DD_Table[[#This Row],[WOW_Ext_Reg]]</f>
        <v>12.343470573425293</v>
      </c>
      <c r="AM54" s="62">
        <f ca="1">DD_Table[[#This Row],[SSL_Ext_Reg]]</f>
        <v>42.163661956787109</v>
      </c>
      <c r="AN54" s="62">
        <f ca="1">DD_Table[[#This Row],[WFM_Ext_Reg]]</f>
        <v>20.377359390258789</v>
      </c>
      <c r="AO54" s="62">
        <f t="array" aca="1" ref="AO54" ca="1">IFERROR(AVERAGE(IF(ISNUMBER(DD_Table[[#This Row],[TDM_Avg]:[WFM_Avg]]),DD_Table[[#This Row],[TDM_Avg]:[WFM_Avg]]))/100,NA())</f>
        <v>0.19472784805297852</v>
      </c>
      <c r="AP54" s="62">
        <f t="array" aca="1" ref="AP54" ca="1">MAX(IF(ISERROR(DD_Table[[TDM_Avg]:[WFM_Avg]]),0,DD_Table[[TDM_Avg]:[WFM_Avg]]))*1.1</f>
        <v>48.107883834838873</v>
      </c>
      <c r="AQ54" s="62">
        <f t="array" aca="1" ref="AQ54" ca="1">MAX(IF(ISERROR(DD_Table[[TDM_Ext_Reg]:[WFM_Core_Reg]]),0,DD_Table[[TDM_Ext_Reg]:[WFM_Core_Reg]]))</f>
        <v>61.538463592529297</v>
      </c>
      <c r="AR54" s="65">
        <f ca="1">IFERROR(VLOOKUP(C54,TDM_DD[[Week-Year]:[DDP]],6,FALSE),IF(ISNUMBER(OFFSET(AR54,-1,0)),OFFSET(AR54,-1,0),NA()))</f>
        <v>0.24516129032258063</v>
      </c>
      <c r="AS54" s="65">
        <f ca="1">IFERROR(VLOOKUP(C54,Coles_DD[[Week-Year]:[DDP]],6,FALSE),IF(ISNUMBER(OFFSET(AS54,-1,0)),OFFSET(AS54,-1,0),NA()))</f>
        <v>0.18516674962667995</v>
      </c>
      <c r="AT54" s="65">
        <f ca="1">IFERROR(VLOOKUP(C54,WOW_DD[[Week-Year]:[DDP]],6,FALSE),IF(ISNUMBER(OFFSET(AT54,-1,0)),OFFSET(AT54,-1,0),NA()))</f>
        <v>0.35086181711948583</v>
      </c>
      <c r="AU54" s="65">
        <f ca="1">IFERROR(VLOOKUP(C54,SSL_DD[[Week-Year]:[DDP]],6,FALSE),IF(ISNUMBER(OFFSET(AU54,-1,0)),OFFSET(AU54,-1,0),NA()))</f>
        <v>0.32415902140672781</v>
      </c>
      <c r="AV54" s="65">
        <f ca="1">IFERROR(VLOOKUP(C54,WFM_DD[[Week-Year]:[DDP]],6,FALSE),IF(ISNUMBER(OFFSET(AV54,-1,0)),OFFSET(AV54,-1,0),NA()))</f>
        <v>0.23175182481751824</v>
      </c>
      <c r="AW54" s="65">
        <f t="array" aca="1" ref="AW54" ca="1">IFERROR(AVERAGE(IF(ISNUMBER(DD_Table[[#This Row],[TDM_DDP]:[WFM_DDP]]),DD_Table[[#This Row],[TDM_DDP]:[WFM_DDP]])),NA())</f>
        <v>0.26742014065859854</v>
      </c>
      <c r="AX54" s="65">
        <f t="array" aca="1" ref="AX54" ca="1">IFERROR(MAX(IF(ISNUMBER(DD_Table[[TDM_DDP]:[WFM_DDP]]),DD_Table[[TDM_DDP]:[WFM_DDP]])),NA())</f>
        <v>0.68</v>
      </c>
      <c r="AY54" s="88">
        <f ca="1">IFERROR(VLOOKUP(C54,RTen_DD[[Week-Year]:[Core DDP]],6,FALSE),IF(ISNUMBER(VLOOKUP(C54,RTen_DD[[Week-Year]:[Core DDP]],6,FALSE)),OFFSET(AY54,-1,0),OFFSET(AY54,-1,0)))</f>
        <v>0.22496536254882812</v>
      </c>
      <c r="AZ54" s="65"/>
      <c r="BA54" s="65"/>
      <c r="BC54">
        <v>52</v>
      </c>
      <c r="BF54">
        <v>0</v>
      </c>
      <c r="BG54">
        <v>0</v>
      </c>
      <c r="BI54">
        <v>0</v>
      </c>
      <c r="BO54" s="71"/>
      <c r="BP54" s="71">
        <f>MAX(Med_Table[[TDM]:[WFM]])</f>
        <v>29</v>
      </c>
      <c r="DN54" s="74"/>
      <c r="DO54" s="74"/>
      <c r="DP54" s="30"/>
      <c r="DQ54" s="30"/>
      <c r="DR54" s="30"/>
      <c r="DS54" s="30"/>
      <c r="DT54" s="30"/>
      <c r="DU54" s="30"/>
      <c r="DV54" s="30"/>
      <c r="DW54" s="30"/>
    </row>
    <row r="55" spans="1:127">
      <c r="A55" s="69">
        <f t="shared" si="6"/>
        <v>42018</v>
      </c>
      <c r="B55" s="70">
        <f t="shared" si="4"/>
        <v>3</v>
      </c>
      <c r="C55" s="70">
        <f t="shared" si="5"/>
        <v>32015</v>
      </c>
      <c r="D55" s="57">
        <f ca="1">IFERROR(VLOOKUP(C55,TDM_DD[[Week-Year]:[DD]],2,FALSE),IF(ISNUMBER(OFFSET(D55,-1,0)),OFFSET(D55,-1,0),NA()))</f>
        <v>19</v>
      </c>
      <c r="E55" s="58">
        <f ca="1">IFERROR(VLOOKUP(C55,Coles_DD[[Week-Year]:[DD]],2,FALSE),IF(ISNUMBER(OFFSET(E55,-1,0)),OFFSET(E55,-1,0),NA()))</f>
        <v>2205</v>
      </c>
      <c r="F55" s="58">
        <f ca="1">IFERROR(VLOOKUP(C55,WOW_DD[[Week-Year]:[DD]],2,FALSE),IF(ISNUMBER(OFFSET(F55,-1,0)),OFFSET(F55,-1,0),NA()))</f>
        <v>2822</v>
      </c>
      <c r="G55" s="57">
        <f ca="1">IFERROR(VLOOKUP(C55,SSL_DD[[Week-Year]:[DD]],2,FALSE),IF(ISNUMBER(OFFSET(G55,-1,0)),OFFSET(G55,-1,0),NA()))</f>
        <v>410</v>
      </c>
      <c r="H55" s="58">
        <f ca="1">IFERROR(VLOOKUP(C55,WFM_DD[[Week-Year]:[DD]],2,FALSE),IF(ISNUMBER(OFFSET(H55,-1,0)),OFFSET(H55,-1,0),NA()))</f>
        <v>171</v>
      </c>
      <c r="I55" s="57">
        <f ca="1">IFERROR(VLOOKUP(C55,RTen_DD[[Week-Year]:[DD]],2,FALSE),IF(ISNUMBER(OFFSET(I55,-1,0)),OFFSET(I55,-1,0),NA()))</f>
        <v>6009</v>
      </c>
      <c r="J55" s="57">
        <f ca="1">IFERROR(VLOOKUP(C55,TDM_DD[[Week-Year]:[DD]],3,FALSE),IF(ISNUMBER(OFFSET(J55,-1,0)),OFFSET(J55,-1,0),NA()))</f>
        <v>5.736842155456543</v>
      </c>
      <c r="K55" s="57">
        <f ca="1">IFERROR(VLOOKUP(C55,Coles_DD[[Week-Year]:[DD]],3,FALSE),IF(ISNUMBER(OFFSET(K55,-1,0)),OFFSET(K55,-1,0),NA()))</f>
        <v>0.52698415517807007</v>
      </c>
      <c r="L55" s="57">
        <f ca="1">IFERROR(VLOOKUP(C55,WOW_DD[[Week-Year]:[DD]],3,FALSE),IF(ISNUMBER(OFFSET(L55,-1,0)),OFFSET(L55,-1,0),NA()))</f>
        <v>0.59425938129425049</v>
      </c>
      <c r="M55" s="57">
        <f ca="1">IFERROR(VLOOKUP(C55,SSL_DD[[Week-Year]:[DD]],3,FALSE),IF(ISNUMBER(OFFSET(M55,-1,0)),OFFSET(M55,-1,0),NA()))</f>
        <v>3.5170731544494629</v>
      </c>
      <c r="N55" s="57">
        <f ca="1">IFERROR(VLOOKUP(C55,WFM_DD[[Week-Year]:[DD]],3,FALSE),IF(ISNUMBER(OFFSET(N55,-1,0)),OFFSET(N55,-1,0),NA()))</f>
        <v>1.5497076511383057</v>
      </c>
      <c r="O55" s="57">
        <f ca="1">IFERROR(VLOOKUP(C55,RTen_DD[[Week-Year]:[DD]],3,FALSE),IF(ISNUMBER(OFFSET(O55,-1,0)),OFFSET(O55,-1,0),NA()))</f>
        <v>1.3211848735809326</v>
      </c>
      <c r="P55" s="57">
        <f t="array" aca="1" ref="P55" ca="1">AVERAGE(IF(ISNUMBER(DD_Table[[#This Row],[TDM_DD]:[WFM_DD]]),DD_Table[[#This Row],[TDM_DD]:[WFM_DD]]))</f>
        <v>2.3849732995033266</v>
      </c>
      <c r="Q55" s="57">
        <f t="array" aca="1" ref="Q55" ca="1">MAX(IF(ISERROR(DD_Table[[TDM_DD]:[WFM_DD]]),0,DD_Table[[TDM_DD]:[WFM_DD]]))*0.8</f>
        <v>12.322580718994141</v>
      </c>
      <c r="R55" s="57">
        <v>0.5</v>
      </c>
      <c r="S55" s="57">
        <v>0.5</v>
      </c>
      <c r="T55" s="57">
        <v>0.5</v>
      </c>
      <c r="U55" s="57">
        <v>0.5</v>
      </c>
      <c r="V55" s="57">
        <v>0.5</v>
      </c>
      <c r="W55" s="57">
        <v>0.5</v>
      </c>
      <c r="X55" s="59">
        <f ca="1">IFERROR(VLOOKUP(C55,TDM_DD[[Week-Year]:[Core Reg]],4,FALSE),IF(ISNUMBER(OFFSET(X55,-1,0)),OFFSET(X55,-1,0),NA()))</f>
        <v>18.348623275756836</v>
      </c>
      <c r="Y55" s="59">
        <f ca="1">IFERROR(VLOOKUP(C55,TDM_DD[[Week-Year]:[Core Reg]],5,FALSE),IF(ISNUMBER(OFFSET(Y55,-1,0)),OFFSET(Y55,-1,0),NA()))</f>
        <v>36.842105865478516</v>
      </c>
      <c r="Z55" s="59">
        <f ca="1">IFERROR(VLOOKUP(C55,Coles_DD[[Week-Year]:[Core Reg]],4,FALSE),IF(ISNUMBER(OFFSET(Z55,-1,0)),OFFSET(Z55,-1,0),NA()))</f>
        <v>4.1308088302612305</v>
      </c>
      <c r="AA55" s="59">
        <f ca="1">IFERROR(VLOOKUP(C55,Coles_DD[[Week-Year]:[Core Reg]],5,FALSE),IF(ISNUMBER(OFFSET(AA55,-1,0)),OFFSET(AA55,-1,0),NA()))</f>
        <v>6.5068492889404297</v>
      </c>
      <c r="AB55" s="59">
        <f ca="1">IFERROR(VLOOKUP(C55,WOW_DD[[Week-Year]:[Core Reg]],4,FALSE),IF(ISNUMBER(OFFSET(AB55,-1,0)),OFFSET(AB55,-1,0),NA()))</f>
        <v>12.343470573425293</v>
      </c>
      <c r="AC55" s="59">
        <f ca="1">IFERROR(VLOOKUP(C55,WOW_DD[[Week-Year]:[Core Reg]],5,FALSE),IF(ISNUMBER(OFFSET(AC55,-1,0)),OFFSET(AC55,-1,0),NA()))</f>
        <v>14.126016616821289</v>
      </c>
      <c r="AD55" s="59">
        <f ca="1">IFERROR(VLOOKUP(C55,SSL_DD[[Week-Year]:[Core Reg]],4,FALSE),IF(ISNUMBER(OFFSET(AD55,-1,0)),OFFSET(AD55,-1,0),NA()))</f>
        <v>42.163661956787109</v>
      </c>
      <c r="AE55" s="59">
        <f ca="1">IFERROR(VLOOKUP(C55,SSL_DD[[Week-Year]:[Core Reg]],5,FALSE),IF(ISNUMBER(OFFSET(AE55,-1,0)),OFFSET(AE55,-1,0),NA()))</f>
        <v>55.369926452636719</v>
      </c>
      <c r="AF55" s="59">
        <f ca="1">IFERROR(VLOOKUP(C55,WFM_DD[[Week-Year]:[Core Reg]],4,FALSE),IF(ISNUMBER(OFFSET(AF55,-1,0)),OFFSET(AF55,-1,0),NA()))</f>
        <v>20.377359390258789</v>
      </c>
      <c r="AG55" s="59">
        <f ca="1">IFERROR(VLOOKUP(C55,WFM_DD[[Week-Year]:[Core Reg]],5,FALSE),IF(ISNUMBER(OFFSET(AG55,-1,0)),OFFSET(AG55,-1,0),NA()))</f>
        <v>24.242424011230469</v>
      </c>
      <c r="AH55" s="62">
        <f ca="1">IFERROR(VLOOKUP(C55,RTen_DD[[Week-Year]:[Core Reg]],4,FALSE),IF(ISNUMBER(OFFSET(AH55,-1,0)),OFFSET(AH55,-1,0),NA()))</f>
        <v>0</v>
      </c>
      <c r="AI55" s="62">
        <f ca="1">IFERROR(VLOOKUP(C55,RTen_DD[[Week-Year]:[Core Reg]],5,FALSE)/100,IF(ISNUMBER(OFFSET(AI55,-1,0)),OFFSET(AI55,-1,0),NA()))</f>
        <v>0.36503337860107421</v>
      </c>
      <c r="AJ55" s="62">
        <f ca="1">DD_Table[[#This Row],[TDM_Ext_Reg]]</f>
        <v>18.348623275756836</v>
      </c>
      <c r="AK55" s="62">
        <f ca="1">DD_Table[[#This Row],[Coles_Ext_Reg]]</f>
        <v>4.1308088302612305</v>
      </c>
      <c r="AL55" s="62">
        <f ca="1">DD_Table[[#This Row],[WOW_Ext_Reg]]</f>
        <v>12.343470573425293</v>
      </c>
      <c r="AM55" s="62">
        <f ca="1">DD_Table[[#This Row],[SSL_Ext_Reg]]</f>
        <v>42.163661956787109</v>
      </c>
      <c r="AN55" s="62">
        <f ca="1">DD_Table[[#This Row],[WFM_Ext_Reg]]</f>
        <v>20.377359390258789</v>
      </c>
      <c r="AO55" s="62">
        <f t="array" aca="1" ref="AO55" ca="1">IFERROR(AVERAGE(IF(ISNUMBER(DD_Table[[#This Row],[TDM_Avg]:[WFM_Avg]]),DD_Table[[#This Row],[TDM_Avg]:[WFM_Avg]]))/100,NA())</f>
        <v>0.19472784805297852</v>
      </c>
      <c r="AP55" s="62">
        <f t="array" aca="1" ref="AP55" ca="1">MAX(IF(ISERROR(DD_Table[[TDM_Avg]:[WFM_Avg]]),0,DD_Table[[TDM_Avg]:[WFM_Avg]]))*1.1</f>
        <v>48.107883834838873</v>
      </c>
      <c r="AQ55" s="62">
        <f t="array" aca="1" ref="AQ55" ca="1">MAX(IF(ISERROR(DD_Table[[TDM_Ext_Reg]:[WFM_Core_Reg]]),0,DD_Table[[TDM_Ext_Reg]:[WFM_Core_Reg]]))</f>
        <v>61.538463592529297</v>
      </c>
      <c r="AR55" s="65">
        <f ca="1">IFERROR(VLOOKUP(C55,TDM_DD[[Week-Year]:[DDP]],6,FALSE),IF(ISNUMBER(OFFSET(AR55,-1,0)),OFFSET(AR55,-1,0),NA()))</f>
        <v>0.24516129032258063</v>
      </c>
      <c r="AS55" s="65">
        <f ca="1">IFERROR(VLOOKUP(C55,Coles_DD[[Week-Year]:[DDP]],6,FALSE),IF(ISNUMBER(OFFSET(AS55,-1,0)),OFFSET(AS55,-1,0),NA()))</f>
        <v>0.18516674962667995</v>
      </c>
      <c r="AT55" s="65">
        <f ca="1">IFERROR(VLOOKUP(C55,WOW_DD[[Week-Year]:[DDP]],6,FALSE),IF(ISNUMBER(OFFSET(AT55,-1,0)),OFFSET(AT55,-1,0),NA()))</f>
        <v>0.35086181711948583</v>
      </c>
      <c r="AU55" s="65">
        <f ca="1">IFERROR(VLOOKUP(C55,SSL_DD[[Week-Year]:[DDP]],6,FALSE),IF(ISNUMBER(OFFSET(AU55,-1,0)),OFFSET(AU55,-1,0),NA()))</f>
        <v>0.32415902140672781</v>
      </c>
      <c r="AV55" s="65">
        <f ca="1">IFERROR(VLOOKUP(C55,WFM_DD[[Week-Year]:[DDP]],6,FALSE),IF(ISNUMBER(OFFSET(AV55,-1,0)),OFFSET(AV55,-1,0),NA()))</f>
        <v>0.23175182481751824</v>
      </c>
      <c r="AW55" s="65">
        <f t="array" aca="1" ref="AW55" ca="1">IFERROR(AVERAGE(IF(ISNUMBER(DD_Table[[#This Row],[TDM_DDP]:[WFM_DDP]]),DD_Table[[#This Row],[TDM_DDP]:[WFM_DDP]])),NA())</f>
        <v>0.26742014065859854</v>
      </c>
      <c r="AX55" s="65">
        <f t="array" aca="1" ref="AX55" ca="1">IFERROR(MAX(IF(ISNUMBER(DD_Table[[TDM_DDP]:[WFM_DDP]]),DD_Table[[TDM_DDP]:[WFM_DDP]])),NA())</f>
        <v>0.68</v>
      </c>
      <c r="AY55" s="88">
        <f ca="1">IFERROR(VLOOKUP(C55,RTen_DD[[Week-Year]:[Core DDP]],6,FALSE),IF(ISNUMBER(VLOOKUP(C55,RTen_DD[[Week-Year]:[Core DDP]],6,FALSE)),OFFSET(AY55,-1,0),OFFSET(AY55,-1,0)))</f>
        <v>0.22496536254882812</v>
      </c>
      <c r="AZ55" s="65"/>
      <c r="BA55" s="65"/>
      <c r="BC55">
        <v>53</v>
      </c>
      <c r="BF55">
        <v>0</v>
      </c>
      <c r="BG55">
        <v>0</v>
      </c>
      <c r="BI55">
        <v>0</v>
      </c>
      <c r="BO55" s="71"/>
      <c r="BP55" s="71">
        <f>MAX(Med_Table[[TDM]:[WFM]])</f>
        <v>29</v>
      </c>
      <c r="DN55" s="74"/>
      <c r="DO55" s="74"/>
      <c r="DP55" s="30"/>
      <c r="DQ55" s="30"/>
      <c r="DR55" s="30"/>
      <c r="DS55" s="30"/>
      <c r="DT55" s="30"/>
      <c r="DU55" s="30"/>
      <c r="DV55" s="30"/>
      <c r="DW55" s="30"/>
    </row>
    <row r="56" spans="1:127">
      <c r="A56" s="69">
        <f t="shared" si="6"/>
        <v>42025</v>
      </c>
      <c r="B56" s="70">
        <f t="shared" si="4"/>
        <v>4</v>
      </c>
      <c r="C56" s="70">
        <f t="shared" si="5"/>
        <v>42015</v>
      </c>
      <c r="D56" s="57">
        <f ca="1">IFERROR(VLOOKUP(C56,TDM_DD[[Week-Year]:[DD]],2,FALSE),IF(ISNUMBER(OFFSET(D56,-1,0)),OFFSET(D56,-1,0),NA()))</f>
        <v>19</v>
      </c>
      <c r="E56" s="58">
        <f ca="1">IFERROR(VLOOKUP(C56,Coles_DD[[Week-Year]:[DD]],2,FALSE),IF(ISNUMBER(OFFSET(E56,-1,0)),OFFSET(E56,-1,0),NA()))</f>
        <v>2205</v>
      </c>
      <c r="F56" s="58">
        <f ca="1">IFERROR(VLOOKUP(C56,WOW_DD[[Week-Year]:[DD]],2,FALSE),IF(ISNUMBER(OFFSET(F56,-1,0)),OFFSET(F56,-1,0),NA()))</f>
        <v>2822</v>
      </c>
      <c r="G56" s="57">
        <f ca="1">IFERROR(VLOOKUP(C56,SSL_DD[[Week-Year]:[DD]],2,FALSE),IF(ISNUMBER(OFFSET(G56,-1,0)),OFFSET(G56,-1,0),NA()))</f>
        <v>410</v>
      </c>
      <c r="H56" s="58">
        <f ca="1">IFERROR(VLOOKUP(C56,WFM_DD[[Week-Year]:[DD]],2,FALSE),IF(ISNUMBER(OFFSET(H56,-1,0)),OFFSET(H56,-1,0),NA()))</f>
        <v>171</v>
      </c>
      <c r="I56" s="57">
        <f ca="1">IFERROR(VLOOKUP(C56,RTen_DD[[Week-Year]:[DD]],2,FALSE),IF(ISNUMBER(OFFSET(I56,-1,0)),OFFSET(I56,-1,0),NA()))</f>
        <v>6009</v>
      </c>
      <c r="J56" s="57">
        <f ca="1">IFERROR(VLOOKUP(C56,TDM_DD[[Week-Year]:[DD]],3,FALSE),IF(ISNUMBER(OFFSET(J56,-1,0)),OFFSET(J56,-1,0),NA()))</f>
        <v>5.736842155456543</v>
      </c>
      <c r="K56" s="57">
        <f ca="1">IFERROR(VLOOKUP(C56,Coles_DD[[Week-Year]:[DD]],3,FALSE),IF(ISNUMBER(OFFSET(K56,-1,0)),OFFSET(K56,-1,0),NA()))</f>
        <v>0.52698415517807007</v>
      </c>
      <c r="L56" s="57">
        <f ca="1">IFERROR(VLOOKUP(C56,WOW_DD[[Week-Year]:[DD]],3,FALSE),IF(ISNUMBER(OFFSET(L56,-1,0)),OFFSET(L56,-1,0),NA()))</f>
        <v>0.59425938129425049</v>
      </c>
      <c r="M56" s="57">
        <f ca="1">IFERROR(VLOOKUP(C56,SSL_DD[[Week-Year]:[DD]],3,FALSE),IF(ISNUMBER(OFFSET(M56,-1,0)),OFFSET(M56,-1,0),NA()))</f>
        <v>3.5170731544494629</v>
      </c>
      <c r="N56" s="57">
        <f ca="1">IFERROR(VLOOKUP(C56,WFM_DD[[Week-Year]:[DD]],3,FALSE),IF(ISNUMBER(OFFSET(N56,-1,0)),OFFSET(N56,-1,0),NA()))</f>
        <v>1.5497076511383057</v>
      </c>
      <c r="O56" s="57">
        <f ca="1">IFERROR(VLOOKUP(C56,RTen_DD[[Week-Year]:[DD]],3,FALSE),IF(ISNUMBER(OFFSET(O56,-1,0)),OFFSET(O56,-1,0),NA()))</f>
        <v>1.3211848735809326</v>
      </c>
      <c r="P56" s="57">
        <f t="array" aca="1" ref="P56" ca="1">AVERAGE(IF(ISNUMBER(DD_Table[[#This Row],[TDM_DD]:[WFM_DD]]),DD_Table[[#This Row],[TDM_DD]:[WFM_DD]]))</f>
        <v>2.3849732995033266</v>
      </c>
      <c r="Q56" s="57">
        <f t="array" aca="1" ref="Q56" ca="1">MAX(IF(ISERROR(DD_Table[[TDM_DD]:[WFM_DD]]),0,DD_Table[[TDM_DD]:[WFM_DD]]))*0.8</f>
        <v>12.322580718994141</v>
      </c>
      <c r="R56" s="57">
        <v>0.5</v>
      </c>
      <c r="S56" s="57">
        <v>0.5</v>
      </c>
      <c r="T56" s="57">
        <v>0.5</v>
      </c>
      <c r="U56" s="57">
        <v>0.5</v>
      </c>
      <c r="V56" s="57">
        <v>0.5</v>
      </c>
      <c r="W56" s="57">
        <v>0.5</v>
      </c>
      <c r="X56" s="59">
        <f ca="1">IFERROR(VLOOKUP(C56,TDM_DD[[Week-Year]:[Core Reg]],4,FALSE),IF(ISNUMBER(OFFSET(X56,-1,0)),OFFSET(X56,-1,0),NA()))</f>
        <v>18.348623275756836</v>
      </c>
      <c r="Y56" s="59">
        <f ca="1">IFERROR(VLOOKUP(C56,TDM_DD[[Week-Year]:[Core Reg]],5,FALSE),IF(ISNUMBER(OFFSET(Y56,-1,0)),OFFSET(Y56,-1,0),NA()))</f>
        <v>36.842105865478516</v>
      </c>
      <c r="Z56" s="59">
        <f ca="1">IFERROR(VLOOKUP(C56,Coles_DD[[Week-Year]:[Core Reg]],4,FALSE),IF(ISNUMBER(OFFSET(Z56,-1,0)),OFFSET(Z56,-1,0),NA()))</f>
        <v>4.1308088302612305</v>
      </c>
      <c r="AA56" s="59">
        <f ca="1">IFERROR(VLOOKUP(C56,Coles_DD[[Week-Year]:[Core Reg]],5,FALSE),IF(ISNUMBER(OFFSET(AA56,-1,0)),OFFSET(AA56,-1,0),NA()))</f>
        <v>6.5068492889404297</v>
      </c>
      <c r="AB56" s="59">
        <f ca="1">IFERROR(VLOOKUP(C56,WOW_DD[[Week-Year]:[Core Reg]],4,FALSE),IF(ISNUMBER(OFFSET(AB56,-1,0)),OFFSET(AB56,-1,0),NA()))</f>
        <v>12.343470573425293</v>
      </c>
      <c r="AC56" s="59">
        <f ca="1">IFERROR(VLOOKUP(C56,WOW_DD[[Week-Year]:[Core Reg]],5,FALSE),IF(ISNUMBER(OFFSET(AC56,-1,0)),OFFSET(AC56,-1,0),NA()))</f>
        <v>14.126016616821289</v>
      </c>
      <c r="AD56" s="59">
        <f ca="1">IFERROR(VLOOKUP(C56,SSL_DD[[Week-Year]:[Core Reg]],4,FALSE),IF(ISNUMBER(OFFSET(AD56,-1,0)),OFFSET(AD56,-1,0),NA()))</f>
        <v>42.163661956787109</v>
      </c>
      <c r="AE56" s="59">
        <f ca="1">IFERROR(VLOOKUP(C56,SSL_DD[[Week-Year]:[Core Reg]],5,FALSE),IF(ISNUMBER(OFFSET(AE56,-1,0)),OFFSET(AE56,-1,0),NA()))</f>
        <v>55.369926452636719</v>
      </c>
      <c r="AF56" s="59">
        <f ca="1">IFERROR(VLOOKUP(C56,WFM_DD[[Week-Year]:[Core Reg]],4,FALSE),IF(ISNUMBER(OFFSET(AF56,-1,0)),OFFSET(AF56,-1,0),NA()))</f>
        <v>20.377359390258789</v>
      </c>
      <c r="AG56" s="59">
        <f ca="1">IFERROR(VLOOKUP(C56,WFM_DD[[Week-Year]:[Core Reg]],5,FALSE),IF(ISNUMBER(OFFSET(AG56,-1,0)),OFFSET(AG56,-1,0),NA()))</f>
        <v>24.242424011230469</v>
      </c>
      <c r="AH56" s="62">
        <f ca="1">IFERROR(VLOOKUP(C56,RTen_DD[[Week-Year]:[Core Reg]],4,FALSE),IF(ISNUMBER(OFFSET(AH56,-1,0)),OFFSET(AH56,-1,0),NA()))</f>
        <v>0</v>
      </c>
      <c r="AI56" s="62">
        <f ca="1">IFERROR(VLOOKUP(C56,RTen_DD[[Week-Year]:[Core Reg]],5,FALSE)/100,IF(ISNUMBER(OFFSET(AI56,-1,0)),OFFSET(AI56,-1,0),NA()))</f>
        <v>0.36503337860107421</v>
      </c>
      <c r="AJ56" s="62">
        <f ca="1">DD_Table[[#This Row],[TDM_Ext_Reg]]</f>
        <v>18.348623275756836</v>
      </c>
      <c r="AK56" s="62">
        <f ca="1">DD_Table[[#This Row],[Coles_Ext_Reg]]</f>
        <v>4.1308088302612305</v>
      </c>
      <c r="AL56" s="62">
        <f ca="1">DD_Table[[#This Row],[WOW_Ext_Reg]]</f>
        <v>12.343470573425293</v>
      </c>
      <c r="AM56" s="62">
        <f ca="1">DD_Table[[#This Row],[SSL_Ext_Reg]]</f>
        <v>42.163661956787109</v>
      </c>
      <c r="AN56" s="62">
        <f ca="1">DD_Table[[#This Row],[WFM_Ext_Reg]]</f>
        <v>20.377359390258789</v>
      </c>
      <c r="AO56" s="62">
        <f t="array" aca="1" ref="AO56" ca="1">IFERROR(AVERAGE(IF(ISNUMBER(DD_Table[[#This Row],[TDM_Avg]:[WFM_Avg]]),DD_Table[[#This Row],[TDM_Avg]:[WFM_Avg]]))/100,NA())</f>
        <v>0.19472784805297852</v>
      </c>
      <c r="AP56" s="62">
        <f t="array" aca="1" ref="AP56" ca="1">MAX(IF(ISERROR(DD_Table[[TDM_Avg]:[WFM_Avg]]),0,DD_Table[[TDM_Avg]:[WFM_Avg]]))*1.1</f>
        <v>48.107883834838873</v>
      </c>
      <c r="AQ56" s="62">
        <f t="array" aca="1" ref="AQ56" ca="1">MAX(IF(ISERROR(DD_Table[[TDM_Ext_Reg]:[WFM_Core_Reg]]),0,DD_Table[[TDM_Ext_Reg]:[WFM_Core_Reg]]))</f>
        <v>61.538463592529297</v>
      </c>
      <c r="AR56" s="65">
        <f ca="1">IFERROR(VLOOKUP(C56,TDM_DD[[Week-Year]:[DDP]],6,FALSE),IF(ISNUMBER(OFFSET(AR56,-1,0)),OFFSET(AR56,-1,0),NA()))</f>
        <v>0.24516129032258063</v>
      </c>
      <c r="AS56" s="65">
        <f ca="1">IFERROR(VLOOKUP(C56,Coles_DD[[Week-Year]:[DDP]],6,FALSE),IF(ISNUMBER(OFFSET(AS56,-1,0)),OFFSET(AS56,-1,0),NA()))</f>
        <v>0.18516674962667995</v>
      </c>
      <c r="AT56" s="65">
        <f ca="1">IFERROR(VLOOKUP(C56,WOW_DD[[Week-Year]:[DDP]],6,FALSE),IF(ISNUMBER(OFFSET(AT56,-1,0)),OFFSET(AT56,-1,0),NA()))</f>
        <v>0.35086181711948583</v>
      </c>
      <c r="AU56" s="65">
        <f ca="1">IFERROR(VLOOKUP(C56,SSL_DD[[Week-Year]:[DDP]],6,FALSE),IF(ISNUMBER(OFFSET(AU56,-1,0)),OFFSET(AU56,-1,0),NA()))</f>
        <v>0.32415902140672781</v>
      </c>
      <c r="AV56" s="65">
        <f ca="1">IFERROR(VLOOKUP(C56,WFM_DD[[Week-Year]:[DDP]],6,FALSE),IF(ISNUMBER(OFFSET(AV56,-1,0)),OFFSET(AV56,-1,0),NA()))</f>
        <v>0.23175182481751824</v>
      </c>
      <c r="AW56" s="65">
        <f t="array" aca="1" ref="AW56" ca="1">IFERROR(AVERAGE(IF(ISNUMBER(DD_Table[[#This Row],[TDM_DDP]:[WFM_DDP]]),DD_Table[[#This Row],[TDM_DDP]:[WFM_DDP]])),NA())</f>
        <v>0.26742014065859854</v>
      </c>
      <c r="AX56" s="65">
        <f t="array" aca="1" ref="AX56" ca="1">IFERROR(MAX(IF(ISNUMBER(DD_Table[[TDM_DDP]:[WFM_DDP]]),DD_Table[[TDM_DDP]:[WFM_DDP]])),NA())</f>
        <v>0.68</v>
      </c>
      <c r="AY56" s="88">
        <f ca="1">IFERROR(VLOOKUP(C56,RTen_DD[[Week-Year]:[Core DDP]],6,FALSE),IF(ISNUMBER(VLOOKUP(C56,RTen_DD[[Week-Year]:[Core DDP]],6,FALSE)),OFFSET(AY56,-1,0),OFFSET(AY56,-1,0)))</f>
        <v>0.22496536254882812</v>
      </c>
      <c r="AZ56" s="65"/>
      <c r="BA56" s="65"/>
      <c r="BC56">
        <v>54</v>
      </c>
      <c r="BF56">
        <v>0</v>
      </c>
      <c r="BG56">
        <v>0</v>
      </c>
      <c r="BI56">
        <v>0</v>
      </c>
      <c r="BO56" s="71"/>
      <c r="BP56" s="71">
        <f>MAX(Med_Table[[TDM]:[WFM]])</f>
        <v>29</v>
      </c>
      <c r="DN56" s="74"/>
      <c r="DO56" s="74"/>
      <c r="DP56" s="30"/>
      <c r="DQ56" s="30"/>
      <c r="DR56" s="30"/>
      <c r="DS56" s="30"/>
      <c r="DT56" s="30"/>
      <c r="DU56" s="30"/>
      <c r="DV56" s="30"/>
      <c r="DW56" s="30"/>
    </row>
    <row r="57" spans="1:127">
      <c r="A57" s="69">
        <f t="shared" si="6"/>
        <v>42032</v>
      </c>
      <c r="B57" s="70">
        <f t="shared" si="4"/>
        <v>5</v>
      </c>
      <c r="C57" s="70">
        <f t="shared" si="5"/>
        <v>52015</v>
      </c>
      <c r="D57" s="57">
        <f ca="1">IFERROR(VLOOKUP(C57,TDM_DD[[Week-Year]:[DD]],2,FALSE),IF(ISNUMBER(OFFSET(D57,-1,0)),OFFSET(D57,-1,0),NA()))</f>
        <v>19</v>
      </c>
      <c r="E57" s="58">
        <f ca="1">IFERROR(VLOOKUP(C57,Coles_DD[[Week-Year]:[DD]],2,FALSE),IF(ISNUMBER(OFFSET(E57,-1,0)),OFFSET(E57,-1,0),NA()))</f>
        <v>2205</v>
      </c>
      <c r="F57" s="58">
        <f ca="1">IFERROR(VLOOKUP(C57,WOW_DD[[Week-Year]:[DD]],2,FALSE),IF(ISNUMBER(OFFSET(F57,-1,0)),OFFSET(F57,-1,0),NA()))</f>
        <v>2822</v>
      </c>
      <c r="G57" s="57">
        <f ca="1">IFERROR(VLOOKUP(C57,SSL_DD[[Week-Year]:[DD]],2,FALSE),IF(ISNUMBER(OFFSET(G57,-1,0)),OFFSET(G57,-1,0),NA()))</f>
        <v>410</v>
      </c>
      <c r="H57" s="58">
        <f ca="1">IFERROR(VLOOKUP(C57,WFM_DD[[Week-Year]:[DD]],2,FALSE),IF(ISNUMBER(OFFSET(H57,-1,0)),OFFSET(H57,-1,0),NA()))</f>
        <v>171</v>
      </c>
      <c r="I57" s="57">
        <f ca="1">IFERROR(VLOOKUP(C57,RTen_DD[[Week-Year]:[DD]],2,FALSE),IF(ISNUMBER(OFFSET(I57,-1,0)),OFFSET(I57,-1,0),NA()))</f>
        <v>6009</v>
      </c>
      <c r="J57" s="57">
        <f ca="1">IFERROR(VLOOKUP(C57,TDM_DD[[Week-Year]:[DD]],3,FALSE),IF(ISNUMBER(OFFSET(J57,-1,0)),OFFSET(J57,-1,0),NA()))</f>
        <v>5.736842155456543</v>
      </c>
      <c r="K57" s="57">
        <f ca="1">IFERROR(VLOOKUP(C57,Coles_DD[[Week-Year]:[DD]],3,FALSE),IF(ISNUMBER(OFFSET(K57,-1,0)),OFFSET(K57,-1,0),NA()))</f>
        <v>0.52698415517807007</v>
      </c>
      <c r="L57" s="57">
        <f ca="1">IFERROR(VLOOKUP(C57,WOW_DD[[Week-Year]:[DD]],3,FALSE),IF(ISNUMBER(OFFSET(L57,-1,0)),OFFSET(L57,-1,0),NA()))</f>
        <v>0.59425938129425049</v>
      </c>
      <c r="M57" s="57">
        <f ca="1">IFERROR(VLOOKUP(C57,SSL_DD[[Week-Year]:[DD]],3,FALSE),IF(ISNUMBER(OFFSET(M57,-1,0)),OFFSET(M57,-1,0),NA()))</f>
        <v>3.5170731544494629</v>
      </c>
      <c r="N57" s="57">
        <f ca="1">IFERROR(VLOOKUP(C57,WFM_DD[[Week-Year]:[DD]],3,FALSE),IF(ISNUMBER(OFFSET(N57,-1,0)),OFFSET(N57,-1,0),NA()))</f>
        <v>1.5497076511383057</v>
      </c>
      <c r="O57" s="57">
        <f ca="1">IFERROR(VLOOKUP(C57,RTen_DD[[Week-Year]:[DD]],3,FALSE),IF(ISNUMBER(OFFSET(O57,-1,0)),OFFSET(O57,-1,0),NA()))</f>
        <v>1.3211848735809326</v>
      </c>
      <c r="P57" s="57">
        <f t="array" aca="1" ref="P57" ca="1">AVERAGE(IF(ISNUMBER(DD_Table[[#This Row],[TDM_DD]:[WFM_DD]]),DD_Table[[#This Row],[TDM_DD]:[WFM_DD]]))</f>
        <v>2.3849732995033266</v>
      </c>
      <c r="Q57" s="57">
        <f t="array" aca="1" ref="Q57" ca="1">MAX(IF(ISERROR(DD_Table[[TDM_DD]:[WFM_DD]]),0,DD_Table[[TDM_DD]:[WFM_DD]]))*0.8</f>
        <v>12.322580718994141</v>
      </c>
      <c r="R57" s="57">
        <v>0.5</v>
      </c>
      <c r="S57" s="57">
        <v>0.5</v>
      </c>
      <c r="T57" s="57">
        <v>0.5</v>
      </c>
      <c r="U57" s="57">
        <v>0.5</v>
      </c>
      <c r="V57" s="57">
        <v>0.5</v>
      </c>
      <c r="W57" s="57">
        <v>0.5</v>
      </c>
      <c r="X57" s="59">
        <f ca="1">IFERROR(VLOOKUP(C57,TDM_DD[[Week-Year]:[Core Reg]],4,FALSE),IF(ISNUMBER(OFFSET(X57,-1,0)),OFFSET(X57,-1,0),NA()))</f>
        <v>18.348623275756836</v>
      </c>
      <c r="Y57" s="59">
        <f ca="1">IFERROR(VLOOKUP(C57,TDM_DD[[Week-Year]:[Core Reg]],5,FALSE),IF(ISNUMBER(OFFSET(Y57,-1,0)),OFFSET(Y57,-1,0),NA()))</f>
        <v>36.842105865478516</v>
      </c>
      <c r="Z57" s="59">
        <f ca="1">IFERROR(VLOOKUP(C57,Coles_DD[[Week-Year]:[Core Reg]],4,FALSE),IF(ISNUMBER(OFFSET(Z57,-1,0)),OFFSET(Z57,-1,0),NA()))</f>
        <v>4.1308088302612305</v>
      </c>
      <c r="AA57" s="59">
        <f ca="1">IFERROR(VLOOKUP(C57,Coles_DD[[Week-Year]:[Core Reg]],5,FALSE),IF(ISNUMBER(OFFSET(AA57,-1,0)),OFFSET(AA57,-1,0),NA()))</f>
        <v>6.5068492889404297</v>
      </c>
      <c r="AB57" s="59">
        <f ca="1">IFERROR(VLOOKUP(C57,WOW_DD[[Week-Year]:[Core Reg]],4,FALSE),IF(ISNUMBER(OFFSET(AB57,-1,0)),OFFSET(AB57,-1,0),NA()))</f>
        <v>12.343470573425293</v>
      </c>
      <c r="AC57" s="59">
        <f ca="1">IFERROR(VLOOKUP(C57,WOW_DD[[Week-Year]:[Core Reg]],5,FALSE),IF(ISNUMBER(OFFSET(AC57,-1,0)),OFFSET(AC57,-1,0),NA()))</f>
        <v>14.126016616821289</v>
      </c>
      <c r="AD57" s="59">
        <f ca="1">IFERROR(VLOOKUP(C57,SSL_DD[[Week-Year]:[Core Reg]],4,FALSE),IF(ISNUMBER(OFFSET(AD57,-1,0)),OFFSET(AD57,-1,0),NA()))</f>
        <v>42.163661956787109</v>
      </c>
      <c r="AE57" s="59">
        <f ca="1">IFERROR(VLOOKUP(C57,SSL_DD[[Week-Year]:[Core Reg]],5,FALSE),IF(ISNUMBER(OFFSET(AE57,-1,0)),OFFSET(AE57,-1,0),NA()))</f>
        <v>55.369926452636719</v>
      </c>
      <c r="AF57" s="59">
        <f ca="1">IFERROR(VLOOKUP(C57,WFM_DD[[Week-Year]:[Core Reg]],4,FALSE),IF(ISNUMBER(OFFSET(AF57,-1,0)),OFFSET(AF57,-1,0),NA()))</f>
        <v>20.377359390258789</v>
      </c>
      <c r="AG57" s="59">
        <f ca="1">IFERROR(VLOOKUP(C57,WFM_DD[[Week-Year]:[Core Reg]],5,FALSE),IF(ISNUMBER(OFFSET(AG57,-1,0)),OFFSET(AG57,-1,0),NA()))</f>
        <v>24.242424011230469</v>
      </c>
      <c r="AH57" s="62">
        <f ca="1">IFERROR(VLOOKUP(C57,RTen_DD[[Week-Year]:[Core Reg]],4,FALSE),IF(ISNUMBER(OFFSET(AH57,-1,0)),OFFSET(AH57,-1,0),NA()))</f>
        <v>0</v>
      </c>
      <c r="AI57" s="62">
        <f ca="1">IFERROR(VLOOKUP(C57,RTen_DD[[Week-Year]:[Core Reg]],5,FALSE)/100,IF(ISNUMBER(OFFSET(AI57,-1,0)),OFFSET(AI57,-1,0),NA()))</f>
        <v>0.36503337860107421</v>
      </c>
      <c r="AJ57" s="62">
        <f ca="1">DD_Table[[#This Row],[TDM_Ext_Reg]]</f>
        <v>18.348623275756836</v>
      </c>
      <c r="AK57" s="62">
        <f ca="1">DD_Table[[#This Row],[Coles_Ext_Reg]]</f>
        <v>4.1308088302612305</v>
      </c>
      <c r="AL57" s="62">
        <f ca="1">DD_Table[[#This Row],[WOW_Ext_Reg]]</f>
        <v>12.343470573425293</v>
      </c>
      <c r="AM57" s="62">
        <f ca="1">DD_Table[[#This Row],[SSL_Ext_Reg]]</f>
        <v>42.163661956787109</v>
      </c>
      <c r="AN57" s="62">
        <f ca="1">DD_Table[[#This Row],[WFM_Ext_Reg]]</f>
        <v>20.377359390258789</v>
      </c>
      <c r="AO57" s="62">
        <f t="array" aca="1" ref="AO57" ca="1">IFERROR(AVERAGE(IF(ISNUMBER(DD_Table[[#This Row],[TDM_Avg]:[WFM_Avg]]),DD_Table[[#This Row],[TDM_Avg]:[WFM_Avg]]))/100,NA())</f>
        <v>0.19472784805297852</v>
      </c>
      <c r="AP57" s="62">
        <f t="array" aca="1" ref="AP57" ca="1">MAX(IF(ISERROR(DD_Table[[TDM_Avg]:[WFM_Avg]]),0,DD_Table[[TDM_Avg]:[WFM_Avg]]))*1.1</f>
        <v>48.107883834838873</v>
      </c>
      <c r="AQ57" s="62">
        <f t="array" aca="1" ref="AQ57" ca="1">MAX(IF(ISERROR(DD_Table[[TDM_Ext_Reg]:[WFM_Core_Reg]]),0,DD_Table[[TDM_Ext_Reg]:[WFM_Core_Reg]]))</f>
        <v>61.538463592529297</v>
      </c>
      <c r="AR57" s="65">
        <f ca="1">IFERROR(VLOOKUP(C57,TDM_DD[[Week-Year]:[DDP]],6,FALSE),IF(ISNUMBER(OFFSET(AR57,-1,0)),OFFSET(AR57,-1,0),NA()))</f>
        <v>0.24516129032258063</v>
      </c>
      <c r="AS57" s="65">
        <f ca="1">IFERROR(VLOOKUP(C57,Coles_DD[[Week-Year]:[DDP]],6,FALSE),IF(ISNUMBER(OFFSET(AS57,-1,0)),OFFSET(AS57,-1,0),NA()))</f>
        <v>0.18516674962667995</v>
      </c>
      <c r="AT57" s="65">
        <f ca="1">IFERROR(VLOOKUP(C57,WOW_DD[[Week-Year]:[DDP]],6,FALSE),IF(ISNUMBER(OFFSET(AT57,-1,0)),OFFSET(AT57,-1,0),NA()))</f>
        <v>0.35086181711948583</v>
      </c>
      <c r="AU57" s="65">
        <f ca="1">IFERROR(VLOOKUP(C57,SSL_DD[[Week-Year]:[DDP]],6,FALSE),IF(ISNUMBER(OFFSET(AU57,-1,0)),OFFSET(AU57,-1,0),NA()))</f>
        <v>0.32415902140672781</v>
      </c>
      <c r="AV57" s="65">
        <f ca="1">IFERROR(VLOOKUP(C57,WFM_DD[[Week-Year]:[DDP]],6,FALSE),IF(ISNUMBER(OFFSET(AV57,-1,0)),OFFSET(AV57,-1,0),NA()))</f>
        <v>0.23175182481751824</v>
      </c>
      <c r="AW57" s="65">
        <f t="array" aca="1" ref="AW57" ca="1">IFERROR(AVERAGE(IF(ISNUMBER(DD_Table[[#This Row],[TDM_DDP]:[WFM_DDP]]),DD_Table[[#This Row],[TDM_DDP]:[WFM_DDP]])),NA())</f>
        <v>0.26742014065859854</v>
      </c>
      <c r="AX57" s="65">
        <f t="array" aca="1" ref="AX57" ca="1">IFERROR(MAX(IF(ISNUMBER(DD_Table[[TDM_DDP]:[WFM_DDP]]),DD_Table[[TDM_DDP]:[WFM_DDP]])),NA())</f>
        <v>0.68</v>
      </c>
      <c r="AY57" s="88">
        <f ca="1">IFERROR(VLOOKUP(C57,RTen_DD[[Week-Year]:[Core DDP]],6,FALSE),IF(ISNUMBER(VLOOKUP(C57,RTen_DD[[Week-Year]:[Core DDP]],6,FALSE)),OFFSET(AY57,-1,0),OFFSET(AY57,-1,0)))</f>
        <v>0.22496536254882812</v>
      </c>
      <c r="AZ57" s="65"/>
      <c r="BA57" s="65"/>
      <c r="BC57">
        <v>55</v>
      </c>
      <c r="BF57">
        <v>0</v>
      </c>
      <c r="BG57">
        <v>0</v>
      </c>
      <c r="BI57">
        <v>1</v>
      </c>
      <c r="BO57" s="71"/>
      <c r="BP57" s="71">
        <f>MAX(Med_Table[[TDM]:[WFM]])</f>
        <v>29</v>
      </c>
      <c r="DN57" s="74"/>
      <c r="DO57" s="74"/>
      <c r="DP57" s="30"/>
      <c r="DQ57" s="30"/>
      <c r="DR57" s="30"/>
      <c r="DS57" s="30"/>
      <c r="DT57" s="30"/>
      <c r="DU57" s="30"/>
      <c r="DV57" s="30"/>
      <c r="DW57" s="30"/>
    </row>
    <row r="58" spans="1:127">
      <c r="A58" s="69">
        <f t="shared" si="6"/>
        <v>42039</v>
      </c>
      <c r="B58" s="70">
        <f t="shared" si="4"/>
        <v>6</v>
      </c>
      <c r="C58" s="70">
        <f t="shared" si="5"/>
        <v>62015</v>
      </c>
      <c r="D58" s="57">
        <f ca="1">IFERROR(VLOOKUP(C58,TDM_DD[[Week-Year]:[DD]],2,FALSE),IF(ISNUMBER(OFFSET(D58,-1,0)),OFFSET(D58,-1,0),NA()))</f>
        <v>19</v>
      </c>
      <c r="E58" s="58">
        <f ca="1">IFERROR(VLOOKUP(C58,Coles_DD[[Week-Year]:[DD]],2,FALSE),IF(ISNUMBER(OFFSET(E58,-1,0)),OFFSET(E58,-1,0),NA()))</f>
        <v>2205</v>
      </c>
      <c r="F58" s="58">
        <f ca="1">IFERROR(VLOOKUP(C58,WOW_DD[[Week-Year]:[DD]],2,FALSE),IF(ISNUMBER(OFFSET(F58,-1,0)),OFFSET(F58,-1,0),NA()))</f>
        <v>2822</v>
      </c>
      <c r="G58" s="57">
        <f ca="1">IFERROR(VLOOKUP(C58,SSL_DD[[Week-Year]:[DD]],2,FALSE),IF(ISNUMBER(OFFSET(G58,-1,0)),OFFSET(G58,-1,0),NA()))</f>
        <v>410</v>
      </c>
      <c r="H58" s="58">
        <f ca="1">IFERROR(VLOOKUP(C58,WFM_DD[[Week-Year]:[DD]],2,FALSE),IF(ISNUMBER(OFFSET(H58,-1,0)),OFFSET(H58,-1,0),NA()))</f>
        <v>171</v>
      </c>
      <c r="I58" s="57">
        <f ca="1">IFERROR(VLOOKUP(C58,RTen_DD[[Week-Year]:[DD]],2,FALSE),IF(ISNUMBER(OFFSET(I58,-1,0)),OFFSET(I58,-1,0),NA()))</f>
        <v>6009</v>
      </c>
      <c r="J58" s="57">
        <f ca="1">IFERROR(VLOOKUP(C58,TDM_DD[[Week-Year]:[DD]],3,FALSE),IF(ISNUMBER(OFFSET(J58,-1,0)),OFFSET(J58,-1,0),NA()))</f>
        <v>5.736842155456543</v>
      </c>
      <c r="K58" s="57">
        <f ca="1">IFERROR(VLOOKUP(C58,Coles_DD[[Week-Year]:[DD]],3,FALSE),IF(ISNUMBER(OFFSET(K58,-1,0)),OFFSET(K58,-1,0),NA()))</f>
        <v>0.52698415517807007</v>
      </c>
      <c r="L58" s="57">
        <f ca="1">IFERROR(VLOOKUP(C58,WOW_DD[[Week-Year]:[DD]],3,FALSE),IF(ISNUMBER(OFFSET(L58,-1,0)),OFFSET(L58,-1,0),NA()))</f>
        <v>0.59425938129425049</v>
      </c>
      <c r="M58" s="57">
        <f ca="1">IFERROR(VLOOKUP(C58,SSL_DD[[Week-Year]:[DD]],3,FALSE),IF(ISNUMBER(OFFSET(M58,-1,0)),OFFSET(M58,-1,0),NA()))</f>
        <v>3.5170731544494629</v>
      </c>
      <c r="N58" s="57">
        <f ca="1">IFERROR(VLOOKUP(C58,WFM_DD[[Week-Year]:[DD]],3,FALSE),IF(ISNUMBER(OFFSET(N58,-1,0)),OFFSET(N58,-1,0),NA()))</f>
        <v>1.5497076511383057</v>
      </c>
      <c r="O58" s="57">
        <f ca="1">IFERROR(VLOOKUP(C58,RTen_DD[[Week-Year]:[DD]],3,FALSE),IF(ISNUMBER(OFFSET(O58,-1,0)),OFFSET(O58,-1,0),NA()))</f>
        <v>1.3211848735809326</v>
      </c>
      <c r="P58" s="57">
        <f t="array" aca="1" ref="P58" ca="1">AVERAGE(IF(ISNUMBER(DD_Table[[#This Row],[TDM_DD]:[WFM_DD]]),DD_Table[[#This Row],[TDM_DD]:[WFM_DD]]))</f>
        <v>2.3849732995033266</v>
      </c>
      <c r="Q58" s="57">
        <f t="array" aca="1" ref="Q58" ca="1">MAX(IF(ISERROR(DD_Table[[TDM_DD]:[WFM_DD]]),0,DD_Table[[TDM_DD]:[WFM_DD]]))*0.8</f>
        <v>12.322580718994141</v>
      </c>
      <c r="R58" s="57">
        <v>0.5</v>
      </c>
      <c r="S58" s="57">
        <v>0.5</v>
      </c>
      <c r="T58" s="57">
        <v>0.5</v>
      </c>
      <c r="U58" s="57">
        <v>0.5</v>
      </c>
      <c r="V58" s="57">
        <v>0.5</v>
      </c>
      <c r="W58" s="57">
        <v>0.5</v>
      </c>
      <c r="X58" s="59">
        <f ca="1">IFERROR(VLOOKUP(C58,TDM_DD[[Week-Year]:[Core Reg]],4,FALSE),IF(ISNUMBER(OFFSET(X58,-1,0)),OFFSET(X58,-1,0),NA()))</f>
        <v>18.348623275756836</v>
      </c>
      <c r="Y58" s="59">
        <f ca="1">IFERROR(VLOOKUP(C58,TDM_DD[[Week-Year]:[Core Reg]],5,FALSE),IF(ISNUMBER(OFFSET(Y58,-1,0)),OFFSET(Y58,-1,0),NA()))</f>
        <v>36.842105865478516</v>
      </c>
      <c r="Z58" s="59">
        <f ca="1">IFERROR(VLOOKUP(C58,Coles_DD[[Week-Year]:[Core Reg]],4,FALSE),IF(ISNUMBER(OFFSET(Z58,-1,0)),OFFSET(Z58,-1,0),NA()))</f>
        <v>4.1308088302612305</v>
      </c>
      <c r="AA58" s="59">
        <f ca="1">IFERROR(VLOOKUP(C58,Coles_DD[[Week-Year]:[Core Reg]],5,FALSE),IF(ISNUMBER(OFFSET(AA58,-1,0)),OFFSET(AA58,-1,0),NA()))</f>
        <v>6.5068492889404297</v>
      </c>
      <c r="AB58" s="59">
        <f ca="1">IFERROR(VLOOKUP(C58,WOW_DD[[Week-Year]:[Core Reg]],4,FALSE),IF(ISNUMBER(OFFSET(AB58,-1,0)),OFFSET(AB58,-1,0),NA()))</f>
        <v>12.343470573425293</v>
      </c>
      <c r="AC58" s="59">
        <f ca="1">IFERROR(VLOOKUP(C58,WOW_DD[[Week-Year]:[Core Reg]],5,FALSE),IF(ISNUMBER(OFFSET(AC58,-1,0)),OFFSET(AC58,-1,0),NA()))</f>
        <v>14.126016616821289</v>
      </c>
      <c r="AD58" s="59">
        <f ca="1">IFERROR(VLOOKUP(C58,SSL_DD[[Week-Year]:[Core Reg]],4,FALSE),IF(ISNUMBER(OFFSET(AD58,-1,0)),OFFSET(AD58,-1,0),NA()))</f>
        <v>42.163661956787109</v>
      </c>
      <c r="AE58" s="59">
        <f ca="1">IFERROR(VLOOKUP(C58,SSL_DD[[Week-Year]:[Core Reg]],5,FALSE),IF(ISNUMBER(OFFSET(AE58,-1,0)),OFFSET(AE58,-1,0),NA()))</f>
        <v>55.369926452636719</v>
      </c>
      <c r="AF58" s="59">
        <f ca="1">IFERROR(VLOOKUP(C58,WFM_DD[[Week-Year]:[Core Reg]],4,FALSE),IF(ISNUMBER(OFFSET(AF58,-1,0)),OFFSET(AF58,-1,0),NA()))</f>
        <v>20.377359390258789</v>
      </c>
      <c r="AG58" s="59">
        <f ca="1">IFERROR(VLOOKUP(C58,WFM_DD[[Week-Year]:[Core Reg]],5,FALSE),IF(ISNUMBER(OFFSET(AG58,-1,0)),OFFSET(AG58,-1,0),NA()))</f>
        <v>24.242424011230469</v>
      </c>
      <c r="AH58" s="62">
        <f ca="1">IFERROR(VLOOKUP(C58,RTen_DD[[Week-Year]:[Core Reg]],4,FALSE),IF(ISNUMBER(OFFSET(AH58,-1,0)),OFFSET(AH58,-1,0),NA()))</f>
        <v>0</v>
      </c>
      <c r="AI58" s="62">
        <f ca="1">IFERROR(VLOOKUP(C58,RTen_DD[[Week-Year]:[Core Reg]],5,FALSE)/100,IF(ISNUMBER(OFFSET(AI58,-1,0)),OFFSET(AI58,-1,0),NA()))</f>
        <v>0.36503337860107421</v>
      </c>
      <c r="AJ58" s="62">
        <f ca="1">DD_Table[[#This Row],[TDM_Ext_Reg]]</f>
        <v>18.348623275756836</v>
      </c>
      <c r="AK58" s="62">
        <f ca="1">DD_Table[[#This Row],[Coles_Ext_Reg]]</f>
        <v>4.1308088302612305</v>
      </c>
      <c r="AL58" s="62">
        <f ca="1">DD_Table[[#This Row],[WOW_Ext_Reg]]</f>
        <v>12.343470573425293</v>
      </c>
      <c r="AM58" s="62">
        <f ca="1">DD_Table[[#This Row],[SSL_Ext_Reg]]</f>
        <v>42.163661956787109</v>
      </c>
      <c r="AN58" s="62">
        <f ca="1">DD_Table[[#This Row],[WFM_Ext_Reg]]</f>
        <v>20.377359390258789</v>
      </c>
      <c r="AO58" s="62">
        <f t="array" aca="1" ref="AO58" ca="1">IFERROR(AVERAGE(IF(ISNUMBER(DD_Table[[#This Row],[TDM_Avg]:[WFM_Avg]]),DD_Table[[#This Row],[TDM_Avg]:[WFM_Avg]]))/100,NA())</f>
        <v>0.19472784805297852</v>
      </c>
      <c r="AP58" s="62">
        <f t="array" aca="1" ref="AP58" ca="1">MAX(IF(ISERROR(DD_Table[[TDM_Avg]:[WFM_Avg]]),0,DD_Table[[TDM_Avg]:[WFM_Avg]]))*1.1</f>
        <v>48.107883834838873</v>
      </c>
      <c r="AQ58" s="62">
        <f t="array" aca="1" ref="AQ58" ca="1">MAX(IF(ISERROR(DD_Table[[TDM_Ext_Reg]:[WFM_Core_Reg]]),0,DD_Table[[TDM_Ext_Reg]:[WFM_Core_Reg]]))</f>
        <v>61.538463592529297</v>
      </c>
      <c r="AR58" s="65">
        <f ca="1">IFERROR(VLOOKUP(C58,TDM_DD[[Week-Year]:[DDP]],6,FALSE),IF(ISNUMBER(OFFSET(AR58,-1,0)),OFFSET(AR58,-1,0),NA()))</f>
        <v>0.24516129032258063</v>
      </c>
      <c r="AS58" s="65">
        <f ca="1">IFERROR(VLOOKUP(C58,Coles_DD[[Week-Year]:[DDP]],6,FALSE),IF(ISNUMBER(OFFSET(AS58,-1,0)),OFFSET(AS58,-1,0),NA()))</f>
        <v>0.18516674962667995</v>
      </c>
      <c r="AT58" s="65">
        <f ca="1">IFERROR(VLOOKUP(C58,WOW_DD[[Week-Year]:[DDP]],6,FALSE),IF(ISNUMBER(OFFSET(AT58,-1,0)),OFFSET(AT58,-1,0),NA()))</f>
        <v>0.35086181711948583</v>
      </c>
      <c r="AU58" s="65">
        <f ca="1">IFERROR(VLOOKUP(C58,SSL_DD[[Week-Year]:[DDP]],6,FALSE),IF(ISNUMBER(OFFSET(AU58,-1,0)),OFFSET(AU58,-1,0),NA()))</f>
        <v>0.32415902140672781</v>
      </c>
      <c r="AV58" s="65">
        <f ca="1">IFERROR(VLOOKUP(C58,WFM_DD[[Week-Year]:[DDP]],6,FALSE),IF(ISNUMBER(OFFSET(AV58,-1,0)),OFFSET(AV58,-1,0),NA()))</f>
        <v>0.23175182481751824</v>
      </c>
      <c r="AW58" s="65">
        <f t="array" aca="1" ref="AW58" ca="1">IFERROR(AVERAGE(IF(ISNUMBER(DD_Table[[#This Row],[TDM_DDP]:[WFM_DDP]]),DD_Table[[#This Row],[TDM_DDP]:[WFM_DDP]])),NA())</f>
        <v>0.26742014065859854</v>
      </c>
      <c r="AX58" s="65">
        <f t="array" aca="1" ref="AX58" ca="1">IFERROR(MAX(IF(ISNUMBER(DD_Table[[TDM_DDP]:[WFM_DDP]]),DD_Table[[TDM_DDP]:[WFM_DDP]])),NA())</f>
        <v>0.68</v>
      </c>
      <c r="AY58" s="88">
        <f ca="1">IFERROR(VLOOKUP(C58,RTen_DD[[Week-Year]:[Core DDP]],6,FALSE),IF(ISNUMBER(VLOOKUP(C58,RTen_DD[[Week-Year]:[Core DDP]],6,FALSE)),OFFSET(AY58,-1,0),OFFSET(AY58,-1,0)))</f>
        <v>0.22496536254882812</v>
      </c>
      <c r="AZ58" s="65"/>
      <c r="BA58" s="65"/>
      <c r="BC58">
        <v>56</v>
      </c>
      <c r="BF58">
        <v>1</v>
      </c>
      <c r="BG58">
        <v>0</v>
      </c>
      <c r="BI58">
        <v>0</v>
      </c>
      <c r="BO58" s="71"/>
      <c r="BP58" s="71">
        <f>MAX(Med_Table[[TDM]:[WFM]])</f>
        <v>29</v>
      </c>
      <c r="DN58" s="74"/>
      <c r="DO58" s="74"/>
      <c r="DP58" s="30"/>
      <c r="DQ58" s="30"/>
      <c r="DR58" s="30"/>
      <c r="DS58" s="30"/>
      <c r="DT58" s="30"/>
      <c r="DU58" s="30"/>
      <c r="DV58" s="30"/>
      <c r="DW58" s="30"/>
    </row>
    <row r="59" spans="1:127">
      <c r="A59" s="69">
        <f t="shared" si="6"/>
        <v>42046</v>
      </c>
      <c r="B59" s="70">
        <f t="shared" si="4"/>
        <v>7</v>
      </c>
      <c r="C59" s="70">
        <f t="shared" si="5"/>
        <v>72015</v>
      </c>
      <c r="D59" s="57">
        <f ca="1">IFERROR(VLOOKUP(C59,TDM_DD[[Week-Year]:[DD]],2,FALSE),IF(ISNUMBER(OFFSET(D59,-1,0)),OFFSET(D59,-1,0),NA()))</f>
        <v>19</v>
      </c>
      <c r="E59" s="58">
        <f ca="1">IFERROR(VLOOKUP(C59,Coles_DD[[Week-Year]:[DD]],2,FALSE),IF(ISNUMBER(OFFSET(E59,-1,0)),OFFSET(E59,-1,0),NA()))</f>
        <v>2205</v>
      </c>
      <c r="F59" s="58">
        <f ca="1">IFERROR(VLOOKUP(C59,WOW_DD[[Week-Year]:[DD]],2,FALSE),IF(ISNUMBER(OFFSET(F59,-1,0)),OFFSET(F59,-1,0),NA()))</f>
        <v>2822</v>
      </c>
      <c r="G59" s="57">
        <f ca="1">IFERROR(VLOOKUP(C59,SSL_DD[[Week-Year]:[DD]],2,FALSE),IF(ISNUMBER(OFFSET(G59,-1,0)),OFFSET(G59,-1,0),NA()))</f>
        <v>410</v>
      </c>
      <c r="H59" s="58">
        <f ca="1">IFERROR(VLOOKUP(C59,WFM_DD[[Week-Year]:[DD]],2,FALSE),IF(ISNUMBER(OFFSET(H59,-1,0)),OFFSET(H59,-1,0),NA()))</f>
        <v>171</v>
      </c>
      <c r="I59" s="57">
        <f ca="1">IFERROR(VLOOKUP(C59,RTen_DD[[Week-Year]:[DD]],2,FALSE),IF(ISNUMBER(OFFSET(I59,-1,0)),OFFSET(I59,-1,0),NA()))</f>
        <v>6009</v>
      </c>
      <c r="J59" s="57">
        <f ca="1">IFERROR(VLOOKUP(C59,TDM_DD[[Week-Year]:[DD]],3,FALSE),IF(ISNUMBER(OFFSET(J59,-1,0)),OFFSET(J59,-1,0),NA()))</f>
        <v>5.736842155456543</v>
      </c>
      <c r="K59" s="57">
        <f ca="1">IFERROR(VLOOKUP(C59,Coles_DD[[Week-Year]:[DD]],3,FALSE),IF(ISNUMBER(OFFSET(K59,-1,0)),OFFSET(K59,-1,0),NA()))</f>
        <v>0.52698415517807007</v>
      </c>
      <c r="L59" s="57">
        <f ca="1">IFERROR(VLOOKUP(C59,WOW_DD[[Week-Year]:[DD]],3,FALSE),IF(ISNUMBER(OFFSET(L59,-1,0)),OFFSET(L59,-1,0),NA()))</f>
        <v>0.59425938129425049</v>
      </c>
      <c r="M59" s="57">
        <f ca="1">IFERROR(VLOOKUP(C59,SSL_DD[[Week-Year]:[DD]],3,FALSE),IF(ISNUMBER(OFFSET(M59,-1,0)),OFFSET(M59,-1,0),NA()))</f>
        <v>3.5170731544494629</v>
      </c>
      <c r="N59" s="57">
        <f ca="1">IFERROR(VLOOKUP(C59,WFM_DD[[Week-Year]:[DD]],3,FALSE),IF(ISNUMBER(OFFSET(N59,-1,0)),OFFSET(N59,-1,0),NA()))</f>
        <v>1.5497076511383057</v>
      </c>
      <c r="O59" s="57">
        <f ca="1">IFERROR(VLOOKUP(C59,RTen_DD[[Week-Year]:[DD]],3,FALSE),IF(ISNUMBER(OFFSET(O59,-1,0)),OFFSET(O59,-1,0),NA()))</f>
        <v>1.3211848735809326</v>
      </c>
      <c r="P59" s="57">
        <f t="array" aca="1" ref="P59" ca="1">AVERAGE(IF(ISNUMBER(DD_Table[[#This Row],[TDM_DD]:[WFM_DD]]),DD_Table[[#This Row],[TDM_DD]:[WFM_DD]]))</f>
        <v>2.3849732995033266</v>
      </c>
      <c r="Q59" s="57">
        <f t="array" aca="1" ref="Q59" ca="1">MAX(IF(ISERROR(DD_Table[[TDM_DD]:[WFM_DD]]),0,DD_Table[[TDM_DD]:[WFM_DD]]))*0.8</f>
        <v>12.322580718994141</v>
      </c>
      <c r="R59" s="57">
        <v>0.5</v>
      </c>
      <c r="S59" s="57">
        <v>0.5</v>
      </c>
      <c r="T59" s="57">
        <v>0.5</v>
      </c>
      <c r="U59" s="57">
        <v>0.5</v>
      </c>
      <c r="V59" s="57">
        <v>0.5</v>
      </c>
      <c r="W59" s="57">
        <v>0.5</v>
      </c>
      <c r="X59" s="59">
        <f ca="1">IFERROR(VLOOKUP(C59,TDM_DD[[Week-Year]:[Core Reg]],4,FALSE),IF(ISNUMBER(OFFSET(X59,-1,0)),OFFSET(X59,-1,0),NA()))</f>
        <v>18.348623275756836</v>
      </c>
      <c r="Y59" s="59">
        <f ca="1">IFERROR(VLOOKUP(C59,TDM_DD[[Week-Year]:[Core Reg]],5,FALSE),IF(ISNUMBER(OFFSET(Y59,-1,0)),OFFSET(Y59,-1,0),NA()))</f>
        <v>36.842105865478516</v>
      </c>
      <c r="Z59" s="59">
        <f ca="1">IFERROR(VLOOKUP(C59,Coles_DD[[Week-Year]:[Core Reg]],4,FALSE),IF(ISNUMBER(OFFSET(Z59,-1,0)),OFFSET(Z59,-1,0),NA()))</f>
        <v>4.1308088302612305</v>
      </c>
      <c r="AA59" s="59">
        <f ca="1">IFERROR(VLOOKUP(C59,Coles_DD[[Week-Year]:[Core Reg]],5,FALSE),IF(ISNUMBER(OFFSET(AA59,-1,0)),OFFSET(AA59,-1,0),NA()))</f>
        <v>6.5068492889404297</v>
      </c>
      <c r="AB59" s="59">
        <f ca="1">IFERROR(VLOOKUP(C59,WOW_DD[[Week-Year]:[Core Reg]],4,FALSE),IF(ISNUMBER(OFFSET(AB59,-1,0)),OFFSET(AB59,-1,0),NA()))</f>
        <v>12.343470573425293</v>
      </c>
      <c r="AC59" s="59">
        <f ca="1">IFERROR(VLOOKUP(C59,WOW_DD[[Week-Year]:[Core Reg]],5,FALSE),IF(ISNUMBER(OFFSET(AC59,-1,0)),OFFSET(AC59,-1,0),NA()))</f>
        <v>14.126016616821289</v>
      </c>
      <c r="AD59" s="59">
        <f ca="1">IFERROR(VLOOKUP(C59,SSL_DD[[Week-Year]:[Core Reg]],4,FALSE),IF(ISNUMBER(OFFSET(AD59,-1,0)),OFFSET(AD59,-1,0),NA()))</f>
        <v>42.163661956787109</v>
      </c>
      <c r="AE59" s="59">
        <f ca="1">IFERROR(VLOOKUP(C59,SSL_DD[[Week-Year]:[Core Reg]],5,FALSE),IF(ISNUMBER(OFFSET(AE59,-1,0)),OFFSET(AE59,-1,0),NA()))</f>
        <v>55.369926452636719</v>
      </c>
      <c r="AF59" s="59">
        <f ca="1">IFERROR(VLOOKUP(C59,WFM_DD[[Week-Year]:[Core Reg]],4,FALSE),IF(ISNUMBER(OFFSET(AF59,-1,0)),OFFSET(AF59,-1,0),NA()))</f>
        <v>20.377359390258789</v>
      </c>
      <c r="AG59" s="59">
        <f ca="1">IFERROR(VLOOKUP(C59,WFM_DD[[Week-Year]:[Core Reg]],5,FALSE),IF(ISNUMBER(OFFSET(AG59,-1,0)),OFFSET(AG59,-1,0),NA()))</f>
        <v>24.242424011230469</v>
      </c>
      <c r="AH59" s="62">
        <f ca="1">IFERROR(VLOOKUP(C59,RTen_DD[[Week-Year]:[Core Reg]],4,FALSE),IF(ISNUMBER(OFFSET(AH59,-1,0)),OFFSET(AH59,-1,0),NA()))</f>
        <v>0</v>
      </c>
      <c r="AI59" s="62">
        <f ca="1">IFERROR(VLOOKUP(C59,RTen_DD[[Week-Year]:[Core Reg]],5,FALSE)/100,IF(ISNUMBER(OFFSET(AI59,-1,0)),OFFSET(AI59,-1,0),NA()))</f>
        <v>0.36503337860107421</v>
      </c>
      <c r="AJ59" s="62">
        <f ca="1">DD_Table[[#This Row],[TDM_Ext_Reg]]</f>
        <v>18.348623275756836</v>
      </c>
      <c r="AK59" s="62">
        <f ca="1">DD_Table[[#This Row],[Coles_Ext_Reg]]</f>
        <v>4.1308088302612305</v>
      </c>
      <c r="AL59" s="62">
        <f ca="1">DD_Table[[#This Row],[WOW_Ext_Reg]]</f>
        <v>12.343470573425293</v>
      </c>
      <c r="AM59" s="62">
        <f ca="1">DD_Table[[#This Row],[SSL_Ext_Reg]]</f>
        <v>42.163661956787109</v>
      </c>
      <c r="AN59" s="62">
        <f ca="1">DD_Table[[#This Row],[WFM_Ext_Reg]]</f>
        <v>20.377359390258789</v>
      </c>
      <c r="AO59" s="62">
        <f t="array" aca="1" ref="AO59" ca="1">IFERROR(AVERAGE(IF(ISNUMBER(DD_Table[[#This Row],[TDM_Avg]:[WFM_Avg]]),DD_Table[[#This Row],[TDM_Avg]:[WFM_Avg]]))/100,NA())</f>
        <v>0.19472784805297852</v>
      </c>
      <c r="AP59" s="62">
        <f t="array" aca="1" ref="AP59" ca="1">MAX(IF(ISERROR(DD_Table[[TDM_Avg]:[WFM_Avg]]),0,DD_Table[[TDM_Avg]:[WFM_Avg]]))*1.1</f>
        <v>48.107883834838873</v>
      </c>
      <c r="AQ59" s="62">
        <f t="array" aca="1" ref="AQ59" ca="1">MAX(IF(ISERROR(DD_Table[[TDM_Ext_Reg]:[WFM_Core_Reg]]),0,DD_Table[[TDM_Ext_Reg]:[WFM_Core_Reg]]))</f>
        <v>61.538463592529297</v>
      </c>
      <c r="AR59" s="65">
        <f ca="1">IFERROR(VLOOKUP(C59,TDM_DD[[Week-Year]:[DDP]],6,FALSE),IF(ISNUMBER(OFFSET(AR59,-1,0)),OFFSET(AR59,-1,0),NA()))</f>
        <v>0.24516129032258063</v>
      </c>
      <c r="AS59" s="65">
        <f ca="1">IFERROR(VLOOKUP(C59,Coles_DD[[Week-Year]:[DDP]],6,FALSE),IF(ISNUMBER(OFFSET(AS59,-1,0)),OFFSET(AS59,-1,0),NA()))</f>
        <v>0.18516674962667995</v>
      </c>
      <c r="AT59" s="65">
        <f ca="1">IFERROR(VLOOKUP(C59,WOW_DD[[Week-Year]:[DDP]],6,FALSE),IF(ISNUMBER(OFFSET(AT59,-1,0)),OFFSET(AT59,-1,0),NA()))</f>
        <v>0.35086181711948583</v>
      </c>
      <c r="AU59" s="65">
        <f ca="1">IFERROR(VLOOKUP(C59,SSL_DD[[Week-Year]:[DDP]],6,FALSE),IF(ISNUMBER(OFFSET(AU59,-1,0)),OFFSET(AU59,-1,0),NA()))</f>
        <v>0.32415902140672781</v>
      </c>
      <c r="AV59" s="65">
        <f ca="1">IFERROR(VLOOKUP(C59,WFM_DD[[Week-Year]:[DDP]],6,FALSE),IF(ISNUMBER(OFFSET(AV59,-1,0)),OFFSET(AV59,-1,0),NA()))</f>
        <v>0.23175182481751824</v>
      </c>
      <c r="AW59" s="65">
        <f t="array" aca="1" ref="AW59" ca="1">IFERROR(AVERAGE(IF(ISNUMBER(DD_Table[[#This Row],[TDM_DDP]:[WFM_DDP]]),DD_Table[[#This Row],[TDM_DDP]:[WFM_DDP]])),NA())</f>
        <v>0.26742014065859854</v>
      </c>
      <c r="AX59" s="65">
        <f t="array" aca="1" ref="AX59" ca="1">IFERROR(MAX(IF(ISNUMBER(DD_Table[[TDM_DDP]:[WFM_DDP]]),DD_Table[[TDM_DDP]:[WFM_DDP]])),NA())</f>
        <v>0.68</v>
      </c>
      <c r="AY59" s="88">
        <f ca="1">IFERROR(VLOOKUP(C59,RTen_DD[[Week-Year]:[Core DDP]],6,FALSE),IF(ISNUMBER(VLOOKUP(C59,RTen_DD[[Week-Year]:[Core DDP]],6,FALSE)),OFFSET(AY59,-1,0),OFFSET(AY59,-1,0)))</f>
        <v>0.22496536254882812</v>
      </c>
      <c r="AZ59" s="65"/>
      <c r="BA59" s="65"/>
      <c r="BC59">
        <v>57</v>
      </c>
      <c r="BF59">
        <v>0</v>
      </c>
      <c r="BG59">
        <v>0</v>
      </c>
      <c r="BI59">
        <v>0</v>
      </c>
      <c r="BO59" s="71"/>
      <c r="BP59" s="71">
        <f>MAX(Med_Table[[TDM]:[WFM]])</f>
        <v>29</v>
      </c>
      <c r="DN59" s="74"/>
      <c r="DO59" s="74"/>
      <c r="DP59" s="30"/>
      <c r="DQ59" s="30"/>
      <c r="DR59" s="30"/>
      <c r="DS59" s="30"/>
      <c r="DT59" s="30"/>
      <c r="DU59" s="30"/>
      <c r="DV59" s="30"/>
      <c r="DW59" s="30"/>
    </row>
    <row r="60" spans="1:127">
      <c r="A60" s="69">
        <f t="shared" si="6"/>
        <v>42053</v>
      </c>
      <c r="B60" s="70">
        <f t="shared" si="4"/>
        <v>8</v>
      </c>
      <c r="C60" s="70">
        <f t="shared" si="5"/>
        <v>82015</v>
      </c>
      <c r="D60" s="57">
        <f ca="1">IFERROR(VLOOKUP(C60,TDM_DD[[Week-Year]:[DD]],2,FALSE),IF(ISNUMBER(OFFSET(D60,-1,0)),OFFSET(D60,-1,0),NA()))</f>
        <v>19</v>
      </c>
      <c r="E60" s="58">
        <f ca="1">IFERROR(VLOOKUP(C60,Coles_DD[[Week-Year]:[DD]],2,FALSE),IF(ISNUMBER(OFFSET(E60,-1,0)),OFFSET(E60,-1,0),NA()))</f>
        <v>2205</v>
      </c>
      <c r="F60" s="58">
        <f ca="1">IFERROR(VLOOKUP(C60,WOW_DD[[Week-Year]:[DD]],2,FALSE),IF(ISNUMBER(OFFSET(F60,-1,0)),OFFSET(F60,-1,0),NA()))</f>
        <v>2822</v>
      </c>
      <c r="G60" s="57">
        <f ca="1">IFERROR(VLOOKUP(C60,SSL_DD[[Week-Year]:[DD]],2,FALSE),IF(ISNUMBER(OFFSET(G60,-1,0)),OFFSET(G60,-1,0),NA()))</f>
        <v>410</v>
      </c>
      <c r="H60" s="58">
        <f ca="1">IFERROR(VLOOKUP(C60,WFM_DD[[Week-Year]:[DD]],2,FALSE),IF(ISNUMBER(OFFSET(H60,-1,0)),OFFSET(H60,-1,0),NA()))</f>
        <v>171</v>
      </c>
      <c r="I60" s="57">
        <f ca="1">IFERROR(VLOOKUP(C60,RTen_DD[[Week-Year]:[DD]],2,FALSE),IF(ISNUMBER(OFFSET(I60,-1,0)),OFFSET(I60,-1,0),NA()))</f>
        <v>6009</v>
      </c>
      <c r="J60" s="57">
        <f ca="1">IFERROR(VLOOKUP(C60,TDM_DD[[Week-Year]:[DD]],3,FALSE),IF(ISNUMBER(OFFSET(J60,-1,0)),OFFSET(J60,-1,0),NA()))</f>
        <v>5.736842155456543</v>
      </c>
      <c r="K60" s="57">
        <f ca="1">IFERROR(VLOOKUP(C60,Coles_DD[[Week-Year]:[DD]],3,FALSE),IF(ISNUMBER(OFFSET(K60,-1,0)),OFFSET(K60,-1,0),NA()))</f>
        <v>0.52698415517807007</v>
      </c>
      <c r="L60" s="57">
        <f ca="1">IFERROR(VLOOKUP(C60,WOW_DD[[Week-Year]:[DD]],3,FALSE),IF(ISNUMBER(OFFSET(L60,-1,0)),OFFSET(L60,-1,0),NA()))</f>
        <v>0.59425938129425049</v>
      </c>
      <c r="M60" s="57">
        <f ca="1">IFERROR(VLOOKUP(C60,SSL_DD[[Week-Year]:[DD]],3,FALSE),IF(ISNUMBER(OFFSET(M60,-1,0)),OFFSET(M60,-1,0),NA()))</f>
        <v>3.5170731544494629</v>
      </c>
      <c r="N60" s="57">
        <f ca="1">IFERROR(VLOOKUP(C60,WFM_DD[[Week-Year]:[DD]],3,FALSE),IF(ISNUMBER(OFFSET(N60,-1,0)),OFFSET(N60,-1,0),NA()))</f>
        <v>1.5497076511383057</v>
      </c>
      <c r="O60" s="57">
        <f ca="1">IFERROR(VLOOKUP(C60,RTen_DD[[Week-Year]:[DD]],3,FALSE),IF(ISNUMBER(OFFSET(O60,-1,0)),OFFSET(O60,-1,0),NA()))</f>
        <v>1.3211848735809326</v>
      </c>
      <c r="P60" s="57">
        <f t="array" aca="1" ref="P60" ca="1">AVERAGE(IF(ISNUMBER(DD_Table[[#This Row],[TDM_DD]:[WFM_DD]]),DD_Table[[#This Row],[TDM_DD]:[WFM_DD]]))</f>
        <v>2.3849732995033266</v>
      </c>
      <c r="Q60" s="57">
        <f t="array" aca="1" ref="Q60" ca="1">MAX(IF(ISERROR(DD_Table[[TDM_DD]:[WFM_DD]]),0,DD_Table[[TDM_DD]:[WFM_DD]]))*0.8</f>
        <v>12.322580718994141</v>
      </c>
      <c r="R60" s="57">
        <v>0.5</v>
      </c>
      <c r="S60" s="57">
        <v>0.5</v>
      </c>
      <c r="T60" s="57">
        <v>0.5</v>
      </c>
      <c r="U60" s="57">
        <v>0.5</v>
      </c>
      <c r="V60" s="57">
        <v>0.5</v>
      </c>
      <c r="W60" s="57">
        <v>0.5</v>
      </c>
      <c r="X60" s="59">
        <f ca="1">IFERROR(VLOOKUP(C60,TDM_DD[[Week-Year]:[Core Reg]],4,FALSE),IF(ISNUMBER(OFFSET(X60,-1,0)),OFFSET(X60,-1,0),NA()))</f>
        <v>18.348623275756836</v>
      </c>
      <c r="Y60" s="59">
        <f ca="1">IFERROR(VLOOKUP(C60,TDM_DD[[Week-Year]:[Core Reg]],5,FALSE),IF(ISNUMBER(OFFSET(Y60,-1,0)),OFFSET(Y60,-1,0),NA()))</f>
        <v>36.842105865478516</v>
      </c>
      <c r="Z60" s="59">
        <f ca="1">IFERROR(VLOOKUP(C60,Coles_DD[[Week-Year]:[Core Reg]],4,FALSE),IF(ISNUMBER(OFFSET(Z60,-1,0)),OFFSET(Z60,-1,0),NA()))</f>
        <v>4.1308088302612305</v>
      </c>
      <c r="AA60" s="59">
        <f ca="1">IFERROR(VLOOKUP(C60,Coles_DD[[Week-Year]:[Core Reg]],5,FALSE),IF(ISNUMBER(OFFSET(AA60,-1,0)),OFFSET(AA60,-1,0),NA()))</f>
        <v>6.5068492889404297</v>
      </c>
      <c r="AB60" s="59">
        <f ca="1">IFERROR(VLOOKUP(C60,WOW_DD[[Week-Year]:[Core Reg]],4,FALSE),IF(ISNUMBER(OFFSET(AB60,-1,0)),OFFSET(AB60,-1,0),NA()))</f>
        <v>12.343470573425293</v>
      </c>
      <c r="AC60" s="59">
        <f ca="1">IFERROR(VLOOKUP(C60,WOW_DD[[Week-Year]:[Core Reg]],5,FALSE),IF(ISNUMBER(OFFSET(AC60,-1,0)),OFFSET(AC60,-1,0),NA()))</f>
        <v>14.126016616821289</v>
      </c>
      <c r="AD60" s="59">
        <f ca="1">IFERROR(VLOOKUP(C60,SSL_DD[[Week-Year]:[Core Reg]],4,FALSE),IF(ISNUMBER(OFFSET(AD60,-1,0)),OFFSET(AD60,-1,0),NA()))</f>
        <v>42.163661956787109</v>
      </c>
      <c r="AE60" s="59">
        <f ca="1">IFERROR(VLOOKUP(C60,SSL_DD[[Week-Year]:[Core Reg]],5,FALSE),IF(ISNUMBER(OFFSET(AE60,-1,0)),OFFSET(AE60,-1,0),NA()))</f>
        <v>55.369926452636719</v>
      </c>
      <c r="AF60" s="59">
        <f ca="1">IFERROR(VLOOKUP(C60,WFM_DD[[Week-Year]:[Core Reg]],4,FALSE),IF(ISNUMBER(OFFSET(AF60,-1,0)),OFFSET(AF60,-1,0),NA()))</f>
        <v>20.377359390258789</v>
      </c>
      <c r="AG60" s="59">
        <f ca="1">IFERROR(VLOOKUP(C60,WFM_DD[[Week-Year]:[Core Reg]],5,FALSE),IF(ISNUMBER(OFFSET(AG60,-1,0)),OFFSET(AG60,-1,0),NA()))</f>
        <v>24.242424011230469</v>
      </c>
      <c r="AH60" s="62">
        <f ca="1">IFERROR(VLOOKUP(C60,RTen_DD[[Week-Year]:[Core Reg]],4,FALSE),IF(ISNUMBER(OFFSET(AH60,-1,0)),OFFSET(AH60,-1,0),NA()))</f>
        <v>0</v>
      </c>
      <c r="AI60" s="62">
        <f ca="1">IFERROR(VLOOKUP(C60,RTen_DD[[Week-Year]:[Core Reg]],5,FALSE)/100,IF(ISNUMBER(OFFSET(AI60,-1,0)),OFFSET(AI60,-1,0),NA()))</f>
        <v>0.36503337860107421</v>
      </c>
      <c r="AJ60" s="62">
        <f ca="1">DD_Table[[#This Row],[TDM_Ext_Reg]]</f>
        <v>18.348623275756836</v>
      </c>
      <c r="AK60" s="62">
        <f ca="1">DD_Table[[#This Row],[Coles_Ext_Reg]]</f>
        <v>4.1308088302612305</v>
      </c>
      <c r="AL60" s="62">
        <f ca="1">DD_Table[[#This Row],[WOW_Ext_Reg]]</f>
        <v>12.343470573425293</v>
      </c>
      <c r="AM60" s="62">
        <f ca="1">DD_Table[[#This Row],[SSL_Ext_Reg]]</f>
        <v>42.163661956787109</v>
      </c>
      <c r="AN60" s="62">
        <f ca="1">DD_Table[[#This Row],[WFM_Ext_Reg]]</f>
        <v>20.377359390258789</v>
      </c>
      <c r="AO60" s="62">
        <f t="array" aca="1" ref="AO60" ca="1">IFERROR(AVERAGE(IF(ISNUMBER(DD_Table[[#This Row],[TDM_Avg]:[WFM_Avg]]),DD_Table[[#This Row],[TDM_Avg]:[WFM_Avg]]))/100,NA())</f>
        <v>0.19472784805297852</v>
      </c>
      <c r="AP60" s="62">
        <f t="array" aca="1" ref="AP60" ca="1">MAX(IF(ISERROR(DD_Table[[TDM_Avg]:[WFM_Avg]]),0,DD_Table[[TDM_Avg]:[WFM_Avg]]))*1.1</f>
        <v>48.107883834838873</v>
      </c>
      <c r="AQ60" s="62">
        <f t="array" aca="1" ref="AQ60" ca="1">MAX(IF(ISERROR(DD_Table[[TDM_Ext_Reg]:[WFM_Core_Reg]]),0,DD_Table[[TDM_Ext_Reg]:[WFM_Core_Reg]]))</f>
        <v>61.538463592529297</v>
      </c>
      <c r="AR60" s="65">
        <f ca="1">IFERROR(VLOOKUP(C60,TDM_DD[[Week-Year]:[DDP]],6,FALSE),IF(ISNUMBER(OFFSET(AR60,-1,0)),OFFSET(AR60,-1,0),NA()))</f>
        <v>0.24516129032258063</v>
      </c>
      <c r="AS60" s="65">
        <f ca="1">IFERROR(VLOOKUP(C60,Coles_DD[[Week-Year]:[DDP]],6,FALSE),IF(ISNUMBER(OFFSET(AS60,-1,0)),OFFSET(AS60,-1,0),NA()))</f>
        <v>0.18516674962667995</v>
      </c>
      <c r="AT60" s="65">
        <f ca="1">IFERROR(VLOOKUP(C60,WOW_DD[[Week-Year]:[DDP]],6,FALSE),IF(ISNUMBER(OFFSET(AT60,-1,0)),OFFSET(AT60,-1,0),NA()))</f>
        <v>0.35086181711948583</v>
      </c>
      <c r="AU60" s="65">
        <f ca="1">IFERROR(VLOOKUP(C60,SSL_DD[[Week-Year]:[DDP]],6,FALSE),IF(ISNUMBER(OFFSET(AU60,-1,0)),OFFSET(AU60,-1,0),NA()))</f>
        <v>0.32415902140672781</v>
      </c>
      <c r="AV60" s="65">
        <f ca="1">IFERROR(VLOOKUP(C60,WFM_DD[[Week-Year]:[DDP]],6,FALSE),IF(ISNUMBER(OFFSET(AV60,-1,0)),OFFSET(AV60,-1,0),NA()))</f>
        <v>0.23175182481751824</v>
      </c>
      <c r="AW60" s="65">
        <f t="array" aca="1" ref="AW60" ca="1">IFERROR(AVERAGE(IF(ISNUMBER(DD_Table[[#This Row],[TDM_DDP]:[WFM_DDP]]),DD_Table[[#This Row],[TDM_DDP]:[WFM_DDP]])),NA())</f>
        <v>0.26742014065859854</v>
      </c>
      <c r="AX60" s="65">
        <f t="array" aca="1" ref="AX60" ca="1">IFERROR(MAX(IF(ISNUMBER(DD_Table[[TDM_DDP]:[WFM_DDP]]),DD_Table[[TDM_DDP]:[WFM_DDP]])),NA())</f>
        <v>0.68</v>
      </c>
      <c r="AY60" s="88">
        <f ca="1">IFERROR(VLOOKUP(C60,RTen_DD[[Week-Year]:[Core DDP]],6,FALSE),IF(ISNUMBER(VLOOKUP(C60,RTen_DD[[Week-Year]:[Core DDP]],6,FALSE)),OFFSET(AY60,-1,0),OFFSET(AY60,-1,0)))</f>
        <v>0.22496536254882812</v>
      </c>
      <c r="AZ60" s="65"/>
      <c r="BA60" s="65"/>
      <c r="BC60">
        <v>58</v>
      </c>
      <c r="BF60">
        <v>0</v>
      </c>
      <c r="BG60">
        <v>0</v>
      </c>
      <c r="BI60">
        <v>0</v>
      </c>
      <c r="BO60" s="71"/>
      <c r="BP60" s="71">
        <f>MAX(Med_Table[[TDM]:[WFM]])</f>
        <v>29</v>
      </c>
      <c r="DN60" s="74"/>
      <c r="DO60" s="74"/>
      <c r="DP60" s="30"/>
      <c r="DQ60" s="30"/>
      <c r="DR60" s="30"/>
      <c r="DS60" s="30"/>
      <c r="DT60" s="30"/>
      <c r="DU60" s="30"/>
      <c r="DV60" s="30"/>
      <c r="DW60" s="30"/>
    </row>
    <row r="61" spans="1:127">
      <c r="A61" s="69">
        <f t="shared" si="6"/>
        <v>42060</v>
      </c>
      <c r="B61" s="70">
        <f t="shared" si="4"/>
        <v>9</v>
      </c>
      <c r="C61" s="70">
        <f t="shared" si="5"/>
        <v>92015</v>
      </c>
      <c r="D61" s="57">
        <f ca="1">IFERROR(VLOOKUP(C61,TDM_DD[[Week-Year]:[DD]],2,FALSE),IF(ISNUMBER(OFFSET(D61,-1,0)),OFFSET(D61,-1,0),NA()))</f>
        <v>19</v>
      </c>
      <c r="E61" s="58">
        <f ca="1">IFERROR(VLOOKUP(C61,Coles_DD[[Week-Year]:[DD]],2,FALSE),IF(ISNUMBER(OFFSET(E61,-1,0)),OFFSET(E61,-1,0),NA()))</f>
        <v>2205</v>
      </c>
      <c r="F61" s="58">
        <f ca="1">IFERROR(VLOOKUP(C61,WOW_DD[[Week-Year]:[DD]],2,FALSE),IF(ISNUMBER(OFFSET(F61,-1,0)),OFFSET(F61,-1,0),NA()))</f>
        <v>2822</v>
      </c>
      <c r="G61" s="57">
        <f ca="1">IFERROR(VLOOKUP(C61,SSL_DD[[Week-Year]:[DD]],2,FALSE),IF(ISNUMBER(OFFSET(G61,-1,0)),OFFSET(G61,-1,0),NA()))</f>
        <v>410</v>
      </c>
      <c r="H61" s="58">
        <f ca="1">IFERROR(VLOOKUP(C61,WFM_DD[[Week-Year]:[DD]],2,FALSE),IF(ISNUMBER(OFFSET(H61,-1,0)),OFFSET(H61,-1,0),NA()))</f>
        <v>171</v>
      </c>
      <c r="I61" s="57">
        <f ca="1">IFERROR(VLOOKUP(C61,RTen_DD[[Week-Year]:[DD]],2,FALSE),IF(ISNUMBER(OFFSET(I61,-1,0)),OFFSET(I61,-1,0),NA()))</f>
        <v>6009</v>
      </c>
      <c r="J61" s="57">
        <f ca="1">IFERROR(VLOOKUP(C61,TDM_DD[[Week-Year]:[DD]],3,FALSE),IF(ISNUMBER(OFFSET(J61,-1,0)),OFFSET(J61,-1,0),NA()))</f>
        <v>5.736842155456543</v>
      </c>
      <c r="K61" s="57">
        <f ca="1">IFERROR(VLOOKUP(C61,Coles_DD[[Week-Year]:[DD]],3,FALSE),IF(ISNUMBER(OFFSET(K61,-1,0)),OFFSET(K61,-1,0),NA()))</f>
        <v>0.52698415517807007</v>
      </c>
      <c r="L61" s="57">
        <f ca="1">IFERROR(VLOOKUP(C61,WOW_DD[[Week-Year]:[DD]],3,FALSE),IF(ISNUMBER(OFFSET(L61,-1,0)),OFFSET(L61,-1,0),NA()))</f>
        <v>0.59425938129425049</v>
      </c>
      <c r="M61" s="57">
        <f ca="1">IFERROR(VLOOKUP(C61,SSL_DD[[Week-Year]:[DD]],3,FALSE),IF(ISNUMBER(OFFSET(M61,-1,0)),OFFSET(M61,-1,0),NA()))</f>
        <v>3.5170731544494629</v>
      </c>
      <c r="N61" s="57">
        <f ca="1">IFERROR(VLOOKUP(C61,WFM_DD[[Week-Year]:[DD]],3,FALSE),IF(ISNUMBER(OFFSET(N61,-1,0)),OFFSET(N61,-1,0),NA()))</f>
        <v>1.5497076511383057</v>
      </c>
      <c r="O61" s="57">
        <f ca="1">IFERROR(VLOOKUP(C61,RTen_DD[[Week-Year]:[DD]],3,FALSE),IF(ISNUMBER(OFFSET(O61,-1,0)),OFFSET(O61,-1,0),NA()))</f>
        <v>1.3211848735809326</v>
      </c>
      <c r="P61" s="57">
        <f t="array" aca="1" ref="P61" ca="1">AVERAGE(IF(ISNUMBER(DD_Table[[#This Row],[TDM_DD]:[WFM_DD]]),DD_Table[[#This Row],[TDM_DD]:[WFM_DD]]))</f>
        <v>2.3849732995033266</v>
      </c>
      <c r="Q61" s="57">
        <f t="array" aca="1" ref="Q61" ca="1">MAX(IF(ISERROR(DD_Table[[TDM_DD]:[WFM_DD]]),0,DD_Table[[TDM_DD]:[WFM_DD]]))*0.8</f>
        <v>12.322580718994141</v>
      </c>
      <c r="R61" s="57">
        <v>0.5</v>
      </c>
      <c r="S61" s="57">
        <v>0.5</v>
      </c>
      <c r="T61" s="57">
        <v>0.5</v>
      </c>
      <c r="U61" s="57">
        <v>0.5</v>
      </c>
      <c r="V61" s="57">
        <v>0.5</v>
      </c>
      <c r="W61" s="57">
        <v>0.5</v>
      </c>
      <c r="X61" s="59">
        <f ca="1">IFERROR(VLOOKUP(C61,TDM_DD[[Week-Year]:[Core Reg]],4,FALSE),IF(ISNUMBER(OFFSET(X61,-1,0)),OFFSET(X61,-1,0),NA()))</f>
        <v>18.348623275756836</v>
      </c>
      <c r="Y61" s="59">
        <f ca="1">IFERROR(VLOOKUP(C61,TDM_DD[[Week-Year]:[Core Reg]],5,FALSE),IF(ISNUMBER(OFFSET(Y61,-1,0)),OFFSET(Y61,-1,0),NA()))</f>
        <v>36.842105865478516</v>
      </c>
      <c r="Z61" s="59">
        <f ca="1">IFERROR(VLOOKUP(C61,Coles_DD[[Week-Year]:[Core Reg]],4,FALSE),IF(ISNUMBER(OFFSET(Z61,-1,0)),OFFSET(Z61,-1,0),NA()))</f>
        <v>4.1308088302612305</v>
      </c>
      <c r="AA61" s="59">
        <f ca="1">IFERROR(VLOOKUP(C61,Coles_DD[[Week-Year]:[Core Reg]],5,FALSE),IF(ISNUMBER(OFFSET(AA61,-1,0)),OFFSET(AA61,-1,0),NA()))</f>
        <v>6.5068492889404297</v>
      </c>
      <c r="AB61" s="59">
        <f ca="1">IFERROR(VLOOKUP(C61,WOW_DD[[Week-Year]:[Core Reg]],4,FALSE),IF(ISNUMBER(OFFSET(AB61,-1,0)),OFFSET(AB61,-1,0),NA()))</f>
        <v>12.343470573425293</v>
      </c>
      <c r="AC61" s="59">
        <f ca="1">IFERROR(VLOOKUP(C61,WOW_DD[[Week-Year]:[Core Reg]],5,FALSE),IF(ISNUMBER(OFFSET(AC61,-1,0)),OFFSET(AC61,-1,0),NA()))</f>
        <v>14.126016616821289</v>
      </c>
      <c r="AD61" s="59">
        <f ca="1">IFERROR(VLOOKUP(C61,SSL_DD[[Week-Year]:[Core Reg]],4,FALSE),IF(ISNUMBER(OFFSET(AD61,-1,0)),OFFSET(AD61,-1,0),NA()))</f>
        <v>42.163661956787109</v>
      </c>
      <c r="AE61" s="59">
        <f ca="1">IFERROR(VLOOKUP(C61,SSL_DD[[Week-Year]:[Core Reg]],5,FALSE),IF(ISNUMBER(OFFSET(AE61,-1,0)),OFFSET(AE61,-1,0),NA()))</f>
        <v>55.369926452636719</v>
      </c>
      <c r="AF61" s="59">
        <f ca="1">IFERROR(VLOOKUP(C61,WFM_DD[[Week-Year]:[Core Reg]],4,FALSE),IF(ISNUMBER(OFFSET(AF61,-1,0)),OFFSET(AF61,-1,0),NA()))</f>
        <v>20.377359390258789</v>
      </c>
      <c r="AG61" s="59">
        <f ca="1">IFERROR(VLOOKUP(C61,WFM_DD[[Week-Year]:[Core Reg]],5,FALSE),IF(ISNUMBER(OFFSET(AG61,-1,0)),OFFSET(AG61,-1,0),NA()))</f>
        <v>24.242424011230469</v>
      </c>
      <c r="AH61" s="62">
        <f ca="1">IFERROR(VLOOKUP(C61,RTen_DD[[Week-Year]:[Core Reg]],4,FALSE),IF(ISNUMBER(OFFSET(AH61,-1,0)),OFFSET(AH61,-1,0),NA()))</f>
        <v>0</v>
      </c>
      <c r="AI61" s="62">
        <f ca="1">IFERROR(VLOOKUP(C61,RTen_DD[[Week-Year]:[Core Reg]],5,FALSE)/100,IF(ISNUMBER(OFFSET(AI61,-1,0)),OFFSET(AI61,-1,0),NA()))</f>
        <v>0.36503337860107421</v>
      </c>
      <c r="AJ61" s="62">
        <f ca="1">DD_Table[[#This Row],[TDM_Ext_Reg]]</f>
        <v>18.348623275756836</v>
      </c>
      <c r="AK61" s="62">
        <f ca="1">DD_Table[[#This Row],[Coles_Ext_Reg]]</f>
        <v>4.1308088302612305</v>
      </c>
      <c r="AL61" s="62">
        <f ca="1">DD_Table[[#This Row],[WOW_Ext_Reg]]</f>
        <v>12.343470573425293</v>
      </c>
      <c r="AM61" s="62">
        <f ca="1">DD_Table[[#This Row],[SSL_Ext_Reg]]</f>
        <v>42.163661956787109</v>
      </c>
      <c r="AN61" s="62">
        <f ca="1">DD_Table[[#This Row],[WFM_Ext_Reg]]</f>
        <v>20.377359390258789</v>
      </c>
      <c r="AO61" s="62">
        <f t="array" aca="1" ref="AO61" ca="1">IFERROR(AVERAGE(IF(ISNUMBER(DD_Table[[#This Row],[TDM_Avg]:[WFM_Avg]]),DD_Table[[#This Row],[TDM_Avg]:[WFM_Avg]]))/100,NA())</f>
        <v>0.19472784805297852</v>
      </c>
      <c r="AP61" s="62">
        <f t="array" aca="1" ref="AP61" ca="1">MAX(IF(ISERROR(DD_Table[[TDM_Avg]:[WFM_Avg]]),0,DD_Table[[TDM_Avg]:[WFM_Avg]]))*1.1</f>
        <v>48.107883834838873</v>
      </c>
      <c r="AQ61" s="62">
        <f t="array" aca="1" ref="AQ61" ca="1">MAX(IF(ISERROR(DD_Table[[TDM_Ext_Reg]:[WFM_Core_Reg]]),0,DD_Table[[TDM_Ext_Reg]:[WFM_Core_Reg]]))</f>
        <v>61.538463592529297</v>
      </c>
      <c r="AR61" s="65">
        <f ca="1">IFERROR(VLOOKUP(C61,TDM_DD[[Week-Year]:[DDP]],6,FALSE),IF(ISNUMBER(OFFSET(AR61,-1,0)),OFFSET(AR61,-1,0),NA()))</f>
        <v>0.24516129032258063</v>
      </c>
      <c r="AS61" s="65">
        <f ca="1">IFERROR(VLOOKUP(C61,Coles_DD[[Week-Year]:[DDP]],6,FALSE),IF(ISNUMBER(OFFSET(AS61,-1,0)),OFFSET(AS61,-1,0),NA()))</f>
        <v>0.18516674962667995</v>
      </c>
      <c r="AT61" s="65">
        <f ca="1">IFERROR(VLOOKUP(C61,WOW_DD[[Week-Year]:[DDP]],6,FALSE),IF(ISNUMBER(OFFSET(AT61,-1,0)),OFFSET(AT61,-1,0),NA()))</f>
        <v>0.35086181711948583</v>
      </c>
      <c r="AU61" s="65">
        <f ca="1">IFERROR(VLOOKUP(C61,SSL_DD[[Week-Year]:[DDP]],6,FALSE),IF(ISNUMBER(OFFSET(AU61,-1,0)),OFFSET(AU61,-1,0),NA()))</f>
        <v>0.32415902140672781</v>
      </c>
      <c r="AV61" s="65">
        <f ca="1">IFERROR(VLOOKUP(C61,WFM_DD[[Week-Year]:[DDP]],6,FALSE),IF(ISNUMBER(OFFSET(AV61,-1,0)),OFFSET(AV61,-1,0),NA()))</f>
        <v>0.23175182481751824</v>
      </c>
      <c r="AW61" s="65">
        <f t="array" aca="1" ref="AW61" ca="1">IFERROR(AVERAGE(IF(ISNUMBER(DD_Table[[#This Row],[TDM_DDP]:[WFM_DDP]]),DD_Table[[#This Row],[TDM_DDP]:[WFM_DDP]])),NA())</f>
        <v>0.26742014065859854</v>
      </c>
      <c r="AX61" s="65">
        <f t="array" aca="1" ref="AX61" ca="1">IFERROR(MAX(IF(ISNUMBER(DD_Table[[TDM_DDP]:[WFM_DDP]]),DD_Table[[TDM_DDP]:[WFM_DDP]])),NA())</f>
        <v>0.68</v>
      </c>
      <c r="AY61" s="88">
        <f ca="1">IFERROR(VLOOKUP(C61,RTen_DD[[Week-Year]:[Core DDP]],6,FALSE),IF(ISNUMBER(VLOOKUP(C61,RTen_DD[[Week-Year]:[Core DDP]],6,FALSE)),OFFSET(AY61,-1,0),OFFSET(AY61,-1,0)))</f>
        <v>0.22496536254882812</v>
      </c>
      <c r="AZ61" s="65"/>
      <c r="BA61" s="65"/>
      <c r="BC61">
        <v>59</v>
      </c>
      <c r="BF61">
        <v>0</v>
      </c>
      <c r="BG61">
        <v>0</v>
      </c>
      <c r="BI61">
        <v>1</v>
      </c>
      <c r="BO61" s="71"/>
      <c r="BP61" s="71">
        <f>MAX(Med_Table[[TDM]:[WFM]])</f>
        <v>29</v>
      </c>
      <c r="DN61" s="74"/>
      <c r="DO61" s="74"/>
      <c r="DP61" s="30"/>
      <c r="DQ61" s="30"/>
      <c r="DR61" s="30"/>
      <c r="DS61" s="30"/>
      <c r="DT61" s="30"/>
      <c r="DU61" s="30"/>
      <c r="DV61" s="30"/>
      <c r="DW61" s="30"/>
    </row>
    <row r="62" spans="1:127">
      <c r="A62" s="69">
        <f t="shared" si="6"/>
        <v>42067</v>
      </c>
      <c r="B62" s="70">
        <f t="shared" si="4"/>
        <v>10</v>
      </c>
      <c r="C62" s="70">
        <f t="shared" si="5"/>
        <v>102015</v>
      </c>
      <c r="D62" s="57">
        <f ca="1">IFERROR(VLOOKUP(C62,TDM_DD[[Week-Year]:[DD]],2,FALSE),IF(ISNUMBER(OFFSET(D62,-1,0)),OFFSET(D62,-1,0),NA()))</f>
        <v>19</v>
      </c>
      <c r="E62" s="58">
        <f ca="1">IFERROR(VLOOKUP(C62,Coles_DD[[Week-Year]:[DD]],2,FALSE),IF(ISNUMBER(OFFSET(E62,-1,0)),OFFSET(E62,-1,0),NA()))</f>
        <v>2205</v>
      </c>
      <c r="F62" s="58">
        <f ca="1">IFERROR(VLOOKUP(C62,WOW_DD[[Week-Year]:[DD]],2,FALSE),IF(ISNUMBER(OFFSET(F62,-1,0)),OFFSET(F62,-1,0),NA()))</f>
        <v>2822</v>
      </c>
      <c r="G62" s="57">
        <f ca="1">IFERROR(VLOOKUP(C62,SSL_DD[[Week-Year]:[DD]],2,FALSE),IF(ISNUMBER(OFFSET(G62,-1,0)),OFFSET(G62,-1,0),NA()))</f>
        <v>410</v>
      </c>
      <c r="H62" s="58">
        <f ca="1">IFERROR(VLOOKUP(C62,WFM_DD[[Week-Year]:[DD]],2,FALSE),IF(ISNUMBER(OFFSET(H62,-1,0)),OFFSET(H62,-1,0),NA()))</f>
        <v>171</v>
      </c>
      <c r="I62" s="57">
        <f ca="1">IFERROR(VLOOKUP(C62,RTen_DD[[Week-Year]:[DD]],2,FALSE),IF(ISNUMBER(OFFSET(I62,-1,0)),OFFSET(I62,-1,0),NA()))</f>
        <v>6009</v>
      </c>
      <c r="J62" s="57">
        <f ca="1">IFERROR(VLOOKUP(C62,TDM_DD[[Week-Year]:[DD]],3,FALSE),IF(ISNUMBER(OFFSET(J62,-1,0)),OFFSET(J62,-1,0),NA()))</f>
        <v>5.736842155456543</v>
      </c>
      <c r="K62" s="57">
        <f ca="1">IFERROR(VLOOKUP(C62,Coles_DD[[Week-Year]:[DD]],3,FALSE),IF(ISNUMBER(OFFSET(K62,-1,0)),OFFSET(K62,-1,0),NA()))</f>
        <v>0.52698415517807007</v>
      </c>
      <c r="L62" s="57">
        <f ca="1">IFERROR(VLOOKUP(C62,WOW_DD[[Week-Year]:[DD]],3,FALSE),IF(ISNUMBER(OFFSET(L62,-1,0)),OFFSET(L62,-1,0),NA()))</f>
        <v>0.59425938129425049</v>
      </c>
      <c r="M62" s="57">
        <f ca="1">IFERROR(VLOOKUP(C62,SSL_DD[[Week-Year]:[DD]],3,FALSE),IF(ISNUMBER(OFFSET(M62,-1,0)),OFFSET(M62,-1,0),NA()))</f>
        <v>3.5170731544494629</v>
      </c>
      <c r="N62" s="57">
        <f ca="1">IFERROR(VLOOKUP(C62,WFM_DD[[Week-Year]:[DD]],3,FALSE),IF(ISNUMBER(OFFSET(N62,-1,0)),OFFSET(N62,-1,0),NA()))</f>
        <v>1.5497076511383057</v>
      </c>
      <c r="O62" s="57">
        <f ca="1">IFERROR(VLOOKUP(C62,RTen_DD[[Week-Year]:[DD]],3,FALSE),IF(ISNUMBER(OFFSET(O62,-1,0)),OFFSET(O62,-1,0),NA()))</f>
        <v>1.3211848735809326</v>
      </c>
      <c r="P62" s="57">
        <f t="array" aca="1" ref="P62" ca="1">AVERAGE(IF(ISNUMBER(DD_Table[[#This Row],[TDM_DD]:[WFM_DD]]),DD_Table[[#This Row],[TDM_DD]:[WFM_DD]]))</f>
        <v>2.3849732995033266</v>
      </c>
      <c r="Q62" s="57">
        <f t="array" aca="1" ref="Q62" ca="1">MAX(IF(ISERROR(DD_Table[[TDM_DD]:[WFM_DD]]),0,DD_Table[[TDM_DD]:[WFM_DD]]))*0.8</f>
        <v>12.322580718994141</v>
      </c>
      <c r="R62" s="57">
        <v>0.5</v>
      </c>
      <c r="S62" s="57">
        <v>0.5</v>
      </c>
      <c r="T62" s="57">
        <v>0.5</v>
      </c>
      <c r="U62" s="57">
        <v>0.5</v>
      </c>
      <c r="V62" s="57">
        <v>0.5</v>
      </c>
      <c r="W62" s="57">
        <v>0.5</v>
      </c>
      <c r="X62" s="59">
        <f ca="1">IFERROR(VLOOKUP(C62,TDM_DD[[Week-Year]:[Core Reg]],4,FALSE),IF(ISNUMBER(OFFSET(X62,-1,0)),OFFSET(X62,-1,0),NA()))</f>
        <v>18.348623275756836</v>
      </c>
      <c r="Y62" s="59">
        <f ca="1">IFERROR(VLOOKUP(C62,TDM_DD[[Week-Year]:[Core Reg]],5,FALSE),IF(ISNUMBER(OFFSET(Y62,-1,0)),OFFSET(Y62,-1,0),NA()))</f>
        <v>36.842105865478516</v>
      </c>
      <c r="Z62" s="59">
        <f ca="1">IFERROR(VLOOKUP(C62,Coles_DD[[Week-Year]:[Core Reg]],4,FALSE),IF(ISNUMBER(OFFSET(Z62,-1,0)),OFFSET(Z62,-1,0),NA()))</f>
        <v>4.1308088302612305</v>
      </c>
      <c r="AA62" s="59">
        <f ca="1">IFERROR(VLOOKUP(C62,Coles_DD[[Week-Year]:[Core Reg]],5,FALSE),IF(ISNUMBER(OFFSET(AA62,-1,0)),OFFSET(AA62,-1,0),NA()))</f>
        <v>6.5068492889404297</v>
      </c>
      <c r="AB62" s="59">
        <f ca="1">IFERROR(VLOOKUP(C62,WOW_DD[[Week-Year]:[Core Reg]],4,FALSE),IF(ISNUMBER(OFFSET(AB62,-1,0)),OFFSET(AB62,-1,0),NA()))</f>
        <v>12.343470573425293</v>
      </c>
      <c r="AC62" s="59">
        <f ca="1">IFERROR(VLOOKUP(C62,WOW_DD[[Week-Year]:[Core Reg]],5,FALSE),IF(ISNUMBER(OFFSET(AC62,-1,0)),OFFSET(AC62,-1,0),NA()))</f>
        <v>14.126016616821289</v>
      </c>
      <c r="AD62" s="59">
        <f ca="1">IFERROR(VLOOKUP(C62,SSL_DD[[Week-Year]:[Core Reg]],4,FALSE),IF(ISNUMBER(OFFSET(AD62,-1,0)),OFFSET(AD62,-1,0),NA()))</f>
        <v>42.163661956787109</v>
      </c>
      <c r="AE62" s="59">
        <f ca="1">IFERROR(VLOOKUP(C62,SSL_DD[[Week-Year]:[Core Reg]],5,FALSE),IF(ISNUMBER(OFFSET(AE62,-1,0)),OFFSET(AE62,-1,0),NA()))</f>
        <v>55.369926452636719</v>
      </c>
      <c r="AF62" s="59">
        <f ca="1">IFERROR(VLOOKUP(C62,WFM_DD[[Week-Year]:[Core Reg]],4,FALSE),IF(ISNUMBER(OFFSET(AF62,-1,0)),OFFSET(AF62,-1,0),NA()))</f>
        <v>20.377359390258789</v>
      </c>
      <c r="AG62" s="59">
        <f ca="1">IFERROR(VLOOKUP(C62,WFM_DD[[Week-Year]:[Core Reg]],5,FALSE),IF(ISNUMBER(OFFSET(AG62,-1,0)),OFFSET(AG62,-1,0),NA()))</f>
        <v>24.242424011230469</v>
      </c>
      <c r="AH62" s="62">
        <f ca="1">IFERROR(VLOOKUP(C62,RTen_DD[[Week-Year]:[Core Reg]],4,FALSE),IF(ISNUMBER(OFFSET(AH62,-1,0)),OFFSET(AH62,-1,0),NA()))</f>
        <v>0</v>
      </c>
      <c r="AI62" s="62">
        <f ca="1">IFERROR(VLOOKUP(C62,RTen_DD[[Week-Year]:[Core Reg]],5,FALSE)/100,IF(ISNUMBER(OFFSET(AI62,-1,0)),OFFSET(AI62,-1,0),NA()))</f>
        <v>0.36503337860107421</v>
      </c>
      <c r="AJ62" s="62">
        <f ca="1">DD_Table[[#This Row],[TDM_Ext_Reg]]</f>
        <v>18.348623275756836</v>
      </c>
      <c r="AK62" s="62">
        <f ca="1">DD_Table[[#This Row],[Coles_Ext_Reg]]</f>
        <v>4.1308088302612305</v>
      </c>
      <c r="AL62" s="62">
        <f ca="1">DD_Table[[#This Row],[WOW_Ext_Reg]]</f>
        <v>12.343470573425293</v>
      </c>
      <c r="AM62" s="62">
        <f ca="1">DD_Table[[#This Row],[SSL_Ext_Reg]]</f>
        <v>42.163661956787109</v>
      </c>
      <c r="AN62" s="62">
        <f ca="1">DD_Table[[#This Row],[WFM_Ext_Reg]]</f>
        <v>20.377359390258789</v>
      </c>
      <c r="AO62" s="62">
        <f t="array" aca="1" ref="AO62" ca="1">IFERROR(AVERAGE(IF(ISNUMBER(DD_Table[[#This Row],[TDM_Avg]:[WFM_Avg]]),DD_Table[[#This Row],[TDM_Avg]:[WFM_Avg]]))/100,NA())</f>
        <v>0.19472784805297852</v>
      </c>
      <c r="AP62" s="62">
        <f t="array" aca="1" ref="AP62" ca="1">MAX(IF(ISERROR(DD_Table[[TDM_Avg]:[WFM_Avg]]),0,DD_Table[[TDM_Avg]:[WFM_Avg]]))*1.1</f>
        <v>48.107883834838873</v>
      </c>
      <c r="AQ62" s="62">
        <f t="array" aca="1" ref="AQ62" ca="1">MAX(IF(ISERROR(DD_Table[[TDM_Ext_Reg]:[WFM_Core_Reg]]),0,DD_Table[[TDM_Ext_Reg]:[WFM_Core_Reg]]))</f>
        <v>61.538463592529297</v>
      </c>
      <c r="AR62" s="65">
        <f ca="1">IFERROR(VLOOKUP(C62,TDM_DD[[Week-Year]:[DDP]],6,FALSE),IF(ISNUMBER(OFFSET(AR62,-1,0)),OFFSET(AR62,-1,0),NA()))</f>
        <v>0.24516129032258063</v>
      </c>
      <c r="AS62" s="65">
        <f ca="1">IFERROR(VLOOKUP(C62,Coles_DD[[Week-Year]:[DDP]],6,FALSE),IF(ISNUMBER(OFFSET(AS62,-1,0)),OFFSET(AS62,-1,0),NA()))</f>
        <v>0.18516674962667995</v>
      </c>
      <c r="AT62" s="65">
        <f ca="1">IFERROR(VLOOKUP(C62,WOW_DD[[Week-Year]:[DDP]],6,FALSE),IF(ISNUMBER(OFFSET(AT62,-1,0)),OFFSET(AT62,-1,0),NA()))</f>
        <v>0.35086181711948583</v>
      </c>
      <c r="AU62" s="65">
        <f ca="1">IFERROR(VLOOKUP(C62,SSL_DD[[Week-Year]:[DDP]],6,FALSE),IF(ISNUMBER(OFFSET(AU62,-1,0)),OFFSET(AU62,-1,0),NA()))</f>
        <v>0.32415902140672781</v>
      </c>
      <c r="AV62" s="65">
        <f ca="1">IFERROR(VLOOKUP(C62,WFM_DD[[Week-Year]:[DDP]],6,FALSE),IF(ISNUMBER(OFFSET(AV62,-1,0)),OFFSET(AV62,-1,0),NA()))</f>
        <v>0.23175182481751824</v>
      </c>
      <c r="AW62" s="65">
        <f t="array" aca="1" ref="AW62" ca="1">IFERROR(AVERAGE(IF(ISNUMBER(DD_Table[[#This Row],[TDM_DDP]:[WFM_DDP]]),DD_Table[[#This Row],[TDM_DDP]:[WFM_DDP]])),NA())</f>
        <v>0.26742014065859854</v>
      </c>
      <c r="AX62" s="65">
        <f t="array" aca="1" ref="AX62" ca="1">IFERROR(MAX(IF(ISNUMBER(DD_Table[[TDM_DDP]:[WFM_DDP]]),DD_Table[[TDM_DDP]:[WFM_DDP]])),NA())</f>
        <v>0.68</v>
      </c>
      <c r="AY62" s="88">
        <f ca="1">IFERROR(VLOOKUP(C62,RTen_DD[[Week-Year]:[Core DDP]],6,FALSE),IF(ISNUMBER(VLOOKUP(C62,RTen_DD[[Week-Year]:[Core DDP]],6,FALSE)),OFFSET(AY62,-1,0),OFFSET(AY62,-1,0)))</f>
        <v>0.22496536254882812</v>
      </c>
      <c r="AZ62" s="65"/>
      <c r="BA62" s="65"/>
      <c r="BC62">
        <v>60</v>
      </c>
      <c r="BF62">
        <v>0</v>
      </c>
      <c r="BG62">
        <v>0</v>
      </c>
      <c r="BI62">
        <v>1</v>
      </c>
      <c r="BO62" s="71"/>
      <c r="BP62" s="71">
        <f>MAX(Med_Table[[TDM]:[WFM]])</f>
        <v>29</v>
      </c>
      <c r="DN62" s="74"/>
      <c r="DO62" s="74"/>
      <c r="DP62" s="30"/>
      <c r="DQ62" s="30"/>
      <c r="DR62" s="30"/>
      <c r="DS62" s="30"/>
      <c r="DT62" s="30"/>
      <c r="DU62" s="30"/>
      <c r="DV62" s="30"/>
      <c r="DW62" s="30"/>
    </row>
    <row r="63" spans="1:127">
      <c r="A63" s="69">
        <f t="shared" si="6"/>
        <v>42074</v>
      </c>
      <c r="B63" s="70">
        <f t="shared" si="4"/>
        <v>11</v>
      </c>
      <c r="C63" s="70">
        <f t="shared" si="5"/>
        <v>112015</v>
      </c>
      <c r="D63" s="57">
        <f ca="1">IFERROR(VLOOKUP(C63,TDM_DD[[Week-Year]:[DD]],2,FALSE),IF(ISNUMBER(OFFSET(D63,-1,0)),OFFSET(D63,-1,0),NA()))</f>
        <v>19</v>
      </c>
      <c r="E63" s="58">
        <f ca="1">IFERROR(VLOOKUP(C63,Coles_DD[[Week-Year]:[DD]],2,FALSE),IF(ISNUMBER(OFFSET(E63,-1,0)),OFFSET(E63,-1,0),NA()))</f>
        <v>2205</v>
      </c>
      <c r="F63" s="58">
        <f ca="1">IFERROR(VLOOKUP(C63,WOW_DD[[Week-Year]:[DD]],2,FALSE),IF(ISNUMBER(OFFSET(F63,-1,0)),OFFSET(F63,-1,0),NA()))</f>
        <v>2822</v>
      </c>
      <c r="G63" s="57">
        <f ca="1">IFERROR(VLOOKUP(C63,SSL_DD[[Week-Year]:[DD]],2,FALSE),IF(ISNUMBER(OFFSET(G63,-1,0)),OFFSET(G63,-1,0),NA()))</f>
        <v>410</v>
      </c>
      <c r="H63" s="58">
        <f ca="1">IFERROR(VLOOKUP(C63,WFM_DD[[Week-Year]:[DD]],2,FALSE),IF(ISNUMBER(OFFSET(H63,-1,0)),OFFSET(H63,-1,0),NA()))</f>
        <v>171</v>
      </c>
      <c r="I63" s="57">
        <f ca="1">IFERROR(VLOOKUP(C63,RTen_DD[[Week-Year]:[DD]],2,FALSE),IF(ISNUMBER(OFFSET(I63,-1,0)),OFFSET(I63,-1,0),NA()))</f>
        <v>6009</v>
      </c>
      <c r="J63" s="57">
        <f ca="1">IFERROR(VLOOKUP(C63,TDM_DD[[Week-Year]:[DD]],3,FALSE),IF(ISNUMBER(OFFSET(J63,-1,0)),OFFSET(J63,-1,0),NA()))</f>
        <v>5.736842155456543</v>
      </c>
      <c r="K63" s="57">
        <f ca="1">IFERROR(VLOOKUP(C63,Coles_DD[[Week-Year]:[DD]],3,FALSE),IF(ISNUMBER(OFFSET(K63,-1,0)),OFFSET(K63,-1,0),NA()))</f>
        <v>0.52698415517807007</v>
      </c>
      <c r="L63" s="57">
        <f ca="1">IFERROR(VLOOKUP(C63,WOW_DD[[Week-Year]:[DD]],3,FALSE),IF(ISNUMBER(OFFSET(L63,-1,0)),OFFSET(L63,-1,0),NA()))</f>
        <v>0.59425938129425049</v>
      </c>
      <c r="M63" s="57">
        <f ca="1">IFERROR(VLOOKUP(C63,SSL_DD[[Week-Year]:[DD]],3,FALSE),IF(ISNUMBER(OFFSET(M63,-1,0)),OFFSET(M63,-1,0),NA()))</f>
        <v>3.5170731544494629</v>
      </c>
      <c r="N63" s="57">
        <f ca="1">IFERROR(VLOOKUP(C63,WFM_DD[[Week-Year]:[DD]],3,FALSE),IF(ISNUMBER(OFFSET(N63,-1,0)),OFFSET(N63,-1,0),NA()))</f>
        <v>1.5497076511383057</v>
      </c>
      <c r="O63" s="57">
        <f ca="1">IFERROR(VLOOKUP(C63,RTen_DD[[Week-Year]:[DD]],3,FALSE),IF(ISNUMBER(OFFSET(O63,-1,0)),OFFSET(O63,-1,0),NA()))</f>
        <v>1.3211848735809326</v>
      </c>
      <c r="P63" s="57">
        <f t="array" aca="1" ref="P63" ca="1">AVERAGE(IF(ISNUMBER(DD_Table[[#This Row],[TDM_DD]:[WFM_DD]]),DD_Table[[#This Row],[TDM_DD]:[WFM_DD]]))</f>
        <v>2.3849732995033266</v>
      </c>
      <c r="Q63" s="57">
        <f t="array" aca="1" ref="Q63" ca="1">MAX(IF(ISERROR(DD_Table[[TDM_DD]:[WFM_DD]]),0,DD_Table[[TDM_DD]:[WFM_DD]]))*0.8</f>
        <v>12.322580718994141</v>
      </c>
      <c r="R63" s="57">
        <v>0.5</v>
      </c>
      <c r="S63" s="57">
        <v>0.5</v>
      </c>
      <c r="T63" s="57">
        <v>0.5</v>
      </c>
      <c r="U63" s="57">
        <v>0.5</v>
      </c>
      <c r="V63" s="57">
        <v>0.5</v>
      </c>
      <c r="W63" s="57">
        <v>0.5</v>
      </c>
      <c r="X63" s="59">
        <f ca="1">IFERROR(VLOOKUP(C63,TDM_DD[[Week-Year]:[Core Reg]],4,FALSE),IF(ISNUMBER(OFFSET(X63,-1,0)),OFFSET(X63,-1,0),NA()))</f>
        <v>18.348623275756836</v>
      </c>
      <c r="Y63" s="59">
        <f ca="1">IFERROR(VLOOKUP(C63,TDM_DD[[Week-Year]:[Core Reg]],5,FALSE),IF(ISNUMBER(OFFSET(Y63,-1,0)),OFFSET(Y63,-1,0),NA()))</f>
        <v>36.842105865478516</v>
      </c>
      <c r="Z63" s="59">
        <f ca="1">IFERROR(VLOOKUP(C63,Coles_DD[[Week-Year]:[Core Reg]],4,FALSE),IF(ISNUMBER(OFFSET(Z63,-1,0)),OFFSET(Z63,-1,0),NA()))</f>
        <v>4.1308088302612305</v>
      </c>
      <c r="AA63" s="59">
        <f ca="1">IFERROR(VLOOKUP(C63,Coles_DD[[Week-Year]:[Core Reg]],5,FALSE),IF(ISNUMBER(OFFSET(AA63,-1,0)),OFFSET(AA63,-1,0),NA()))</f>
        <v>6.5068492889404297</v>
      </c>
      <c r="AB63" s="59">
        <f ca="1">IFERROR(VLOOKUP(C63,WOW_DD[[Week-Year]:[Core Reg]],4,FALSE),IF(ISNUMBER(OFFSET(AB63,-1,0)),OFFSET(AB63,-1,0),NA()))</f>
        <v>12.343470573425293</v>
      </c>
      <c r="AC63" s="59">
        <f ca="1">IFERROR(VLOOKUP(C63,WOW_DD[[Week-Year]:[Core Reg]],5,FALSE),IF(ISNUMBER(OFFSET(AC63,-1,0)),OFFSET(AC63,-1,0),NA()))</f>
        <v>14.126016616821289</v>
      </c>
      <c r="AD63" s="59">
        <f ca="1">IFERROR(VLOOKUP(C63,SSL_DD[[Week-Year]:[Core Reg]],4,FALSE),IF(ISNUMBER(OFFSET(AD63,-1,0)),OFFSET(AD63,-1,0),NA()))</f>
        <v>42.163661956787109</v>
      </c>
      <c r="AE63" s="59">
        <f ca="1">IFERROR(VLOOKUP(C63,SSL_DD[[Week-Year]:[Core Reg]],5,FALSE),IF(ISNUMBER(OFFSET(AE63,-1,0)),OFFSET(AE63,-1,0),NA()))</f>
        <v>55.369926452636719</v>
      </c>
      <c r="AF63" s="59">
        <f ca="1">IFERROR(VLOOKUP(C63,WFM_DD[[Week-Year]:[Core Reg]],4,FALSE),IF(ISNUMBER(OFFSET(AF63,-1,0)),OFFSET(AF63,-1,0),NA()))</f>
        <v>20.377359390258789</v>
      </c>
      <c r="AG63" s="59">
        <f ca="1">IFERROR(VLOOKUP(C63,WFM_DD[[Week-Year]:[Core Reg]],5,FALSE),IF(ISNUMBER(OFFSET(AG63,-1,0)),OFFSET(AG63,-1,0),NA()))</f>
        <v>24.242424011230469</v>
      </c>
      <c r="AH63" s="62">
        <f ca="1">IFERROR(VLOOKUP(C63,RTen_DD[[Week-Year]:[Core Reg]],4,FALSE),IF(ISNUMBER(OFFSET(AH63,-1,0)),OFFSET(AH63,-1,0),NA()))</f>
        <v>0</v>
      </c>
      <c r="AI63" s="62">
        <f ca="1">IFERROR(VLOOKUP(C63,RTen_DD[[Week-Year]:[Core Reg]],5,FALSE)/100,IF(ISNUMBER(OFFSET(AI63,-1,0)),OFFSET(AI63,-1,0),NA()))</f>
        <v>0.36503337860107421</v>
      </c>
      <c r="AJ63" s="62">
        <f ca="1">DD_Table[[#This Row],[TDM_Ext_Reg]]</f>
        <v>18.348623275756836</v>
      </c>
      <c r="AK63" s="62">
        <f ca="1">DD_Table[[#This Row],[Coles_Ext_Reg]]</f>
        <v>4.1308088302612305</v>
      </c>
      <c r="AL63" s="62">
        <f ca="1">DD_Table[[#This Row],[WOW_Ext_Reg]]</f>
        <v>12.343470573425293</v>
      </c>
      <c r="AM63" s="62">
        <f ca="1">DD_Table[[#This Row],[SSL_Ext_Reg]]</f>
        <v>42.163661956787109</v>
      </c>
      <c r="AN63" s="62">
        <f ca="1">DD_Table[[#This Row],[WFM_Ext_Reg]]</f>
        <v>20.377359390258789</v>
      </c>
      <c r="AO63" s="62">
        <f t="array" aca="1" ref="AO63" ca="1">IFERROR(AVERAGE(IF(ISNUMBER(DD_Table[[#This Row],[TDM_Avg]:[WFM_Avg]]),DD_Table[[#This Row],[TDM_Avg]:[WFM_Avg]]))/100,NA())</f>
        <v>0.19472784805297852</v>
      </c>
      <c r="AP63" s="62">
        <f t="array" aca="1" ref="AP63" ca="1">MAX(IF(ISERROR(DD_Table[[TDM_Avg]:[WFM_Avg]]),0,DD_Table[[TDM_Avg]:[WFM_Avg]]))*1.1</f>
        <v>48.107883834838873</v>
      </c>
      <c r="AQ63" s="62">
        <f t="array" aca="1" ref="AQ63" ca="1">MAX(IF(ISERROR(DD_Table[[TDM_Ext_Reg]:[WFM_Core_Reg]]),0,DD_Table[[TDM_Ext_Reg]:[WFM_Core_Reg]]))</f>
        <v>61.538463592529297</v>
      </c>
      <c r="AR63" s="65">
        <f ca="1">IFERROR(VLOOKUP(C63,TDM_DD[[Week-Year]:[DDP]],6,FALSE),IF(ISNUMBER(OFFSET(AR63,-1,0)),OFFSET(AR63,-1,0),NA()))</f>
        <v>0.24516129032258063</v>
      </c>
      <c r="AS63" s="65">
        <f ca="1">IFERROR(VLOOKUP(C63,Coles_DD[[Week-Year]:[DDP]],6,FALSE),IF(ISNUMBER(OFFSET(AS63,-1,0)),OFFSET(AS63,-1,0),NA()))</f>
        <v>0.18516674962667995</v>
      </c>
      <c r="AT63" s="65">
        <f ca="1">IFERROR(VLOOKUP(C63,WOW_DD[[Week-Year]:[DDP]],6,FALSE),IF(ISNUMBER(OFFSET(AT63,-1,0)),OFFSET(AT63,-1,0),NA()))</f>
        <v>0.35086181711948583</v>
      </c>
      <c r="AU63" s="65">
        <f ca="1">IFERROR(VLOOKUP(C63,SSL_DD[[Week-Year]:[DDP]],6,FALSE),IF(ISNUMBER(OFFSET(AU63,-1,0)),OFFSET(AU63,-1,0),NA()))</f>
        <v>0.32415902140672781</v>
      </c>
      <c r="AV63" s="65">
        <f ca="1">IFERROR(VLOOKUP(C63,WFM_DD[[Week-Year]:[DDP]],6,FALSE),IF(ISNUMBER(OFFSET(AV63,-1,0)),OFFSET(AV63,-1,0),NA()))</f>
        <v>0.23175182481751824</v>
      </c>
      <c r="AW63" s="65">
        <f t="array" aca="1" ref="AW63" ca="1">IFERROR(AVERAGE(IF(ISNUMBER(DD_Table[[#This Row],[TDM_DDP]:[WFM_DDP]]),DD_Table[[#This Row],[TDM_DDP]:[WFM_DDP]])),NA())</f>
        <v>0.26742014065859854</v>
      </c>
      <c r="AX63" s="65">
        <f t="array" aca="1" ref="AX63" ca="1">IFERROR(MAX(IF(ISNUMBER(DD_Table[[TDM_DDP]:[WFM_DDP]]),DD_Table[[TDM_DDP]:[WFM_DDP]])),NA())</f>
        <v>0.68</v>
      </c>
      <c r="AY63" s="88">
        <f ca="1">IFERROR(VLOOKUP(C63,RTen_DD[[Week-Year]:[Core DDP]],6,FALSE),IF(ISNUMBER(VLOOKUP(C63,RTen_DD[[Week-Year]:[Core DDP]],6,FALSE)),OFFSET(AY63,-1,0),OFFSET(AY63,-1,0)))</f>
        <v>0.22496536254882812</v>
      </c>
      <c r="AZ63" s="65"/>
      <c r="BA63" s="65"/>
      <c r="BC63">
        <v>61</v>
      </c>
      <c r="BF63">
        <v>0</v>
      </c>
      <c r="BG63">
        <v>0</v>
      </c>
      <c r="BI63">
        <v>2</v>
      </c>
      <c r="BO63" s="71"/>
      <c r="BP63" s="71">
        <f>MAX(Med_Table[[TDM]:[WFM]])</f>
        <v>29</v>
      </c>
      <c r="DN63" s="74"/>
      <c r="DO63" s="74"/>
      <c r="DP63" s="30"/>
      <c r="DQ63" s="30"/>
      <c r="DR63" s="30"/>
      <c r="DS63" s="30"/>
      <c r="DT63" s="30"/>
      <c r="DU63" s="30"/>
      <c r="DV63" s="30"/>
      <c r="DW63" s="30"/>
    </row>
    <row r="64" spans="1:127">
      <c r="A64" s="69">
        <f t="shared" si="6"/>
        <v>42081</v>
      </c>
      <c r="B64" s="70">
        <f t="shared" si="4"/>
        <v>12</v>
      </c>
      <c r="C64" s="70">
        <f t="shared" si="5"/>
        <v>122015</v>
      </c>
      <c r="D64" s="57">
        <f ca="1">IFERROR(VLOOKUP(C64,TDM_DD[[Week-Year]:[DD]],2,FALSE),IF(ISNUMBER(OFFSET(D64,-1,0)),OFFSET(D64,-1,0),NA()))</f>
        <v>19</v>
      </c>
      <c r="E64" s="58">
        <f ca="1">IFERROR(VLOOKUP(C64,Coles_DD[[Week-Year]:[DD]],2,FALSE),IF(ISNUMBER(OFFSET(E64,-1,0)),OFFSET(E64,-1,0),NA()))</f>
        <v>2205</v>
      </c>
      <c r="F64" s="58">
        <f ca="1">IFERROR(VLOOKUP(C64,WOW_DD[[Week-Year]:[DD]],2,FALSE),IF(ISNUMBER(OFFSET(F64,-1,0)),OFFSET(F64,-1,0),NA()))</f>
        <v>2822</v>
      </c>
      <c r="G64" s="57">
        <f ca="1">IFERROR(VLOOKUP(C64,SSL_DD[[Week-Year]:[DD]],2,FALSE),IF(ISNUMBER(OFFSET(G64,-1,0)),OFFSET(G64,-1,0),NA()))</f>
        <v>410</v>
      </c>
      <c r="H64" s="58">
        <f ca="1">IFERROR(VLOOKUP(C64,WFM_DD[[Week-Year]:[DD]],2,FALSE),IF(ISNUMBER(OFFSET(H64,-1,0)),OFFSET(H64,-1,0),NA()))</f>
        <v>171</v>
      </c>
      <c r="I64" s="57">
        <f ca="1">IFERROR(VLOOKUP(C64,RTen_DD[[Week-Year]:[DD]],2,FALSE),IF(ISNUMBER(OFFSET(I64,-1,0)),OFFSET(I64,-1,0),NA()))</f>
        <v>6009</v>
      </c>
      <c r="J64" s="57">
        <f ca="1">IFERROR(VLOOKUP(C64,TDM_DD[[Week-Year]:[DD]],3,FALSE),IF(ISNUMBER(OFFSET(J64,-1,0)),OFFSET(J64,-1,0),NA()))</f>
        <v>5.736842155456543</v>
      </c>
      <c r="K64" s="57">
        <f ca="1">IFERROR(VLOOKUP(C64,Coles_DD[[Week-Year]:[DD]],3,FALSE),IF(ISNUMBER(OFFSET(K64,-1,0)),OFFSET(K64,-1,0),NA()))</f>
        <v>0.52698415517807007</v>
      </c>
      <c r="L64" s="57">
        <f ca="1">IFERROR(VLOOKUP(C64,WOW_DD[[Week-Year]:[DD]],3,FALSE),IF(ISNUMBER(OFFSET(L64,-1,0)),OFFSET(L64,-1,0),NA()))</f>
        <v>0.59425938129425049</v>
      </c>
      <c r="M64" s="57">
        <f ca="1">IFERROR(VLOOKUP(C64,SSL_DD[[Week-Year]:[DD]],3,FALSE),IF(ISNUMBER(OFFSET(M64,-1,0)),OFFSET(M64,-1,0),NA()))</f>
        <v>3.5170731544494629</v>
      </c>
      <c r="N64" s="57">
        <f ca="1">IFERROR(VLOOKUP(C64,WFM_DD[[Week-Year]:[DD]],3,FALSE),IF(ISNUMBER(OFFSET(N64,-1,0)),OFFSET(N64,-1,0),NA()))</f>
        <v>1.5497076511383057</v>
      </c>
      <c r="O64" s="57">
        <f ca="1">IFERROR(VLOOKUP(C64,RTen_DD[[Week-Year]:[DD]],3,FALSE),IF(ISNUMBER(OFFSET(O64,-1,0)),OFFSET(O64,-1,0),NA()))</f>
        <v>1.3211848735809326</v>
      </c>
      <c r="P64" s="57">
        <f t="array" aca="1" ref="P64" ca="1">AVERAGE(IF(ISNUMBER(DD_Table[[#This Row],[TDM_DD]:[WFM_DD]]),DD_Table[[#This Row],[TDM_DD]:[WFM_DD]]))</f>
        <v>2.3849732995033266</v>
      </c>
      <c r="Q64" s="57">
        <f t="array" aca="1" ref="Q64" ca="1">MAX(IF(ISERROR(DD_Table[[TDM_DD]:[WFM_DD]]),0,DD_Table[[TDM_DD]:[WFM_DD]]))*0.8</f>
        <v>12.322580718994141</v>
      </c>
      <c r="R64" s="57">
        <v>0.5</v>
      </c>
      <c r="S64" s="57">
        <v>0.5</v>
      </c>
      <c r="T64" s="57">
        <v>0.5</v>
      </c>
      <c r="U64" s="57">
        <v>0.5</v>
      </c>
      <c r="V64" s="57">
        <v>0.5</v>
      </c>
      <c r="W64" s="57">
        <v>0.5</v>
      </c>
      <c r="X64" s="59">
        <f ca="1">IFERROR(VLOOKUP(C64,TDM_DD[[Week-Year]:[Core Reg]],4,FALSE),IF(ISNUMBER(OFFSET(X64,-1,0)),OFFSET(X64,-1,0),NA()))</f>
        <v>18.348623275756836</v>
      </c>
      <c r="Y64" s="59">
        <f ca="1">IFERROR(VLOOKUP(C64,TDM_DD[[Week-Year]:[Core Reg]],5,FALSE),IF(ISNUMBER(OFFSET(Y64,-1,0)),OFFSET(Y64,-1,0),NA()))</f>
        <v>36.842105865478516</v>
      </c>
      <c r="Z64" s="59">
        <f ca="1">IFERROR(VLOOKUP(C64,Coles_DD[[Week-Year]:[Core Reg]],4,FALSE),IF(ISNUMBER(OFFSET(Z64,-1,0)),OFFSET(Z64,-1,0),NA()))</f>
        <v>4.1308088302612305</v>
      </c>
      <c r="AA64" s="59">
        <f ca="1">IFERROR(VLOOKUP(C64,Coles_DD[[Week-Year]:[Core Reg]],5,FALSE),IF(ISNUMBER(OFFSET(AA64,-1,0)),OFFSET(AA64,-1,0),NA()))</f>
        <v>6.5068492889404297</v>
      </c>
      <c r="AB64" s="59">
        <f ca="1">IFERROR(VLOOKUP(C64,WOW_DD[[Week-Year]:[Core Reg]],4,FALSE),IF(ISNUMBER(OFFSET(AB64,-1,0)),OFFSET(AB64,-1,0),NA()))</f>
        <v>12.343470573425293</v>
      </c>
      <c r="AC64" s="59">
        <f ca="1">IFERROR(VLOOKUP(C64,WOW_DD[[Week-Year]:[Core Reg]],5,FALSE),IF(ISNUMBER(OFFSET(AC64,-1,0)),OFFSET(AC64,-1,0),NA()))</f>
        <v>14.126016616821289</v>
      </c>
      <c r="AD64" s="59">
        <f ca="1">IFERROR(VLOOKUP(C64,SSL_DD[[Week-Year]:[Core Reg]],4,FALSE),IF(ISNUMBER(OFFSET(AD64,-1,0)),OFFSET(AD64,-1,0),NA()))</f>
        <v>42.163661956787109</v>
      </c>
      <c r="AE64" s="59">
        <f ca="1">IFERROR(VLOOKUP(C64,SSL_DD[[Week-Year]:[Core Reg]],5,FALSE),IF(ISNUMBER(OFFSET(AE64,-1,0)),OFFSET(AE64,-1,0),NA()))</f>
        <v>55.369926452636719</v>
      </c>
      <c r="AF64" s="59">
        <f ca="1">IFERROR(VLOOKUP(C64,WFM_DD[[Week-Year]:[Core Reg]],4,FALSE),IF(ISNUMBER(OFFSET(AF64,-1,0)),OFFSET(AF64,-1,0),NA()))</f>
        <v>20.377359390258789</v>
      </c>
      <c r="AG64" s="59">
        <f ca="1">IFERROR(VLOOKUP(C64,WFM_DD[[Week-Year]:[Core Reg]],5,FALSE),IF(ISNUMBER(OFFSET(AG64,-1,0)),OFFSET(AG64,-1,0),NA()))</f>
        <v>24.242424011230469</v>
      </c>
      <c r="AH64" s="62">
        <f ca="1">IFERROR(VLOOKUP(C64,RTen_DD[[Week-Year]:[Core Reg]],4,FALSE),IF(ISNUMBER(OFFSET(AH64,-1,0)),OFFSET(AH64,-1,0),NA()))</f>
        <v>0</v>
      </c>
      <c r="AI64" s="62">
        <f ca="1">IFERROR(VLOOKUP(C64,RTen_DD[[Week-Year]:[Core Reg]],5,FALSE)/100,IF(ISNUMBER(OFFSET(AI64,-1,0)),OFFSET(AI64,-1,0),NA()))</f>
        <v>0.36503337860107421</v>
      </c>
      <c r="AJ64" s="62">
        <f ca="1">DD_Table[[#This Row],[TDM_Ext_Reg]]</f>
        <v>18.348623275756836</v>
      </c>
      <c r="AK64" s="62">
        <f ca="1">DD_Table[[#This Row],[Coles_Ext_Reg]]</f>
        <v>4.1308088302612305</v>
      </c>
      <c r="AL64" s="62">
        <f ca="1">DD_Table[[#This Row],[WOW_Ext_Reg]]</f>
        <v>12.343470573425293</v>
      </c>
      <c r="AM64" s="62">
        <f ca="1">DD_Table[[#This Row],[SSL_Ext_Reg]]</f>
        <v>42.163661956787109</v>
      </c>
      <c r="AN64" s="62">
        <f ca="1">DD_Table[[#This Row],[WFM_Ext_Reg]]</f>
        <v>20.377359390258789</v>
      </c>
      <c r="AO64" s="62">
        <f t="array" aca="1" ref="AO64" ca="1">IFERROR(AVERAGE(IF(ISNUMBER(DD_Table[[#This Row],[TDM_Avg]:[WFM_Avg]]),DD_Table[[#This Row],[TDM_Avg]:[WFM_Avg]]))/100,NA())</f>
        <v>0.19472784805297852</v>
      </c>
      <c r="AP64" s="62">
        <f t="array" aca="1" ref="AP64" ca="1">MAX(IF(ISERROR(DD_Table[[TDM_Avg]:[WFM_Avg]]),0,DD_Table[[TDM_Avg]:[WFM_Avg]]))*1.1</f>
        <v>48.107883834838873</v>
      </c>
      <c r="AQ64" s="62">
        <f t="array" aca="1" ref="AQ64" ca="1">MAX(IF(ISERROR(DD_Table[[TDM_Ext_Reg]:[WFM_Core_Reg]]),0,DD_Table[[TDM_Ext_Reg]:[WFM_Core_Reg]]))</f>
        <v>61.538463592529297</v>
      </c>
      <c r="AR64" s="65">
        <f ca="1">IFERROR(VLOOKUP(C64,TDM_DD[[Week-Year]:[DDP]],6,FALSE),IF(ISNUMBER(OFFSET(AR64,-1,0)),OFFSET(AR64,-1,0),NA()))</f>
        <v>0.24516129032258063</v>
      </c>
      <c r="AS64" s="65">
        <f ca="1">IFERROR(VLOOKUP(C64,Coles_DD[[Week-Year]:[DDP]],6,FALSE),IF(ISNUMBER(OFFSET(AS64,-1,0)),OFFSET(AS64,-1,0),NA()))</f>
        <v>0.18516674962667995</v>
      </c>
      <c r="AT64" s="65">
        <f ca="1">IFERROR(VLOOKUP(C64,WOW_DD[[Week-Year]:[DDP]],6,FALSE),IF(ISNUMBER(OFFSET(AT64,-1,0)),OFFSET(AT64,-1,0),NA()))</f>
        <v>0.35086181711948583</v>
      </c>
      <c r="AU64" s="65">
        <f ca="1">IFERROR(VLOOKUP(C64,SSL_DD[[Week-Year]:[DDP]],6,FALSE),IF(ISNUMBER(OFFSET(AU64,-1,0)),OFFSET(AU64,-1,0),NA()))</f>
        <v>0.32415902140672781</v>
      </c>
      <c r="AV64" s="65">
        <f ca="1">IFERROR(VLOOKUP(C64,WFM_DD[[Week-Year]:[DDP]],6,FALSE),IF(ISNUMBER(OFFSET(AV64,-1,0)),OFFSET(AV64,-1,0),NA()))</f>
        <v>0.23175182481751824</v>
      </c>
      <c r="AW64" s="65">
        <f t="array" aca="1" ref="AW64" ca="1">IFERROR(AVERAGE(IF(ISNUMBER(DD_Table[[#This Row],[TDM_DDP]:[WFM_DDP]]),DD_Table[[#This Row],[TDM_DDP]:[WFM_DDP]])),NA())</f>
        <v>0.26742014065859854</v>
      </c>
      <c r="AX64" s="65">
        <f t="array" aca="1" ref="AX64" ca="1">IFERROR(MAX(IF(ISNUMBER(DD_Table[[TDM_DDP]:[WFM_DDP]]),DD_Table[[TDM_DDP]:[WFM_DDP]])),NA())</f>
        <v>0.68</v>
      </c>
      <c r="AY64" s="88">
        <f ca="1">IFERROR(VLOOKUP(C64,RTen_DD[[Week-Year]:[Core DDP]],6,FALSE),IF(ISNUMBER(VLOOKUP(C64,RTen_DD[[Week-Year]:[Core DDP]],6,FALSE)),OFFSET(AY64,-1,0),OFFSET(AY64,-1,0)))</f>
        <v>0.22496536254882812</v>
      </c>
      <c r="AZ64" s="65"/>
      <c r="BA64" s="65"/>
      <c r="BC64">
        <v>62</v>
      </c>
      <c r="BF64">
        <v>0</v>
      </c>
      <c r="BG64">
        <v>1</v>
      </c>
      <c r="BI64">
        <v>1</v>
      </c>
      <c r="BO64" s="71"/>
      <c r="BP64" s="71">
        <f>MAX(Med_Table[[TDM]:[WFM]])</f>
        <v>29</v>
      </c>
      <c r="DN64" s="74"/>
      <c r="DO64" s="74"/>
      <c r="DP64" s="30"/>
      <c r="DQ64" s="30"/>
      <c r="DR64" s="30"/>
      <c r="DS64" s="30"/>
      <c r="DT64" s="30"/>
      <c r="DU64" s="30"/>
      <c r="DV64" s="30"/>
      <c r="DW64" s="30"/>
    </row>
    <row r="65" spans="1:127">
      <c r="A65" s="69">
        <f t="shared" si="6"/>
        <v>42088</v>
      </c>
      <c r="B65" s="70">
        <f t="shared" si="4"/>
        <v>13</v>
      </c>
      <c r="C65" s="70">
        <f t="shared" si="5"/>
        <v>132015</v>
      </c>
      <c r="D65" s="57">
        <f ca="1">IFERROR(VLOOKUP(C65,TDM_DD[[Week-Year]:[DD]],2,FALSE),IF(ISNUMBER(OFFSET(D65,-1,0)),OFFSET(D65,-1,0),NA()))</f>
        <v>19</v>
      </c>
      <c r="E65" s="58">
        <f ca="1">IFERROR(VLOOKUP(C65,Coles_DD[[Week-Year]:[DD]],2,FALSE),IF(ISNUMBER(OFFSET(E65,-1,0)),OFFSET(E65,-1,0),NA()))</f>
        <v>2205</v>
      </c>
      <c r="F65" s="58">
        <f ca="1">IFERROR(VLOOKUP(C65,WOW_DD[[Week-Year]:[DD]],2,FALSE),IF(ISNUMBER(OFFSET(F65,-1,0)),OFFSET(F65,-1,0),NA()))</f>
        <v>2822</v>
      </c>
      <c r="G65" s="57">
        <f ca="1">IFERROR(VLOOKUP(C65,SSL_DD[[Week-Year]:[DD]],2,FALSE),IF(ISNUMBER(OFFSET(G65,-1,0)),OFFSET(G65,-1,0),NA()))</f>
        <v>410</v>
      </c>
      <c r="H65" s="58">
        <f ca="1">IFERROR(VLOOKUP(C65,WFM_DD[[Week-Year]:[DD]],2,FALSE),IF(ISNUMBER(OFFSET(H65,-1,0)),OFFSET(H65,-1,0),NA()))</f>
        <v>171</v>
      </c>
      <c r="I65" s="57">
        <f ca="1">IFERROR(VLOOKUP(C65,RTen_DD[[Week-Year]:[DD]],2,FALSE),IF(ISNUMBER(OFFSET(I65,-1,0)),OFFSET(I65,-1,0),NA()))</f>
        <v>6009</v>
      </c>
      <c r="J65" s="57">
        <f ca="1">IFERROR(VLOOKUP(C65,TDM_DD[[Week-Year]:[DD]],3,FALSE),IF(ISNUMBER(OFFSET(J65,-1,0)),OFFSET(J65,-1,0),NA()))</f>
        <v>5.736842155456543</v>
      </c>
      <c r="K65" s="57">
        <f ca="1">IFERROR(VLOOKUP(C65,Coles_DD[[Week-Year]:[DD]],3,FALSE),IF(ISNUMBER(OFFSET(K65,-1,0)),OFFSET(K65,-1,0),NA()))</f>
        <v>0.52698415517807007</v>
      </c>
      <c r="L65" s="57">
        <f ca="1">IFERROR(VLOOKUP(C65,WOW_DD[[Week-Year]:[DD]],3,FALSE),IF(ISNUMBER(OFFSET(L65,-1,0)),OFFSET(L65,-1,0),NA()))</f>
        <v>0.59425938129425049</v>
      </c>
      <c r="M65" s="57">
        <f ca="1">IFERROR(VLOOKUP(C65,SSL_DD[[Week-Year]:[DD]],3,FALSE),IF(ISNUMBER(OFFSET(M65,-1,0)),OFFSET(M65,-1,0),NA()))</f>
        <v>3.5170731544494629</v>
      </c>
      <c r="N65" s="57">
        <f ca="1">IFERROR(VLOOKUP(C65,WFM_DD[[Week-Year]:[DD]],3,FALSE),IF(ISNUMBER(OFFSET(N65,-1,0)),OFFSET(N65,-1,0),NA()))</f>
        <v>1.5497076511383057</v>
      </c>
      <c r="O65" s="57">
        <f ca="1">IFERROR(VLOOKUP(C65,RTen_DD[[Week-Year]:[DD]],3,FALSE),IF(ISNUMBER(OFFSET(O65,-1,0)),OFFSET(O65,-1,0),NA()))</f>
        <v>1.3211848735809326</v>
      </c>
      <c r="P65" s="57">
        <f t="array" aca="1" ref="P65" ca="1">AVERAGE(IF(ISNUMBER(DD_Table[[#This Row],[TDM_DD]:[WFM_DD]]),DD_Table[[#This Row],[TDM_DD]:[WFM_DD]]))</f>
        <v>2.3849732995033266</v>
      </c>
      <c r="Q65" s="57">
        <f t="array" aca="1" ref="Q65" ca="1">MAX(IF(ISERROR(DD_Table[[TDM_DD]:[WFM_DD]]),0,DD_Table[[TDM_DD]:[WFM_DD]]))*0.8</f>
        <v>12.322580718994141</v>
      </c>
      <c r="R65" s="57">
        <v>0.5</v>
      </c>
      <c r="S65" s="57">
        <v>0.5</v>
      </c>
      <c r="T65" s="57">
        <v>0.5</v>
      </c>
      <c r="U65" s="57">
        <v>0.5</v>
      </c>
      <c r="V65" s="57">
        <v>0.5</v>
      </c>
      <c r="W65" s="57">
        <v>0.5</v>
      </c>
      <c r="X65" s="59">
        <f ca="1">IFERROR(VLOOKUP(C65,TDM_DD[[Week-Year]:[Core Reg]],4,FALSE),IF(ISNUMBER(OFFSET(X65,-1,0)),OFFSET(X65,-1,0),NA()))</f>
        <v>18.348623275756836</v>
      </c>
      <c r="Y65" s="59">
        <f ca="1">IFERROR(VLOOKUP(C65,TDM_DD[[Week-Year]:[Core Reg]],5,FALSE),IF(ISNUMBER(OFFSET(Y65,-1,0)),OFFSET(Y65,-1,0),NA()))</f>
        <v>36.842105865478516</v>
      </c>
      <c r="Z65" s="59">
        <f ca="1">IFERROR(VLOOKUP(C65,Coles_DD[[Week-Year]:[Core Reg]],4,FALSE),IF(ISNUMBER(OFFSET(Z65,-1,0)),OFFSET(Z65,-1,0),NA()))</f>
        <v>4.1308088302612305</v>
      </c>
      <c r="AA65" s="59">
        <f ca="1">IFERROR(VLOOKUP(C65,Coles_DD[[Week-Year]:[Core Reg]],5,FALSE),IF(ISNUMBER(OFFSET(AA65,-1,0)),OFFSET(AA65,-1,0),NA()))</f>
        <v>6.5068492889404297</v>
      </c>
      <c r="AB65" s="59">
        <f ca="1">IFERROR(VLOOKUP(C65,WOW_DD[[Week-Year]:[Core Reg]],4,FALSE),IF(ISNUMBER(OFFSET(AB65,-1,0)),OFFSET(AB65,-1,0),NA()))</f>
        <v>12.343470573425293</v>
      </c>
      <c r="AC65" s="59">
        <f ca="1">IFERROR(VLOOKUP(C65,WOW_DD[[Week-Year]:[Core Reg]],5,FALSE),IF(ISNUMBER(OFFSET(AC65,-1,0)),OFFSET(AC65,-1,0),NA()))</f>
        <v>14.126016616821289</v>
      </c>
      <c r="AD65" s="59">
        <f ca="1">IFERROR(VLOOKUP(C65,SSL_DD[[Week-Year]:[Core Reg]],4,FALSE),IF(ISNUMBER(OFFSET(AD65,-1,0)),OFFSET(AD65,-1,0),NA()))</f>
        <v>42.163661956787109</v>
      </c>
      <c r="AE65" s="59">
        <f ca="1">IFERROR(VLOOKUP(C65,SSL_DD[[Week-Year]:[Core Reg]],5,FALSE),IF(ISNUMBER(OFFSET(AE65,-1,0)),OFFSET(AE65,-1,0),NA()))</f>
        <v>55.369926452636719</v>
      </c>
      <c r="AF65" s="59">
        <f ca="1">IFERROR(VLOOKUP(C65,WFM_DD[[Week-Year]:[Core Reg]],4,FALSE),IF(ISNUMBER(OFFSET(AF65,-1,0)),OFFSET(AF65,-1,0),NA()))</f>
        <v>20.377359390258789</v>
      </c>
      <c r="AG65" s="59">
        <f ca="1">IFERROR(VLOOKUP(C65,WFM_DD[[Week-Year]:[Core Reg]],5,FALSE),IF(ISNUMBER(OFFSET(AG65,-1,0)),OFFSET(AG65,-1,0),NA()))</f>
        <v>24.242424011230469</v>
      </c>
      <c r="AH65" s="62">
        <f ca="1">IFERROR(VLOOKUP(C65,RTen_DD[[Week-Year]:[Core Reg]],4,FALSE),IF(ISNUMBER(OFFSET(AH65,-1,0)),OFFSET(AH65,-1,0),NA()))</f>
        <v>0</v>
      </c>
      <c r="AI65" s="62">
        <f ca="1">IFERROR(VLOOKUP(C65,RTen_DD[[Week-Year]:[Core Reg]],5,FALSE)/100,IF(ISNUMBER(OFFSET(AI65,-1,0)),OFFSET(AI65,-1,0),NA()))</f>
        <v>0.36503337860107421</v>
      </c>
      <c r="AJ65" s="62">
        <f ca="1">DD_Table[[#This Row],[TDM_Ext_Reg]]</f>
        <v>18.348623275756836</v>
      </c>
      <c r="AK65" s="62">
        <f ca="1">DD_Table[[#This Row],[Coles_Ext_Reg]]</f>
        <v>4.1308088302612305</v>
      </c>
      <c r="AL65" s="62">
        <f ca="1">DD_Table[[#This Row],[WOW_Ext_Reg]]</f>
        <v>12.343470573425293</v>
      </c>
      <c r="AM65" s="62">
        <f ca="1">DD_Table[[#This Row],[SSL_Ext_Reg]]</f>
        <v>42.163661956787109</v>
      </c>
      <c r="AN65" s="62">
        <f ca="1">DD_Table[[#This Row],[WFM_Ext_Reg]]</f>
        <v>20.377359390258789</v>
      </c>
      <c r="AO65" s="62">
        <f t="array" aca="1" ref="AO65" ca="1">IFERROR(AVERAGE(IF(ISNUMBER(DD_Table[[#This Row],[TDM_Avg]:[WFM_Avg]]),DD_Table[[#This Row],[TDM_Avg]:[WFM_Avg]]))/100,NA())</f>
        <v>0.19472784805297852</v>
      </c>
      <c r="AP65" s="62">
        <f t="array" aca="1" ref="AP65" ca="1">MAX(IF(ISERROR(DD_Table[[TDM_Avg]:[WFM_Avg]]),0,DD_Table[[TDM_Avg]:[WFM_Avg]]))*1.1</f>
        <v>48.107883834838873</v>
      </c>
      <c r="AQ65" s="62">
        <f t="array" aca="1" ref="AQ65" ca="1">MAX(IF(ISERROR(DD_Table[[TDM_Ext_Reg]:[WFM_Core_Reg]]),0,DD_Table[[TDM_Ext_Reg]:[WFM_Core_Reg]]))</f>
        <v>61.538463592529297</v>
      </c>
      <c r="AR65" s="65">
        <f ca="1">IFERROR(VLOOKUP(C65,TDM_DD[[Week-Year]:[DDP]],6,FALSE),IF(ISNUMBER(OFFSET(AR65,-1,0)),OFFSET(AR65,-1,0),NA()))</f>
        <v>0.24516129032258063</v>
      </c>
      <c r="AS65" s="65">
        <f ca="1">IFERROR(VLOOKUP(C65,Coles_DD[[Week-Year]:[DDP]],6,FALSE),IF(ISNUMBER(OFFSET(AS65,-1,0)),OFFSET(AS65,-1,0),NA()))</f>
        <v>0.18516674962667995</v>
      </c>
      <c r="AT65" s="65">
        <f ca="1">IFERROR(VLOOKUP(C65,WOW_DD[[Week-Year]:[DDP]],6,FALSE),IF(ISNUMBER(OFFSET(AT65,-1,0)),OFFSET(AT65,-1,0),NA()))</f>
        <v>0.35086181711948583</v>
      </c>
      <c r="AU65" s="65">
        <f ca="1">IFERROR(VLOOKUP(C65,SSL_DD[[Week-Year]:[DDP]],6,FALSE),IF(ISNUMBER(OFFSET(AU65,-1,0)),OFFSET(AU65,-1,0),NA()))</f>
        <v>0.32415902140672781</v>
      </c>
      <c r="AV65" s="65">
        <f ca="1">IFERROR(VLOOKUP(C65,WFM_DD[[Week-Year]:[DDP]],6,FALSE),IF(ISNUMBER(OFFSET(AV65,-1,0)),OFFSET(AV65,-1,0),NA()))</f>
        <v>0.23175182481751824</v>
      </c>
      <c r="AW65" s="65">
        <f t="array" aca="1" ref="AW65" ca="1">IFERROR(AVERAGE(IF(ISNUMBER(DD_Table[[#This Row],[TDM_DDP]:[WFM_DDP]]),DD_Table[[#This Row],[TDM_DDP]:[WFM_DDP]])),NA())</f>
        <v>0.26742014065859854</v>
      </c>
      <c r="AX65" s="65">
        <f t="array" aca="1" ref="AX65" ca="1">IFERROR(MAX(IF(ISNUMBER(DD_Table[[TDM_DDP]:[WFM_DDP]]),DD_Table[[TDM_DDP]:[WFM_DDP]])),NA())</f>
        <v>0.68</v>
      </c>
      <c r="AY65" s="88">
        <f ca="1">IFERROR(VLOOKUP(C65,RTen_DD[[Week-Year]:[Core DDP]],6,FALSE),IF(ISNUMBER(VLOOKUP(C65,RTen_DD[[Week-Year]:[Core DDP]],6,FALSE)),OFFSET(AY65,-1,0),OFFSET(AY65,-1,0)))</f>
        <v>0.22496536254882812</v>
      </c>
      <c r="AZ65" s="65"/>
      <c r="BA65" s="65"/>
      <c r="BC65">
        <v>63</v>
      </c>
      <c r="BF65">
        <v>0</v>
      </c>
      <c r="BG65">
        <v>0</v>
      </c>
      <c r="BO65" s="71"/>
      <c r="BP65" s="71">
        <f>MAX(Med_Table[[TDM]:[WFM]])</f>
        <v>29</v>
      </c>
      <c r="DN65" s="74"/>
      <c r="DO65" s="74"/>
      <c r="DP65" s="30"/>
      <c r="DQ65" s="30"/>
      <c r="DR65" s="30"/>
      <c r="DS65" s="30"/>
      <c r="DT65" s="30"/>
      <c r="DU65" s="30"/>
      <c r="DV65" s="30"/>
      <c r="DW65" s="30"/>
    </row>
    <row r="66" spans="1:127">
      <c r="A66" s="69">
        <f t="shared" si="6"/>
        <v>42095</v>
      </c>
      <c r="B66" s="70">
        <f t="shared" ref="B66" si="7">WEEKNUM(A66)</f>
        <v>14</v>
      </c>
      <c r="C66" s="70">
        <f t="shared" si="5"/>
        <v>142015</v>
      </c>
      <c r="D66" s="57">
        <f ca="1">IFERROR(VLOOKUP(C66,TDM_DD[[Week-Year]:[DD]],2,FALSE),IF(ISNUMBER(OFFSET(D66,-1,0)),OFFSET(D66,-1,0),NA()))</f>
        <v>19</v>
      </c>
      <c r="E66" s="58">
        <f ca="1">IFERROR(VLOOKUP(C66,Coles_DD[[Week-Year]:[DD]],2,FALSE),IF(ISNUMBER(OFFSET(E66,-1,0)),OFFSET(E66,-1,0),NA()))</f>
        <v>2205</v>
      </c>
      <c r="F66" s="58">
        <f ca="1">IFERROR(VLOOKUP(C66,WOW_DD[[Week-Year]:[DD]],2,FALSE),IF(ISNUMBER(OFFSET(F66,-1,0)),OFFSET(F66,-1,0),NA()))</f>
        <v>2822</v>
      </c>
      <c r="G66" s="57">
        <f ca="1">IFERROR(VLOOKUP(C66,SSL_DD[[Week-Year]:[DD]],2,FALSE),IF(ISNUMBER(OFFSET(G66,-1,0)),OFFSET(G66,-1,0),NA()))</f>
        <v>410</v>
      </c>
      <c r="H66" s="58">
        <f ca="1">IFERROR(VLOOKUP(C66,WFM_DD[[Week-Year]:[DD]],2,FALSE),IF(ISNUMBER(OFFSET(H66,-1,0)),OFFSET(H66,-1,0),NA()))</f>
        <v>171</v>
      </c>
      <c r="I66" s="57">
        <f ca="1">IFERROR(VLOOKUP(C66,RTen_DD[[Week-Year]:[DD]],2,FALSE),IF(ISNUMBER(OFFSET(I66,-1,0)),OFFSET(I66,-1,0),NA()))</f>
        <v>6009</v>
      </c>
      <c r="J66" s="57">
        <f ca="1">IFERROR(VLOOKUP(C66,TDM_DD[[Week-Year]:[DD]],3,FALSE),IF(ISNUMBER(OFFSET(J66,-1,0)),OFFSET(J66,-1,0),NA()))</f>
        <v>5.736842155456543</v>
      </c>
      <c r="K66" s="57">
        <f ca="1">IFERROR(VLOOKUP(C66,Coles_DD[[Week-Year]:[DD]],3,FALSE),IF(ISNUMBER(OFFSET(K66,-1,0)),OFFSET(K66,-1,0),NA()))</f>
        <v>0.52698415517807007</v>
      </c>
      <c r="L66" s="57">
        <f ca="1">IFERROR(VLOOKUP(C66,WOW_DD[[Week-Year]:[DD]],3,FALSE),IF(ISNUMBER(OFFSET(L66,-1,0)),OFFSET(L66,-1,0),NA()))</f>
        <v>0.59425938129425049</v>
      </c>
      <c r="M66" s="57">
        <f ca="1">IFERROR(VLOOKUP(C66,SSL_DD[[Week-Year]:[DD]],3,FALSE),IF(ISNUMBER(OFFSET(M66,-1,0)),OFFSET(M66,-1,0),NA()))</f>
        <v>3.5170731544494629</v>
      </c>
      <c r="N66" s="57">
        <f ca="1">IFERROR(VLOOKUP(C66,WFM_DD[[Week-Year]:[DD]],3,FALSE),IF(ISNUMBER(OFFSET(N66,-1,0)),OFFSET(N66,-1,0),NA()))</f>
        <v>1.5497076511383057</v>
      </c>
      <c r="O66" s="57">
        <f ca="1">IFERROR(VLOOKUP(C66,RTen_DD[[Week-Year]:[DD]],3,FALSE),IF(ISNUMBER(OFFSET(O66,-1,0)),OFFSET(O66,-1,0),NA()))</f>
        <v>1.3211848735809326</v>
      </c>
      <c r="P66" s="57">
        <f t="array" aca="1" ref="P66" ca="1">AVERAGE(IF(ISNUMBER(DD_Table[[#This Row],[TDM_DD]:[WFM_DD]]),DD_Table[[#This Row],[TDM_DD]:[WFM_DD]]))</f>
        <v>2.3849732995033266</v>
      </c>
      <c r="Q66" s="57">
        <f t="array" aca="1" ref="Q66" ca="1">MAX(IF(ISERROR(DD_Table[[TDM_DD]:[WFM_DD]]),0,DD_Table[[TDM_DD]:[WFM_DD]]))*0.8</f>
        <v>12.322580718994141</v>
      </c>
      <c r="R66" s="57">
        <v>0.5</v>
      </c>
      <c r="S66" s="57">
        <v>0.5</v>
      </c>
      <c r="T66" s="57">
        <v>0.5</v>
      </c>
      <c r="U66" s="57">
        <v>0.5</v>
      </c>
      <c r="V66" s="57">
        <v>0.5</v>
      </c>
      <c r="W66" s="57">
        <v>0.5</v>
      </c>
      <c r="X66" s="59">
        <f ca="1">IFERROR(VLOOKUP(C66,TDM_DD[[Week-Year]:[Core Reg]],4,FALSE),IF(ISNUMBER(OFFSET(X66,-1,0)),OFFSET(X66,-1,0),NA()))</f>
        <v>18.348623275756836</v>
      </c>
      <c r="Y66" s="59">
        <f ca="1">IFERROR(VLOOKUP(C66,TDM_DD[[Week-Year]:[Core Reg]],5,FALSE),IF(ISNUMBER(OFFSET(Y66,-1,0)),OFFSET(Y66,-1,0),NA()))</f>
        <v>36.842105865478516</v>
      </c>
      <c r="Z66" s="59">
        <f ca="1">IFERROR(VLOOKUP(C66,Coles_DD[[Week-Year]:[Core Reg]],4,FALSE),IF(ISNUMBER(OFFSET(Z66,-1,0)),OFFSET(Z66,-1,0),NA()))</f>
        <v>4.1308088302612305</v>
      </c>
      <c r="AA66" s="59">
        <f ca="1">IFERROR(VLOOKUP(C66,Coles_DD[[Week-Year]:[Core Reg]],5,FALSE),IF(ISNUMBER(OFFSET(AA66,-1,0)),OFFSET(AA66,-1,0),NA()))</f>
        <v>6.5068492889404297</v>
      </c>
      <c r="AB66" s="59">
        <f ca="1">IFERROR(VLOOKUP(C66,WOW_DD[[Week-Year]:[Core Reg]],4,FALSE),IF(ISNUMBER(OFFSET(AB66,-1,0)),OFFSET(AB66,-1,0),NA()))</f>
        <v>12.343470573425293</v>
      </c>
      <c r="AC66" s="59">
        <f ca="1">IFERROR(VLOOKUP(C66,WOW_DD[[Week-Year]:[Core Reg]],5,FALSE),IF(ISNUMBER(OFFSET(AC66,-1,0)),OFFSET(AC66,-1,0),NA()))</f>
        <v>14.126016616821289</v>
      </c>
      <c r="AD66" s="59">
        <f ca="1">IFERROR(VLOOKUP(C66,SSL_DD[[Week-Year]:[Core Reg]],4,FALSE),IF(ISNUMBER(OFFSET(AD66,-1,0)),OFFSET(AD66,-1,0),NA()))</f>
        <v>42.163661956787109</v>
      </c>
      <c r="AE66" s="59">
        <f ca="1">IFERROR(VLOOKUP(C66,SSL_DD[[Week-Year]:[Core Reg]],5,FALSE),IF(ISNUMBER(OFFSET(AE66,-1,0)),OFFSET(AE66,-1,0),NA()))</f>
        <v>55.369926452636719</v>
      </c>
      <c r="AF66" s="59">
        <f ca="1">IFERROR(VLOOKUP(C66,WFM_DD[[Week-Year]:[Core Reg]],4,FALSE),IF(ISNUMBER(OFFSET(AF66,-1,0)),OFFSET(AF66,-1,0),NA()))</f>
        <v>20.377359390258789</v>
      </c>
      <c r="AG66" s="59">
        <f ca="1">IFERROR(VLOOKUP(C66,WFM_DD[[Week-Year]:[Core Reg]],5,FALSE),IF(ISNUMBER(OFFSET(AG66,-1,0)),OFFSET(AG66,-1,0),NA()))</f>
        <v>24.242424011230469</v>
      </c>
      <c r="AH66" s="62">
        <f ca="1">IFERROR(VLOOKUP(C66,RTen_DD[[Week-Year]:[Core Reg]],4,FALSE),IF(ISNUMBER(OFFSET(AH66,-1,0)),OFFSET(AH66,-1,0),NA()))</f>
        <v>0</v>
      </c>
      <c r="AI66" s="62">
        <f ca="1">IFERROR(VLOOKUP(C66,RTen_DD[[Week-Year]:[Core Reg]],5,FALSE)/100,IF(ISNUMBER(OFFSET(AI66,-1,0)),OFFSET(AI66,-1,0),NA()))</f>
        <v>0.36503337860107421</v>
      </c>
      <c r="AJ66" s="62">
        <f ca="1">DD_Table[[#This Row],[TDM_Ext_Reg]]</f>
        <v>18.348623275756836</v>
      </c>
      <c r="AK66" s="62">
        <f ca="1">DD_Table[[#This Row],[Coles_Ext_Reg]]</f>
        <v>4.1308088302612305</v>
      </c>
      <c r="AL66" s="62">
        <f ca="1">DD_Table[[#This Row],[WOW_Ext_Reg]]</f>
        <v>12.343470573425293</v>
      </c>
      <c r="AM66" s="62">
        <f ca="1">DD_Table[[#This Row],[SSL_Ext_Reg]]</f>
        <v>42.163661956787109</v>
      </c>
      <c r="AN66" s="62">
        <f ca="1">DD_Table[[#This Row],[WFM_Ext_Reg]]</f>
        <v>20.377359390258789</v>
      </c>
      <c r="AO66" s="62">
        <f t="array" aca="1" ref="AO66" ca="1">IFERROR(AVERAGE(IF(ISNUMBER(DD_Table[[#This Row],[TDM_Avg]:[WFM_Avg]]),DD_Table[[#This Row],[TDM_Avg]:[WFM_Avg]]))/100,NA())</f>
        <v>0.19472784805297852</v>
      </c>
      <c r="AP66" s="62">
        <f t="array" aca="1" ref="AP66" ca="1">MAX(IF(ISERROR(DD_Table[[TDM_Avg]:[WFM_Avg]]),0,DD_Table[[TDM_Avg]:[WFM_Avg]]))*1.1</f>
        <v>48.107883834838873</v>
      </c>
      <c r="AQ66" s="62">
        <f t="array" aca="1" ref="AQ66" ca="1">MAX(IF(ISERROR(DD_Table[[TDM_Ext_Reg]:[WFM_Core_Reg]]),0,DD_Table[[TDM_Ext_Reg]:[WFM_Core_Reg]]))</f>
        <v>61.538463592529297</v>
      </c>
      <c r="AR66" s="65">
        <f ca="1">IFERROR(VLOOKUP(C66,TDM_DD[[Week-Year]:[DDP]],6,FALSE),IF(ISNUMBER(OFFSET(AR66,-1,0)),OFFSET(AR66,-1,0),NA()))</f>
        <v>0.24516129032258063</v>
      </c>
      <c r="AS66" s="65">
        <f ca="1">IFERROR(VLOOKUP(C66,Coles_DD[[Week-Year]:[DDP]],6,FALSE),IF(ISNUMBER(OFFSET(AS66,-1,0)),OFFSET(AS66,-1,0),NA()))</f>
        <v>0.18516674962667995</v>
      </c>
      <c r="AT66" s="65">
        <f ca="1">IFERROR(VLOOKUP(C66,WOW_DD[[Week-Year]:[DDP]],6,FALSE),IF(ISNUMBER(OFFSET(AT66,-1,0)),OFFSET(AT66,-1,0),NA()))</f>
        <v>0.35086181711948583</v>
      </c>
      <c r="AU66" s="65">
        <f ca="1">IFERROR(VLOOKUP(C66,SSL_DD[[Week-Year]:[DDP]],6,FALSE),IF(ISNUMBER(OFFSET(AU66,-1,0)),OFFSET(AU66,-1,0),NA()))</f>
        <v>0.32415902140672781</v>
      </c>
      <c r="AV66" s="65">
        <f ca="1">IFERROR(VLOOKUP(C66,WFM_DD[[Week-Year]:[DDP]],6,FALSE),IF(ISNUMBER(OFFSET(AV66,-1,0)),OFFSET(AV66,-1,0),NA()))</f>
        <v>0.23175182481751824</v>
      </c>
      <c r="AW66" s="65">
        <f t="array" aca="1" ref="AW66" ca="1">IFERROR(AVERAGE(IF(ISNUMBER(DD_Table[[#This Row],[TDM_DDP]:[WFM_DDP]]),DD_Table[[#This Row],[TDM_DDP]:[WFM_DDP]])),NA())</f>
        <v>0.26742014065859854</v>
      </c>
      <c r="AX66" s="65">
        <f t="array" aca="1" ref="AX66" ca="1">IFERROR(MAX(IF(ISNUMBER(DD_Table[[TDM_DDP]:[WFM_DDP]]),DD_Table[[TDM_DDP]:[WFM_DDP]])),NA())</f>
        <v>0.68</v>
      </c>
      <c r="AY66" s="88">
        <f ca="1">IFERROR(VLOOKUP(C66,RTen_DD[[Week-Year]:[Core DDP]],6,FALSE),IF(ISNUMBER(VLOOKUP(C66,RTen_DD[[Week-Year]:[Core DDP]],6,FALSE)),OFFSET(AY66,-1,0),OFFSET(AY66,-1,0)))</f>
        <v>0.22496536254882812</v>
      </c>
      <c r="AZ66" s="65"/>
      <c r="BA66" s="65"/>
      <c r="BC66">
        <v>64</v>
      </c>
      <c r="BF66">
        <v>0</v>
      </c>
      <c r="BG66">
        <v>0</v>
      </c>
      <c r="BO66" s="71"/>
      <c r="BP66" s="71">
        <f>MAX(Med_Table[[TDM]:[WFM]])</f>
        <v>29</v>
      </c>
      <c r="DN66" s="74"/>
      <c r="DO66" s="74"/>
      <c r="DP66" s="30"/>
      <c r="DQ66" s="30"/>
      <c r="DR66" s="30"/>
      <c r="DS66" s="30"/>
      <c r="DT66" s="30"/>
      <c r="DU66" s="30"/>
      <c r="DV66" s="30"/>
      <c r="DW66" s="30"/>
    </row>
    <row r="67" spans="1:127">
      <c r="BC67">
        <v>65</v>
      </c>
      <c r="BF67">
        <v>0</v>
      </c>
      <c r="BG67">
        <v>0</v>
      </c>
      <c r="BO67" s="71"/>
      <c r="BP67" s="71">
        <f>MAX(Med_Table[[TDM]:[WFM]])</f>
        <v>29</v>
      </c>
      <c r="DN67" s="74"/>
      <c r="DO67" s="74"/>
      <c r="DP67" s="30"/>
      <c r="DQ67" s="30"/>
      <c r="DR67" s="30"/>
      <c r="DS67" s="30"/>
      <c r="DT67" s="30"/>
      <c r="DU67" s="30"/>
      <c r="DV67" s="30"/>
      <c r="DW67" s="30"/>
    </row>
    <row r="68" spans="1:127">
      <c r="BC68">
        <v>66</v>
      </c>
      <c r="BF68">
        <v>0</v>
      </c>
      <c r="BG68">
        <v>0</v>
      </c>
      <c r="BO68" s="71"/>
      <c r="BP68" s="71">
        <f>MAX(Med_Table[[TDM]:[WFM]])</f>
        <v>29</v>
      </c>
      <c r="DN68" s="74"/>
      <c r="DO68" s="74"/>
      <c r="DP68" s="30"/>
      <c r="DQ68" s="30"/>
      <c r="DR68" s="30"/>
      <c r="DS68" s="30"/>
      <c r="DT68" s="30"/>
      <c r="DU68" s="30"/>
      <c r="DV68" s="30"/>
      <c r="DW68" s="30"/>
    </row>
    <row r="69" spans="1:127">
      <c r="BF69">
        <v>0</v>
      </c>
      <c r="BG69">
        <v>0</v>
      </c>
      <c r="BO69" s="86" t="e">
        <f>AVERAGE(Med_Table[[#This Row],[TDM_Med]:[WFM_Med]])</f>
        <v>#DIV/0!</v>
      </c>
      <c r="BP69" s="86">
        <f>MAX(Med_Table[[TDM]:[WFM]])</f>
        <v>29</v>
      </c>
      <c r="DN69" s="74"/>
      <c r="DO69" s="74"/>
      <c r="DP69" s="30"/>
      <c r="DQ69" s="30"/>
      <c r="DR69" s="30"/>
      <c r="DS69" s="30"/>
      <c r="DT69" s="30"/>
      <c r="DU69" s="30"/>
      <c r="DV69" s="30"/>
      <c r="DW69" s="30"/>
    </row>
    <row r="70" spans="1:127">
      <c r="BF70">
        <v>0</v>
      </c>
      <c r="BG70">
        <v>0</v>
      </c>
      <c r="BO70" s="86" t="e">
        <f>AVERAGE(Med_Table[[#This Row],[TDM_Med]:[WFM_Med]])</f>
        <v>#DIV/0!</v>
      </c>
      <c r="BP70" s="86">
        <f>MAX(Med_Table[[TDM]:[WFM]])</f>
        <v>29</v>
      </c>
      <c r="DN70" s="74"/>
      <c r="DO70" s="74"/>
      <c r="DP70" s="30"/>
      <c r="DQ70" s="30"/>
      <c r="DR70" s="30"/>
      <c r="DS70" s="30"/>
      <c r="DT70" s="30"/>
      <c r="DU70" s="30"/>
      <c r="DV70" s="30"/>
      <c r="DW70" s="30"/>
    </row>
    <row r="71" spans="1:127">
      <c r="BF71">
        <v>0</v>
      </c>
      <c r="BG71">
        <v>0</v>
      </c>
      <c r="BO71" s="86" t="e">
        <f>AVERAGE(Med_Table[[#This Row],[TDM_Med]:[WFM_Med]])</f>
        <v>#DIV/0!</v>
      </c>
      <c r="BP71" s="86">
        <f>MAX(Med_Table[[TDM]:[WFM]])</f>
        <v>29</v>
      </c>
      <c r="DN71" s="74"/>
      <c r="DO71" s="74"/>
      <c r="DP71" s="30"/>
      <c r="DQ71" s="30"/>
      <c r="DR71" s="30"/>
      <c r="DS71" s="30"/>
      <c r="DT71" s="30"/>
      <c r="DU71" s="30"/>
      <c r="DV71" s="30"/>
      <c r="DW71" s="30"/>
    </row>
    <row r="72" spans="1:127">
      <c r="BF72">
        <v>0</v>
      </c>
      <c r="BG72">
        <v>0</v>
      </c>
      <c r="BO72" s="86" t="e">
        <f>AVERAGE(Med_Table[[#This Row],[TDM_Med]:[WFM_Med]])</f>
        <v>#DIV/0!</v>
      </c>
      <c r="BP72" s="86">
        <f>MAX(Med_Table[[TDM]:[WFM]])</f>
        <v>29</v>
      </c>
      <c r="DN72" s="74"/>
      <c r="DO72" s="74"/>
      <c r="DP72" s="30"/>
      <c r="DQ72" s="30"/>
      <c r="DR72" s="30"/>
      <c r="DS72" s="30"/>
      <c r="DT72" s="30"/>
      <c r="DU72" s="30"/>
      <c r="DV72" s="30"/>
      <c r="DW72" s="30"/>
    </row>
    <row r="73" spans="1:127">
      <c r="BF73">
        <v>0</v>
      </c>
      <c r="BG73">
        <v>0</v>
      </c>
      <c r="BO73" s="86" t="e">
        <f>AVERAGE(Med_Table[[#This Row],[TDM_Med]:[WFM_Med]])</f>
        <v>#DIV/0!</v>
      </c>
      <c r="BP73" s="86">
        <f>MAX(Med_Table[[TDM]:[WFM]])</f>
        <v>29</v>
      </c>
      <c r="DN73" s="74"/>
      <c r="DO73" s="74"/>
      <c r="DP73" s="30"/>
      <c r="DQ73" s="30"/>
      <c r="DR73" s="30"/>
      <c r="DS73" s="30"/>
      <c r="DT73" s="30"/>
      <c r="DU73" s="30"/>
      <c r="DV73" s="30"/>
      <c r="DW73" s="30"/>
    </row>
    <row r="74" spans="1:127">
      <c r="BF74">
        <v>0</v>
      </c>
      <c r="BG74">
        <v>0</v>
      </c>
      <c r="BO74" s="86" t="e">
        <f>AVERAGE(Med_Table[[#This Row],[TDM_Med]:[WFM_Med]])</f>
        <v>#DIV/0!</v>
      </c>
      <c r="BP74" s="86">
        <f>MAX(Med_Table[[TDM]:[WFM]])</f>
        <v>29</v>
      </c>
      <c r="DN74" s="74"/>
      <c r="DO74" s="74"/>
      <c r="DP74" s="30"/>
      <c r="DQ74" s="30"/>
      <c r="DR74" s="30"/>
      <c r="DS74" s="30"/>
      <c r="DT74" s="30"/>
      <c r="DU74" s="30"/>
      <c r="DV74" s="30"/>
      <c r="DW74" s="30"/>
    </row>
    <row r="75" spans="1:127">
      <c r="BF75">
        <v>0</v>
      </c>
      <c r="BG75">
        <v>0</v>
      </c>
      <c r="BO75" s="86" t="e">
        <f>AVERAGE(Med_Table[[#This Row],[TDM_Med]:[WFM_Med]])</f>
        <v>#DIV/0!</v>
      </c>
      <c r="BP75" s="86">
        <f>MAX(Med_Table[[TDM]:[WFM]])</f>
        <v>29</v>
      </c>
      <c r="DN75" s="74"/>
      <c r="DO75" s="74"/>
      <c r="DP75" s="30"/>
      <c r="DQ75" s="30"/>
      <c r="DR75" s="30"/>
      <c r="DS75" s="30"/>
      <c r="DT75" s="30"/>
      <c r="DU75" s="30"/>
      <c r="DV75" s="30"/>
      <c r="DW75" s="30"/>
    </row>
    <row r="76" spans="1:127">
      <c r="BF76">
        <v>0</v>
      </c>
      <c r="BG76">
        <v>0</v>
      </c>
      <c r="BO76" s="86" t="e">
        <f>AVERAGE(Med_Table[[#This Row],[TDM_Med]:[WFM_Med]])</f>
        <v>#DIV/0!</v>
      </c>
      <c r="BP76" s="86">
        <f>MAX(Med_Table[[TDM]:[WFM]])</f>
        <v>29</v>
      </c>
      <c r="DN76" s="74"/>
      <c r="DO76" s="74"/>
      <c r="DP76" s="30"/>
      <c r="DQ76" s="30"/>
      <c r="DR76" s="30"/>
      <c r="DS76" s="30"/>
      <c r="DT76" s="30"/>
      <c r="DU76" s="30"/>
      <c r="DV76" s="30"/>
      <c r="DW76" s="30"/>
    </row>
    <row r="77" spans="1:127">
      <c r="BF77">
        <v>0</v>
      </c>
      <c r="BG77">
        <v>0</v>
      </c>
      <c r="BO77" s="86" t="e">
        <f>AVERAGE(Med_Table[[#This Row],[TDM_Med]:[WFM_Med]])</f>
        <v>#DIV/0!</v>
      </c>
      <c r="BP77" s="86">
        <f>MAX(Med_Table[[TDM]:[WFM]])</f>
        <v>29</v>
      </c>
      <c r="DN77" s="74"/>
      <c r="DO77" s="74"/>
      <c r="DP77" s="30"/>
      <c r="DQ77" s="30"/>
      <c r="DR77" s="30"/>
      <c r="DS77" s="30"/>
      <c r="DT77" s="30"/>
      <c r="DU77" s="30"/>
      <c r="DV77" s="30"/>
      <c r="DW77" s="30"/>
    </row>
    <row r="78" spans="1:127">
      <c r="BF78">
        <v>0</v>
      </c>
      <c r="BG78">
        <v>0</v>
      </c>
      <c r="BO78" s="86" t="e">
        <f>AVERAGE(Med_Table[[#This Row],[TDM_Med]:[WFM_Med]])</f>
        <v>#DIV/0!</v>
      </c>
      <c r="BP78" s="86">
        <f>MAX(Med_Table[[TDM]:[WFM]])</f>
        <v>29</v>
      </c>
      <c r="DN78" s="74"/>
      <c r="DO78" s="74"/>
      <c r="DP78" s="30"/>
      <c r="DQ78" s="30"/>
      <c r="DR78" s="30"/>
      <c r="DS78" s="30"/>
      <c r="DT78" s="30"/>
      <c r="DU78" s="30"/>
      <c r="DV78" s="30"/>
      <c r="DW78" s="30"/>
    </row>
    <row r="79" spans="1:127">
      <c r="BF79">
        <v>0</v>
      </c>
      <c r="BG79">
        <v>0</v>
      </c>
      <c r="BO79" s="86" t="e">
        <f>AVERAGE(Med_Table[[#This Row],[TDM_Med]:[WFM_Med]])</f>
        <v>#DIV/0!</v>
      </c>
      <c r="BP79" s="86">
        <f>MAX(Med_Table[[TDM]:[WFM]])</f>
        <v>29</v>
      </c>
      <c r="DN79" s="74"/>
      <c r="DO79" s="74"/>
      <c r="DP79" s="30"/>
      <c r="DQ79" s="30"/>
      <c r="DR79" s="30"/>
      <c r="DS79" s="30"/>
      <c r="DT79" s="30"/>
      <c r="DU79" s="30"/>
      <c r="DV79" s="30"/>
      <c r="DW79" s="30"/>
    </row>
    <row r="80" spans="1:127">
      <c r="BF80">
        <v>0</v>
      </c>
      <c r="BG80">
        <v>0</v>
      </c>
      <c r="BO80" s="86" t="e">
        <f>AVERAGE(Med_Table[[#This Row],[TDM_Med]:[WFM_Med]])</f>
        <v>#DIV/0!</v>
      </c>
      <c r="BP80" s="86">
        <f>MAX(Med_Table[[TDM]:[WFM]])</f>
        <v>29</v>
      </c>
      <c r="DN80" s="74"/>
      <c r="DO80" s="74"/>
      <c r="DP80" s="30"/>
      <c r="DQ80" s="30"/>
      <c r="DR80" s="30"/>
      <c r="DS80" s="30"/>
      <c r="DT80" s="30"/>
      <c r="DU80" s="30"/>
      <c r="DV80" s="30"/>
      <c r="DW80" s="30"/>
    </row>
    <row r="81" spans="58:127">
      <c r="BF81">
        <v>0</v>
      </c>
      <c r="BG81">
        <v>0</v>
      </c>
      <c r="BO81" s="86" t="e">
        <f>AVERAGE(Med_Table[[#This Row],[TDM_Med]:[WFM_Med]])</f>
        <v>#DIV/0!</v>
      </c>
      <c r="BP81" s="86">
        <f>MAX(Med_Table[[TDM]:[WFM]])</f>
        <v>29</v>
      </c>
      <c r="DN81" s="74"/>
      <c r="DO81" s="74"/>
      <c r="DP81" s="30"/>
      <c r="DQ81" s="30"/>
      <c r="DR81" s="30"/>
      <c r="DS81" s="30"/>
      <c r="DT81" s="30"/>
      <c r="DU81" s="30"/>
      <c r="DV81" s="30"/>
      <c r="DW81" s="30"/>
    </row>
    <row r="82" spans="58:127">
      <c r="BF82">
        <v>0</v>
      </c>
      <c r="BG82">
        <v>0</v>
      </c>
      <c r="BO82" s="86" t="e">
        <f>AVERAGE(Med_Table[[#This Row],[TDM_Med]:[WFM_Med]])</f>
        <v>#DIV/0!</v>
      </c>
      <c r="BP82" s="86">
        <f>MAX(Med_Table[[TDM]:[WFM]])</f>
        <v>29</v>
      </c>
      <c r="DN82" s="74"/>
      <c r="DO82" s="74"/>
      <c r="DP82" s="30"/>
      <c r="DQ82" s="30"/>
      <c r="DR82" s="30"/>
      <c r="DS82" s="30"/>
      <c r="DT82" s="30"/>
      <c r="DU82" s="30"/>
      <c r="DV82" s="30"/>
      <c r="DW82" s="30"/>
    </row>
    <row r="83" spans="58:127">
      <c r="BF83">
        <v>0</v>
      </c>
      <c r="BG83">
        <v>0</v>
      </c>
      <c r="BO83" s="86" t="e">
        <f>AVERAGE(Med_Table[[#This Row],[TDM_Med]:[WFM_Med]])</f>
        <v>#DIV/0!</v>
      </c>
      <c r="BP83" s="86">
        <f>MAX(Med_Table[[TDM]:[WFM]])</f>
        <v>29</v>
      </c>
      <c r="DN83" s="74"/>
      <c r="DO83" s="74"/>
      <c r="DP83" s="30"/>
      <c r="DQ83" s="30"/>
      <c r="DR83" s="30"/>
      <c r="DS83" s="30"/>
      <c r="DT83" s="30"/>
      <c r="DU83" s="30"/>
      <c r="DV83" s="30"/>
      <c r="DW83" s="30"/>
    </row>
    <row r="84" spans="58:127">
      <c r="BG84">
        <v>0</v>
      </c>
      <c r="BO84" s="86" t="e">
        <f>AVERAGE(Med_Table[[#This Row],[TDM_Med]:[WFM_Med]])</f>
        <v>#DIV/0!</v>
      </c>
      <c r="BP84" s="86">
        <f>MAX(Med_Table[[TDM]:[WFM]])</f>
        <v>29</v>
      </c>
      <c r="DN84" s="74"/>
      <c r="DO84" s="74"/>
      <c r="DP84" s="30"/>
      <c r="DQ84" s="30"/>
      <c r="DR84" s="30"/>
      <c r="DS84" s="30"/>
      <c r="DT84" s="30"/>
      <c r="DU84" s="30"/>
      <c r="DV84" s="30"/>
      <c r="DW84" s="30"/>
    </row>
    <row r="85" spans="58:127">
      <c r="BG85">
        <v>0</v>
      </c>
      <c r="BO85" s="86" t="e">
        <f>AVERAGE(Med_Table[[#This Row],[TDM_Med]:[WFM_Med]])</f>
        <v>#DIV/0!</v>
      </c>
      <c r="BP85" s="86">
        <f>MAX(Med_Table[[TDM]:[WFM]])</f>
        <v>29</v>
      </c>
      <c r="DN85" s="74"/>
      <c r="DO85" s="74"/>
      <c r="DP85" s="30"/>
      <c r="DQ85" s="30"/>
      <c r="DR85" s="30"/>
      <c r="DS85" s="30"/>
      <c r="DT85" s="30"/>
      <c r="DU85" s="30"/>
      <c r="DV85" s="30"/>
      <c r="DW85" s="30"/>
    </row>
    <row r="86" spans="58:127">
      <c r="BG86">
        <v>0</v>
      </c>
      <c r="BO86" s="86" t="e">
        <f>AVERAGE(Med_Table[[#This Row],[TDM_Med]:[WFM_Med]])</f>
        <v>#DIV/0!</v>
      </c>
      <c r="BP86" s="86">
        <f>MAX(Med_Table[[TDM]:[WFM]])</f>
        <v>29</v>
      </c>
      <c r="DN86" s="74"/>
      <c r="DO86" s="74"/>
      <c r="DP86" s="30"/>
      <c r="DQ86" s="30"/>
      <c r="DR86" s="30"/>
      <c r="DS86" s="30"/>
      <c r="DT86" s="30"/>
      <c r="DU86" s="30"/>
      <c r="DV86" s="30"/>
      <c r="DW86" s="30"/>
    </row>
    <row r="87" spans="58:127">
      <c r="BG87">
        <v>0</v>
      </c>
      <c r="BO87" s="86" t="e">
        <f>AVERAGE(Med_Table[[#This Row],[TDM_Med]:[WFM_Med]])</f>
        <v>#DIV/0!</v>
      </c>
      <c r="BP87" s="86">
        <f>MAX(Med_Table[[TDM]:[WFM]])</f>
        <v>29</v>
      </c>
    </row>
    <row r="88" spans="58:127">
      <c r="BG88">
        <v>0</v>
      </c>
      <c r="BO88" s="86" t="e">
        <f>AVERAGE(Med_Table[[#This Row],[TDM_Med]:[WFM_Med]])</f>
        <v>#DIV/0!</v>
      </c>
      <c r="BP88" s="86">
        <f>MAX(Med_Table[[TDM]:[WFM]])</f>
        <v>29</v>
      </c>
    </row>
    <row r="89" spans="58:127">
      <c r="BG89">
        <v>0</v>
      </c>
      <c r="BO89" s="86" t="e">
        <f>AVERAGE(Med_Table[[#This Row],[TDM_Med]:[WFM_Med]])</f>
        <v>#DIV/0!</v>
      </c>
      <c r="BP89" s="86">
        <f>MAX(Med_Table[[TDM]:[WFM]])</f>
        <v>29</v>
      </c>
    </row>
    <row r="90" spans="58:127">
      <c r="BG90">
        <v>0</v>
      </c>
      <c r="BO90" s="86" t="e">
        <f>AVERAGE(Med_Table[[#This Row],[TDM_Med]:[WFM_Med]])</f>
        <v>#DIV/0!</v>
      </c>
      <c r="BP90" s="86">
        <f>MAX(Med_Table[[TDM]:[WFM]])</f>
        <v>29</v>
      </c>
    </row>
    <row r="91" spans="58:127">
      <c r="BG91">
        <v>0</v>
      </c>
      <c r="BO91" s="86" t="e">
        <f>AVERAGE(Med_Table[[#This Row],[TDM_Med]:[WFM_Med]])</f>
        <v>#DIV/0!</v>
      </c>
      <c r="BP91" s="86">
        <f>MAX(Med_Table[[TDM]:[WFM]])</f>
        <v>29</v>
      </c>
    </row>
    <row r="92" spans="58:127">
      <c r="BG92">
        <v>0</v>
      </c>
      <c r="BO92" s="86" t="e">
        <f>AVERAGE(Med_Table[[#This Row],[TDM_Med]:[WFM_Med]])</f>
        <v>#DIV/0!</v>
      </c>
      <c r="BP92" s="86">
        <f>MAX(Med_Table[[TDM]:[WFM]])</f>
        <v>29</v>
      </c>
    </row>
    <row r="93" spans="58:127">
      <c r="BG93">
        <v>0</v>
      </c>
      <c r="BO93" s="86" t="e">
        <f>AVERAGE(Med_Table[[#This Row],[TDM_Med]:[WFM_Med]])</f>
        <v>#DIV/0!</v>
      </c>
      <c r="BP93" s="86">
        <f>MAX(Med_Table[[TDM]:[WFM]])</f>
        <v>29</v>
      </c>
    </row>
    <row r="94" spans="58:127">
      <c r="BG94">
        <v>0</v>
      </c>
      <c r="BO94" s="86" t="e">
        <f>AVERAGE(Med_Table[[#This Row],[TDM_Med]:[WFM_Med]])</f>
        <v>#DIV/0!</v>
      </c>
      <c r="BP94" s="86">
        <f>MAX(Med_Table[[TDM]:[WFM]])</f>
        <v>29</v>
      </c>
    </row>
    <row r="95" spans="58:127">
      <c r="BG95">
        <v>0</v>
      </c>
      <c r="BO95" s="86" t="e">
        <f>AVERAGE(Med_Table[[#This Row],[TDM_Med]:[WFM_Med]])</f>
        <v>#DIV/0!</v>
      </c>
      <c r="BP95" s="86">
        <f>MAX(Med_Table[[TDM]:[WFM]])</f>
        <v>29</v>
      </c>
    </row>
    <row r="96" spans="58:127">
      <c r="BG96">
        <v>0</v>
      </c>
      <c r="BO96" s="86" t="e">
        <f>AVERAGE(Med_Table[[#This Row],[TDM_Med]:[WFM_Med]])</f>
        <v>#DIV/0!</v>
      </c>
      <c r="BP96" s="86">
        <f>MAX(Med_Table[[TDM]:[WFM]])</f>
        <v>29</v>
      </c>
    </row>
    <row r="97" spans="59:68">
      <c r="BG97">
        <v>0</v>
      </c>
      <c r="BO97" s="86" t="e">
        <f>AVERAGE(Med_Table[[#This Row],[TDM_Med]:[WFM_Med]])</f>
        <v>#DIV/0!</v>
      </c>
      <c r="BP97" s="86">
        <f>MAX(Med_Table[[TDM]:[WFM]])</f>
        <v>29</v>
      </c>
    </row>
    <row r="98" spans="59:68">
      <c r="BG98">
        <v>0</v>
      </c>
      <c r="BO98" s="86" t="e">
        <f>AVERAGE(Med_Table[[#This Row],[TDM_Med]:[WFM_Med]])</f>
        <v>#DIV/0!</v>
      </c>
      <c r="BP98" s="86">
        <f>MAX(Med_Table[[TDM]:[WFM]])</f>
        <v>29</v>
      </c>
    </row>
    <row r="99" spans="59:68">
      <c r="BG99">
        <v>0</v>
      </c>
      <c r="BO99" s="86" t="e">
        <f>AVERAGE(Med_Table[[#This Row],[TDM_Med]:[WFM_Med]])</f>
        <v>#DIV/0!</v>
      </c>
      <c r="BP99" s="86">
        <f>MAX(Med_Table[[TDM]:[WFM]])</f>
        <v>29</v>
      </c>
    </row>
    <row r="100" spans="59:68">
      <c r="BG100">
        <v>0</v>
      </c>
      <c r="BO100" s="86" t="e">
        <f>AVERAGE(Med_Table[[#This Row],[TDM_Med]:[WFM_Med]])</f>
        <v>#DIV/0!</v>
      </c>
      <c r="BP100" s="86">
        <f>MAX(Med_Table[[TDM]:[WFM]])</f>
        <v>29</v>
      </c>
    </row>
    <row r="101" spans="59:68">
      <c r="BG101">
        <v>0</v>
      </c>
      <c r="BO101" s="86" t="e">
        <f>AVERAGE(Med_Table[[#This Row],[TDM_Med]:[WFM_Med]])</f>
        <v>#DIV/0!</v>
      </c>
      <c r="BP101" s="86">
        <f>MAX(Med_Table[[TDM]:[WFM]])</f>
        <v>29</v>
      </c>
    </row>
    <row r="102" spans="59:68">
      <c r="BG102">
        <v>0</v>
      </c>
      <c r="BO102" s="86" t="e">
        <f>AVERAGE(Med_Table[[#This Row],[TDM_Med]:[WFM_Med]])</f>
        <v>#DIV/0!</v>
      </c>
      <c r="BP102" s="86">
        <f>MAX(Med_Table[[TDM]:[WFM]])</f>
        <v>29</v>
      </c>
    </row>
    <row r="103" spans="59:68">
      <c r="BG103">
        <v>0</v>
      </c>
      <c r="BO103" s="86" t="e">
        <f>AVERAGE(Med_Table[[#This Row],[TDM_Med]:[WFM_Med]])</f>
        <v>#DIV/0!</v>
      </c>
      <c r="BP103" s="86">
        <f>MAX(Med_Table[[TDM]:[WFM]])</f>
        <v>29</v>
      </c>
    </row>
    <row r="104" spans="59:68">
      <c r="BG104">
        <v>0</v>
      </c>
      <c r="BO104" s="86" t="e">
        <f>AVERAGE(Med_Table[[#This Row],[TDM_Med]:[WFM_Med]])</f>
        <v>#DIV/0!</v>
      </c>
      <c r="BP104" s="86">
        <f>MAX(Med_Table[[TDM]:[WFM]])</f>
        <v>29</v>
      </c>
    </row>
    <row r="105" spans="59:68">
      <c r="BG105">
        <v>0</v>
      </c>
      <c r="BO105" s="86" t="e">
        <f>AVERAGE(Med_Table[[#This Row],[TDM_Med]:[WFM_Med]])</f>
        <v>#DIV/0!</v>
      </c>
      <c r="BP105" s="86">
        <f>MAX(Med_Table[[TDM]:[WFM]])</f>
        <v>29</v>
      </c>
    </row>
    <row r="106" spans="59:68">
      <c r="BG106">
        <v>0</v>
      </c>
      <c r="BO106" s="86" t="e">
        <f>AVERAGE(Med_Table[[#This Row],[TDM_Med]:[WFM_Med]])</f>
        <v>#DIV/0!</v>
      </c>
      <c r="BP106" s="86">
        <f>MAX(Med_Table[[TDM]:[WFM]])</f>
        <v>29</v>
      </c>
    </row>
    <row r="107" spans="59:68">
      <c r="BG107">
        <v>0</v>
      </c>
      <c r="BO107" s="86" t="e">
        <f>AVERAGE(Med_Table[[#This Row],[TDM_Med]:[WFM_Med]])</f>
        <v>#DIV/0!</v>
      </c>
      <c r="BP107" s="86">
        <f>MAX(Med_Table[[TDM]:[WFM]])</f>
        <v>29</v>
      </c>
    </row>
    <row r="108" spans="59:68">
      <c r="BG108">
        <v>0</v>
      </c>
      <c r="BO108" s="86" t="e">
        <f>AVERAGE(Med_Table[[#This Row],[TDM_Med]:[WFM_Med]])</f>
        <v>#DIV/0!</v>
      </c>
      <c r="BP108" s="86">
        <f>MAX(Med_Table[[TDM]:[WFM]])</f>
        <v>29</v>
      </c>
    </row>
    <row r="109" spans="59:68">
      <c r="BG109">
        <v>0</v>
      </c>
      <c r="BO109" s="86" t="e">
        <f>AVERAGE(Med_Table[[#This Row],[TDM_Med]:[WFM_Med]])</f>
        <v>#DIV/0!</v>
      </c>
      <c r="BP109" s="86">
        <f>MAX(Med_Table[[TDM]:[WFM]])</f>
        <v>29</v>
      </c>
    </row>
    <row r="110" spans="59:68">
      <c r="BG110">
        <v>0</v>
      </c>
      <c r="BO110" s="86" t="e">
        <f>AVERAGE(Med_Table[[#This Row],[TDM_Med]:[WFM_Med]])</f>
        <v>#DIV/0!</v>
      </c>
      <c r="BP110" s="86">
        <f>MAX(Med_Table[[TDM]:[WFM]])</f>
        <v>29</v>
      </c>
    </row>
    <row r="111" spans="59:68">
      <c r="BG111">
        <v>0</v>
      </c>
      <c r="BO111" s="86" t="e">
        <f>AVERAGE(Med_Table[[#This Row],[TDM_Med]:[WFM_Med]])</f>
        <v>#DIV/0!</v>
      </c>
      <c r="BP111" s="86">
        <f>MAX(Med_Table[[TDM]:[WFM]])</f>
        <v>29</v>
      </c>
    </row>
    <row r="112" spans="59:68">
      <c r="BG112">
        <v>0</v>
      </c>
      <c r="BO112" s="86" t="e">
        <f>AVERAGE(Med_Table[[#This Row],[TDM_Med]:[WFM_Med]])</f>
        <v>#DIV/0!</v>
      </c>
      <c r="BP112" s="86">
        <f>MAX(Med_Table[[TDM]:[WFM]])</f>
        <v>29</v>
      </c>
    </row>
    <row r="113" spans="59:68">
      <c r="BG113">
        <v>0</v>
      </c>
      <c r="BO113" s="86" t="e">
        <f>AVERAGE(Med_Table[[#This Row],[TDM_Med]:[WFM_Med]])</f>
        <v>#DIV/0!</v>
      </c>
      <c r="BP113" s="86">
        <f>MAX(Med_Table[[TDM]:[WFM]])</f>
        <v>29</v>
      </c>
    </row>
    <row r="114" spans="59:68">
      <c r="BG114">
        <v>0</v>
      </c>
      <c r="BO114" s="86" t="e">
        <f>AVERAGE(Med_Table[[#This Row],[TDM_Med]:[WFM_Med]])</f>
        <v>#DIV/0!</v>
      </c>
      <c r="BP114" s="86">
        <f>MAX(Med_Table[[TDM]:[WFM]])</f>
        <v>29</v>
      </c>
    </row>
    <row r="115" spans="59:68">
      <c r="BG115">
        <v>0</v>
      </c>
      <c r="BO115" s="86" t="e">
        <f>AVERAGE(Med_Table[[#This Row],[TDM_Med]:[WFM_Med]])</f>
        <v>#DIV/0!</v>
      </c>
      <c r="BP115" s="86">
        <f>MAX(Med_Table[[TDM]:[WFM]])</f>
        <v>29</v>
      </c>
    </row>
    <row r="116" spans="59:68">
      <c r="BG116">
        <v>0</v>
      </c>
      <c r="BO116" s="86" t="e">
        <f>AVERAGE(Med_Table[[#This Row],[TDM_Med]:[WFM_Med]])</f>
        <v>#DIV/0!</v>
      </c>
      <c r="BP116" s="86">
        <f>MAX(Med_Table[[TDM]:[WFM]])</f>
        <v>29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2"/>
  <sheetViews>
    <sheetView zoomScale="80" zoomScaleNormal="80" workbookViewId="0">
      <selection activeCell="H16" sqref="H16"/>
    </sheetView>
  </sheetViews>
  <sheetFormatPr defaultRowHeight="15"/>
  <cols>
    <col min="1" max="1" width="15.5703125" customWidth="1"/>
    <col min="2" max="2" width="29.42578125" customWidth="1"/>
    <col min="3" max="3" width="25.28515625" bestFit="1" customWidth="1"/>
    <col min="4" max="5" width="25.28515625" customWidth="1"/>
    <col min="9" max="9" width="13.28515625" bestFit="1" customWidth="1"/>
    <col min="10" max="10" width="10.7109375" bestFit="1" customWidth="1"/>
    <col min="12" max="12" width="10.7109375" bestFit="1" customWidth="1"/>
  </cols>
  <sheetData>
    <row r="1" spans="1:14">
      <c r="A1" s="49" t="s">
        <v>33</v>
      </c>
      <c r="B1" s="49" t="s">
        <v>32</v>
      </c>
      <c r="C1" s="49" t="s">
        <v>31</v>
      </c>
      <c r="D1" s="49" t="s">
        <v>48</v>
      </c>
      <c r="E1" s="49" t="s">
        <v>49</v>
      </c>
      <c r="F1" s="55" t="s">
        <v>78</v>
      </c>
      <c r="G1" s="55" t="s">
        <v>81</v>
      </c>
      <c r="H1" s="55" t="s">
        <v>79</v>
      </c>
      <c r="I1" s="52" t="s">
        <v>16</v>
      </c>
      <c r="J1" s="52" t="s">
        <v>30</v>
      </c>
      <c r="K1" s="52" t="s">
        <v>29</v>
      </c>
      <c r="L1" s="52" t="s">
        <v>50</v>
      </c>
      <c r="M1" s="52" t="s">
        <v>51</v>
      </c>
      <c r="N1" s="55" t="s">
        <v>80</v>
      </c>
    </row>
    <row r="2" spans="1:14">
      <c r="A2" s="50">
        <v>41756.650705520835</v>
      </c>
      <c r="B2" s="49">
        <v>5</v>
      </c>
      <c r="C2" s="49">
        <v>2.5999999046325684</v>
      </c>
      <c r="D2" s="49">
        <v>0</v>
      </c>
      <c r="E2" s="54"/>
      <c r="F2" s="64">
        <v>13</v>
      </c>
      <c r="G2" s="64"/>
      <c r="H2" s="64">
        <v>1</v>
      </c>
      <c r="I2" s="48">
        <f t="shared" ref="I2:I12" si="0">VALUE(WEEKNUM(A2*1)&amp;YEAR(A2*1))</f>
        <v>182014</v>
      </c>
      <c r="J2" s="48">
        <f>TDM_DD[[#This Row],[Cumulative done story points]]</f>
        <v>5</v>
      </c>
      <c r="K2" s="48">
        <f>IF(TDM_DD[[#This Row],[Cumulative done story points]]=0,0,TDM_DD[[#This Row],[Defect Density]])</f>
        <v>2.5999999046325684</v>
      </c>
      <c r="L2" s="56">
        <f ca="1">IF(ISNUMBER(TDM_DD[[#This Row],[Ext Regression %]]),TDM_DD[[#This Row],[Ext Regression %]],IF(ISBLANK(TDM_DD[[#This Row],[Ext Regression %]]),OFFSET(TDM_DD[[#This Row],[Ext Reg]],-1,0),0))</f>
        <v>0</v>
      </c>
      <c r="M2" s="56" t="str">
        <f ca="1">IF(ISNUMBER(TDM_DD[[#This Row],[Core Regression %]]),TDM_DD[[#This Row],[Core Regression %]],IF(ISBLANK(TDM_DD[[#This Row],[Core Regression %]]),OFFSET(TDM_DD[[#This Row],[Core Reg]],-1,0),0))</f>
        <v>Core Reg</v>
      </c>
      <c r="N2" s="65">
        <f>TDM_DD[[#This Row],[Core]]/SUM(TDM_DD[[#This Row],[Ext]],TDM_DD[[#This Row],[Core]])</f>
        <v>7.1428571428571425E-2</v>
      </c>
    </row>
    <row r="3" spans="1:14">
      <c r="A3" s="50">
        <v>41763.650705520835</v>
      </c>
      <c r="B3" s="49">
        <v>5</v>
      </c>
      <c r="C3" s="49">
        <v>3.7999999523162842</v>
      </c>
      <c r="D3" s="49">
        <v>10.526315689086914</v>
      </c>
      <c r="E3" s="54"/>
      <c r="F3" s="64">
        <v>19</v>
      </c>
      <c r="G3" s="64"/>
      <c r="H3" s="64">
        <v>3</v>
      </c>
      <c r="I3" s="48">
        <f t="shared" si="0"/>
        <v>192014</v>
      </c>
      <c r="J3" s="48">
        <f>TDM_DD[[#This Row],[Cumulative done story points]]</f>
        <v>5</v>
      </c>
      <c r="K3" s="48">
        <f>IF(TDM_DD[[#This Row],[Cumulative done story points]]=0,0,TDM_DD[[#This Row],[Defect Density]])</f>
        <v>3.7999999523162842</v>
      </c>
      <c r="L3" s="56">
        <f ca="1">IF(ISNUMBER(TDM_DD[[#This Row],[Ext Regression %]]),TDM_DD[[#This Row],[Ext Regression %]],IF(ISBLANK(TDM_DD[[#This Row],[Ext Regression %]]),OFFSET(TDM_DD[[#This Row],[Ext Reg]],-1,0),0))</f>
        <v>10.526315689086914</v>
      </c>
      <c r="M3" s="56" t="str">
        <f ca="1">IF(ISNUMBER(TDM_DD[[#This Row],[Core Regression %]]),TDM_DD[[#This Row],[Core Regression %]],IF(ISBLANK(TDM_DD[[#This Row],[Core Regression %]]),OFFSET(TDM_DD[[#This Row],[Core Reg]],-1,0),0))</f>
        <v>Core Reg</v>
      </c>
      <c r="N3" s="65">
        <f>TDM_DD[[#This Row],[Core]]/SUM(TDM_DD[[#This Row],[Ext]],TDM_DD[[#This Row],[Core]])</f>
        <v>0.13636363636363635</v>
      </c>
    </row>
    <row r="4" spans="1:14">
      <c r="A4" s="50">
        <v>41770.650705520835</v>
      </c>
      <c r="B4" s="49">
        <v>5</v>
      </c>
      <c r="C4" s="49">
        <v>5.1999998092651367</v>
      </c>
      <c r="D4" s="49">
        <v>11.538461685180664</v>
      </c>
      <c r="E4" s="54"/>
      <c r="F4" s="64">
        <v>26</v>
      </c>
      <c r="G4" s="64"/>
      <c r="H4" s="64">
        <v>3</v>
      </c>
      <c r="I4" s="48">
        <f t="shared" si="0"/>
        <v>202014</v>
      </c>
      <c r="J4" s="48">
        <f>TDM_DD[[#This Row],[Cumulative done story points]]</f>
        <v>5</v>
      </c>
      <c r="K4" s="48">
        <f>IF(TDM_DD[[#This Row],[Cumulative done story points]]=0,0,TDM_DD[[#This Row],[Defect Density]])</f>
        <v>5.1999998092651367</v>
      </c>
      <c r="L4" s="56">
        <f ca="1">IF(ISNUMBER(TDM_DD[[#This Row],[Ext Regression %]]),TDM_DD[[#This Row],[Ext Regression %]],IF(ISBLANK(TDM_DD[[#This Row],[Ext Regression %]]),OFFSET(TDM_DD[[#This Row],[Ext Reg]],-1,0),0))</f>
        <v>11.538461685180664</v>
      </c>
      <c r="M4" s="56" t="str">
        <f ca="1">IF(ISNUMBER(TDM_DD[[#This Row],[Core Regression %]]),TDM_DD[[#This Row],[Core Regression %]],IF(ISBLANK(TDM_DD[[#This Row],[Core Regression %]]),OFFSET(TDM_DD[[#This Row],[Core Reg]],-1,0),0))</f>
        <v>Core Reg</v>
      </c>
      <c r="N4" s="65">
        <f>TDM_DD[[#This Row],[Core]]/SUM(TDM_DD[[#This Row],[Ext]],TDM_DD[[#This Row],[Core]])</f>
        <v>0.10344827586206896</v>
      </c>
    </row>
    <row r="5" spans="1:14">
      <c r="A5" s="50">
        <v>41777.650705520835</v>
      </c>
      <c r="B5" s="49">
        <v>16</v>
      </c>
      <c r="C5" s="49">
        <v>2.125</v>
      </c>
      <c r="D5" s="49">
        <v>20.588235855102539</v>
      </c>
      <c r="E5" s="54">
        <v>60.000003814697266</v>
      </c>
      <c r="F5" s="64">
        <v>38</v>
      </c>
      <c r="G5" s="64"/>
      <c r="H5" s="64">
        <v>5</v>
      </c>
      <c r="I5" s="48">
        <f t="shared" si="0"/>
        <v>212014</v>
      </c>
      <c r="J5" s="48">
        <f>TDM_DD[[#This Row],[Cumulative done story points]]</f>
        <v>16</v>
      </c>
      <c r="K5" s="48">
        <f>IF(TDM_DD[[#This Row],[Cumulative done story points]]=0,0,TDM_DD[[#This Row],[Defect Density]])</f>
        <v>2.125</v>
      </c>
      <c r="L5" s="56">
        <f ca="1">IF(ISNUMBER(TDM_DD[[#This Row],[Ext Regression %]]),TDM_DD[[#This Row],[Ext Regression %]],IF(ISBLANK(TDM_DD[[#This Row],[Ext Regression %]]),OFFSET(TDM_DD[[#This Row],[Ext Reg]],-1,0),0))</f>
        <v>20.588235855102539</v>
      </c>
      <c r="M5" s="56">
        <f ca="1">IF(ISNUMBER(TDM_DD[[#This Row],[Core Regression %]]),TDM_DD[[#This Row],[Core Regression %]],IF(ISBLANK(TDM_DD[[#This Row],[Core Regression %]]),OFFSET(TDM_DD[[#This Row],[Core Reg]],-1,0),0))</f>
        <v>60.000003814697266</v>
      </c>
      <c r="N5" s="65">
        <f>TDM_DD[[#This Row],[Core]]/SUM(TDM_DD[[#This Row],[Ext]],TDM_DD[[#This Row],[Core]])</f>
        <v>0.11627906976744186</v>
      </c>
    </row>
    <row r="6" spans="1:14">
      <c r="A6" s="50">
        <v>41784.650705520835</v>
      </c>
      <c r="B6" s="49">
        <v>19</v>
      </c>
      <c r="C6" s="49">
        <v>2.2105262279510498</v>
      </c>
      <c r="D6" s="49">
        <v>19.047618865966797</v>
      </c>
      <c r="E6" s="54">
        <v>40</v>
      </c>
      <c r="F6" s="64">
        <v>46</v>
      </c>
      <c r="G6" s="64"/>
      <c r="H6" s="64">
        <v>10</v>
      </c>
      <c r="I6" s="48">
        <f t="shared" si="0"/>
        <v>222014</v>
      </c>
      <c r="J6" s="48">
        <f>TDM_DD[[#This Row],[Cumulative done story points]]</f>
        <v>19</v>
      </c>
      <c r="K6" s="48">
        <f>IF(TDM_DD[[#This Row],[Cumulative done story points]]=0,0,TDM_DD[[#This Row],[Defect Density]])</f>
        <v>2.2105262279510498</v>
      </c>
      <c r="L6" s="56">
        <f ca="1">IF(ISNUMBER(TDM_DD[[#This Row],[Ext Regression %]]),TDM_DD[[#This Row],[Ext Regression %]],IF(ISBLANK(TDM_DD[[#This Row],[Ext Regression %]]),OFFSET(TDM_DD[[#This Row],[Ext Reg]],-1,0),0))</f>
        <v>19.047618865966797</v>
      </c>
      <c r="M6" s="56">
        <f ca="1">IF(ISNUMBER(TDM_DD[[#This Row],[Core Regression %]]),TDM_DD[[#This Row],[Core Regression %]],IF(ISBLANK(TDM_DD[[#This Row],[Core Regression %]]),OFFSET(TDM_DD[[#This Row],[Core Reg]],-1,0),0))</f>
        <v>40</v>
      </c>
      <c r="N6" s="65">
        <f>TDM_DD[[#This Row],[Core]]/SUM(TDM_DD[[#This Row],[Ext]],TDM_DD[[#This Row],[Core]])</f>
        <v>0.17857142857142858</v>
      </c>
    </row>
    <row r="7" spans="1:14">
      <c r="A7" s="50">
        <v>41791.650705520835</v>
      </c>
      <c r="B7" s="49">
        <v>19</v>
      </c>
      <c r="C7" s="49">
        <v>2.263157844543457</v>
      </c>
      <c r="D7" s="49">
        <v>18.604650497436523</v>
      </c>
      <c r="E7" s="54">
        <v>40</v>
      </c>
      <c r="F7" s="64">
        <v>47</v>
      </c>
      <c r="G7" s="64"/>
      <c r="H7" s="64">
        <v>10</v>
      </c>
      <c r="I7" s="48">
        <f t="shared" si="0"/>
        <v>232014</v>
      </c>
      <c r="J7" s="48">
        <f>TDM_DD[[#This Row],[Cumulative done story points]]</f>
        <v>19</v>
      </c>
      <c r="K7" s="48">
        <f>IF(TDM_DD[[#This Row],[Cumulative done story points]]=0,0,TDM_DD[[#This Row],[Defect Density]])</f>
        <v>2.263157844543457</v>
      </c>
      <c r="L7" s="56">
        <f ca="1">IF(ISNUMBER(TDM_DD[[#This Row],[Ext Regression %]]),TDM_DD[[#This Row],[Ext Regression %]],IF(ISBLANK(TDM_DD[[#This Row],[Ext Regression %]]),OFFSET(TDM_DD[[#This Row],[Ext Reg]],-1,0),0))</f>
        <v>18.604650497436523</v>
      </c>
      <c r="M7" s="56">
        <f ca="1">IF(ISNUMBER(TDM_DD[[#This Row],[Core Regression %]]),TDM_DD[[#This Row],[Core Regression %]],IF(ISBLANK(TDM_DD[[#This Row],[Core Regression %]]),OFFSET(TDM_DD[[#This Row],[Core Reg]],-1,0),0))</f>
        <v>40</v>
      </c>
      <c r="N7" s="65">
        <f>TDM_DD[[#This Row],[Core]]/SUM(TDM_DD[[#This Row],[Ext]],TDM_DD[[#This Row],[Core]])</f>
        <v>0.17543859649122806</v>
      </c>
    </row>
    <row r="8" spans="1:14">
      <c r="A8" s="50">
        <v>41798.650705520835</v>
      </c>
      <c r="B8" s="49">
        <v>19</v>
      </c>
      <c r="C8" s="49">
        <v>2.736842155456543</v>
      </c>
      <c r="D8" s="49">
        <v>19.230770111083984</v>
      </c>
      <c r="E8" s="54">
        <v>28.571430206298828</v>
      </c>
      <c r="F8" s="64">
        <v>57</v>
      </c>
      <c r="G8" s="64"/>
      <c r="H8" s="64">
        <v>14</v>
      </c>
      <c r="I8" s="48">
        <f t="shared" si="0"/>
        <v>242014</v>
      </c>
      <c r="J8" s="48">
        <f>TDM_DD[[#This Row],[Cumulative done story points]]</f>
        <v>19</v>
      </c>
      <c r="K8" s="48">
        <f>IF(TDM_DD[[#This Row],[Cumulative done story points]]=0,0,TDM_DD[[#This Row],[Defect Density]])</f>
        <v>2.736842155456543</v>
      </c>
      <c r="L8" s="56">
        <f ca="1">IF(ISNUMBER(TDM_DD[[#This Row],[Ext Regression %]]),TDM_DD[[#This Row],[Ext Regression %]],IF(ISBLANK(TDM_DD[[#This Row],[Ext Regression %]]),OFFSET(TDM_DD[[#This Row],[Ext Reg]],-1,0),0))</f>
        <v>19.230770111083984</v>
      </c>
      <c r="M8" s="56">
        <f ca="1">IF(ISNUMBER(TDM_DD[[#This Row],[Core Regression %]]),TDM_DD[[#This Row],[Core Regression %]],IF(ISBLANK(TDM_DD[[#This Row],[Core Regression %]]),OFFSET(TDM_DD[[#This Row],[Core Reg]],-1,0),0))</f>
        <v>28.571430206298828</v>
      </c>
      <c r="N8" s="65">
        <f>TDM_DD[[#This Row],[Core]]/SUM(TDM_DD[[#This Row],[Ext]],TDM_DD[[#This Row],[Core]])</f>
        <v>0.19718309859154928</v>
      </c>
    </row>
    <row r="9" spans="1:14">
      <c r="A9" s="50">
        <v>41805.650705520835</v>
      </c>
      <c r="B9" s="49">
        <v>19</v>
      </c>
      <c r="C9" s="49">
        <v>3.2105262279510498</v>
      </c>
      <c r="D9" s="49">
        <v>19.672130584716797</v>
      </c>
      <c r="E9" s="54">
        <v>27.777778625488281</v>
      </c>
      <c r="F9" s="64">
        <v>66</v>
      </c>
      <c r="G9" s="64"/>
      <c r="H9" s="64">
        <v>18</v>
      </c>
      <c r="I9" s="48">
        <f t="shared" si="0"/>
        <v>252014</v>
      </c>
      <c r="J9" s="48">
        <f>TDM_DD[[#This Row],[Cumulative done story points]]</f>
        <v>19</v>
      </c>
      <c r="K9" s="48">
        <f>IF(TDM_DD[[#This Row],[Cumulative done story points]]=0,0,TDM_DD[[#This Row],[Defect Density]])</f>
        <v>3.2105262279510498</v>
      </c>
      <c r="L9" s="56">
        <f ca="1">IF(ISNUMBER(TDM_DD[[#This Row],[Ext Regression %]]),TDM_DD[[#This Row],[Ext Regression %]],IF(ISBLANK(TDM_DD[[#This Row],[Ext Regression %]]),OFFSET(TDM_DD[[#This Row],[Ext Reg]],-1,0),0))</f>
        <v>19.672130584716797</v>
      </c>
      <c r="M9" s="56">
        <f ca="1">IF(ISNUMBER(TDM_DD[[#This Row],[Core Regression %]]),TDM_DD[[#This Row],[Core Regression %]],IF(ISBLANK(TDM_DD[[#This Row],[Core Regression %]]),OFFSET(TDM_DD[[#This Row],[Core Reg]],-1,0),0))</f>
        <v>27.777778625488281</v>
      </c>
      <c r="N9" s="65">
        <f>TDM_DD[[#This Row],[Core]]/SUM(TDM_DD[[#This Row],[Ext]],TDM_DD[[#This Row],[Core]])</f>
        <v>0.21428571428571427</v>
      </c>
    </row>
    <row r="10" spans="1:14">
      <c r="A10" s="50">
        <v>41812.650705520835</v>
      </c>
      <c r="B10" s="49">
        <v>19</v>
      </c>
      <c r="C10" s="49">
        <v>3.736842155456543</v>
      </c>
      <c r="D10" s="49">
        <v>18.309858322143555</v>
      </c>
      <c r="E10" s="54">
        <v>30.000001907348633</v>
      </c>
      <c r="F10" s="64">
        <v>78</v>
      </c>
      <c r="G10" s="64"/>
      <c r="H10" s="64">
        <v>20</v>
      </c>
      <c r="I10" s="48">
        <f t="shared" si="0"/>
        <v>262014</v>
      </c>
      <c r="J10" s="48">
        <f>TDM_DD[[#This Row],[Cumulative done story points]]</f>
        <v>19</v>
      </c>
      <c r="K10" s="48">
        <f>IF(TDM_DD[[#This Row],[Cumulative done story points]]=0,0,TDM_DD[[#This Row],[Defect Density]])</f>
        <v>3.736842155456543</v>
      </c>
      <c r="L10" s="56">
        <f ca="1">IF(ISNUMBER(TDM_DD[[#This Row],[Ext Regression %]]),TDM_DD[[#This Row],[Ext Regression %]],IF(ISBLANK(TDM_DD[[#This Row],[Ext Regression %]]),OFFSET(TDM_DD[[#This Row],[Ext Reg]],-1,0),0))</f>
        <v>18.309858322143555</v>
      </c>
      <c r="M10" s="56">
        <f ca="1">IF(ISNUMBER(TDM_DD[[#This Row],[Core Regression %]]),TDM_DD[[#This Row],[Core Regression %]],IF(ISBLANK(TDM_DD[[#This Row],[Core Regression %]]),OFFSET(TDM_DD[[#This Row],[Core Reg]],-1,0),0))</f>
        <v>30.000001907348633</v>
      </c>
      <c r="N10" s="65">
        <f>TDM_DD[[#This Row],[Core]]/SUM(TDM_DD[[#This Row],[Ext]],TDM_DD[[#This Row],[Core]])</f>
        <v>0.20408163265306123</v>
      </c>
    </row>
    <row r="11" spans="1:14">
      <c r="A11" s="50">
        <v>41819.650705520835</v>
      </c>
      <c r="B11" s="49">
        <v>19</v>
      </c>
      <c r="C11" s="49">
        <v>4.6842103004455566</v>
      </c>
      <c r="D11" s="49">
        <v>20.22471809387207</v>
      </c>
      <c r="E11" s="54">
        <v>33.333335876464844</v>
      </c>
      <c r="F11" s="64">
        <v>97</v>
      </c>
      <c r="G11" s="64"/>
      <c r="H11" s="64">
        <v>27</v>
      </c>
      <c r="I11" s="48">
        <f t="shared" si="0"/>
        <v>272014</v>
      </c>
      <c r="J11" s="48">
        <f>TDM_DD[[#This Row],[Cumulative done story points]]</f>
        <v>19</v>
      </c>
      <c r="K11" s="48">
        <f>IF(TDM_DD[[#This Row],[Cumulative done story points]]=0,0,TDM_DD[[#This Row],[Defect Density]])</f>
        <v>4.6842103004455566</v>
      </c>
      <c r="L11" s="56">
        <f ca="1">IF(ISNUMBER(TDM_DD[[#This Row],[Ext Regression %]]),TDM_DD[[#This Row],[Ext Regression %]],IF(ISBLANK(TDM_DD[[#This Row],[Ext Regression %]]),OFFSET(TDM_DD[[#This Row],[Ext Reg]],-1,0),0))</f>
        <v>20.22471809387207</v>
      </c>
      <c r="M11" s="56">
        <f ca="1">IF(ISNUMBER(TDM_DD[[#This Row],[Core Regression %]]),TDM_DD[[#This Row],[Core Regression %]],IF(ISBLANK(TDM_DD[[#This Row],[Core Regression %]]),OFFSET(TDM_DD[[#This Row],[Core Reg]],-1,0),0))</f>
        <v>33.333335876464844</v>
      </c>
      <c r="N11" s="65">
        <f>TDM_DD[[#This Row],[Core]]/SUM(TDM_DD[[#This Row],[Ext]],TDM_DD[[#This Row],[Core]])</f>
        <v>0.21774193548387097</v>
      </c>
    </row>
    <row r="12" spans="1:14">
      <c r="A12" s="50">
        <v>41826.650705520835</v>
      </c>
      <c r="B12" s="49">
        <v>19</v>
      </c>
      <c r="C12" s="49">
        <v>5.736842155456543</v>
      </c>
      <c r="D12" s="49">
        <v>18.348623275756836</v>
      </c>
      <c r="E12" s="54">
        <v>36.842105865478516</v>
      </c>
      <c r="F12" s="64">
        <v>117</v>
      </c>
      <c r="G12" s="64"/>
      <c r="H12" s="64">
        <v>38</v>
      </c>
      <c r="I12" s="48">
        <f t="shared" si="0"/>
        <v>282014</v>
      </c>
      <c r="J12" s="48">
        <f>TDM_DD[[#This Row],[Cumulative done story points]]</f>
        <v>19</v>
      </c>
      <c r="K12" s="48">
        <f>IF(TDM_DD[[#This Row],[Cumulative done story points]]=0,0,TDM_DD[[#This Row],[Defect Density]])</f>
        <v>5.736842155456543</v>
      </c>
      <c r="L12" s="56">
        <f ca="1">IF(ISNUMBER(TDM_DD[[#This Row],[Ext Regression %]]),TDM_DD[[#This Row],[Ext Regression %]],IF(ISBLANK(TDM_DD[[#This Row],[Ext Regression %]]),OFFSET(TDM_DD[[#This Row],[Ext Reg]],-1,0),0))</f>
        <v>18.348623275756836</v>
      </c>
      <c r="M12" s="56">
        <f ca="1">IF(ISNUMBER(TDM_DD[[#This Row],[Core Regression %]]),TDM_DD[[#This Row],[Core Regression %]],IF(ISBLANK(TDM_DD[[#This Row],[Core Regression %]]),OFFSET(TDM_DD[[#This Row],[Core Reg]],-1,0),0))</f>
        <v>36.842105865478516</v>
      </c>
      <c r="N12" s="65">
        <f>TDM_DD[[#This Row],[Core]]/SUM(TDM_DD[[#This Row],[Ext]],TDM_DD[[#This Row],[Core]])</f>
        <v>0.24516129032258063</v>
      </c>
    </row>
    <row r="13" spans="1:14">
      <c r="L13" s="56"/>
      <c r="M13" s="56"/>
    </row>
    <row r="14" spans="1:14">
      <c r="L14" s="56"/>
      <c r="M14" s="56"/>
    </row>
    <row r="15" spans="1:14">
      <c r="L15" s="56"/>
      <c r="M15" s="56"/>
    </row>
    <row r="16" spans="1:14">
      <c r="L16" s="56"/>
      <c r="M16" s="56"/>
    </row>
    <row r="17" spans="12:13">
      <c r="L17" s="56"/>
      <c r="M17" s="56"/>
    </row>
    <row r="18" spans="12:13">
      <c r="L18" s="56"/>
      <c r="M18" s="56"/>
    </row>
    <row r="19" spans="12:13">
      <c r="L19" s="56"/>
      <c r="M19" s="56"/>
    </row>
    <row r="20" spans="12:13">
      <c r="L20" s="56"/>
      <c r="M20" s="56"/>
    </row>
    <row r="21" spans="12:13">
      <c r="L21" s="56"/>
      <c r="M21" s="56"/>
    </row>
    <row r="22" spans="12:13">
      <c r="L22" s="56"/>
      <c r="M22" s="5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54"/>
  <sheetViews>
    <sheetView zoomScale="80" zoomScaleNormal="80" workbookViewId="0">
      <selection activeCell="H2" sqref="H2:H53"/>
    </sheetView>
  </sheetViews>
  <sheetFormatPr defaultRowHeight="15"/>
  <cols>
    <col min="1" max="1" width="15.5703125" customWidth="1"/>
    <col min="2" max="2" width="29.42578125" customWidth="1"/>
    <col min="3" max="3" width="16.28515625" bestFit="1" customWidth="1"/>
    <col min="4" max="4" width="18.85546875" bestFit="1" customWidth="1"/>
    <col min="5" max="5" width="25.28515625" customWidth="1"/>
    <col min="9" max="9" width="13.28515625" bestFit="1" customWidth="1"/>
    <col min="10" max="10" width="10.7109375" bestFit="1" customWidth="1"/>
    <col min="12" max="12" width="10.7109375" bestFit="1" customWidth="1"/>
  </cols>
  <sheetData>
    <row r="1" spans="1:14">
      <c r="A1" s="49" t="s">
        <v>33</v>
      </c>
      <c r="B1" s="49" t="s">
        <v>32</v>
      </c>
      <c r="C1" s="49" t="s">
        <v>31</v>
      </c>
      <c r="D1" s="49" t="s">
        <v>48</v>
      </c>
      <c r="E1" s="49" t="s">
        <v>49</v>
      </c>
      <c r="F1" s="55" t="s">
        <v>78</v>
      </c>
      <c r="G1" s="52" t="s">
        <v>81</v>
      </c>
      <c r="H1" s="55" t="s">
        <v>79</v>
      </c>
      <c r="I1" s="52" t="s">
        <v>16</v>
      </c>
      <c r="J1" s="52" t="s">
        <v>30</v>
      </c>
      <c r="K1" s="52" t="s">
        <v>29</v>
      </c>
      <c r="L1" s="52" t="s">
        <v>50</v>
      </c>
      <c r="M1" s="52" t="s">
        <v>51</v>
      </c>
      <c r="N1" s="55" t="s">
        <v>80</v>
      </c>
    </row>
    <row r="2" spans="1:14">
      <c r="A2" s="50">
        <v>41471.330667442133</v>
      </c>
      <c r="B2" s="49">
        <v>45</v>
      </c>
      <c r="C2" s="49">
        <v>0.26666668057441711</v>
      </c>
      <c r="D2" s="49">
        <v>0</v>
      </c>
      <c r="E2" s="54">
        <v>0</v>
      </c>
      <c r="F2" s="55">
        <v>13</v>
      </c>
      <c r="G2" s="55"/>
      <c r="H2" s="55">
        <v>1</v>
      </c>
      <c r="I2" s="51">
        <f t="shared" ref="I2:I33" si="0">VALUE(WEEKNUM(A2*1)&amp;YEAR(A2*1))</f>
        <v>292013</v>
      </c>
      <c r="J2" s="48">
        <f>Coles_DD[[#This Row],[Cumulative done story points]]</f>
        <v>45</v>
      </c>
      <c r="K2" s="48">
        <f>IF(Coles_DD[[#This Row],[Cumulative done story points]]=0,0,Coles_DD[[#This Row],[Defect Density]])</f>
        <v>0.26666668057441711</v>
      </c>
      <c r="L2" s="56">
        <f ca="1">IF(ISNUMBER(Coles_DD[[#This Row],[Ext Regression %]]),Coles_DD[[#This Row],[Ext Regression %]],IF(ISBLANK(Coles_DD[[#This Row],[Ext Regression %]]),OFFSET(Coles_DD[[#This Row],[Ext Reg]],-1,0),0))</f>
        <v>0</v>
      </c>
      <c r="M2" s="56">
        <f ca="1">IF(ISNUMBER(Coles_DD[[#This Row],[Core Regression %]]),Coles_DD[[#This Row],[Core Regression %]],IF(ISBLANK(Coles_DD[[#This Row],[Core Regression %]]),OFFSET(Coles_DD[[#This Row],[Core Reg]],-1,0),0))</f>
        <v>0</v>
      </c>
      <c r="N2" s="65">
        <f>Coles_DD[[#This Row],[Core]]/SUM(Coles_DD[[#This Row],[Ext]],Coles_DD[[#This Row],[Core]])</f>
        <v>7.1428571428571425E-2</v>
      </c>
    </row>
    <row r="3" spans="1:14">
      <c r="A3" s="50">
        <v>41478.330667442133</v>
      </c>
      <c r="B3" s="49">
        <v>62</v>
      </c>
      <c r="C3" s="49">
        <v>0.25806450843811035</v>
      </c>
      <c r="D3" s="49">
        <v>0</v>
      </c>
      <c r="E3" s="54">
        <v>0</v>
      </c>
      <c r="F3" s="55">
        <v>20</v>
      </c>
      <c r="G3" s="55"/>
      <c r="H3" s="55">
        <v>2</v>
      </c>
      <c r="I3" s="51">
        <f t="shared" si="0"/>
        <v>302013</v>
      </c>
      <c r="J3" s="48">
        <f>Coles_DD[[#This Row],[Cumulative done story points]]</f>
        <v>62</v>
      </c>
      <c r="K3" s="48">
        <f>IF(Coles_DD[[#This Row],[Cumulative done story points]]=0,0,Coles_DD[[#This Row],[Defect Density]])</f>
        <v>0.25806450843811035</v>
      </c>
      <c r="L3" s="56">
        <f ca="1">IF(ISNUMBER(Coles_DD[[#This Row],[Ext Regression %]]),Coles_DD[[#This Row],[Ext Regression %]],IF(ISBLANK(Coles_DD[[#This Row],[Ext Regression %]]),OFFSET(Coles_DD[[#This Row],[Ext Reg]],-1,0),0))</f>
        <v>0</v>
      </c>
      <c r="M3" s="56">
        <f ca="1">IF(ISNUMBER(Coles_DD[[#This Row],[Core Regression %]]),Coles_DD[[#This Row],[Core Regression %]],IF(ISBLANK(Coles_DD[[#This Row],[Core Regression %]]),OFFSET(Coles_DD[[#This Row],[Core Reg]],-1,0),0))</f>
        <v>0</v>
      </c>
      <c r="N3" s="65">
        <f>Coles_DD[[#This Row],[Core]]/SUM(Coles_DD[[#This Row],[Ext]],Coles_DD[[#This Row],[Core]])</f>
        <v>9.0909090909090912E-2</v>
      </c>
    </row>
    <row r="4" spans="1:14">
      <c r="A4" s="50">
        <v>41485.330667442133</v>
      </c>
      <c r="B4" s="49">
        <v>86</v>
      </c>
      <c r="C4" s="49">
        <v>0.20930232107639313</v>
      </c>
      <c r="D4" s="49">
        <v>0</v>
      </c>
      <c r="E4" s="54">
        <v>0</v>
      </c>
      <c r="F4" s="55">
        <v>23</v>
      </c>
      <c r="G4" s="55"/>
      <c r="H4" s="55">
        <v>2</v>
      </c>
      <c r="I4" s="51">
        <f t="shared" si="0"/>
        <v>312013</v>
      </c>
      <c r="J4" s="48">
        <f>Coles_DD[[#This Row],[Cumulative done story points]]</f>
        <v>86</v>
      </c>
      <c r="K4" s="48">
        <f>IF(Coles_DD[[#This Row],[Cumulative done story points]]=0,0,Coles_DD[[#This Row],[Defect Density]])</f>
        <v>0.20930232107639313</v>
      </c>
      <c r="L4" s="56">
        <f ca="1">IF(ISNUMBER(Coles_DD[[#This Row],[Ext Regression %]]),Coles_DD[[#This Row],[Ext Regression %]],IF(ISBLANK(Coles_DD[[#This Row],[Ext Regression %]]),OFFSET(Coles_DD[[#This Row],[Ext Reg]],-1,0),0))</f>
        <v>0</v>
      </c>
      <c r="M4" s="56">
        <f ca="1">IF(ISNUMBER(Coles_DD[[#This Row],[Core Regression %]]),Coles_DD[[#This Row],[Core Regression %]],IF(ISBLANK(Coles_DD[[#This Row],[Core Regression %]]),OFFSET(Coles_DD[[#This Row],[Core Reg]],-1,0),0))</f>
        <v>0</v>
      </c>
      <c r="N4" s="65">
        <f>Coles_DD[[#This Row],[Core]]/SUM(Coles_DD[[#This Row],[Ext]],Coles_DD[[#This Row],[Core]])</f>
        <v>0.08</v>
      </c>
    </row>
    <row r="5" spans="1:14">
      <c r="A5" s="50">
        <v>41492.330667442133</v>
      </c>
      <c r="B5" s="49">
        <v>120</v>
      </c>
      <c r="C5" s="49">
        <v>0.24166665971279144</v>
      </c>
      <c r="D5" s="49">
        <v>0</v>
      </c>
      <c r="E5" s="54">
        <v>0</v>
      </c>
      <c r="F5" s="55">
        <v>37</v>
      </c>
      <c r="G5" s="55"/>
      <c r="H5" s="55">
        <v>7</v>
      </c>
      <c r="I5" s="51">
        <f t="shared" si="0"/>
        <v>322013</v>
      </c>
      <c r="J5" s="48">
        <f>Coles_DD[[#This Row],[Cumulative done story points]]</f>
        <v>120</v>
      </c>
      <c r="K5" s="48">
        <f>IF(Coles_DD[[#This Row],[Cumulative done story points]]=0,0,Coles_DD[[#This Row],[Defect Density]])</f>
        <v>0.24166665971279144</v>
      </c>
      <c r="L5" s="56">
        <f ca="1">IF(ISNUMBER(Coles_DD[[#This Row],[Ext Regression %]]),Coles_DD[[#This Row],[Ext Regression %]],IF(ISBLANK(Coles_DD[[#This Row],[Ext Regression %]]),OFFSET(Coles_DD[[#This Row],[Ext Reg]],-1,0),0))</f>
        <v>0</v>
      </c>
      <c r="M5" s="56">
        <f ca="1">IF(ISNUMBER(Coles_DD[[#This Row],[Core Regression %]]),Coles_DD[[#This Row],[Core Regression %]],IF(ISBLANK(Coles_DD[[#This Row],[Core Regression %]]),OFFSET(Coles_DD[[#This Row],[Core Reg]],-1,0),0))</f>
        <v>0</v>
      </c>
      <c r="N5" s="65">
        <f>Coles_DD[[#This Row],[Core]]/SUM(Coles_DD[[#This Row],[Ext]],Coles_DD[[#This Row],[Core]])</f>
        <v>0.15909090909090909</v>
      </c>
    </row>
    <row r="6" spans="1:14">
      <c r="A6" s="50">
        <v>41499.330667442133</v>
      </c>
      <c r="B6" s="49">
        <v>143</v>
      </c>
      <c r="C6" s="49">
        <v>0.22377622127532959</v>
      </c>
      <c r="D6" s="49">
        <v>0</v>
      </c>
      <c r="E6" s="54">
        <v>0</v>
      </c>
      <c r="F6" s="55">
        <v>40</v>
      </c>
      <c r="G6" s="55"/>
      <c r="H6" s="55">
        <v>10</v>
      </c>
      <c r="I6" s="51">
        <f t="shared" si="0"/>
        <v>332013</v>
      </c>
      <c r="J6" s="48">
        <f>Coles_DD[[#This Row],[Cumulative done story points]]</f>
        <v>143</v>
      </c>
      <c r="K6" s="48">
        <f>IF(Coles_DD[[#This Row],[Cumulative done story points]]=0,0,Coles_DD[[#This Row],[Defect Density]])</f>
        <v>0.22377622127532959</v>
      </c>
      <c r="L6" s="56">
        <f ca="1">IF(ISNUMBER(Coles_DD[[#This Row],[Ext Regression %]]),Coles_DD[[#This Row],[Ext Regression %]],IF(ISBLANK(Coles_DD[[#This Row],[Ext Regression %]]),OFFSET(Coles_DD[[#This Row],[Ext Reg]],-1,0),0))</f>
        <v>0</v>
      </c>
      <c r="M6" s="56">
        <f ca="1">IF(ISNUMBER(Coles_DD[[#This Row],[Core Regression %]]),Coles_DD[[#This Row],[Core Regression %]],IF(ISBLANK(Coles_DD[[#This Row],[Core Regression %]]),OFFSET(Coles_DD[[#This Row],[Core Reg]],-1,0),0))</f>
        <v>0</v>
      </c>
      <c r="N6" s="65">
        <f>Coles_DD[[#This Row],[Core]]/SUM(Coles_DD[[#This Row],[Ext]],Coles_DD[[#This Row],[Core]])</f>
        <v>0.2</v>
      </c>
    </row>
    <row r="7" spans="1:14">
      <c r="A7" s="50">
        <v>41506.330667442133</v>
      </c>
      <c r="B7" s="49">
        <v>181</v>
      </c>
      <c r="C7" s="49">
        <v>0.22651933133602142</v>
      </c>
      <c r="D7" s="49">
        <v>0</v>
      </c>
      <c r="E7" s="54">
        <v>0</v>
      </c>
      <c r="F7" s="55">
        <v>55</v>
      </c>
      <c r="G7" s="55"/>
      <c r="H7" s="55">
        <v>15</v>
      </c>
      <c r="I7" s="51">
        <f t="shared" si="0"/>
        <v>342013</v>
      </c>
      <c r="J7" s="48">
        <f>Coles_DD[[#This Row],[Cumulative done story points]]</f>
        <v>181</v>
      </c>
      <c r="K7" s="48">
        <f>IF(Coles_DD[[#This Row],[Cumulative done story points]]=0,0,Coles_DD[[#This Row],[Defect Density]])</f>
        <v>0.22651933133602142</v>
      </c>
      <c r="L7" s="56">
        <f ca="1">IF(ISNUMBER(Coles_DD[[#This Row],[Ext Regression %]]),Coles_DD[[#This Row],[Ext Regression %]],IF(ISBLANK(Coles_DD[[#This Row],[Ext Regression %]]),OFFSET(Coles_DD[[#This Row],[Ext Reg]],-1,0),0))</f>
        <v>0</v>
      </c>
      <c r="M7" s="56">
        <f ca="1">IF(ISNUMBER(Coles_DD[[#This Row],[Core Regression %]]),Coles_DD[[#This Row],[Core Regression %]],IF(ISBLANK(Coles_DD[[#This Row],[Core Regression %]]),OFFSET(Coles_DD[[#This Row],[Core Reg]],-1,0),0))</f>
        <v>0</v>
      </c>
      <c r="N7" s="65">
        <f>Coles_DD[[#This Row],[Core]]/SUM(Coles_DD[[#This Row],[Ext]],Coles_DD[[#This Row],[Core]])</f>
        <v>0.21428571428571427</v>
      </c>
    </row>
    <row r="8" spans="1:14">
      <c r="A8" s="50">
        <v>41513.330667442133</v>
      </c>
      <c r="B8" s="49">
        <v>205</v>
      </c>
      <c r="C8" s="49">
        <v>0.24390244483947754</v>
      </c>
      <c r="D8" s="49">
        <v>0</v>
      </c>
      <c r="E8" s="54">
        <v>0</v>
      </c>
      <c r="F8" s="55">
        <v>75</v>
      </c>
      <c r="G8" s="55"/>
      <c r="H8" s="55">
        <v>21</v>
      </c>
      <c r="I8" s="51">
        <f t="shared" si="0"/>
        <v>352013</v>
      </c>
      <c r="J8" s="48">
        <f>Coles_DD[[#This Row],[Cumulative done story points]]</f>
        <v>205</v>
      </c>
      <c r="K8" s="48">
        <f>IF(Coles_DD[[#This Row],[Cumulative done story points]]=0,0,Coles_DD[[#This Row],[Defect Density]])</f>
        <v>0.24390244483947754</v>
      </c>
      <c r="L8" s="56">
        <f ca="1">IF(ISNUMBER(Coles_DD[[#This Row],[Ext Regression %]]),Coles_DD[[#This Row],[Ext Regression %]],IF(ISBLANK(Coles_DD[[#This Row],[Ext Regression %]]),OFFSET(Coles_DD[[#This Row],[Ext Reg]],-1,0),0))</f>
        <v>0</v>
      </c>
      <c r="M8" s="56">
        <f ca="1">IF(ISNUMBER(Coles_DD[[#This Row],[Core Regression %]]),Coles_DD[[#This Row],[Core Regression %]],IF(ISBLANK(Coles_DD[[#This Row],[Core Regression %]]),OFFSET(Coles_DD[[#This Row],[Core Reg]],-1,0),0))</f>
        <v>0</v>
      </c>
      <c r="N8" s="65">
        <f>Coles_DD[[#This Row],[Core]]/SUM(Coles_DD[[#This Row],[Ext]],Coles_DD[[#This Row],[Core]])</f>
        <v>0.21875</v>
      </c>
    </row>
    <row r="9" spans="1:14">
      <c r="A9" s="50">
        <v>41520.330667442133</v>
      </c>
      <c r="B9" s="49">
        <v>227</v>
      </c>
      <c r="C9" s="49">
        <v>0.25991189479827881</v>
      </c>
      <c r="D9" s="49">
        <v>0</v>
      </c>
      <c r="E9" s="54">
        <v>0</v>
      </c>
      <c r="F9" s="55">
        <v>90</v>
      </c>
      <c r="G9" s="55"/>
      <c r="H9" s="55">
        <v>28</v>
      </c>
      <c r="I9" s="51">
        <f t="shared" si="0"/>
        <v>362013</v>
      </c>
      <c r="J9" s="48">
        <f>Coles_DD[[#This Row],[Cumulative done story points]]</f>
        <v>227</v>
      </c>
      <c r="K9" s="48">
        <f>IF(Coles_DD[[#This Row],[Cumulative done story points]]=0,0,Coles_DD[[#This Row],[Defect Density]])</f>
        <v>0.25991189479827881</v>
      </c>
      <c r="L9" s="56">
        <f ca="1">IF(ISNUMBER(Coles_DD[[#This Row],[Ext Regression %]]),Coles_DD[[#This Row],[Ext Regression %]],IF(ISBLANK(Coles_DD[[#This Row],[Ext Regression %]]),OFFSET(Coles_DD[[#This Row],[Ext Reg]],-1,0),0))</f>
        <v>0</v>
      </c>
      <c r="M9" s="56">
        <f ca="1">IF(ISNUMBER(Coles_DD[[#This Row],[Core Regression %]]),Coles_DD[[#This Row],[Core Regression %]],IF(ISBLANK(Coles_DD[[#This Row],[Core Regression %]]),OFFSET(Coles_DD[[#This Row],[Core Reg]],-1,0),0))</f>
        <v>0</v>
      </c>
      <c r="N9" s="65">
        <f>Coles_DD[[#This Row],[Core]]/SUM(Coles_DD[[#This Row],[Ext]],Coles_DD[[#This Row],[Core]])</f>
        <v>0.23728813559322035</v>
      </c>
    </row>
    <row r="10" spans="1:14">
      <c r="A10" s="50">
        <v>41527.330667442133</v>
      </c>
      <c r="B10" s="49">
        <v>255</v>
      </c>
      <c r="C10" s="49">
        <v>0.26666668057441711</v>
      </c>
      <c r="D10" s="49">
        <v>0</v>
      </c>
      <c r="E10" s="54">
        <v>0</v>
      </c>
      <c r="F10" s="55">
        <v>110</v>
      </c>
      <c r="G10" s="55"/>
      <c r="H10" s="55">
        <v>36</v>
      </c>
      <c r="I10" s="51">
        <f t="shared" si="0"/>
        <v>372013</v>
      </c>
      <c r="J10" s="48">
        <f>Coles_DD[[#This Row],[Cumulative done story points]]</f>
        <v>255</v>
      </c>
      <c r="K10" s="48">
        <f>IF(Coles_DD[[#This Row],[Cumulative done story points]]=0,0,Coles_DD[[#This Row],[Defect Density]])</f>
        <v>0.26666668057441711</v>
      </c>
      <c r="L10" s="56">
        <f ca="1">IF(ISNUMBER(Coles_DD[[#This Row],[Ext Regression %]]),Coles_DD[[#This Row],[Ext Regression %]],IF(ISBLANK(Coles_DD[[#This Row],[Ext Regression %]]),OFFSET(Coles_DD[[#This Row],[Ext Reg]],-1,0),0))</f>
        <v>0</v>
      </c>
      <c r="M10" s="56">
        <f ca="1">IF(ISNUMBER(Coles_DD[[#This Row],[Core Regression %]]),Coles_DD[[#This Row],[Core Regression %]],IF(ISBLANK(Coles_DD[[#This Row],[Core Regression %]]),OFFSET(Coles_DD[[#This Row],[Core Reg]],-1,0),0))</f>
        <v>0</v>
      </c>
      <c r="N10" s="65">
        <f>Coles_DD[[#This Row],[Core]]/SUM(Coles_DD[[#This Row],[Ext]],Coles_DD[[#This Row],[Core]])</f>
        <v>0.24657534246575341</v>
      </c>
    </row>
    <row r="11" spans="1:14">
      <c r="A11" s="50">
        <v>41534.330667442133</v>
      </c>
      <c r="B11" s="49">
        <v>290</v>
      </c>
      <c r="C11" s="49">
        <v>0.31034481525421143</v>
      </c>
      <c r="D11" s="49">
        <v>0</v>
      </c>
      <c r="E11" s="54">
        <v>0</v>
      </c>
      <c r="F11" s="55">
        <v>145</v>
      </c>
      <c r="G11" s="55"/>
      <c r="H11" s="55">
        <v>42</v>
      </c>
      <c r="I11" s="51">
        <f t="shared" si="0"/>
        <v>382013</v>
      </c>
      <c r="J11" s="48">
        <f>Coles_DD[[#This Row],[Cumulative done story points]]</f>
        <v>290</v>
      </c>
      <c r="K11" s="48">
        <f>IF(Coles_DD[[#This Row],[Cumulative done story points]]=0,0,Coles_DD[[#This Row],[Defect Density]])</f>
        <v>0.31034481525421143</v>
      </c>
      <c r="L11" s="56">
        <f ca="1">IF(ISNUMBER(Coles_DD[[#This Row],[Ext Regression %]]),Coles_DD[[#This Row],[Ext Regression %]],IF(ISBLANK(Coles_DD[[#This Row],[Ext Regression %]]),OFFSET(Coles_DD[[#This Row],[Ext Reg]],-1,0),0))</f>
        <v>0</v>
      </c>
      <c r="M11" s="56">
        <f ca="1">IF(ISNUMBER(Coles_DD[[#This Row],[Core Regression %]]),Coles_DD[[#This Row],[Core Regression %]],IF(ISBLANK(Coles_DD[[#This Row],[Core Regression %]]),OFFSET(Coles_DD[[#This Row],[Core Reg]],-1,0),0))</f>
        <v>0</v>
      </c>
      <c r="N11" s="65">
        <f>Coles_DD[[#This Row],[Core]]/SUM(Coles_DD[[#This Row],[Ext]],Coles_DD[[#This Row],[Core]])</f>
        <v>0.22459893048128343</v>
      </c>
    </row>
    <row r="12" spans="1:14">
      <c r="A12" s="50">
        <v>41541.330667442133</v>
      </c>
      <c r="B12" s="49">
        <v>316</v>
      </c>
      <c r="C12" s="49">
        <v>0.31012657284736633</v>
      </c>
      <c r="D12" s="49">
        <v>0</v>
      </c>
      <c r="E12" s="54">
        <v>0</v>
      </c>
      <c r="F12" s="55">
        <v>169</v>
      </c>
      <c r="G12" s="55"/>
      <c r="H12" s="55">
        <v>46</v>
      </c>
      <c r="I12" s="51">
        <f t="shared" si="0"/>
        <v>392013</v>
      </c>
      <c r="J12" s="48">
        <f>Coles_DD[[#This Row],[Cumulative done story points]]</f>
        <v>316</v>
      </c>
      <c r="K12" s="48">
        <f>IF(Coles_DD[[#This Row],[Cumulative done story points]]=0,0,Coles_DD[[#This Row],[Defect Density]])</f>
        <v>0.31012657284736633</v>
      </c>
      <c r="L12" s="56">
        <f ca="1">IF(ISNUMBER(Coles_DD[[#This Row],[Ext Regression %]]),Coles_DD[[#This Row],[Ext Regression %]],IF(ISBLANK(Coles_DD[[#This Row],[Ext Regression %]]),OFFSET(Coles_DD[[#This Row],[Ext Reg]],-1,0),0))</f>
        <v>0</v>
      </c>
      <c r="M12" s="56">
        <f ca="1">IF(ISNUMBER(Coles_DD[[#This Row],[Core Regression %]]),Coles_DD[[#This Row],[Core Regression %]],IF(ISBLANK(Coles_DD[[#This Row],[Core Regression %]]),OFFSET(Coles_DD[[#This Row],[Core Reg]],-1,0),0))</f>
        <v>0</v>
      </c>
      <c r="N12" s="65">
        <f>Coles_DD[[#This Row],[Core]]/SUM(Coles_DD[[#This Row],[Ext]],Coles_DD[[#This Row],[Core]])</f>
        <v>0.21395348837209302</v>
      </c>
    </row>
    <row r="13" spans="1:14">
      <c r="A13" s="50">
        <v>41548.330667442133</v>
      </c>
      <c r="B13" s="49">
        <v>360</v>
      </c>
      <c r="C13" s="49">
        <v>0.34444445371627808</v>
      </c>
      <c r="D13" s="49">
        <v>0</v>
      </c>
      <c r="E13" s="54">
        <v>0</v>
      </c>
      <c r="F13" s="55">
        <v>207</v>
      </c>
      <c r="G13" s="55"/>
      <c r="H13" s="55">
        <v>49</v>
      </c>
      <c r="I13" s="51">
        <f t="shared" si="0"/>
        <v>402013</v>
      </c>
      <c r="J13" s="48">
        <f>Coles_DD[[#This Row],[Cumulative done story points]]</f>
        <v>360</v>
      </c>
      <c r="K13" s="48">
        <f>IF(Coles_DD[[#This Row],[Cumulative done story points]]=0,0,Coles_DD[[#This Row],[Defect Density]])</f>
        <v>0.34444445371627808</v>
      </c>
      <c r="L13" s="56">
        <f ca="1">IF(ISNUMBER(Coles_DD[[#This Row],[Ext Regression %]]),Coles_DD[[#This Row],[Ext Regression %]],IF(ISBLANK(Coles_DD[[#This Row],[Ext Regression %]]),OFFSET(Coles_DD[[#This Row],[Ext Reg]],-1,0),0))</f>
        <v>0</v>
      </c>
      <c r="M13" s="56">
        <f ca="1">IF(ISNUMBER(Coles_DD[[#This Row],[Core Regression %]]),Coles_DD[[#This Row],[Core Regression %]],IF(ISBLANK(Coles_DD[[#This Row],[Core Regression %]]),OFFSET(Coles_DD[[#This Row],[Core Reg]],-1,0),0))</f>
        <v>0</v>
      </c>
      <c r="N13" s="65">
        <f>Coles_DD[[#This Row],[Core]]/SUM(Coles_DD[[#This Row],[Ext]],Coles_DD[[#This Row],[Core]])</f>
        <v>0.19140625</v>
      </c>
    </row>
    <row r="14" spans="1:14">
      <c r="A14" s="50">
        <v>41555.330667442133</v>
      </c>
      <c r="B14" s="49">
        <v>438</v>
      </c>
      <c r="C14" s="49">
        <v>0.3059360682964325</v>
      </c>
      <c r="D14" s="49">
        <v>0</v>
      </c>
      <c r="E14" s="54">
        <v>0</v>
      </c>
      <c r="F14" s="55">
        <v>220</v>
      </c>
      <c r="G14" s="55"/>
      <c r="H14" s="55">
        <v>57</v>
      </c>
      <c r="I14" s="51">
        <f t="shared" si="0"/>
        <v>412013</v>
      </c>
      <c r="J14" s="48">
        <f>Coles_DD[[#This Row],[Cumulative done story points]]</f>
        <v>438</v>
      </c>
      <c r="K14" s="48">
        <f>IF(Coles_DD[[#This Row],[Cumulative done story points]]=0,0,Coles_DD[[#This Row],[Defect Density]])</f>
        <v>0.3059360682964325</v>
      </c>
      <c r="L14" s="56">
        <f ca="1">IF(ISNUMBER(Coles_DD[[#This Row],[Ext Regression %]]),Coles_DD[[#This Row],[Ext Regression %]],IF(ISBLANK(Coles_DD[[#This Row],[Ext Regression %]]),OFFSET(Coles_DD[[#This Row],[Ext Reg]],-1,0),0))</f>
        <v>0</v>
      </c>
      <c r="M14" s="56">
        <f ca="1">IF(ISNUMBER(Coles_DD[[#This Row],[Core Regression %]]),Coles_DD[[#This Row],[Core Regression %]],IF(ISBLANK(Coles_DD[[#This Row],[Core Regression %]]),OFFSET(Coles_DD[[#This Row],[Core Reg]],-1,0),0))</f>
        <v>0</v>
      </c>
      <c r="N14" s="65">
        <f>Coles_DD[[#This Row],[Core]]/SUM(Coles_DD[[#This Row],[Ext]],Coles_DD[[#This Row],[Core]])</f>
        <v>0.20577617328519857</v>
      </c>
    </row>
    <row r="15" spans="1:14">
      <c r="A15" s="50">
        <v>41562.330667442133</v>
      </c>
      <c r="B15" s="49">
        <v>490</v>
      </c>
      <c r="C15" s="49">
        <v>0.30408161878585815</v>
      </c>
      <c r="D15" s="49">
        <v>0</v>
      </c>
      <c r="E15" s="54">
        <v>0</v>
      </c>
      <c r="F15" s="55">
        <v>246</v>
      </c>
      <c r="G15" s="55"/>
      <c r="H15" s="55">
        <v>59</v>
      </c>
      <c r="I15" s="51">
        <f t="shared" si="0"/>
        <v>422013</v>
      </c>
      <c r="J15" s="48">
        <f>Coles_DD[[#This Row],[Cumulative done story points]]</f>
        <v>490</v>
      </c>
      <c r="K15" s="48">
        <f>IF(Coles_DD[[#This Row],[Cumulative done story points]]=0,0,Coles_DD[[#This Row],[Defect Density]])</f>
        <v>0.30408161878585815</v>
      </c>
      <c r="L15" s="56">
        <f ca="1">IF(ISNUMBER(Coles_DD[[#This Row],[Ext Regression %]]),Coles_DD[[#This Row],[Ext Regression %]],IF(ISBLANK(Coles_DD[[#This Row],[Ext Regression %]]),OFFSET(Coles_DD[[#This Row],[Ext Reg]],-1,0),0))</f>
        <v>0</v>
      </c>
      <c r="M15" s="56">
        <f ca="1">IF(ISNUMBER(Coles_DD[[#This Row],[Core Regression %]]),Coles_DD[[#This Row],[Core Regression %]],IF(ISBLANK(Coles_DD[[#This Row],[Core Regression %]]),OFFSET(Coles_DD[[#This Row],[Core Reg]],-1,0),0))</f>
        <v>0</v>
      </c>
      <c r="N15" s="65">
        <f>Coles_DD[[#This Row],[Core]]/SUM(Coles_DD[[#This Row],[Ext]],Coles_DD[[#This Row],[Core]])</f>
        <v>0.19344262295081968</v>
      </c>
    </row>
    <row r="16" spans="1:14">
      <c r="A16" s="50">
        <v>41569.330667442133</v>
      </c>
      <c r="B16" s="49">
        <v>515</v>
      </c>
      <c r="C16" s="49">
        <v>0.31844660639762878</v>
      </c>
      <c r="D16" s="49">
        <v>0</v>
      </c>
      <c r="E16" s="54">
        <v>0</v>
      </c>
      <c r="F16" s="55">
        <v>274</v>
      </c>
      <c r="G16" s="55"/>
      <c r="H16" s="55">
        <v>70</v>
      </c>
      <c r="I16" s="51">
        <f t="shared" si="0"/>
        <v>432013</v>
      </c>
      <c r="J16" s="48">
        <f>Coles_DD[[#This Row],[Cumulative done story points]]</f>
        <v>515</v>
      </c>
      <c r="K16" s="48">
        <f>IF(Coles_DD[[#This Row],[Cumulative done story points]]=0,0,Coles_DD[[#This Row],[Defect Density]])</f>
        <v>0.31844660639762878</v>
      </c>
      <c r="L16" s="56">
        <f ca="1">IF(ISNUMBER(Coles_DD[[#This Row],[Ext Regression %]]),Coles_DD[[#This Row],[Ext Regression %]],IF(ISBLANK(Coles_DD[[#This Row],[Ext Regression %]]),OFFSET(Coles_DD[[#This Row],[Ext Reg]],-1,0),0))</f>
        <v>0</v>
      </c>
      <c r="M16" s="56">
        <f ca="1">IF(ISNUMBER(Coles_DD[[#This Row],[Core Regression %]]),Coles_DD[[#This Row],[Core Regression %]],IF(ISBLANK(Coles_DD[[#This Row],[Core Regression %]]),OFFSET(Coles_DD[[#This Row],[Core Reg]],-1,0),0))</f>
        <v>0</v>
      </c>
      <c r="N16" s="65">
        <f>Coles_DD[[#This Row],[Core]]/SUM(Coles_DD[[#This Row],[Ext]],Coles_DD[[#This Row],[Core]])</f>
        <v>0.20348837209302326</v>
      </c>
    </row>
    <row r="17" spans="1:14">
      <c r="A17" s="50">
        <v>41576.330667442133</v>
      </c>
      <c r="B17" s="49">
        <v>584</v>
      </c>
      <c r="C17" s="49">
        <v>0.33390411734580994</v>
      </c>
      <c r="D17" s="49">
        <v>0</v>
      </c>
      <c r="E17" s="54">
        <v>0</v>
      </c>
      <c r="F17" s="55">
        <v>314</v>
      </c>
      <c r="G17" s="55"/>
      <c r="H17" s="55">
        <v>79</v>
      </c>
      <c r="I17" s="51">
        <f t="shared" si="0"/>
        <v>442013</v>
      </c>
      <c r="J17" s="48">
        <f>Coles_DD[[#This Row],[Cumulative done story points]]</f>
        <v>584</v>
      </c>
      <c r="K17" s="48">
        <f>IF(Coles_DD[[#This Row],[Cumulative done story points]]=0,0,Coles_DD[[#This Row],[Defect Density]])</f>
        <v>0.33390411734580994</v>
      </c>
      <c r="L17" s="56">
        <f ca="1">IF(ISNUMBER(Coles_DD[[#This Row],[Ext Regression %]]),Coles_DD[[#This Row],[Ext Regression %]],IF(ISBLANK(Coles_DD[[#This Row],[Ext Regression %]]),OFFSET(Coles_DD[[#This Row],[Ext Reg]],-1,0),0))</f>
        <v>0</v>
      </c>
      <c r="M17" s="56">
        <f ca="1">IF(ISNUMBER(Coles_DD[[#This Row],[Core Regression %]]),Coles_DD[[#This Row],[Core Regression %]],IF(ISBLANK(Coles_DD[[#This Row],[Core Regression %]]),OFFSET(Coles_DD[[#This Row],[Core Reg]],-1,0),0))</f>
        <v>0</v>
      </c>
      <c r="N17" s="65">
        <f>Coles_DD[[#This Row],[Core]]/SUM(Coles_DD[[#This Row],[Ext]],Coles_DD[[#This Row],[Core]])</f>
        <v>0.2010178117048346</v>
      </c>
    </row>
    <row r="18" spans="1:14">
      <c r="A18" s="50">
        <v>41583.330667442133</v>
      </c>
      <c r="B18" s="49">
        <v>618</v>
      </c>
      <c r="C18" s="49">
        <v>0.37702265381813049</v>
      </c>
      <c r="D18" s="49">
        <v>0</v>
      </c>
      <c r="E18" s="49">
        <v>0</v>
      </c>
      <c r="F18" s="55">
        <v>365</v>
      </c>
      <c r="G18" s="55"/>
      <c r="H18" s="55">
        <v>86</v>
      </c>
      <c r="I18" s="51">
        <f t="shared" si="0"/>
        <v>452013</v>
      </c>
      <c r="J18" s="48">
        <f>Coles_DD[[#This Row],[Cumulative done story points]]</f>
        <v>618</v>
      </c>
      <c r="K18" s="48">
        <f>IF(Coles_DD[[#This Row],[Cumulative done story points]]=0,0,Coles_DD[[#This Row],[Defect Density]])</f>
        <v>0.37702265381813049</v>
      </c>
      <c r="L18" s="56">
        <f ca="1">IF(ISNUMBER(Coles_DD[[#This Row],[Ext Regression %]]),Coles_DD[[#This Row],[Ext Regression %]],IF(ISBLANK(Coles_DD[[#This Row],[Ext Regression %]]),OFFSET(Coles_DD[[#This Row],[Ext Reg]],-1,0),0))</f>
        <v>0</v>
      </c>
      <c r="M18" s="56">
        <f ca="1">IF(ISNUMBER(Coles_DD[[#This Row],[Core Regression %]]),Coles_DD[[#This Row],[Core Regression %]],IF(ISBLANK(Coles_DD[[#This Row],[Core Regression %]]),OFFSET(Coles_DD[[#This Row],[Core Reg]],-1,0),0))</f>
        <v>0</v>
      </c>
      <c r="N18" s="65">
        <f>Coles_DD[[#This Row],[Core]]/SUM(Coles_DD[[#This Row],[Ext]],Coles_DD[[#This Row],[Core]])</f>
        <v>0.19068736141906872</v>
      </c>
    </row>
    <row r="19" spans="1:14">
      <c r="A19" s="50">
        <v>41590.330667442133</v>
      </c>
      <c r="B19" s="49">
        <v>697</v>
      </c>
      <c r="C19" s="49">
        <v>0.38593974709510803</v>
      </c>
      <c r="D19" s="49">
        <v>0</v>
      </c>
      <c r="E19" s="49">
        <v>0</v>
      </c>
      <c r="F19" s="55">
        <v>413</v>
      </c>
      <c r="G19" s="55"/>
      <c r="H19" s="55">
        <v>96</v>
      </c>
      <c r="I19" s="51">
        <f t="shared" si="0"/>
        <v>462013</v>
      </c>
      <c r="J19" s="48">
        <f>Coles_DD[[#This Row],[Cumulative done story points]]</f>
        <v>697</v>
      </c>
      <c r="K19" s="48">
        <f>IF(Coles_DD[[#This Row],[Cumulative done story points]]=0,0,Coles_DD[[#This Row],[Defect Density]])</f>
        <v>0.38593974709510803</v>
      </c>
      <c r="L19" s="56">
        <f ca="1">IF(ISNUMBER(Coles_DD[[#This Row],[Ext Regression %]]),Coles_DD[[#This Row],[Ext Regression %]],IF(ISBLANK(Coles_DD[[#This Row],[Ext Regression %]]),OFFSET(Coles_DD[[#This Row],[Ext Reg]],-1,0),0))</f>
        <v>0</v>
      </c>
      <c r="M19" s="56">
        <f ca="1">IF(ISNUMBER(Coles_DD[[#This Row],[Core Regression %]]),Coles_DD[[#This Row],[Core Regression %]],IF(ISBLANK(Coles_DD[[#This Row],[Core Regression %]]),OFFSET(Coles_DD[[#This Row],[Core Reg]],-1,0),0))</f>
        <v>0</v>
      </c>
      <c r="N19" s="65">
        <f>Coles_DD[[#This Row],[Core]]/SUM(Coles_DD[[#This Row],[Ext]],Coles_DD[[#This Row],[Core]])</f>
        <v>0.18860510805500982</v>
      </c>
    </row>
    <row r="20" spans="1:14">
      <c r="A20" s="50">
        <v>41597.330667442133</v>
      </c>
      <c r="B20" s="49">
        <v>704</v>
      </c>
      <c r="C20" s="49">
        <v>0.43465909361839294</v>
      </c>
      <c r="D20" s="49">
        <v>0</v>
      </c>
      <c r="E20" s="49">
        <v>0</v>
      </c>
      <c r="F20" s="55">
        <v>463</v>
      </c>
      <c r="G20" s="55"/>
      <c r="H20" s="55">
        <v>105</v>
      </c>
      <c r="I20" s="51">
        <f t="shared" si="0"/>
        <v>472013</v>
      </c>
      <c r="J20" s="48">
        <f>Coles_DD[[#This Row],[Cumulative done story points]]</f>
        <v>704</v>
      </c>
      <c r="K20" s="48">
        <f>IF(Coles_DD[[#This Row],[Cumulative done story points]]=0,0,Coles_DD[[#This Row],[Defect Density]])</f>
        <v>0.43465909361839294</v>
      </c>
      <c r="L20" s="56">
        <f ca="1">IF(ISNUMBER(Coles_DD[[#This Row],[Ext Regression %]]),Coles_DD[[#This Row],[Ext Regression %]],IF(ISBLANK(Coles_DD[[#This Row],[Ext Regression %]]),OFFSET(Coles_DD[[#This Row],[Ext Reg]],-1,0),0))</f>
        <v>0</v>
      </c>
      <c r="M20" s="56">
        <f ca="1">IF(ISNUMBER(Coles_DD[[#This Row],[Core Regression %]]),Coles_DD[[#This Row],[Core Regression %]],IF(ISBLANK(Coles_DD[[#This Row],[Core Regression %]]),OFFSET(Coles_DD[[#This Row],[Core Reg]],-1,0),0))</f>
        <v>0</v>
      </c>
      <c r="N20" s="65">
        <f>Coles_DD[[#This Row],[Core]]/SUM(Coles_DD[[#This Row],[Ext]],Coles_DD[[#This Row],[Core]])</f>
        <v>0.18485915492957747</v>
      </c>
    </row>
    <row r="21" spans="1:14">
      <c r="A21" s="50">
        <v>41604.330667442133</v>
      </c>
      <c r="B21" s="49">
        <v>763</v>
      </c>
      <c r="C21" s="49">
        <v>0.45085188746452332</v>
      </c>
      <c r="D21" s="49">
        <v>0</v>
      </c>
      <c r="E21" s="49">
        <v>0</v>
      </c>
      <c r="F21" s="55">
        <v>513</v>
      </c>
      <c r="G21" s="55"/>
      <c r="H21" s="55">
        <v>116</v>
      </c>
      <c r="I21" s="51">
        <f t="shared" si="0"/>
        <v>482013</v>
      </c>
      <c r="J21" s="48">
        <f>Coles_DD[[#This Row],[Cumulative done story points]]</f>
        <v>763</v>
      </c>
      <c r="K21" s="48">
        <f>IF(Coles_DD[[#This Row],[Cumulative done story points]]=0,0,Coles_DD[[#This Row],[Defect Density]])</f>
        <v>0.45085188746452332</v>
      </c>
      <c r="L21" s="56">
        <f ca="1">IF(ISNUMBER(Coles_DD[[#This Row],[Ext Regression %]]),Coles_DD[[#This Row],[Ext Regression %]],IF(ISBLANK(Coles_DD[[#This Row],[Ext Regression %]]),OFFSET(Coles_DD[[#This Row],[Ext Reg]],-1,0),0))</f>
        <v>0</v>
      </c>
      <c r="M21" s="56">
        <f ca="1">IF(ISNUMBER(Coles_DD[[#This Row],[Core Regression %]]),Coles_DD[[#This Row],[Core Regression %]],IF(ISBLANK(Coles_DD[[#This Row],[Core Regression %]]),OFFSET(Coles_DD[[#This Row],[Core Reg]],-1,0),0))</f>
        <v>0</v>
      </c>
      <c r="N21" s="65">
        <f>Coles_DD[[#This Row],[Core]]/SUM(Coles_DD[[#This Row],[Ext]],Coles_DD[[#This Row],[Core]])</f>
        <v>0.18441971383147854</v>
      </c>
    </row>
    <row r="22" spans="1:14">
      <c r="A22" s="50">
        <v>41611.330667442133</v>
      </c>
      <c r="B22" s="49">
        <v>770</v>
      </c>
      <c r="C22" s="49">
        <v>0.45974025130271912</v>
      </c>
      <c r="D22" s="49">
        <v>0</v>
      </c>
      <c r="E22" s="49">
        <v>0</v>
      </c>
      <c r="F22" s="55">
        <v>527</v>
      </c>
      <c r="G22" s="55"/>
      <c r="H22" s="55">
        <v>120</v>
      </c>
      <c r="I22" s="51">
        <f t="shared" si="0"/>
        <v>492013</v>
      </c>
      <c r="J22" s="48">
        <f>Coles_DD[[#This Row],[Cumulative done story points]]</f>
        <v>770</v>
      </c>
      <c r="K22" s="48">
        <f>IF(Coles_DD[[#This Row],[Cumulative done story points]]=0,0,Coles_DD[[#This Row],[Defect Density]])</f>
        <v>0.45974025130271912</v>
      </c>
      <c r="L22" s="56">
        <f ca="1">IF(ISNUMBER(Coles_DD[[#This Row],[Ext Regression %]]),Coles_DD[[#This Row],[Ext Regression %]],IF(ISBLANK(Coles_DD[[#This Row],[Ext Regression %]]),OFFSET(Coles_DD[[#This Row],[Ext Reg]],-1,0),0))</f>
        <v>0</v>
      </c>
      <c r="M22" s="56">
        <f ca="1">IF(ISNUMBER(Coles_DD[[#This Row],[Core Regression %]]),Coles_DD[[#This Row],[Core Regression %]],IF(ISBLANK(Coles_DD[[#This Row],[Core Regression %]]),OFFSET(Coles_DD[[#This Row],[Core Reg]],-1,0),0))</f>
        <v>0</v>
      </c>
      <c r="N22" s="65">
        <f>Coles_DD[[#This Row],[Core]]/SUM(Coles_DD[[#This Row],[Ext]],Coles_DD[[#This Row],[Core]])</f>
        <v>0.18547140649149924</v>
      </c>
    </row>
    <row r="23" spans="1:14">
      <c r="A23" s="50">
        <v>41618.330667442133</v>
      </c>
      <c r="B23" s="49">
        <v>851</v>
      </c>
      <c r="C23" s="49">
        <v>0.44535839557647705</v>
      </c>
      <c r="D23" s="49">
        <v>0</v>
      </c>
      <c r="E23" s="49">
        <v>0</v>
      </c>
      <c r="F23" s="55">
        <v>570</v>
      </c>
      <c r="G23" s="55"/>
      <c r="H23" s="55">
        <v>124</v>
      </c>
      <c r="I23" s="51">
        <f t="shared" si="0"/>
        <v>502013</v>
      </c>
      <c r="J23" s="48">
        <f>Coles_DD[[#This Row],[Cumulative done story points]]</f>
        <v>851</v>
      </c>
      <c r="K23" s="48">
        <f>IF(Coles_DD[[#This Row],[Cumulative done story points]]=0,0,Coles_DD[[#This Row],[Defect Density]])</f>
        <v>0.44535839557647705</v>
      </c>
      <c r="L23" s="56">
        <f ca="1">IF(ISNUMBER(Coles_DD[[#This Row],[Ext Regression %]]),Coles_DD[[#This Row],[Ext Regression %]],IF(ISBLANK(Coles_DD[[#This Row],[Ext Regression %]]),OFFSET(Coles_DD[[#This Row],[Ext Reg]],-1,0),0))</f>
        <v>0</v>
      </c>
      <c r="M23" s="56">
        <f ca="1">IF(ISNUMBER(Coles_DD[[#This Row],[Core Regression %]]),Coles_DD[[#This Row],[Core Regression %]],IF(ISBLANK(Coles_DD[[#This Row],[Core Regression %]]),OFFSET(Coles_DD[[#This Row],[Core Reg]],-1,0),0))</f>
        <v>0</v>
      </c>
      <c r="N23" s="65">
        <f>Coles_DD[[#This Row],[Core]]/SUM(Coles_DD[[#This Row],[Ext]],Coles_DD[[#This Row],[Core]])</f>
        <v>0.17867435158501441</v>
      </c>
    </row>
    <row r="24" spans="1:14">
      <c r="A24" s="50">
        <v>41625.330667442133</v>
      </c>
      <c r="B24" s="49">
        <v>918</v>
      </c>
      <c r="C24" s="49">
        <v>0.45098039507865906</v>
      </c>
      <c r="D24" s="49">
        <v>0</v>
      </c>
      <c r="E24" s="49">
        <v>0</v>
      </c>
      <c r="F24" s="55">
        <v>630</v>
      </c>
      <c r="G24" s="55"/>
      <c r="H24" s="55">
        <v>132</v>
      </c>
      <c r="I24" s="51">
        <f t="shared" si="0"/>
        <v>512013</v>
      </c>
      <c r="J24" s="48">
        <f>Coles_DD[[#This Row],[Cumulative done story points]]</f>
        <v>918</v>
      </c>
      <c r="K24" s="48">
        <f>IF(Coles_DD[[#This Row],[Cumulative done story points]]=0,0,Coles_DD[[#This Row],[Defect Density]])</f>
        <v>0.45098039507865906</v>
      </c>
      <c r="L24" s="56">
        <f ca="1">IF(ISNUMBER(Coles_DD[[#This Row],[Ext Regression %]]),Coles_DD[[#This Row],[Ext Regression %]],IF(ISBLANK(Coles_DD[[#This Row],[Ext Regression %]]),OFFSET(Coles_DD[[#This Row],[Ext Reg]],-1,0),0))</f>
        <v>0</v>
      </c>
      <c r="M24" s="56">
        <f ca="1">IF(ISNUMBER(Coles_DD[[#This Row],[Core Regression %]]),Coles_DD[[#This Row],[Core Regression %]],IF(ISBLANK(Coles_DD[[#This Row],[Core Regression %]]),OFFSET(Coles_DD[[#This Row],[Core Reg]],-1,0),0))</f>
        <v>0</v>
      </c>
      <c r="N24" s="65">
        <f>Coles_DD[[#This Row],[Core]]/SUM(Coles_DD[[#This Row],[Ext]],Coles_DD[[#This Row],[Core]])</f>
        <v>0.17322834645669291</v>
      </c>
    </row>
    <row r="25" spans="1:14">
      <c r="A25" s="50">
        <v>41632.330667442133</v>
      </c>
      <c r="B25" s="49">
        <v>990</v>
      </c>
      <c r="C25" s="49">
        <v>0.45252525806427002</v>
      </c>
      <c r="D25" s="49">
        <v>0</v>
      </c>
      <c r="E25" s="49">
        <v>0</v>
      </c>
      <c r="F25" s="55">
        <v>678</v>
      </c>
      <c r="G25" s="55"/>
      <c r="H25" s="55">
        <v>137</v>
      </c>
      <c r="I25" s="51">
        <f t="shared" si="0"/>
        <v>522013</v>
      </c>
      <c r="J25" s="48">
        <f>Coles_DD[[#This Row],[Cumulative done story points]]</f>
        <v>990</v>
      </c>
      <c r="K25" s="48">
        <f>IF(Coles_DD[[#This Row],[Cumulative done story points]]=0,0,Coles_DD[[#This Row],[Defect Density]])</f>
        <v>0.45252525806427002</v>
      </c>
      <c r="L25" s="56">
        <f ca="1">IF(ISNUMBER(Coles_DD[[#This Row],[Ext Regression %]]),Coles_DD[[#This Row],[Ext Regression %]],IF(ISBLANK(Coles_DD[[#This Row],[Ext Regression %]]),OFFSET(Coles_DD[[#This Row],[Ext Reg]],-1,0),0))</f>
        <v>0</v>
      </c>
      <c r="M25" s="56">
        <f ca="1">IF(ISNUMBER(Coles_DD[[#This Row],[Core Regression %]]),Coles_DD[[#This Row],[Core Regression %]],IF(ISBLANK(Coles_DD[[#This Row],[Core Regression %]]),OFFSET(Coles_DD[[#This Row],[Core Reg]],-1,0),0))</f>
        <v>0</v>
      </c>
      <c r="N25" s="65">
        <f>Coles_DD[[#This Row],[Core]]/SUM(Coles_DD[[#This Row],[Ext]],Coles_DD[[#This Row],[Core]])</f>
        <v>0.16809815950920245</v>
      </c>
    </row>
    <row r="26" spans="1:14">
      <c r="A26" s="50">
        <v>41639.330667442133</v>
      </c>
      <c r="B26" s="49">
        <v>1032</v>
      </c>
      <c r="C26" s="49">
        <v>0.44379845261573792</v>
      </c>
      <c r="D26" s="49">
        <v>0</v>
      </c>
      <c r="E26" s="49">
        <v>0</v>
      </c>
      <c r="F26" s="55">
        <v>693</v>
      </c>
      <c r="G26" s="55"/>
      <c r="H26" s="55">
        <v>146</v>
      </c>
      <c r="I26" s="51">
        <f t="shared" si="0"/>
        <v>532013</v>
      </c>
      <c r="J26" s="48">
        <f>Coles_DD[[#This Row],[Cumulative done story points]]</f>
        <v>1032</v>
      </c>
      <c r="K26" s="48">
        <f>IF(Coles_DD[[#This Row],[Cumulative done story points]]=0,0,Coles_DD[[#This Row],[Defect Density]])</f>
        <v>0.44379845261573792</v>
      </c>
      <c r="L26" s="56">
        <f ca="1">IF(ISNUMBER(Coles_DD[[#This Row],[Ext Regression %]]),Coles_DD[[#This Row],[Ext Regression %]],IF(ISBLANK(Coles_DD[[#This Row],[Ext Regression %]]),OFFSET(Coles_DD[[#This Row],[Ext Reg]],-1,0),0))</f>
        <v>0</v>
      </c>
      <c r="M26" s="56">
        <f ca="1">IF(ISNUMBER(Coles_DD[[#This Row],[Core Regression %]]),Coles_DD[[#This Row],[Core Regression %]],IF(ISBLANK(Coles_DD[[#This Row],[Core Regression %]]),OFFSET(Coles_DD[[#This Row],[Core Reg]],-1,0),0))</f>
        <v>0</v>
      </c>
      <c r="N26" s="65">
        <f>Coles_DD[[#This Row],[Core]]/SUM(Coles_DD[[#This Row],[Ext]],Coles_DD[[#This Row],[Core]])</f>
        <v>0.17401668653158522</v>
      </c>
    </row>
    <row r="27" spans="1:14">
      <c r="A27" s="50">
        <v>41646.330667442133</v>
      </c>
      <c r="B27" s="49">
        <v>1121</v>
      </c>
      <c r="C27" s="49">
        <v>0.41837644577026367</v>
      </c>
      <c r="D27" s="49">
        <v>0</v>
      </c>
      <c r="E27" s="49">
        <v>0</v>
      </c>
      <c r="F27" s="55">
        <v>712</v>
      </c>
      <c r="G27" s="55"/>
      <c r="H27" s="55">
        <v>158</v>
      </c>
      <c r="I27" s="51">
        <f t="shared" si="0"/>
        <v>22014</v>
      </c>
      <c r="J27" s="48">
        <f>Coles_DD[[#This Row],[Cumulative done story points]]</f>
        <v>1121</v>
      </c>
      <c r="K27" s="48">
        <f>IF(Coles_DD[[#This Row],[Cumulative done story points]]=0,0,Coles_DD[[#This Row],[Defect Density]])</f>
        <v>0.41837644577026367</v>
      </c>
      <c r="L27" s="56">
        <f ca="1">IF(ISNUMBER(Coles_DD[[#This Row],[Ext Regression %]]),Coles_DD[[#This Row],[Ext Regression %]],IF(ISBLANK(Coles_DD[[#This Row],[Ext Regression %]]),OFFSET(Coles_DD[[#This Row],[Ext Reg]],-1,0),0))</f>
        <v>0</v>
      </c>
      <c r="M27" s="56">
        <f ca="1">IF(ISNUMBER(Coles_DD[[#This Row],[Core Regression %]]),Coles_DD[[#This Row],[Core Regression %]],IF(ISBLANK(Coles_DD[[#This Row],[Core Regression %]]),OFFSET(Coles_DD[[#This Row],[Core Reg]],-1,0),0))</f>
        <v>0</v>
      </c>
      <c r="N27" s="65">
        <f>Coles_DD[[#This Row],[Core]]/SUM(Coles_DD[[#This Row],[Ext]],Coles_DD[[#This Row],[Core]])</f>
        <v>0.18160919540229886</v>
      </c>
    </row>
    <row r="28" spans="1:14">
      <c r="A28" s="50">
        <v>41653.330667442133</v>
      </c>
      <c r="B28" s="49">
        <v>1130</v>
      </c>
      <c r="C28" s="49">
        <v>0.44336283206939697</v>
      </c>
      <c r="D28" s="49">
        <v>0</v>
      </c>
      <c r="E28" s="49">
        <v>0</v>
      </c>
      <c r="F28" s="55">
        <v>752</v>
      </c>
      <c r="G28" s="55"/>
      <c r="H28" s="55">
        <v>166</v>
      </c>
      <c r="I28" s="51">
        <f t="shared" si="0"/>
        <v>32014</v>
      </c>
      <c r="J28" s="48">
        <f>Coles_DD[[#This Row],[Cumulative done story points]]</f>
        <v>1130</v>
      </c>
      <c r="K28" s="48">
        <f>IF(Coles_DD[[#This Row],[Cumulative done story points]]=0,0,Coles_DD[[#This Row],[Defect Density]])</f>
        <v>0.44336283206939697</v>
      </c>
      <c r="L28" s="56">
        <f ca="1">IF(ISNUMBER(Coles_DD[[#This Row],[Ext Regression %]]),Coles_DD[[#This Row],[Ext Regression %]],IF(ISBLANK(Coles_DD[[#This Row],[Ext Regression %]]),OFFSET(Coles_DD[[#This Row],[Ext Reg]],-1,0),0))</f>
        <v>0</v>
      </c>
      <c r="M28" s="56">
        <f ca="1">IF(ISNUMBER(Coles_DD[[#This Row],[Core Regression %]]),Coles_DD[[#This Row],[Core Regression %]],IF(ISBLANK(Coles_DD[[#This Row],[Core Regression %]]),OFFSET(Coles_DD[[#This Row],[Core Reg]],-1,0),0))</f>
        <v>0</v>
      </c>
      <c r="N28" s="65">
        <f>Coles_DD[[#This Row],[Core]]/SUM(Coles_DD[[#This Row],[Ext]],Coles_DD[[#This Row],[Core]])</f>
        <v>0.18082788671023964</v>
      </c>
    </row>
    <row r="29" spans="1:14">
      <c r="A29" s="50">
        <v>41660.330667442133</v>
      </c>
      <c r="B29" s="49">
        <v>1245</v>
      </c>
      <c r="C29" s="49">
        <v>0.44176706671714783</v>
      </c>
      <c r="D29" s="49">
        <v>0</v>
      </c>
      <c r="E29" s="49">
        <v>0</v>
      </c>
      <c r="F29" s="55">
        <v>825</v>
      </c>
      <c r="G29" s="55"/>
      <c r="H29" s="55">
        <v>178</v>
      </c>
      <c r="I29" s="51">
        <f t="shared" si="0"/>
        <v>42014</v>
      </c>
      <c r="J29" s="48">
        <f>Coles_DD[[#This Row],[Cumulative done story points]]</f>
        <v>1245</v>
      </c>
      <c r="K29" s="48">
        <f>IF(Coles_DD[[#This Row],[Cumulative done story points]]=0,0,Coles_DD[[#This Row],[Defect Density]])</f>
        <v>0.44176706671714783</v>
      </c>
      <c r="L29" s="56">
        <f ca="1">IF(ISNUMBER(Coles_DD[[#This Row],[Ext Regression %]]),Coles_DD[[#This Row],[Ext Regression %]],IF(ISBLANK(Coles_DD[[#This Row],[Ext Regression %]]),OFFSET(Coles_DD[[#This Row],[Ext Reg]],-1,0),0))</f>
        <v>0</v>
      </c>
      <c r="M29" s="56">
        <f ca="1">IF(ISNUMBER(Coles_DD[[#This Row],[Core Regression %]]),Coles_DD[[#This Row],[Core Regression %]],IF(ISBLANK(Coles_DD[[#This Row],[Core Regression %]]),OFFSET(Coles_DD[[#This Row],[Core Reg]],-1,0),0))</f>
        <v>0</v>
      </c>
      <c r="N29" s="65">
        <f>Coles_DD[[#This Row],[Core]]/SUM(Coles_DD[[#This Row],[Ext]],Coles_DD[[#This Row],[Core]])</f>
        <v>0.17746759720837488</v>
      </c>
    </row>
    <row r="30" spans="1:14">
      <c r="A30" s="50">
        <v>41667.330667442133</v>
      </c>
      <c r="B30" s="49">
        <v>1261</v>
      </c>
      <c r="C30" s="49">
        <v>0.47105473279953003</v>
      </c>
      <c r="D30" s="49">
        <v>0</v>
      </c>
      <c r="E30" s="49">
        <v>0</v>
      </c>
      <c r="F30" s="55">
        <v>890</v>
      </c>
      <c r="G30" s="55"/>
      <c r="H30" s="55">
        <v>197</v>
      </c>
      <c r="I30" s="51">
        <f t="shared" si="0"/>
        <v>52014</v>
      </c>
      <c r="J30" s="48">
        <f>Coles_DD[[#This Row],[Cumulative done story points]]</f>
        <v>1261</v>
      </c>
      <c r="K30" s="48">
        <f>IF(Coles_DD[[#This Row],[Cumulative done story points]]=0,0,Coles_DD[[#This Row],[Defect Density]])</f>
        <v>0.47105473279953003</v>
      </c>
      <c r="L30" s="56">
        <f ca="1">IF(ISNUMBER(Coles_DD[[#This Row],[Ext Regression %]]),Coles_DD[[#This Row],[Ext Regression %]],IF(ISBLANK(Coles_DD[[#This Row],[Ext Regression %]]),OFFSET(Coles_DD[[#This Row],[Ext Reg]],-1,0),0))</f>
        <v>0</v>
      </c>
      <c r="M30" s="56">
        <f ca="1">IF(ISNUMBER(Coles_DD[[#This Row],[Core Regression %]]),Coles_DD[[#This Row],[Core Regression %]],IF(ISBLANK(Coles_DD[[#This Row],[Core Regression %]]),OFFSET(Coles_DD[[#This Row],[Core Reg]],-1,0),0))</f>
        <v>0</v>
      </c>
      <c r="N30" s="65">
        <f>Coles_DD[[#This Row],[Core]]/SUM(Coles_DD[[#This Row],[Ext]],Coles_DD[[#This Row],[Core]])</f>
        <v>0.18123275068997241</v>
      </c>
    </row>
    <row r="31" spans="1:14">
      <c r="A31" s="50">
        <v>41674.330667442133</v>
      </c>
      <c r="B31" s="49">
        <v>1443</v>
      </c>
      <c r="C31" s="49">
        <v>0.44144144654273987</v>
      </c>
      <c r="D31" s="49">
        <v>0</v>
      </c>
      <c r="E31" s="49">
        <v>0</v>
      </c>
      <c r="F31" s="55">
        <v>954</v>
      </c>
      <c r="G31" s="55"/>
      <c r="H31" s="55">
        <v>222</v>
      </c>
      <c r="I31" s="51">
        <f t="shared" si="0"/>
        <v>62014</v>
      </c>
      <c r="J31" s="48">
        <f>Coles_DD[[#This Row],[Cumulative done story points]]</f>
        <v>1443</v>
      </c>
      <c r="K31" s="48">
        <f>IF(Coles_DD[[#This Row],[Cumulative done story points]]=0,0,Coles_DD[[#This Row],[Defect Density]])</f>
        <v>0.44144144654273987</v>
      </c>
      <c r="L31" s="56">
        <f ca="1">IF(ISNUMBER(Coles_DD[[#This Row],[Ext Regression %]]),Coles_DD[[#This Row],[Ext Regression %]],IF(ISBLANK(Coles_DD[[#This Row],[Ext Regression %]]),OFFSET(Coles_DD[[#This Row],[Ext Reg]],-1,0),0))</f>
        <v>0</v>
      </c>
      <c r="M31" s="56">
        <f ca="1">IF(ISNUMBER(Coles_DD[[#This Row],[Core Regression %]]),Coles_DD[[#This Row],[Core Regression %]],IF(ISBLANK(Coles_DD[[#This Row],[Core Regression %]]),OFFSET(Coles_DD[[#This Row],[Core Reg]],-1,0),0))</f>
        <v>0</v>
      </c>
      <c r="N31" s="65">
        <f>Coles_DD[[#This Row],[Core]]/SUM(Coles_DD[[#This Row],[Ext]],Coles_DD[[#This Row],[Core]])</f>
        <v>0.18877551020408162</v>
      </c>
    </row>
    <row r="32" spans="1:14">
      <c r="A32" s="50">
        <v>41681.330667442133</v>
      </c>
      <c r="B32" s="49">
        <v>1451</v>
      </c>
      <c r="C32" s="49">
        <v>0.46588560938835144</v>
      </c>
      <c r="D32" s="49">
        <v>0</v>
      </c>
      <c r="E32" s="49">
        <v>0</v>
      </c>
      <c r="F32" s="55">
        <v>1012</v>
      </c>
      <c r="G32" s="55"/>
      <c r="H32" s="55">
        <v>242</v>
      </c>
      <c r="I32" s="51">
        <f t="shared" si="0"/>
        <v>72014</v>
      </c>
      <c r="J32" s="48">
        <f>Coles_DD[[#This Row],[Cumulative done story points]]</f>
        <v>1451</v>
      </c>
      <c r="K32" s="48">
        <f>IF(Coles_DD[[#This Row],[Cumulative done story points]]=0,0,Coles_DD[[#This Row],[Defect Density]])</f>
        <v>0.46588560938835144</v>
      </c>
      <c r="L32" s="56">
        <f ca="1">IF(ISNUMBER(Coles_DD[[#This Row],[Ext Regression %]]),Coles_DD[[#This Row],[Ext Regression %]],IF(ISBLANK(Coles_DD[[#This Row],[Ext Regression %]]),OFFSET(Coles_DD[[#This Row],[Ext Reg]],-1,0),0))</f>
        <v>0</v>
      </c>
      <c r="M32" s="56">
        <f ca="1">IF(ISNUMBER(Coles_DD[[#This Row],[Core Regression %]]),Coles_DD[[#This Row],[Core Regression %]],IF(ISBLANK(Coles_DD[[#This Row],[Core Regression %]]),OFFSET(Coles_DD[[#This Row],[Core Reg]],-1,0),0))</f>
        <v>0</v>
      </c>
      <c r="N32" s="65">
        <f>Coles_DD[[#This Row],[Core]]/SUM(Coles_DD[[#This Row],[Ext]],Coles_DD[[#This Row],[Core]])</f>
        <v>0.19298245614035087</v>
      </c>
    </row>
    <row r="33" spans="1:14">
      <c r="A33" s="50">
        <v>41688.330667442133</v>
      </c>
      <c r="B33" s="49">
        <v>1509</v>
      </c>
      <c r="C33" s="49">
        <v>0.46056991815567017</v>
      </c>
      <c r="D33" s="49">
        <v>0</v>
      </c>
      <c r="E33" s="49">
        <v>0</v>
      </c>
      <c r="F33" s="55">
        <v>1038</v>
      </c>
      <c r="G33" s="55"/>
      <c r="H33" s="55">
        <v>248</v>
      </c>
      <c r="I33" s="51">
        <f t="shared" si="0"/>
        <v>82014</v>
      </c>
      <c r="J33" s="48">
        <f>Coles_DD[[#This Row],[Cumulative done story points]]</f>
        <v>1509</v>
      </c>
      <c r="K33" s="48">
        <f>IF(Coles_DD[[#This Row],[Cumulative done story points]]=0,0,Coles_DD[[#This Row],[Defect Density]])</f>
        <v>0.46056991815567017</v>
      </c>
      <c r="L33" s="56">
        <f ca="1">IF(ISNUMBER(Coles_DD[[#This Row],[Ext Regression %]]),Coles_DD[[#This Row],[Ext Regression %]],IF(ISBLANK(Coles_DD[[#This Row],[Ext Regression %]]),OFFSET(Coles_DD[[#This Row],[Ext Reg]],-1,0),0))</f>
        <v>0</v>
      </c>
      <c r="M33" s="56">
        <f ca="1">IF(ISNUMBER(Coles_DD[[#This Row],[Core Regression %]]),Coles_DD[[#This Row],[Core Regression %]],IF(ISBLANK(Coles_DD[[#This Row],[Core Regression %]]),OFFSET(Coles_DD[[#This Row],[Core Reg]],-1,0),0))</f>
        <v>0</v>
      </c>
      <c r="N33" s="65">
        <f>Coles_DD[[#This Row],[Core]]/SUM(Coles_DD[[#This Row],[Ext]],Coles_DD[[#This Row],[Core]])</f>
        <v>0.19284603421461896</v>
      </c>
    </row>
    <row r="34" spans="1:14">
      <c r="A34" s="50">
        <v>41695.330667442133</v>
      </c>
      <c r="B34" s="49">
        <v>1537</v>
      </c>
      <c r="C34" s="49">
        <v>0.46389070153236389</v>
      </c>
      <c r="D34" s="49">
        <v>0</v>
      </c>
      <c r="E34" s="49">
        <v>0</v>
      </c>
      <c r="F34" s="55">
        <v>1057</v>
      </c>
      <c r="G34" s="55"/>
      <c r="H34" s="55">
        <v>252</v>
      </c>
      <c r="I34" s="51">
        <f t="shared" ref="I34:I53" si="1">VALUE(WEEKNUM(A34*1)&amp;YEAR(A34*1))</f>
        <v>92014</v>
      </c>
      <c r="J34" s="48">
        <f>Coles_DD[[#This Row],[Cumulative done story points]]</f>
        <v>1537</v>
      </c>
      <c r="K34" s="48">
        <f>IF(Coles_DD[[#This Row],[Cumulative done story points]]=0,0,Coles_DD[[#This Row],[Defect Density]])</f>
        <v>0.46389070153236389</v>
      </c>
      <c r="L34" s="56">
        <f ca="1">IF(ISNUMBER(Coles_DD[[#This Row],[Ext Regression %]]),Coles_DD[[#This Row],[Ext Regression %]],IF(ISBLANK(Coles_DD[[#This Row],[Ext Regression %]]),OFFSET(Coles_DD[[#This Row],[Ext Reg]],-1,0),0))</f>
        <v>0</v>
      </c>
      <c r="M34" s="56">
        <f ca="1">IF(ISNUMBER(Coles_DD[[#This Row],[Core Regression %]]),Coles_DD[[#This Row],[Core Regression %]],IF(ISBLANK(Coles_DD[[#This Row],[Core Regression %]]),OFFSET(Coles_DD[[#This Row],[Core Reg]],-1,0),0))</f>
        <v>0</v>
      </c>
      <c r="N34" s="65">
        <f>Coles_DD[[#This Row],[Core]]/SUM(Coles_DD[[#This Row],[Ext]],Coles_DD[[#This Row],[Core]])</f>
        <v>0.19251336898395721</v>
      </c>
    </row>
    <row r="35" spans="1:14">
      <c r="A35" s="50">
        <v>41702.330667442133</v>
      </c>
      <c r="B35" s="49">
        <v>1638</v>
      </c>
      <c r="C35" s="49">
        <v>0.44688645005226135</v>
      </c>
      <c r="D35" s="49">
        <v>0</v>
      </c>
      <c r="E35" s="49">
        <v>0</v>
      </c>
      <c r="F35" s="55">
        <v>1080</v>
      </c>
      <c r="G35" s="55"/>
      <c r="H35" s="55">
        <v>257</v>
      </c>
      <c r="I35" s="51">
        <f t="shared" si="1"/>
        <v>102014</v>
      </c>
      <c r="J35" s="48">
        <f>Coles_DD[[#This Row],[Cumulative done story points]]</f>
        <v>1638</v>
      </c>
      <c r="K35" s="48">
        <f>IF(Coles_DD[[#This Row],[Cumulative done story points]]=0,0,Coles_DD[[#This Row],[Defect Density]])</f>
        <v>0.44688645005226135</v>
      </c>
      <c r="L35" s="56">
        <f ca="1">IF(ISNUMBER(Coles_DD[[#This Row],[Ext Regression %]]),Coles_DD[[#This Row],[Ext Regression %]],IF(ISBLANK(Coles_DD[[#This Row],[Ext Regression %]]),OFFSET(Coles_DD[[#This Row],[Ext Reg]],-1,0),0))</f>
        <v>0</v>
      </c>
      <c r="M35" s="56">
        <f ca="1">IF(ISNUMBER(Coles_DD[[#This Row],[Core Regression %]]),Coles_DD[[#This Row],[Core Regression %]],IF(ISBLANK(Coles_DD[[#This Row],[Core Regression %]]),OFFSET(Coles_DD[[#This Row],[Core Reg]],-1,0),0))</f>
        <v>0</v>
      </c>
      <c r="N35" s="65">
        <f>Coles_DD[[#This Row],[Core]]/SUM(Coles_DD[[#This Row],[Ext]],Coles_DD[[#This Row],[Core]])</f>
        <v>0.19222139117427076</v>
      </c>
    </row>
    <row r="36" spans="1:14">
      <c r="A36" s="50">
        <v>41709.330667442133</v>
      </c>
      <c r="B36" s="49">
        <v>1670</v>
      </c>
      <c r="C36" s="49">
        <v>0.45209580659866333</v>
      </c>
      <c r="D36" s="49">
        <v>0</v>
      </c>
      <c r="E36" s="49">
        <v>0</v>
      </c>
      <c r="F36" s="55">
        <v>1112</v>
      </c>
      <c r="G36" s="55"/>
      <c r="H36" s="55">
        <v>259</v>
      </c>
      <c r="I36" s="51">
        <f t="shared" si="1"/>
        <v>112014</v>
      </c>
      <c r="J36" s="48">
        <f>Coles_DD[[#This Row],[Cumulative done story points]]</f>
        <v>1670</v>
      </c>
      <c r="K36" s="48">
        <f>IF(Coles_DD[[#This Row],[Cumulative done story points]]=0,0,Coles_DD[[#This Row],[Defect Density]])</f>
        <v>0.45209580659866333</v>
      </c>
      <c r="L36" s="56">
        <f ca="1">IF(ISNUMBER(Coles_DD[[#This Row],[Ext Regression %]]),Coles_DD[[#This Row],[Ext Regression %]],IF(ISBLANK(Coles_DD[[#This Row],[Ext Regression %]]),OFFSET(Coles_DD[[#This Row],[Ext Reg]],-1,0),0))</f>
        <v>0</v>
      </c>
      <c r="M36" s="56">
        <f ca="1">IF(ISNUMBER(Coles_DD[[#This Row],[Core Regression %]]),Coles_DD[[#This Row],[Core Regression %]],IF(ISBLANK(Coles_DD[[#This Row],[Core Regression %]]),OFFSET(Coles_DD[[#This Row],[Core Reg]],-1,0),0))</f>
        <v>0</v>
      </c>
      <c r="N36" s="65">
        <f>Coles_DD[[#This Row],[Core]]/SUM(Coles_DD[[#This Row],[Ext]],Coles_DD[[#This Row],[Core]])</f>
        <v>0.18891320204230488</v>
      </c>
    </row>
    <row r="37" spans="1:14">
      <c r="A37" s="50">
        <v>41716.330667442133</v>
      </c>
      <c r="B37" s="49">
        <v>1818</v>
      </c>
      <c r="C37" s="49">
        <v>0.42574256658554077</v>
      </c>
      <c r="D37" s="49">
        <v>0</v>
      </c>
      <c r="E37" s="49">
        <v>0</v>
      </c>
      <c r="F37" s="55">
        <v>1135</v>
      </c>
      <c r="G37" s="55"/>
      <c r="H37" s="55">
        <v>265</v>
      </c>
      <c r="I37" s="51">
        <f t="shared" si="1"/>
        <v>122014</v>
      </c>
      <c r="J37" s="48">
        <f>Coles_DD[[#This Row],[Cumulative done story points]]</f>
        <v>1818</v>
      </c>
      <c r="K37" s="48">
        <f>IF(Coles_DD[[#This Row],[Cumulative done story points]]=0,0,Coles_DD[[#This Row],[Defect Density]])</f>
        <v>0.42574256658554077</v>
      </c>
      <c r="L37" s="56">
        <f ca="1">IF(ISNUMBER(Coles_DD[[#This Row],[Ext Regression %]]),Coles_DD[[#This Row],[Ext Regression %]],IF(ISBLANK(Coles_DD[[#This Row],[Ext Regression %]]),OFFSET(Coles_DD[[#This Row],[Ext Reg]],-1,0),0))</f>
        <v>0</v>
      </c>
      <c r="M37" s="56">
        <f ca="1">IF(ISNUMBER(Coles_DD[[#This Row],[Core Regression %]]),Coles_DD[[#This Row],[Core Regression %]],IF(ISBLANK(Coles_DD[[#This Row],[Core Regression %]]),OFFSET(Coles_DD[[#This Row],[Core Reg]],-1,0),0))</f>
        <v>0</v>
      </c>
      <c r="N37" s="65">
        <f>Coles_DD[[#This Row],[Core]]/SUM(Coles_DD[[#This Row],[Ext]],Coles_DD[[#This Row],[Core]])</f>
        <v>0.18928571428571428</v>
      </c>
    </row>
    <row r="38" spans="1:14">
      <c r="A38" s="50">
        <v>41723.330667442133</v>
      </c>
      <c r="B38" s="49">
        <v>1851</v>
      </c>
      <c r="C38" s="49">
        <v>0.43111830949783325</v>
      </c>
      <c r="D38" s="49">
        <v>0</v>
      </c>
      <c r="E38" s="49">
        <v>0.47393366694450378</v>
      </c>
      <c r="F38" s="55">
        <v>1165</v>
      </c>
      <c r="G38" s="55"/>
      <c r="H38" s="55">
        <v>280</v>
      </c>
      <c r="I38" s="51">
        <f t="shared" si="1"/>
        <v>132014</v>
      </c>
      <c r="J38" s="48">
        <f>Coles_DD[[#This Row],[Cumulative done story points]]</f>
        <v>1851</v>
      </c>
      <c r="K38" s="48">
        <f>IF(Coles_DD[[#This Row],[Cumulative done story points]]=0,0,Coles_DD[[#This Row],[Defect Density]])</f>
        <v>0.43111830949783325</v>
      </c>
      <c r="L38" s="56">
        <f ca="1">IF(ISNUMBER(Coles_DD[[#This Row],[Ext Regression %]]),Coles_DD[[#This Row],[Ext Regression %]],IF(ISBLANK(Coles_DD[[#This Row],[Ext Regression %]]),OFFSET(Coles_DD[[#This Row],[Ext Reg]],-1,0),0))</f>
        <v>0</v>
      </c>
      <c r="M38" s="56">
        <f ca="1">IF(ISNUMBER(Coles_DD[[#This Row],[Core Regression %]]),Coles_DD[[#This Row],[Core Regression %]],IF(ISBLANK(Coles_DD[[#This Row],[Core Regression %]]),OFFSET(Coles_DD[[#This Row],[Core Reg]],-1,0),0))</f>
        <v>0.47393366694450378</v>
      </c>
      <c r="N38" s="65">
        <f>Coles_DD[[#This Row],[Core]]/SUM(Coles_DD[[#This Row],[Ext]],Coles_DD[[#This Row],[Core]])</f>
        <v>0.19377162629757785</v>
      </c>
    </row>
    <row r="39" spans="1:14">
      <c r="A39" s="50">
        <v>41730.330667442133</v>
      </c>
      <c r="B39" s="49">
        <v>1914</v>
      </c>
      <c r="C39" s="49">
        <v>0.43207940459251404</v>
      </c>
      <c r="D39" s="49">
        <v>0</v>
      </c>
      <c r="E39" s="49">
        <v>0.45871558785438538</v>
      </c>
      <c r="F39" s="55">
        <v>1198</v>
      </c>
      <c r="G39" s="55"/>
      <c r="H39" s="55">
        <v>287</v>
      </c>
      <c r="I39" s="51">
        <f t="shared" si="1"/>
        <v>142014</v>
      </c>
      <c r="J39" s="48">
        <f>Coles_DD[[#This Row],[Cumulative done story points]]</f>
        <v>1914</v>
      </c>
      <c r="K39" s="48">
        <f>IF(Coles_DD[[#This Row],[Cumulative done story points]]=0,0,Coles_DD[[#This Row],[Defect Density]])</f>
        <v>0.43207940459251404</v>
      </c>
      <c r="L39" s="56">
        <f ca="1">IF(ISNUMBER(Coles_DD[[#This Row],[Ext Regression %]]),Coles_DD[[#This Row],[Ext Regression %]],IF(ISBLANK(Coles_DD[[#This Row],[Ext Regression %]]),OFFSET(Coles_DD[[#This Row],[Ext Reg]],-1,0),0))</f>
        <v>0</v>
      </c>
      <c r="M39" s="56">
        <f ca="1">IF(ISNUMBER(Coles_DD[[#This Row],[Core Regression %]]),Coles_DD[[#This Row],[Core Regression %]],IF(ISBLANK(Coles_DD[[#This Row],[Core Regression %]]),OFFSET(Coles_DD[[#This Row],[Core Reg]],-1,0),0))</f>
        <v>0.45871558785438538</v>
      </c>
      <c r="N39" s="65">
        <f>Coles_DD[[#This Row],[Core]]/SUM(Coles_DD[[#This Row],[Ext]],Coles_DD[[#This Row],[Core]])</f>
        <v>0.19326599326599325</v>
      </c>
    </row>
    <row r="40" spans="1:14">
      <c r="A40" s="50">
        <v>41737.330667442133</v>
      </c>
      <c r="B40" s="49">
        <v>1927</v>
      </c>
      <c r="C40" s="49">
        <v>0.44784638285636902</v>
      </c>
      <c r="D40" s="49">
        <v>0.46349939703941345</v>
      </c>
      <c r="E40" s="49">
        <v>1.7316017150878906</v>
      </c>
      <c r="F40" s="55">
        <v>1243</v>
      </c>
      <c r="G40" s="55"/>
      <c r="H40" s="55">
        <v>303</v>
      </c>
      <c r="I40" s="51">
        <f t="shared" si="1"/>
        <v>152014</v>
      </c>
      <c r="J40" s="48">
        <f>Coles_DD[[#This Row],[Cumulative done story points]]</f>
        <v>1927</v>
      </c>
      <c r="K40" s="48">
        <f>IF(Coles_DD[[#This Row],[Cumulative done story points]]=0,0,Coles_DD[[#This Row],[Defect Density]])</f>
        <v>0.44784638285636902</v>
      </c>
      <c r="L40" s="56">
        <f ca="1">IF(ISNUMBER(Coles_DD[[#This Row],[Ext Regression %]]),Coles_DD[[#This Row],[Ext Regression %]],IF(ISBLANK(Coles_DD[[#This Row],[Ext Regression %]]),OFFSET(Coles_DD[[#This Row],[Ext Reg]],-1,0),0))</f>
        <v>0.46349939703941345</v>
      </c>
      <c r="M40" s="56">
        <f ca="1">IF(ISNUMBER(Coles_DD[[#This Row],[Core Regression %]]),Coles_DD[[#This Row],[Core Regression %]],IF(ISBLANK(Coles_DD[[#This Row],[Core Regression %]]),OFFSET(Coles_DD[[#This Row],[Core Reg]],-1,0),0))</f>
        <v>1.7316017150878906</v>
      </c>
      <c r="N40" s="65">
        <f>Coles_DD[[#This Row],[Core]]/SUM(Coles_DD[[#This Row],[Ext]],Coles_DD[[#This Row],[Core]])</f>
        <v>0.19598965071151359</v>
      </c>
    </row>
    <row r="41" spans="1:14">
      <c r="A41" s="50">
        <v>41744.330667442133</v>
      </c>
      <c r="B41" s="49">
        <v>1960</v>
      </c>
      <c r="C41" s="49">
        <v>0.44846940040588379</v>
      </c>
      <c r="D41" s="49">
        <v>0.56882822513580322</v>
      </c>
      <c r="E41" s="49">
        <v>2.1186442375183105</v>
      </c>
      <c r="F41" s="55">
        <v>1265</v>
      </c>
      <c r="G41" s="55"/>
      <c r="H41" s="55">
        <v>308</v>
      </c>
      <c r="I41" s="51">
        <f t="shared" si="1"/>
        <v>162014</v>
      </c>
      <c r="J41" s="48">
        <f>Coles_DD[[#This Row],[Cumulative done story points]]</f>
        <v>1960</v>
      </c>
      <c r="K41" s="48">
        <f>IF(Coles_DD[[#This Row],[Cumulative done story points]]=0,0,Coles_DD[[#This Row],[Defect Density]])</f>
        <v>0.44846940040588379</v>
      </c>
      <c r="L41" s="56">
        <f ca="1">IF(ISNUMBER(Coles_DD[[#This Row],[Ext Regression %]]),Coles_DD[[#This Row],[Ext Regression %]],IF(ISBLANK(Coles_DD[[#This Row],[Ext Regression %]]),OFFSET(Coles_DD[[#This Row],[Ext Reg]],-1,0),0))</f>
        <v>0.56882822513580322</v>
      </c>
      <c r="M41" s="56">
        <f ca="1">IF(ISNUMBER(Coles_DD[[#This Row],[Core Regression %]]),Coles_DD[[#This Row],[Core Regression %]],IF(ISBLANK(Coles_DD[[#This Row],[Core Regression %]]),OFFSET(Coles_DD[[#This Row],[Core Reg]],-1,0),0))</f>
        <v>2.1186442375183105</v>
      </c>
      <c r="N41" s="65">
        <f>Coles_DD[[#This Row],[Core]]/SUM(Coles_DD[[#This Row],[Ext]],Coles_DD[[#This Row],[Core]])</f>
        <v>0.19580419580419581</v>
      </c>
    </row>
    <row r="42" spans="1:14">
      <c r="A42" s="50">
        <v>41751.330667442133</v>
      </c>
      <c r="B42" s="49">
        <v>2053</v>
      </c>
      <c r="C42" s="49">
        <v>0.45250853896141052</v>
      </c>
      <c r="D42" s="49">
        <v>0.86114096641540527</v>
      </c>
      <c r="E42" s="49">
        <v>3.6290321350097656</v>
      </c>
      <c r="F42" s="55">
        <v>1330</v>
      </c>
      <c r="G42" s="55"/>
      <c r="H42" s="55">
        <v>322</v>
      </c>
      <c r="I42" s="51">
        <f t="shared" si="1"/>
        <v>172014</v>
      </c>
      <c r="J42" s="48">
        <f>Coles_DD[[#This Row],[Cumulative done story points]]</f>
        <v>2053</v>
      </c>
      <c r="K42" s="48">
        <f>IF(Coles_DD[[#This Row],[Cumulative done story points]]=0,0,Coles_DD[[#This Row],[Defect Density]])</f>
        <v>0.45250853896141052</v>
      </c>
      <c r="L42" s="56">
        <f ca="1">IF(ISNUMBER(Coles_DD[[#This Row],[Ext Regression %]]),Coles_DD[[#This Row],[Ext Regression %]],IF(ISBLANK(Coles_DD[[#This Row],[Ext Regression %]]),OFFSET(Coles_DD[[#This Row],[Ext Reg]],-1,0),0))</f>
        <v>0.86114096641540527</v>
      </c>
      <c r="M42" s="56">
        <f ca="1">IF(ISNUMBER(Coles_DD[[#This Row],[Core Regression %]]),Coles_DD[[#This Row],[Core Regression %]],IF(ISBLANK(Coles_DD[[#This Row],[Core Regression %]]),OFFSET(Coles_DD[[#This Row],[Core Reg]],-1,0),0))</f>
        <v>3.6290321350097656</v>
      </c>
      <c r="N42" s="65">
        <f>Coles_DD[[#This Row],[Core]]/SUM(Coles_DD[[#This Row],[Ext]],Coles_DD[[#This Row],[Core]])</f>
        <v>0.19491525423728814</v>
      </c>
    </row>
    <row r="43" spans="1:14">
      <c r="A43" s="50">
        <v>41758.330667442133</v>
      </c>
      <c r="B43" s="49">
        <v>2064</v>
      </c>
      <c r="C43" s="49">
        <v>0.47044572234153748</v>
      </c>
      <c r="D43" s="49">
        <v>1.1328527927398682</v>
      </c>
      <c r="E43" s="49">
        <v>3.8759689331054687</v>
      </c>
      <c r="F43" s="55">
        <v>1392</v>
      </c>
      <c r="G43" s="55"/>
      <c r="H43" s="55">
        <v>332</v>
      </c>
      <c r="I43" s="51">
        <f t="shared" si="1"/>
        <v>182014</v>
      </c>
      <c r="J43" s="48">
        <f>Coles_DD[[#This Row],[Cumulative done story points]]</f>
        <v>2064</v>
      </c>
      <c r="K43" s="48">
        <f>IF(Coles_DD[[#This Row],[Cumulative done story points]]=0,0,Coles_DD[[#This Row],[Defect Density]])</f>
        <v>0.47044572234153748</v>
      </c>
      <c r="L43" s="56">
        <f ca="1">IF(ISNUMBER(Coles_DD[[#This Row],[Ext Regression %]]),Coles_DD[[#This Row],[Ext Regression %]],IF(ISBLANK(Coles_DD[[#This Row],[Ext Regression %]]),OFFSET(Coles_DD[[#This Row],[Ext Reg]],-1,0),0))</f>
        <v>1.1328527927398682</v>
      </c>
      <c r="M43" s="56">
        <f ca="1">IF(ISNUMBER(Coles_DD[[#This Row],[Core Regression %]]),Coles_DD[[#This Row],[Core Regression %]],IF(ISBLANK(Coles_DD[[#This Row],[Core Regression %]]),OFFSET(Coles_DD[[#This Row],[Core Reg]],-1,0),0))</f>
        <v>3.8759689331054687</v>
      </c>
      <c r="N43" s="65">
        <f>Coles_DD[[#This Row],[Core]]/SUM(Coles_DD[[#This Row],[Ext]],Coles_DD[[#This Row],[Core]])</f>
        <v>0.1925754060324826</v>
      </c>
    </row>
    <row r="44" spans="1:14">
      <c r="A44" s="50">
        <v>41765.330667442133</v>
      </c>
      <c r="B44" s="49">
        <v>2190</v>
      </c>
      <c r="C44" s="49">
        <v>0.45753425359725952</v>
      </c>
      <c r="D44" s="49">
        <v>1.5968064069747925</v>
      </c>
      <c r="E44" s="49">
        <v>3.7593982219696045</v>
      </c>
      <c r="F44" s="55">
        <v>1440</v>
      </c>
      <c r="G44" s="55"/>
      <c r="H44" s="55">
        <v>340</v>
      </c>
      <c r="I44" s="51">
        <f t="shared" si="1"/>
        <v>192014</v>
      </c>
      <c r="J44" s="48">
        <f>Coles_DD[[#This Row],[Cumulative done story points]]</f>
        <v>2190</v>
      </c>
      <c r="K44" s="48">
        <f>IF(Coles_DD[[#This Row],[Cumulative done story points]]=0,0,Coles_DD[[#This Row],[Defect Density]])</f>
        <v>0.45753425359725952</v>
      </c>
      <c r="L44" s="56">
        <f ca="1">IF(ISNUMBER(Coles_DD[[#This Row],[Ext Regression %]]),Coles_DD[[#This Row],[Ext Regression %]],IF(ISBLANK(Coles_DD[[#This Row],[Ext Regression %]]),OFFSET(Coles_DD[[#This Row],[Ext Reg]],-1,0),0))</f>
        <v>1.5968064069747925</v>
      </c>
      <c r="M44" s="56">
        <f ca="1">IF(ISNUMBER(Coles_DD[[#This Row],[Core Regression %]]),Coles_DD[[#This Row],[Core Regression %]],IF(ISBLANK(Coles_DD[[#This Row],[Core Regression %]]),OFFSET(Coles_DD[[#This Row],[Core Reg]],-1,0),0))</f>
        <v>3.7593982219696045</v>
      </c>
      <c r="N44">
        <f>Coles_DD[[#This Row],[Core]]/SUM(Coles_DD[[#This Row],[Ext]],Coles_DD[[#This Row],[Core]])</f>
        <v>0.19101123595505617</v>
      </c>
    </row>
    <row r="45" spans="1:14">
      <c r="A45" s="50">
        <v>41772.330667442133</v>
      </c>
      <c r="B45" s="49">
        <v>2193</v>
      </c>
      <c r="C45" s="49">
        <v>0.47423622012138367</v>
      </c>
      <c r="D45" s="49">
        <v>1.826923131942749</v>
      </c>
      <c r="E45" s="49">
        <v>3.6764707565307617</v>
      </c>
      <c r="F45" s="55">
        <v>1493</v>
      </c>
      <c r="G45" s="55"/>
      <c r="H45" s="55">
        <v>346</v>
      </c>
      <c r="I45" s="51">
        <f t="shared" si="1"/>
        <v>202014</v>
      </c>
      <c r="J45" s="48">
        <f>Coles_DD[[#This Row],[Cumulative done story points]]</f>
        <v>2193</v>
      </c>
      <c r="K45" s="48">
        <f>IF(Coles_DD[[#This Row],[Cumulative done story points]]=0,0,Coles_DD[[#This Row],[Defect Density]])</f>
        <v>0.47423622012138367</v>
      </c>
      <c r="L45" s="56">
        <f ca="1">IF(ISNUMBER(Coles_DD[[#This Row],[Ext Regression %]]),Coles_DD[[#This Row],[Ext Regression %]],IF(ISBLANK(Coles_DD[[#This Row],[Ext Regression %]]),OFFSET(Coles_DD[[#This Row],[Ext Reg]],-1,0),0))</f>
        <v>1.826923131942749</v>
      </c>
      <c r="M45" s="56">
        <f ca="1">IF(ISNUMBER(Coles_DD[[#This Row],[Core Regression %]]),Coles_DD[[#This Row],[Core Regression %]],IF(ISBLANK(Coles_DD[[#This Row],[Core Regression %]]),OFFSET(Coles_DD[[#This Row],[Core Reg]],-1,0),0))</f>
        <v>3.6764707565307617</v>
      </c>
      <c r="N45">
        <f>Coles_DD[[#This Row],[Core]]/SUM(Coles_DD[[#This Row],[Ext]],Coles_DD[[#This Row],[Core]])</f>
        <v>0.18814573137574769</v>
      </c>
    </row>
    <row r="46" spans="1:14">
      <c r="A46" s="50">
        <v>41779.330667442133</v>
      </c>
      <c r="B46" s="49">
        <v>2203</v>
      </c>
      <c r="C46" s="49">
        <v>0.49205628037452698</v>
      </c>
      <c r="D46" s="49">
        <v>1.9372694492340088</v>
      </c>
      <c r="E46" s="49">
        <v>3.9426524639129639</v>
      </c>
      <c r="F46" s="55">
        <v>1544</v>
      </c>
      <c r="G46" s="55"/>
      <c r="H46" s="55">
        <v>355</v>
      </c>
      <c r="I46" s="51">
        <f t="shared" si="1"/>
        <v>212014</v>
      </c>
      <c r="J46" s="48">
        <f>Coles_DD[[#This Row],[Cumulative done story points]]</f>
        <v>2203</v>
      </c>
      <c r="K46" s="48">
        <f>IF(Coles_DD[[#This Row],[Cumulative done story points]]=0,0,Coles_DD[[#This Row],[Defect Density]])</f>
        <v>0.49205628037452698</v>
      </c>
      <c r="L46" s="56">
        <f ca="1">IF(ISNUMBER(Coles_DD[[#This Row],[Ext Regression %]]),Coles_DD[[#This Row],[Ext Regression %]],IF(ISBLANK(Coles_DD[[#This Row],[Ext Regression %]]),OFFSET(Coles_DD[[#This Row],[Ext Reg]],-1,0),0))</f>
        <v>1.9372694492340088</v>
      </c>
      <c r="M46" s="56">
        <f ca="1">IF(ISNUMBER(Coles_DD[[#This Row],[Core Regression %]]),Coles_DD[[#This Row],[Core Regression %]],IF(ISBLANK(Coles_DD[[#This Row],[Core Regression %]]),OFFSET(Coles_DD[[#This Row],[Core Reg]],-1,0),0))</f>
        <v>3.9426524639129639</v>
      </c>
      <c r="N46">
        <f>Coles_DD[[#This Row],[Core]]/SUM(Coles_DD[[#This Row],[Ext]],Coles_DD[[#This Row],[Core]])</f>
        <v>0.18694049499736703</v>
      </c>
    </row>
    <row r="47" spans="1:14">
      <c r="A47" s="50">
        <v>41786.330667442133</v>
      </c>
      <c r="B47" s="49">
        <v>2203</v>
      </c>
      <c r="C47" s="49">
        <v>0.49886518716812134</v>
      </c>
      <c r="D47" s="49">
        <v>1.9108281135559082</v>
      </c>
      <c r="E47" s="49">
        <v>3.9007093906402588</v>
      </c>
      <c r="F47" s="55">
        <v>1564</v>
      </c>
      <c r="G47" s="55"/>
      <c r="H47" s="55">
        <v>358</v>
      </c>
      <c r="I47" s="51">
        <f t="shared" si="1"/>
        <v>222014</v>
      </c>
      <c r="J47" s="48">
        <f>Coles_DD[[#This Row],[Cumulative done story points]]</f>
        <v>2203</v>
      </c>
      <c r="K47" s="48">
        <f>IF(Coles_DD[[#This Row],[Cumulative done story points]]=0,0,Coles_DD[[#This Row],[Defect Density]])</f>
        <v>0.49886518716812134</v>
      </c>
      <c r="L47" s="56">
        <f ca="1">IF(ISNUMBER(Coles_DD[[#This Row],[Ext Regression %]]),Coles_DD[[#This Row],[Ext Regression %]],IF(ISBLANK(Coles_DD[[#This Row],[Ext Regression %]]),OFFSET(Coles_DD[[#This Row],[Ext Reg]],-1,0),0))</f>
        <v>1.9108281135559082</v>
      </c>
      <c r="M47" s="56">
        <f ca="1">IF(ISNUMBER(Coles_DD[[#This Row],[Core Regression %]]),Coles_DD[[#This Row],[Core Regression %]],IF(ISBLANK(Coles_DD[[#This Row],[Core Regression %]]),OFFSET(Coles_DD[[#This Row],[Core Reg]],-1,0),0))</f>
        <v>3.9007093906402588</v>
      </c>
      <c r="N47">
        <f>Coles_DD[[#This Row],[Core]]/SUM(Coles_DD[[#This Row],[Ext]],Coles_DD[[#This Row],[Core]])</f>
        <v>0.186264308012487</v>
      </c>
    </row>
    <row r="48" spans="1:14">
      <c r="A48" s="50">
        <v>41793.330667442133</v>
      </c>
      <c r="B48" s="49">
        <v>2203</v>
      </c>
      <c r="C48" s="49">
        <v>0.50249660015106201</v>
      </c>
      <c r="D48" s="49">
        <v>2.4390242099761963</v>
      </c>
      <c r="E48" s="49">
        <v>4.9122805595397949</v>
      </c>
      <c r="F48" s="55">
        <v>1574</v>
      </c>
      <c r="G48" s="55"/>
      <c r="H48" s="55">
        <v>362</v>
      </c>
      <c r="I48" s="51">
        <f t="shared" si="1"/>
        <v>232014</v>
      </c>
      <c r="J48" s="48">
        <f>Coles_DD[[#This Row],[Cumulative done story points]]</f>
        <v>2203</v>
      </c>
      <c r="K48" s="48">
        <f>IF(Coles_DD[[#This Row],[Cumulative done story points]]=0,0,Coles_DD[[#This Row],[Defect Density]])</f>
        <v>0.50249660015106201</v>
      </c>
      <c r="L48" s="56">
        <f ca="1">IF(ISNUMBER(Coles_DD[[#This Row],[Ext Regression %]]),Coles_DD[[#This Row],[Ext Regression %]],IF(ISBLANK(Coles_DD[[#This Row],[Ext Regression %]]),OFFSET(Coles_DD[[#This Row],[Ext Reg]],-1,0),0))</f>
        <v>2.4390242099761963</v>
      </c>
      <c r="M48" s="56">
        <f ca="1">IF(ISNUMBER(Coles_DD[[#This Row],[Core Regression %]]),Coles_DD[[#This Row],[Core Regression %]],IF(ISBLANK(Coles_DD[[#This Row],[Core Regression %]]),OFFSET(Coles_DD[[#This Row],[Core Reg]],-1,0),0))</f>
        <v>4.9122805595397949</v>
      </c>
      <c r="N48">
        <f>Coles_DD[[#This Row],[Core]]/SUM(Coles_DD[[#This Row],[Ext]],Coles_DD[[#This Row],[Core]])</f>
        <v>0.18698347107438015</v>
      </c>
    </row>
    <row r="49" spans="1:14">
      <c r="A49" s="50">
        <v>41800.330667442133</v>
      </c>
      <c r="B49" s="49">
        <v>2203</v>
      </c>
      <c r="C49" s="49">
        <v>0.51293689012527466</v>
      </c>
      <c r="D49" s="49">
        <v>4.0707964897155762</v>
      </c>
      <c r="E49" s="49">
        <v>6.1855669021606445</v>
      </c>
      <c r="F49" s="55">
        <v>1602</v>
      </c>
      <c r="G49" s="55"/>
      <c r="H49" s="55">
        <v>369</v>
      </c>
      <c r="I49" s="51">
        <f t="shared" si="1"/>
        <v>242014</v>
      </c>
      <c r="J49" s="48">
        <f>Coles_DD[[#This Row],[Cumulative done story points]]</f>
        <v>2203</v>
      </c>
      <c r="K49" s="48">
        <f>IF(Coles_DD[[#This Row],[Cumulative done story points]]=0,0,Coles_DD[[#This Row],[Defect Density]])</f>
        <v>0.51293689012527466</v>
      </c>
      <c r="L49" s="56">
        <f ca="1">IF(ISNUMBER(Coles_DD[[#This Row],[Ext Regression %]]),Coles_DD[[#This Row],[Ext Regression %]],IF(ISBLANK(Coles_DD[[#This Row],[Ext Regression %]]),OFFSET(Coles_DD[[#This Row],[Ext Reg]],-1,0),0))</f>
        <v>4.0707964897155762</v>
      </c>
      <c r="M49" s="56">
        <f ca="1">IF(ISNUMBER(Coles_DD[[#This Row],[Core Regression %]]),Coles_DD[[#This Row],[Core Regression %]],IF(ISBLANK(Coles_DD[[#This Row],[Core Regression %]]),OFFSET(Coles_DD[[#This Row],[Core Reg]],-1,0),0))</f>
        <v>6.1855669021606445</v>
      </c>
      <c r="N49">
        <f>Coles_DD[[#This Row],[Core]]/SUM(Coles_DD[[#This Row],[Ext]],Coles_DD[[#This Row],[Core]])</f>
        <v>0.18721461187214611</v>
      </c>
    </row>
    <row r="50" spans="1:14">
      <c r="A50" s="50">
        <v>41807.330667442133</v>
      </c>
      <c r="B50" s="49">
        <v>2203</v>
      </c>
      <c r="C50" s="49">
        <v>0.51929187774658203</v>
      </c>
      <c r="D50" s="49">
        <v>4.1958041191101074</v>
      </c>
      <c r="E50" s="49">
        <v>6.5068492889404297</v>
      </c>
      <c r="F50" s="55">
        <v>1616</v>
      </c>
      <c r="G50" s="55"/>
      <c r="H50" s="55">
        <v>370</v>
      </c>
      <c r="I50" s="51">
        <f t="shared" si="1"/>
        <v>252014</v>
      </c>
      <c r="J50" s="48">
        <f>Coles_DD[[#This Row],[Cumulative done story points]]</f>
        <v>2203</v>
      </c>
      <c r="K50" s="48">
        <f>IF(Coles_DD[[#This Row],[Cumulative done story points]]=0,0,Coles_DD[[#This Row],[Defect Density]])</f>
        <v>0.51929187774658203</v>
      </c>
      <c r="L50" s="56">
        <f ca="1">IF(ISNUMBER(Coles_DD[[#This Row],[Ext Regression %]]),Coles_DD[[#This Row],[Ext Regression %]],IF(ISBLANK(Coles_DD[[#This Row],[Ext Regression %]]),OFFSET(Coles_DD[[#This Row],[Ext Reg]],-1,0),0))</f>
        <v>4.1958041191101074</v>
      </c>
      <c r="M50" s="56">
        <f ca="1">IF(ISNUMBER(Coles_DD[[#This Row],[Core Regression %]]),Coles_DD[[#This Row],[Core Regression %]],IF(ISBLANK(Coles_DD[[#This Row],[Core Regression %]]),OFFSET(Coles_DD[[#This Row],[Core Reg]],-1,0),0))</f>
        <v>6.5068492889404297</v>
      </c>
      <c r="N50">
        <f>Coles_DD[[#This Row],[Core]]/SUM(Coles_DD[[#This Row],[Ext]],Coles_DD[[#This Row],[Core]])</f>
        <v>0.18630412890231621</v>
      </c>
    </row>
    <row r="51" spans="1:14">
      <c r="A51" s="50">
        <v>41814.330667442133</v>
      </c>
      <c r="B51" s="49">
        <v>2203</v>
      </c>
      <c r="C51" s="49">
        <v>0.52246934175491333</v>
      </c>
      <c r="D51" s="49">
        <v>4.1702866554260254</v>
      </c>
      <c r="E51" s="49">
        <v>6.5068492889404297</v>
      </c>
      <c r="F51" s="55">
        <v>1625</v>
      </c>
      <c r="G51" s="55"/>
      <c r="H51" s="55">
        <v>371</v>
      </c>
      <c r="I51" s="51">
        <f t="shared" si="1"/>
        <v>262014</v>
      </c>
      <c r="J51" s="48">
        <f>Coles_DD[[#This Row],[Cumulative done story points]]</f>
        <v>2203</v>
      </c>
      <c r="K51" s="48">
        <f>IF(Coles_DD[[#This Row],[Cumulative done story points]]=0,0,Coles_DD[[#This Row],[Defect Density]])</f>
        <v>0.52246934175491333</v>
      </c>
      <c r="L51" s="56">
        <f ca="1">IF(ISNUMBER(Coles_DD[[#This Row],[Ext Regression %]]),Coles_DD[[#This Row],[Ext Regression %]],IF(ISBLANK(Coles_DD[[#This Row],[Ext Regression %]]),OFFSET(Coles_DD[[#This Row],[Ext Reg]],-1,0),0))</f>
        <v>4.1702866554260254</v>
      </c>
      <c r="M51" s="56">
        <f ca="1">IF(ISNUMBER(Coles_DD[[#This Row],[Core Regression %]]),Coles_DD[[#This Row],[Core Regression %]],IF(ISBLANK(Coles_DD[[#This Row],[Core Regression %]]),OFFSET(Coles_DD[[#This Row],[Core Reg]],-1,0),0))</f>
        <v>6.5068492889404297</v>
      </c>
      <c r="N51">
        <f>Coles_DD[[#This Row],[Core]]/SUM(Coles_DD[[#This Row],[Ext]],Coles_DD[[#This Row],[Core]])</f>
        <v>0.18587174348697394</v>
      </c>
    </row>
    <row r="52" spans="1:14">
      <c r="A52" s="50">
        <v>41821.330667442133</v>
      </c>
      <c r="B52" s="49">
        <v>2205</v>
      </c>
      <c r="C52" s="49">
        <v>0.52562355995178223</v>
      </c>
      <c r="D52" s="49">
        <v>4.1415014266967773</v>
      </c>
      <c r="E52" s="49">
        <v>6.5068492889404297</v>
      </c>
      <c r="F52" s="55">
        <v>1634</v>
      </c>
      <c r="G52" s="55"/>
      <c r="H52" s="55">
        <v>372</v>
      </c>
      <c r="I52" s="51">
        <f t="shared" si="1"/>
        <v>272014</v>
      </c>
      <c r="J52" s="48">
        <f>Coles_DD[[#This Row],[Cumulative done story points]]</f>
        <v>2205</v>
      </c>
      <c r="K52" s="48">
        <f>IF(Coles_DD[[#This Row],[Cumulative done story points]]=0,0,Coles_DD[[#This Row],[Defect Density]])</f>
        <v>0.52562355995178223</v>
      </c>
      <c r="L52" s="56">
        <f ca="1">IF(ISNUMBER(Coles_DD[[#This Row],[Ext Regression %]]),Coles_DD[[#This Row],[Ext Regression %]],IF(ISBLANK(Coles_DD[[#This Row],[Ext Regression %]]),OFFSET(Coles_DD[[#This Row],[Ext Reg]],-1,0),0))</f>
        <v>4.1415014266967773</v>
      </c>
      <c r="M52" s="56">
        <f ca="1">IF(ISNUMBER(Coles_DD[[#This Row],[Core Regression %]]),Coles_DD[[#This Row],[Core Regression %]],IF(ISBLANK(Coles_DD[[#This Row],[Core Regression %]]),OFFSET(Coles_DD[[#This Row],[Core Reg]],-1,0),0))</f>
        <v>6.5068492889404297</v>
      </c>
      <c r="N52">
        <f>Coles_DD[[#This Row],[Core]]/SUM(Coles_DD[[#This Row],[Ext]],Coles_DD[[#This Row],[Core]])</f>
        <v>0.18544366899302095</v>
      </c>
    </row>
    <row r="53" spans="1:14">
      <c r="A53" s="50">
        <v>41828.330667442133</v>
      </c>
      <c r="B53" s="49">
        <v>2205</v>
      </c>
      <c r="C53" s="49">
        <v>0.52698415517807007</v>
      </c>
      <c r="D53" s="49">
        <v>4.1308088302612305</v>
      </c>
      <c r="E53" s="49">
        <v>6.5068492889404297</v>
      </c>
      <c r="F53" s="55">
        <v>1637</v>
      </c>
      <c r="G53" s="55"/>
      <c r="H53" s="55">
        <v>372</v>
      </c>
      <c r="I53" s="51">
        <f t="shared" si="1"/>
        <v>282014</v>
      </c>
      <c r="J53" s="48">
        <f>Coles_DD[[#This Row],[Cumulative done story points]]</f>
        <v>2205</v>
      </c>
      <c r="K53" s="48">
        <f>IF(Coles_DD[[#This Row],[Cumulative done story points]]=0,0,Coles_DD[[#This Row],[Defect Density]])</f>
        <v>0.52698415517807007</v>
      </c>
      <c r="L53" s="56">
        <f ca="1">IF(ISNUMBER(Coles_DD[[#This Row],[Ext Regression %]]),Coles_DD[[#This Row],[Ext Regression %]],IF(ISBLANK(Coles_DD[[#This Row],[Ext Regression %]]),OFFSET(Coles_DD[[#This Row],[Ext Reg]],-1,0),0))</f>
        <v>4.1308088302612305</v>
      </c>
      <c r="M53" s="56">
        <f ca="1">IF(ISNUMBER(Coles_DD[[#This Row],[Core Regression %]]),Coles_DD[[#This Row],[Core Regression %]],IF(ISBLANK(Coles_DD[[#This Row],[Core Regression %]]),OFFSET(Coles_DD[[#This Row],[Core Reg]],-1,0),0))</f>
        <v>6.5068492889404297</v>
      </c>
      <c r="N53">
        <f>Coles_DD[[#This Row],[Core]]/SUM(Coles_DD[[#This Row],[Ext]],Coles_DD[[#This Row],[Core]])</f>
        <v>0.18516674962667995</v>
      </c>
    </row>
    <row r="54" spans="1:14">
      <c r="B54" s="3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83"/>
  <sheetViews>
    <sheetView zoomScale="80" zoomScaleNormal="80" workbookViewId="0">
      <selection activeCell="H2" sqref="H2:H83"/>
    </sheetView>
  </sheetViews>
  <sheetFormatPr defaultRowHeight="15"/>
  <cols>
    <col min="1" max="1" width="15.5703125" customWidth="1"/>
    <col min="2" max="2" width="29.42578125" customWidth="1"/>
    <col min="3" max="3" width="25.28515625" bestFit="1" customWidth="1"/>
    <col min="4" max="5" width="25.28515625" customWidth="1"/>
    <col min="9" max="9" width="13.28515625" bestFit="1" customWidth="1"/>
    <col min="10" max="10" width="10.7109375" bestFit="1" customWidth="1"/>
    <col min="12" max="12" width="10.7109375" bestFit="1" customWidth="1"/>
  </cols>
  <sheetData>
    <row r="1" spans="1:14">
      <c r="A1" s="49" t="s">
        <v>33</v>
      </c>
      <c r="B1" s="49" t="s">
        <v>32</v>
      </c>
      <c r="C1" s="49" t="s">
        <v>31</v>
      </c>
      <c r="D1" s="49" t="s">
        <v>48</v>
      </c>
      <c r="E1" s="49" t="s">
        <v>49</v>
      </c>
      <c r="F1" s="55" t="s">
        <v>78</v>
      </c>
      <c r="G1" s="52" t="s">
        <v>81</v>
      </c>
      <c r="H1" s="55" t="s">
        <v>79</v>
      </c>
      <c r="I1" s="52" t="s">
        <v>16</v>
      </c>
      <c r="J1" s="52" t="s">
        <v>30</v>
      </c>
      <c r="K1" s="52" t="s">
        <v>29</v>
      </c>
      <c r="L1" s="52" t="s">
        <v>50</v>
      </c>
      <c r="M1" s="52" t="s">
        <v>51</v>
      </c>
      <c r="N1" s="55" t="s">
        <v>80</v>
      </c>
    </row>
    <row r="2" spans="1:14">
      <c r="A2" s="50">
        <v>41260.564192592588</v>
      </c>
      <c r="B2" s="49">
        <v>127</v>
      </c>
      <c r="C2" s="49">
        <v>0.32283464074134827</v>
      </c>
      <c r="D2" s="49">
        <v>0</v>
      </c>
      <c r="E2" s="49">
        <v>0</v>
      </c>
      <c r="F2" s="55">
        <v>42</v>
      </c>
      <c r="G2" s="55"/>
      <c r="H2" s="55">
        <v>11</v>
      </c>
      <c r="I2" s="51">
        <f t="shared" ref="I2:I33" si="0">VALUE(WEEKNUM(A2*1)&amp;YEAR(A2*1))</f>
        <v>512012</v>
      </c>
      <c r="J2" s="48">
        <f>WOW_DD[[#This Row],[Cumulative done story points]]</f>
        <v>127</v>
      </c>
      <c r="K2" s="48">
        <f>IF(WOW_DD[[#This Row],[Cumulative done story points]]=0,0,WOW_DD[[#This Row],[Defect Density]])</f>
        <v>0.32283464074134827</v>
      </c>
      <c r="L2" s="56">
        <f ca="1">IF(ISNUMBER(WOW_DD[[#This Row],[Ext Regression %]]),WOW_DD[[#This Row],[Ext Regression %]],IF(ISBLANK(WOW_DD[[#This Row],[Ext Regression %]]),OFFSET(WOW_DD[[#This Row],[Ext Reg]],-1,0),0))</f>
        <v>0</v>
      </c>
      <c r="M2" s="56">
        <f ca="1">IF(ISNUMBER(WOW_DD[[#This Row],[Core Regression %]]),WOW_DD[[#This Row],[Core Regression %]],IF(ISBLANK(WOW_DD[[#This Row],[Core Regression %]]),OFFSET(WOW_DD[[#This Row],[Core Reg]],-1,0),0))</f>
        <v>0</v>
      </c>
      <c r="N2" s="65">
        <f>WOW_DD[[#This Row],[Core]]/SUM(WOW_DD[[#This Row],[Ext]],WOW_DD[[#This Row],[Core]])</f>
        <v>0.20754716981132076</v>
      </c>
    </row>
    <row r="3" spans="1:14">
      <c r="A3" s="50">
        <v>41267.564192592588</v>
      </c>
      <c r="B3" s="49">
        <v>127</v>
      </c>
      <c r="C3" s="49">
        <v>0.33070865273475647</v>
      </c>
      <c r="D3" s="49">
        <v>0</v>
      </c>
      <c r="E3" s="49">
        <v>0</v>
      </c>
      <c r="F3" s="55">
        <v>45</v>
      </c>
      <c r="G3" s="55"/>
      <c r="H3" s="55">
        <v>13</v>
      </c>
      <c r="I3" s="51">
        <f t="shared" si="0"/>
        <v>522012</v>
      </c>
      <c r="J3" s="48">
        <f>WOW_DD[[#This Row],[Cumulative done story points]]</f>
        <v>127</v>
      </c>
      <c r="K3" s="48">
        <f>IF(WOW_DD[[#This Row],[Cumulative done story points]]=0,0,WOW_DD[[#This Row],[Defect Density]])</f>
        <v>0.33070865273475647</v>
      </c>
      <c r="L3" s="56">
        <f ca="1">IF(ISNUMBER(WOW_DD[[#This Row],[Ext Regression %]]),WOW_DD[[#This Row],[Ext Regression %]],IF(ISBLANK(WOW_DD[[#This Row],[Ext Regression %]]),OFFSET(WOW_DD[[#This Row],[Ext Reg]],-1,0),0))</f>
        <v>0</v>
      </c>
      <c r="M3" s="56">
        <f ca="1">IF(ISNUMBER(WOW_DD[[#This Row],[Core Regression %]]),WOW_DD[[#This Row],[Core Regression %]],IF(ISBLANK(WOW_DD[[#This Row],[Core Regression %]]),OFFSET(WOW_DD[[#This Row],[Core Reg]],-1,0),0))</f>
        <v>0</v>
      </c>
      <c r="N3" s="65">
        <f>WOW_DD[[#This Row],[Core]]/SUM(WOW_DD[[#This Row],[Ext]],WOW_DD[[#This Row],[Core]])</f>
        <v>0.22413793103448276</v>
      </c>
    </row>
    <row r="4" spans="1:14">
      <c r="A4" s="50">
        <v>41274.564192592588</v>
      </c>
      <c r="B4" s="49">
        <v>147</v>
      </c>
      <c r="C4" s="49">
        <v>0.31292515993118286</v>
      </c>
      <c r="D4" s="49">
        <v>0</v>
      </c>
      <c r="E4" s="49">
        <v>0</v>
      </c>
      <c r="F4" s="55">
        <v>53</v>
      </c>
      <c r="G4" s="55"/>
      <c r="H4" s="55">
        <v>13</v>
      </c>
      <c r="I4" s="51">
        <f t="shared" si="0"/>
        <v>532012</v>
      </c>
      <c r="J4" s="48">
        <f>WOW_DD[[#This Row],[Cumulative done story points]]</f>
        <v>147</v>
      </c>
      <c r="K4" s="48">
        <f>IF(WOW_DD[[#This Row],[Cumulative done story points]]=0,0,WOW_DD[[#This Row],[Defect Density]])</f>
        <v>0.31292515993118286</v>
      </c>
      <c r="L4" s="56">
        <f ca="1">IF(ISNUMBER(WOW_DD[[#This Row],[Ext Regression %]]),WOW_DD[[#This Row],[Ext Regression %]],IF(ISBLANK(WOW_DD[[#This Row],[Ext Regression %]]),OFFSET(WOW_DD[[#This Row],[Ext Reg]],-1,0),0))</f>
        <v>0</v>
      </c>
      <c r="M4" s="56">
        <f ca="1">IF(ISNUMBER(WOW_DD[[#This Row],[Core Regression %]]),WOW_DD[[#This Row],[Core Regression %]],IF(ISBLANK(WOW_DD[[#This Row],[Core Regression %]]),OFFSET(WOW_DD[[#This Row],[Core Reg]],-1,0),0))</f>
        <v>0</v>
      </c>
      <c r="N4" s="65">
        <f>WOW_DD[[#This Row],[Core]]/SUM(WOW_DD[[#This Row],[Ext]],WOW_DD[[#This Row],[Core]])</f>
        <v>0.19696969696969696</v>
      </c>
    </row>
    <row r="5" spans="1:14">
      <c r="A5" s="50">
        <v>41281.564192592588</v>
      </c>
      <c r="B5" s="49">
        <v>148</v>
      </c>
      <c r="C5" s="49">
        <v>0.34459459781646729</v>
      </c>
      <c r="D5" s="49">
        <v>0</v>
      </c>
      <c r="E5" s="49">
        <v>0</v>
      </c>
      <c r="F5" s="55">
        <v>64</v>
      </c>
      <c r="G5" s="55"/>
      <c r="H5" s="55">
        <v>16</v>
      </c>
      <c r="I5" s="51">
        <f t="shared" si="0"/>
        <v>22013</v>
      </c>
      <c r="J5" s="48">
        <f>WOW_DD[[#This Row],[Cumulative done story points]]</f>
        <v>148</v>
      </c>
      <c r="K5" s="48">
        <f>IF(WOW_DD[[#This Row],[Cumulative done story points]]=0,0,WOW_DD[[#This Row],[Defect Density]])</f>
        <v>0.34459459781646729</v>
      </c>
      <c r="L5" s="56">
        <f ca="1">IF(ISNUMBER(WOW_DD[[#This Row],[Ext Regression %]]),WOW_DD[[#This Row],[Ext Regression %]],IF(ISBLANK(WOW_DD[[#This Row],[Ext Regression %]]),OFFSET(WOW_DD[[#This Row],[Ext Reg]],-1,0),0))</f>
        <v>0</v>
      </c>
      <c r="M5" s="56">
        <f ca="1">IF(ISNUMBER(WOW_DD[[#This Row],[Core Regression %]]),WOW_DD[[#This Row],[Core Regression %]],IF(ISBLANK(WOW_DD[[#This Row],[Core Regression %]]),OFFSET(WOW_DD[[#This Row],[Core Reg]],-1,0),0))</f>
        <v>0</v>
      </c>
      <c r="N5" s="65">
        <f>WOW_DD[[#This Row],[Core]]/SUM(WOW_DD[[#This Row],[Ext]],WOW_DD[[#This Row],[Core]])</f>
        <v>0.2</v>
      </c>
    </row>
    <row r="6" spans="1:14">
      <c r="A6" s="50">
        <v>41288.564192592588</v>
      </c>
      <c r="B6" s="49">
        <v>149</v>
      </c>
      <c r="C6" s="49">
        <v>0.42953020334243774</v>
      </c>
      <c r="D6" s="49">
        <v>0</v>
      </c>
      <c r="E6" s="49">
        <v>0</v>
      </c>
      <c r="F6" s="55">
        <v>85</v>
      </c>
      <c r="G6" s="55"/>
      <c r="H6" s="55">
        <v>25</v>
      </c>
      <c r="I6" s="51">
        <f t="shared" si="0"/>
        <v>32013</v>
      </c>
      <c r="J6" s="48">
        <f>WOW_DD[[#This Row],[Cumulative done story points]]</f>
        <v>149</v>
      </c>
      <c r="K6" s="48">
        <f>IF(WOW_DD[[#This Row],[Cumulative done story points]]=0,0,WOW_DD[[#This Row],[Defect Density]])</f>
        <v>0.42953020334243774</v>
      </c>
      <c r="L6" s="56">
        <f ca="1">IF(ISNUMBER(WOW_DD[[#This Row],[Ext Regression %]]),WOW_DD[[#This Row],[Ext Regression %]],IF(ISBLANK(WOW_DD[[#This Row],[Ext Regression %]]),OFFSET(WOW_DD[[#This Row],[Ext Reg]],-1,0),0))</f>
        <v>0</v>
      </c>
      <c r="M6" s="56">
        <f ca="1">IF(ISNUMBER(WOW_DD[[#This Row],[Core Regression %]]),WOW_DD[[#This Row],[Core Regression %]],IF(ISBLANK(WOW_DD[[#This Row],[Core Regression %]]),OFFSET(WOW_DD[[#This Row],[Core Reg]],-1,0),0))</f>
        <v>0</v>
      </c>
      <c r="N6" s="65">
        <f>WOW_DD[[#This Row],[Core]]/SUM(WOW_DD[[#This Row],[Ext]],WOW_DD[[#This Row],[Core]])</f>
        <v>0.22727272727272727</v>
      </c>
    </row>
    <row r="7" spans="1:14">
      <c r="A7" s="50">
        <v>41295.564192592588</v>
      </c>
      <c r="B7" s="49">
        <v>202</v>
      </c>
      <c r="C7" s="49">
        <v>0.37128713726997375</v>
      </c>
      <c r="D7" s="49">
        <v>0</v>
      </c>
      <c r="E7" s="49">
        <v>0</v>
      </c>
      <c r="F7" s="55">
        <v>99</v>
      </c>
      <c r="G7" s="55"/>
      <c r="H7" s="55">
        <v>32</v>
      </c>
      <c r="I7" s="51">
        <f t="shared" si="0"/>
        <v>42013</v>
      </c>
      <c r="J7" s="48">
        <f>WOW_DD[[#This Row],[Cumulative done story points]]</f>
        <v>202</v>
      </c>
      <c r="K7" s="48">
        <f>IF(WOW_DD[[#This Row],[Cumulative done story points]]=0,0,WOW_DD[[#This Row],[Defect Density]])</f>
        <v>0.37128713726997375</v>
      </c>
      <c r="L7" s="56">
        <f ca="1">IF(ISNUMBER(WOW_DD[[#This Row],[Ext Regression %]]),WOW_DD[[#This Row],[Ext Regression %]],IF(ISBLANK(WOW_DD[[#This Row],[Ext Regression %]]),OFFSET(WOW_DD[[#This Row],[Ext Reg]],-1,0),0))</f>
        <v>0</v>
      </c>
      <c r="M7" s="56">
        <f ca="1">IF(ISNUMBER(WOW_DD[[#This Row],[Core Regression %]]),WOW_DD[[#This Row],[Core Regression %]],IF(ISBLANK(WOW_DD[[#This Row],[Core Regression %]]),OFFSET(WOW_DD[[#This Row],[Core Reg]],-1,0),0))</f>
        <v>0</v>
      </c>
      <c r="N7" s="65">
        <f>WOW_DD[[#This Row],[Core]]/SUM(WOW_DD[[#This Row],[Ext]],WOW_DD[[#This Row],[Core]])</f>
        <v>0.24427480916030533</v>
      </c>
    </row>
    <row r="8" spans="1:14">
      <c r="A8" s="50">
        <v>41302.564192592588</v>
      </c>
      <c r="B8" s="49">
        <v>276</v>
      </c>
      <c r="C8" s="49">
        <v>0.32608696818351746</v>
      </c>
      <c r="D8" s="49">
        <v>0</v>
      </c>
      <c r="E8" s="49">
        <v>0</v>
      </c>
      <c r="F8" s="55">
        <v>118</v>
      </c>
      <c r="G8" s="55"/>
      <c r="H8" s="55">
        <v>40</v>
      </c>
      <c r="I8" s="51">
        <f t="shared" si="0"/>
        <v>52013</v>
      </c>
      <c r="J8" s="48">
        <f>WOW_DD[[#This Row],[Cumulative done story points]]</f>
        <v>276</v>
      </c>
      <c r="K8" s="48">
        <f>IF(WOW_DD[[#This Row],[Cumulative done story points]]=0,0,WOW_DD[[#This Row],[Defect Density]])</f>
        <v>0.32608696818351746</v>
      </c>
      <c r="L8" s="56">
        <f ca="1">IF(ISNUMBER(WOW_DD[[#This Row],[Ext Regression %]]),WOW_DD[[#This Row],[Ext Regression %]],IF(ISBLANK(WOW_DD[[#This Row],[Ext Regression %]]),OFFSET(WOW_DD[[#This Row],[Ext Reg]],-1,0),0))</f>
        <v>0</v>
      </c>
      <c r="M8" s="56">
        <f ca="1">IF(ISNUMBER(WOW_DD[[#This Row],[Core Regression %]]),WOW_DD[[#This Row],[Core Regression %]],IF(ISBLANK(WOW_DD[[#This Row],[Core Regression %]]),OFFSET(WOW_DD[[#This Row],[Core Reg]],-1,0),0))</f>
        <v>0</v>
      </c>
      <c r="N8" s="65">
        <f>WOW_DD[[#This Row],[Core]]/SUM(WOW_DD[[#This Row],[Ext]],WOW_DD[[#This Row],[Core]])</f>
        <v>0.25316455696202533</v>
      </c>
    </row>
    <row r="9" spans="1:14">
      <c r="A9" s="50">
        <v>41309.564192592588</v>
      </c>
      <c r="B9" s="49">
        <v>279</v>
      </c>
      <c r="C9" s="49">
        <v>0.43727597594261169</v>
      </c>
      <c r="D9" s="49">
        <v>0</v>
      </c>
      <c r="E9" s="49">
        <v>0</v>
      </c>
      <c r="F9" s="55">
        <v>153</v>
      </c>
      <c r="G9" s="55"/>
      <c r="H9" s="55">
        <v>58</v>
      </c>
      <c r="I9" s="51">
        <f t="shared" si="0"/>
        <v>62013</v>
      </c>
      <c r="J9" s="48">
        <f>WOW_DD[[#This Row],[Cumulative done story points]]</f>
        <v>279</v>
      </c>
      <c r="K9" s="48">
        <f>IF(WOW_DD[[#This Row],[Cumulative done story points]]=0,0,WOW_DD[[#This Row],[Defect Density]])</f>
        <v>0.43727597594261169</v>
      </c>
      <c r="L9" s="56">
        <f ca="1">IF(ISNUMBER(WOW_DD[[#This Row],[Ext Regression %]]),WOW_DD[[#This Row],[Ext Regression %]],IF(ISBLANK(WOW_DD[[#This Row],[Ext Regression %]]),OFFSET(WOW_DD[[#This Row],[Ext Reg]],-1,0),0))</f>
        <v>0</v>
      </c>
      <c r="M9" s="56">
        <f ca="1">IF(ISNUMBER(WOW_DD[[#This Row],[Core Regression %]]),WOW_DD[[#This Row],[Core Regression %]],IF(ISBLANK(WOW_DD[[#This Row],[Core Regression %]]),OFFSET(WOW_DD[[#This Row],[Core Reg]],-1,0),0))</f>
        <v>0</v>
      </c>
      <c r="N9" s="65">
        <f>WOW_DD[[#This Row],[Core]]/SUM(WOW_DD[[#This Row],[Ext]],WOW_DD[[#This Row],[Core]])</f>
        <v>0.27488151658767773</v>
      </c>
    </row>
    <row r="10" spans="1:14">
      <c r="A10" s="50">
        <v>41316.564192592588</v>
      </c>
      <c r="B10" s="49">
        <v>285</v>
      </c>
      <c r="C10" s="49">
        <v>0.47719296813011169</v>
      </c>
      <c r="D10" s="49">
        <v>0</v>
      </c>
      <c r="E10" s="49">
        <v>0</v>
      </c>
      <c r="F10" s="55">
        <v>168</v>
      </c>
      <c r="G10" s="55"/>
      <c r="H10" s="55">
        <v>72</v>
      </c>
      <c r="I10" s="51">
        <f t="shared" si="0"/>
        <v>72013</v>
      </c>
      <c r="J10" s="48">
        <f>WOW_DD[[#This Row],[Cumulative done story points]]</f>
        <v>285</v>
      </c>
      <c r="K10" s="48">
        <f>IF(WOW_DD[[#This Row],[Cumulative done story points]]=0,0,WOW_DD[[#This Row],[Defect Density]])</f>
        <v>0.47719296813011169</v>
      </c>
      <c r="L10" s="56">
        <f ca="1">IF(ISNUMBER(WOW_DD[[#This Row],[Ext Regression %]]),WOW_DD[[#This Row],[Ext Regression %]],IF(ISBLANK(WOW_DD[[#This Row],[Ext Regression %]]),OFFSET(WOW_DD[[#This Row],[Ext Reg]],-1,0),0))</f>
        <v>0</v>
      </c>
      <c r="M10" s="56">
        <f ca="1">IF(ISNUMBER(WOW_DD[[#This Row],[Core Regression %]]),WOW_DD[[#This Row],[Core Regression %]],IF(ISBLANK(WOW_DD[[#This Row],[Core Regression %]]),OFFSET(WOW_DD[[#This Row],[Core Reg]],-1,0),0))</f>
        <v>0</v>
      </c>
      <c r="N10" s="65">
        <f>WOW_DD[[#This Row],[Core]]/SUM(WOW_DD[[#This Row],[Ext]],WOW_DD[[#This Row],[Core]])</f>
        <v>0.3</v>
      </c>
    </row>
    <row r="11" spans="1:14">
      <c r="A11" s="50">
        <v>41323.564192592588</v>
      </c>
      <c r="B11" s="49">
        <v>329</v>
      </c>
      <c r="C11" s="49">
        <v>0.4285714328289032</v>
      </c>
      <c r="D11" s="49">
        <v>0</v>
      </c>
      <c r="E11" s="49">
        <v>0</v>
      </c>
      <c r="F11" s="55">
        <v>180</v>
      </c>
      <c r="G11" s="55"/>
      <c r="H11" s="55">
        <v>78</v>
      </c>
      <c r="I11" s="51">
        <f t="shared" si="0"/>
        <v>82013</v>
      </c>
      <c r="J11" s="48">
        <f>WOW_DD[[#This Row],[Cumulative done story points]]</f>
        <v>329</v>
      </c>
      <c r="K11" s="48">
        <f>IF(WOW_DD[[#This Row],[Cumulative done story points]]=0,0,WOW_DD[[#This Row],[Defect Density]])</f>
        <v>0.4285714328289032</v>
      </c>
      <c r="L11" s="56">
        <f ca="1">IF(ISNUMBER(WOW_DD[[#This Row],[Ext Regression %]]),WOW_DD[[#This Row],[Ext Regression %]],IF(ISBLANK(WOW_DD[[#This Row],[Ext Regression %]]),OFFSET(WOW_DD[[#This Row],[Ext Reg]],-1,0),0))</f>
        <v>0</v>
      </c>
      <c r="M11" s="56">
        <f ca="1">IF(ISNUMBER(WOW_DD[[#This Row],[Core Regression %]]),WOW_DD[[#This Row],[Core Regression %]],IF(ISBLANK(WOW_DD[[#This Row],[Core Regression %]]),OFFSET(WOW_DD[[#This Row],[Core Reg]],-1,0),0))</f>
        <v>0</v>
      </c>
      <c r="N11" s="65">
        <f>WOW_DD[[#This Row],[Core]]/SUM(WOW_DD[[#This Row],[Ext]],WOW_DD[[#This Row],[Core]])</f>
        <v>0.30232558139534882</v>
      </c>
    </row>
    <row r="12" spans="1:14">
      <c r="A12" s="50">
        <v>41330.564192592588</v>
      </c>
      <c r="B12" s="49">
        <v>359</v>
      </c>
      <c r="C12" s="49">
        <v>0.43454039096832275</v>
      </c>
      <c r="D12" s="49">
        <v>0</v>
      </c>
      <c r="E12" s="49">
        <v>0</v>
      </c>
      <c r="F12" s="55">
        <v>201</v>
      </c>
      <c r="G12" s="55"/>
      <c r="H12" s="55">
        <v>90</v>
      </c>
      <c r="I12" s="51">
        <f t="shared" si="0"/>
        <v>92013</v>
      </c>
      <c r="J12" s="48">
        <f>WOW_DD[[#This Row],[Cumulative done story points]]</f>
        <v>359</v>
      </c>
      <c r="K12" s="48">
        <f>IF(WOW_DD[[#This Row],[Cumulative done story points]]=0,0,WOW_DD[[#This Row],[Defect Density]])</f>
        <v>0.43454039096832275</v>
      </c>
      <c r="L12" s="56">
        <f ca="1">IF(ISNUMBER(WOW_DD[[#This Row],[Ext Regression %]]),WOW_DD[[#This Row],[Ext Regression %]],IF(ISBLANK(WOW_DD[[#This Row],[Ext Regression %]]),OFFSET(WOW_DD[[#This Row],[Ext Reg]],-1,0),0))</f>
        <v>0</v>
      </c>
      <c r="M12" s="56">
        <f ca="1">IF(ISNUMBER(WOW_DD[[#This Row],[Core Regression %]]),WOW_DD[[#This Row],[Core Regression %]],IF(ISBLANK(WOW_DD[[#This Row],[Core Regression %]]),OFFSET(WOW_DD[[#This Row],[Core Reg]],-1,0),0))</f>
        <v>0</v>
      </c>
      <c r="N12" s="65">
        <f>WOW_DD[[#This Row],[Core]]/SUM(WOW_DD[[#This Row],[Ext]],WOW_DD[[#This Row],[Core]])</f>
        <v>0.30927835051546393</v>
      </c>
    </row>
    <row r="13" spans="1:14">
      <c r="A13" s="50">
        <v>41337.564192592588</v>
      </c>
      <c r="B13" s="49">
        <v>404</v>
      </c>
      <c r="C13" s="49">
        <v>0.42326733469963074</v>
      </c>
      <c r="D13" s="49">
        <v>0</v>
      </c>
      <c r="E13" s="49">
        <v>0</v>
      </c>
      <c r="F13" s="55">
        <v>231</v>
      </c>
      <c r="G13" s="55"/>
      <c r="H13" s="55">
        <v>118</v>
      </c>
      <c r="I13" s="51">
        <f t="shared" si="0"/>
        <v>102013</v>
      </c>
      <c r="J13" s="48">
        <f>WOW_DD[[#This Row],[Cumulative done story points]]</f>
        <v>404</v>
      </c>
      <c r="K13" s="48">
        <f>IF(WOW_DD[[#This Row],[Cumulative done story points]]=0,0,WOW_DD[[#This Row],[Defect Density]])</f>
        <v>0.42326733469963074</v>
      </c>
      <c r="L13" s="56">
        <f ca="1">IF(ISNUMBER(WOW_DD[[#This Row],[Ext Regression %]]),WOW_DD[[#This Row],[Ext Regression %]],IF(ISBLANK(WOW_DD[[#This Row],[Ext Regression %]]),OFFSET(WOW_DD[[#This Row],[Ext Reg]],-1,0),0))</f>
        <v>0</v>
      </c>
      <c r="M13" s="56">
        <f ca="1">IF(ISNUMBER(WOW_DD[[#This Row],[Core Regression %]]),WOW_DD[[#This Row],[Core Regression %]],IF(ISBLANK(WOW_DD[[#This Row],[Core Regression %]]),OFFSET(WOW_DD[[#This Row],[Core Reg]],-1,0),0))</f>
        <v>0</v>
      </c>
      <c r="N13" s="65">
        <f>WOW_DD[[#This Row],[Core]]/SUM(WOW_DD[[#This Row],[Ext]],WOW_DD[[#This Row],[Core]])</f>
        <v>0.33810888252148996</v>
      </c>
    </row>
    <row r="14" spans="1:14">
      <c r="A14" s="50">
        <v>41344.564192592588</v>
      </c>
      <c r="B14" s="49">
        <v>452</v>
      </c>
      <c r="C14" s="49">
        <v>0.45132744312286377</v>
      </c>
      <c r="D14" s="49">
        <v>0</v>
      </c>
      <c r="E14" s="49">
        <v>0</v>
      </c>
      <c r="F14" s="55">
        <v>276</v>
      </c>
      <c r="G14" s="55"/>
      <c r="H14" s="55">
        <v>138</v>
      </c>
      <c r="I14" s="51">
        <f t="shared" si="0"/>
        <v>112013</v>
      </c>
      <c r="J14" s="48">
        <f>WOW_DD[[#This Row],[Cumulative done story points]]</f>
        <v>452</v>
      </c>
      <c r="K14" s="48">
        <f>IF(WOW_DD[[#This Row],[Cumulative done story points]]=0,0,WOW_DD[[#This Row],[Defect Density]])</f>
        <v>0.45132744312286377</v>
      </c>
      <c r="L14" s="56">
        <f ca="1">IF(ISNUMBER(WOW_DD[[#This Row],[Ext Regression %]]),WOW_DD[[#This Row],[Ext Regression %]],IF(ISBLANK(WOW_DD[[#This Row],[Ext Regression %]]),OFFSET(WOW_DD[[#This Row],[Ext Reg]],-1,0),0))</f>
        <v>0</v>
      </c>
      <c r="M14" s="56">
        <f ca="1">IF(ISNUMBER(WOW_DD[[#This Row],[Core Regression %]]),WOW_DD[[#This Row],[Core Regression %]],IF(ISBLANK(WOW_DD[[#This Row],[Core Regression %]]),OFFSET(WOW_DD[[#This Row],[Core Reg]],-1,0),0))</f>
        <v>0</v>
      </c>
      <c r="N14" s="65">
        <f>WOW_DD[[#This Row],[Core]]/SUM(WOW_DD[[#This Row],[Ext]],WOW_DD[[#This Row],[Core]])</f>
        <v>0.33333333333333331</v>
      </c>
    </row>
    <row r="15" spans="1:14">
      <c r="A15" s="50">
        <v>41351.564192592588</v>
      </c>
      <c r="B15" s="49">
        <v>558</v>
      </c>
      <c r="C15" s="49">
        <v>0.43369176983833313</v>
      </c>
      <c r="D15" s="49">
        <v>0</v>
      </c>
      <c r="E15" s="49">
        <v>0</v>
      </c>
      <c r="F15" s="55">
        <v>336</v>
      </c>
      <c r="G15" s="55"/>
      <c r="H15" s="55">
        <v>157</v>
      </c>
      <c r="I15" s="51">
        <f t="shared" si="0"/>
        <v>122013</v>
      </c>
      <c r="J15" s="48">
        <f>WOW_DD[[#This Row],[Cumulative done story points]]</f>
        <v>558</v>
      </c>
      <c r="K15" s="48">
        <f>IF(WOW_DD[[#This Row],[Cumulative done story points]]=0,0,WOW_DD[[#This Row],[Defect Density]])</f>
        <v>0.43369176983833313</v>
      </c>
      <c r="L15" s="56">
        <f ca="1">IF(ISNUMBER(WOW_DD[[#This Row],[Ext Regression %]]),WOW_DD[[#This Row],[Ext Regression %]],IF(ISBLANK(WOW_DD[[#This Row],[Ext Regression %]]),OFFSET(WOW_DD[[#This Row],[Ext Reg]],-1,0),0))</f>
        <v>0</v>
      </c>
      <c r="M15" s="56">
        <f ca="1">IF(ISNUMBER(WOW_DD[[#This Row],[Core Regression %]]),WOW_DD[[#This Row],[Core Regression %]],IF(ISBLANK(WOW_DD[[#This Row],[Core Regression %]]),OFFSET(WOW_DD[[#This Row],[Core Reg]],-1,0),0))</f>
        <v>0</v>
      </c>
      <c r="N15" s="65">
        <f>WOW_DD[[#This Row],[Core]]/SUM(WOW_DD[[#This Row],[Ext]],WOW_DD[[#This Row],[Core]])</f>
        <v>0.31845841784989859</v>
      </c>
    </row>
    <row r="16" spans="1:14">
      <c r="A16" s="50">
        <v>41358.564192592588</v>
      </c>
      <c r="B16" s="49">
        <v>558</v>
      </c>
      <c r="C16" s="49">
        <v>0.4444444477558136</v>
      </c>
      <c r="D16" s="49">
        <v>0</v>
      </c>
      <c r="E16" s="49">
        <v>2.4590163230895996</v>
      </c>
      <c r="F16" s="55">
        <v>347</v>
      </c>
      <c r="G16" s="55"/>
      <c r="H16" s="55">
        <v>169</v>
      </c>
      <c r="I16" s="51">
        <f t="shared" si="0"/>
        <v>132013</v>
      </c>
      <c r="J16" s="48">
        <f>WOW_DD[[#This Row],[Cumulative done story points]]</f>
        <v>558</v>
      </c>
      <c r="K16" s="48">
        <f>IF(WOW_DD[[#This Row],[Cumulative done story points]]=0,0,WOW_DD[[#This Row],[Defect Density]])</f>
        <v>0.4444444477558136</v>
      </c>
      <c r="L16" s="56">
        <f ca="1">IF(ISNUMBER(WOW_DD[[#This Row],[Ext Regression %]]),WOW_DD[[#This Row],[Ext Regression %]],IF(ISBLANK(WOW_DD[[#This Row],[Ext Regression %]]),OFFSET(WOW_DD[[#This Row],[Ext Reg]],-1,0),0))</f>
        <v>0</v>
      </c>
      <c r="M16" s="56">
        <f ca="1">IF(ISNUMBER(WOW_DD[[#This Row],[Core Regression %]]),WOW_DD[[#This Row],[Core Regression %]],IF(ISBLANK(WOW_DD[[#This Row],[Core Regression %]]),OFFSET(WOW_DD[[#This Row],[Core Reg]],-1,0),0))</f>
        <v>2.4590163230895996</v>
      </c>
      <c r="N16" s="65">
        <f>WOW_DD[[#This Row],[Core]]/SUM(WOW_DD[[#This Row],[Ext]],WOW_DD[[#This Row],[Core]])</f>
        <v>0.32751937984496127</v>
      </c>
    </row>
    <row r="17" spans="1:14">
      <c r="A17" s="50">
        <v>41365.564192592588</v>
      </c>
      <c r="B17" s="49">
        <v>610</v>
      </c>
      <c r="C17" s="49">
        <v>0.42295083403587341</v>
      </c>
      <c r="D17" s="49">
        <v>0</v>
      </c>
      <c r="E17" s="49">
        <v>2.8985507488250732</v>
      </c>
      <c r="F17" s="55">
        <v>360</v>
      </c>
      <c r="G17" s="55"/>
      <c r="H17" s="55">
        <v>188</v>
      </c>
      <c r="I17" s="51">
        <f t="shared" si="0"/>
        <v>142013</v>
      </c>
      <c r="J17" s="48">
        <f>WOW_DD[[#This Row],[Cumulative done story points]]</f>
        <v>610</v>
      </c>
      <c r="K17" s="48">
        <f>IF(WOW_DD[[#This Row],[Cumulative done story points]]=0,0,WOW_DD[[#This Row],[Defect Density]])</f>
        <v>0.42295083403587341</v>
      </c>
      <c r="L17" s="56">
        <f ca="1">IF(ISNUMBER(WOW_DD[[#This Row],[Ext Regression %]]),WOW_DD[[#This Row],[Ext Regression %]],IF(ISBLANK(WOW_DD[[#This Row],[Ext Regression %]]),OFFSET(WOW_DD[[#This Row],[Ext Reg]],-1,0),0))</f>
        <v>0</v>
      </c>
      <c r="M17" s="56">
        <f ca="1">IF(ISNUMBER(WOW_DD[[#This Row],[Core Regression %]]),WOW_DD[[#This Row],[Core Regression %]],IF(ISBLANK(WOW_DD[[#This Row],[Core Regression %]]),OFFSET(WOW_DD[[#This Row],[Core Reg]],-1,0),0))</f>
        <v>2.8985507488250732</v>
      </c>
      <c r="N17" s="65">
        <f>WOW_DD[[#This Row],[Core]]/SUM(WOW_DD[[#This Row],[Ext]],WOW_DD[[#This Row],[Core]])</f>
        <v>0.34306569343065696</v>
      </c>
    </row>
    <row r="18" spans="1:14">
      <c r="A18" s="50">
        <v>41372.564192592588</v>
      </c>
      <c r="B18" s="49">
        <v>620</v>
      </c>
      <c r="C18" s="49">
        <v>0.45645162463188171</v>
      </c>
      <c r="D18" s="49">
        <v>0.70671379566192627</v>
      </c>
      <c r="E18" s="49">
        <v>2.5157232284545898</v>
      </c>
      <c r="F18" s="55">
        <v>392</v>
      </c>
      <c r="G18" s="55"/>
      <c r="H18" s="55">
        <v>213</v>
      </c>
      <c r="I18" s="51">
        <f t="shared" si="0"/>
        <v>152013</v>
      </c>
      <c r="J18" s="48">
        <f>WOW_DD[[#This Row],[Cumulative done story points]]</f>
        <v>620</v>
      </c>
      <c r="K18" s="48">
        <f>IF(WOW_DD[[#This Row],[Cumulative done story points]]=0,0,WOW_DD[[#This Row],[Defect Density]])</f>
        <v>0.45645162463188171</v>
      </c>
      <c r="L18" s="56">
        <f ca="1">IF(ISNUMBER(WOW_DD[[#This Row],[Ext Regression %]]),WOW_DD[[#This Row],[Ext Regression %]],IF(ISBLANK(WOW_DD[[#This Row],[Ext Regression %]]),OFFSET(WOW_DD[[#This Row],[Ext Reg]],-1,0),0))</f>
        <v>0.70671379566192627</v>
      </c>
      <c r="M18" s="56">
        <f ca="1">IF(ISNUMBER(WOW_DD[[#This Row],[Core Regression %]]),WOW_DD[[#This Row],[Core Regression %]],IF(ISBLANK(WOW_DD[[#This Row],[Core Regression %]]),OFFSET(WOW_DD[[#This Row],[Core Reg]],-1,0),0))</f>
        <v>2.5157232284545898</v>
      </c>
      <c r="N18" s="65">
        <f>WOW_DD[[#This Row],[Core]]/SUM(WOW_DD[[#This Row],[Ext]],WOW_DD[[#This Row],[Core]])</f>
        <v>0.35206611570247937</v>
      </c>
    </row>
    <row r="19" spans="1:14">
      <c r="A19" s="50">
        <v>41379.564192592588</v>
      </c>
      <c r="B19" s="49">
        <v>649</v>
      </c>
      <c r="C19" s="49">
        <v>0.47765794396400452</v>
      </c>
      <c r="D19" s="49">
        <v>0.64516127109527588</v>
      </c>
      <c r="E19" s="49">
        <v>3.3519554138183594</v>
      </c>
      <c r="F19" s="55">
        <v>421</v>
      </c>
      <c r="G19" s="55"/>
      <c r="H19" s="55">
        <v>236</v>
      </c>
      <c r="I19" s="51">
        <f t="shared" si="0"/>
        <v>162013</v>
      </c>
      <c r="J19" s="48">
        <f>WOW_DD[[#This Row],[Cumulative done story points]]</f>
        <v>649</v>
      </c>
      <c r="K19" s="48">
        <f>IF(WOW_DD[[#This Row],[Cumulative done story points]]=0,0,WOW_DD[[#This Row],[Defect Density]])</f>
        <v>0.47765794396400452</v>
      </c>
      <c r="L19" s="56">
        <f ca="1">IF(ISNUMBER(WOW_DD[[#This Row],[Ext Regression %]]),WOW_DD[[#This Row],[Ext Regression %]],IF(ISBLANK(WOW_DD[[#This Row],[Ext Regression %]]),OFFSET(WOW_DD[[#This Row],[Ext Reg]],-1,0),0))</f>
        <v>0.64516127109527588</v>
      </c>
      <c r="M19" s="56">
        <f ca="1">IF(ISNUMBER(WOW_DD[[#This Row],[Core Regression %]]),WOW_DD[[#This Row],[Core Regression %]],IF(ISBLANK(WOW_DD[[#This Row],[Core Regression %]]),OFFSET(WOW_DD[[#This Row],[Core Reg]],-1,0),0))</f>
        <v>3.3519554138183594</v>
      </c>
      <c r="N19" s="65">
        <f>WOW_DD[[#This Row],[Core]]/SUM(WOW_DD[[#This Row],[Ext]],WOW_DD[[#This Row],[Core]])</f>
        <v>0.35920852359208522</v>
      </c>
    </row>
    <row r="20" spans="1:14">
      <c r="A20" s="50">
        <v>41386.564192592588</v>
      </c>
      <c r="B20" s="49">
        <v>665</v>
      </c>
      <c r="C20" s="49">
        <v>0.48120301961898804</v>
      </c>
      <c r="D20" s="49">
        <v>0.625</v>
      </c>
      <c r="E20" s="49">
        <v>4.1884818077087402</v>
      </c>
      <c r="F20" s="55">
        <v>432</v>
      </c>
      <c r="G20" s="55"/>
      <c r="H20" s="55">
        <v>252</v>
      </c>
      <c r="I20" s="51">
        <f t="shared" si="0"/>
        <v>172013</v>
      </c>
      <c r="J20" s="48">
        <f>WOW_DD[[#This Row],[Cumulative done story points]]</f>
        <v>665</v>
      </c>
      <c r="K20" s="48">
        <f>IF(WOW_DD[[#This Row],[Cumulative done story points]]=0,0,WOW_DD[[#This Row],[Defect Density]])</f>
        <v>0.48120301961898804</v>
      </c>
      <c r="L20" s="56">
        <f ca="1">IF(ISNUMBER(WOW_DD[[#This Row],[Ext Regression %]]),WOW_DD[[#This Row],[Ext Regression %]],IF(ISBLANK(WOW_DD[[#This Row],[Ext Regression %]]),OFFSET(WOW_DD[[#This Row],[Ext Reg]],-1,0),0))</f>
        <v>0.625</v>
      </c>
      <c r="M20" s="56">
        <f ca="1">IF(ISNUMBER(WOW_DD[[#This Row],[Core Regression %]]),WOW_DD[[#This Row],[Core Regression %]],IF(ISBLANK(WOW_DD[[#This Row],[Core Regression %]]),OFFSET(WOW_DD[[#This Row],[Core Reg]],-1,0),0))</f>
        <v>4.1884818077087402</v>
      </c>
      <c r="N20" s="65">
        <f>WOW_DD[[#This Row],[Core]]/SUM(WOW_DD[[#This Row],[Ext]],WOW_DD[[#This Row],[Core]])</f>
        <v>0.36842105263157893</v>
      </c>
    </row>
    <row r="21" spans="1:14">
      <c r="A21" s="50">
        <v>41393.564192592588</v>
      </c>
      <c r="B21" s="49">
        <v>753</v>
      </c>
      <c r="C21" s="49">
        <v>0.44090306758880615</v>
      </c>
      <c r="D21" s="49">
        <v>0.60240960121154785</v>
      </c>
      <c r="E21" s="49">
        <v>5.0761418342590332</v>
      </c>
      <c r="F21" s="55">
        <v>445</v>
      </c>
      <c r="G21" s="55"/>
      <c r="H21" s="55">
        <v>262</v>
      </c>
      <c r="I21" s="51">
        <f t="shared" si="0"/>
        <v>182013</v>
      </c>
      <c r="J21" s="48">
        <f>WOW_DD[[#This Row],[Cumulative done story points]]</f>
        <v>753</v>
      </c>
      <c r="K21" s="48">
        <f>IF(WOW_DD[[#This Row],[Cumulative done story points]]=0,0,WOW_DD[[#This Row],[Defect Density]])</f>
        <v>0.44090306758880615</v>
      </c>
      <c r="L21" s="56">
        <f ca="1">IF(ISNUMBER(WOW_DD[[#This Row],[Ext Regression %]]),WOW_DD[[#This Row],[Ext Regression %]],IF(ISBLANK(WOW_DD[[#This Row],[Ext Regression %]]),OFFSET(WOW_DD[[#This Row],[Ext Reg]],-1,0),0))</f>
        <v>0.60240960121154785</v>
      </c>
      <c r="M21" s="56">
        <f ca="1">IF(ISNUMBER(WOW_DD[[#This Row],[Core Regression %]]),WOW_DD[[#This Row],[Core Regression %]],IF(ISBLANK(WOW_DD[[#This Row],[Core Regression %]]),OFFSET(WOW_DD[[#This Row],[Core Reg]],-1,0),0))</f>
        <v>5.0761418342590332</v>
      </c>
      <c r="N21" s="65">
        <f>WOW_DD[[#This Row],[Core]]/SUM(WOW_DD[[#This Row],[Ext]],WOW_DD[[#This Row],[Core]])</f>
        <v>0.37057991513437055</v>
      </c>
    </row>
    <row r="22" spans="1:14">
      <c r="A22" s="50">
        <v>41400.564192592588</v>
      </c>
      <c r="B22" s="49">
        <v>809</v>
      </c>
      <c r="C22" s="49">
        <v>0.44375771284103394</v>
      </c>
      <c r="D22" s="49">
        <v>1.3927576541900635</v>
      </c>
      <c r="E22" s="49">
        <v>6.9124422073364258</v>
      </c>
      <c r="F22" s="55">
        <v>478</v>
      </c>
      <c r="G22" s="55"/>
      <c r="H22" s="55">
        <v>287</v>
      </c>
      <c r="I22" s="51">
        <f t="shared" si="0"/>
        <v>192013</v>
      </c>
      <c r="J22" s="48">
        <f>WOW_DD[[#This Row],[Cumulative done story points]]</f>
        <v>809</v>
      </c>
      <c r="K22" s="48">
        <f>IF(WOW_DD[[#This Row],[Cumulative done story points]]=0,0,WOW_DD[[#This Row],[Defect Density]])</f>
        <v>0.44375771284103394</v>
      </c>
      <c r="L22" s="56">
        <f ca="1">IF(ISNUMBER(WOW_DD[[#This Row],[Ext Regression %]]),WOW_DD[[#This Row],[Ext Regression %]],IF(ISBLANK(WOW_DD[[#This Row],[Ext Regression %]]),OFFSET(WOW_DD[[#This Row],[Ext Reg]],-1,0),0))</f>
        <v>1.3927576541900635</v>
      </c>
      <c r="M22" s="56">
        <f ca="1">IF(ISNUMBER(WOW_DD[[#This Row],[Core Regression %]]),WOW_DD[[#This Row],[Core Regression %]],IF(ISBLANK(WOW_DD[[#This Row],[Core Regression %]]),OFFSET(WOW_DD[[#This Row],[Core Reg]],-1,0),0))</f>
        <v>6.9124422073364258</v>
      </c>
      <c r="N22" s="65">
        <f>WOW_DD[[#This Row],[Core]]/SUM(WOW_DD[[#This Row],[Ext]],WOW_DD[[#This Row],[Core]])</f>
        <v>0.37516339869281046</v>
      </c>
    </row>
    <row r="23" spans="1:14">
      <c r="A23" s="50">
        <v>41407.564192592588</v>
      </c>
      <c r="B23" s="49">
        <v>910</v>
      </c>
      <c r="C23" s="49">
        <v>0.40549451112747192</v>
      </c>
      <c r="D23" s="49">
        <v>1.6260161399841309</v>
      </c>
      <c r="E23" s="49">
        <v>7.5555553436279297</v>
      </c>
      <c r="F23" s="55">
        <v>492</v>
      </c>
      <c r="G23" s="55"/>
      <c r="H23" s="55">
        <v>299</v>
      </c>
      <c r="I23" s="51">
        <f t="shared" si="0"/>
        <v>202013</v>
      </c>
      <c r="J23" s="48">
        <f>WOW_DD[[#This Row],[Cumulative done story points]]</f>
        <v>910</v>
      </c>
      <c r="K23" s="48">
        <f>IF(WOW_DD[[#This Row],[Cumulative done story points]]=0,0,WOW_DD[[#This Row],[Defect Density]])</f>
        <v>0.40549451112747192</v>
      </c>
      <c r="L23" s="56">
        <f ca="1">IF(ISNUMBER(WOW_DD[[#This Row],[Ext Regression %]]),WOW_DD[[#This Row],[Ext Regression %]],IF(ISBLANK(WOW_DD[[#This Row],[Ext Regression %]]),OFFSET(WOW_DD[[#This Row],[Ext Reg]],-1,0),0))</f>
        <v>1.6260161399841309</v>
      </c>
      <c r="M23" s="56">
        <f ca="1">IF(ISNUMBER(WOW_DD[[#This Row],[Core Regression %]]),WOW_DD[[#This Row],[Core Regression %]],IF(ISBLANK(WOW_DD[[#This Row],[Core Regression %]]),OFFSET(WOW_DD[[#This Row],[Core Reg]],-1,0),0))</f>
        <v>7.5555553436279297</v>
      </c>
      <c r="N23" s="65">
        <f>WOW_DD[[#This Row],[Core]]/SUM(WOW_DD[[#This Row],[Ext]],WOW_DD[[#This Row],[Core]])</f>
        <v>0.37800252844500631</v>
      </c>
    </row>
    <row r="24" spans="1:14">
      <c r="A24" s="50">
        <v>41414.564192592588</v>
      </c>
      <c r="B24" s="49">
        <v>965</v>
      </c>
      <c r="C24" s="49">
        <v>0.41554403305053711</v>
      </c>
      <c r="D24" s="49">
        <v>1.7456358671188354</v>
      </c>
      <c r="E24" s="49">
        <v>8.9361705780029297</v>
      </c>
      <c r="F24" s="55">
        <v>526</v>
      </c>
      <c r="G24" s="55"/>
      <c r="H24" s="55">
        <v>311</v>
      </c>
      <c r="I24" s="51">
        <f t="shared" si="0"/>
        <v>212013</v>
      </c>
      <c r="J24" s="48">
        <f>WOW_DD[[#This Row],[Cumulative done story points]]</f>
        <v>965</v>
      </c>
      <c r="K24" s="48">
        <f>IF(WOW_DD[[#This Row],[Cumulative done story points]]=0,0,WOW_DD[[#This Row],[Defect Density]])</f>
        <v>0.41554403305053711</v>
      </c>
      <c r="L24" s="56">
        <f ca="1">IF(ISNUMBER(WOW_DD[[#This Row],[Ext Regression %]]),WOW_DD[[#This Row],[Ext Regression %]],IF(ISBLANK(WOW_DD[[#This Row],[Ext Regression %]]),OFFSET(WOW_DD[[#This Row],[Ext Reg]],-1,0),0))</f>
        <v>1.7456358671188354</v>
      </c>
      <c r="M24" s="56">
        <f ca="1">IF(ISNUMBER(WOW_DD[[#This Row],[Core Regression %]]),WOW_DD[[#This Row],[Core Regression %]],IF(ISBLANK(WOW_DD[[#This Row],[Core Regression %]]),OFFSET(WOW_DD[[#This Row],[Core Reg]],-1,0),0))</f>
        <v>8.9361705780029297</v>
      </c>
      <c r="N24" s="65">
        <f>WOW_DD[[#This Row],[Core]]/SUM(WOW_DD[[#This Row],[Ext]],WOW_DD[[#This Row],[Core]])</f>
        <v>0.3715651135005974</v>
      </c>
    </row>
    <row r="25" spans="1:14">
      <c r="A25" s="50">
        <v>41421.564192592588</v>
      </c>
      <c r="B25" s="49">
        <v>981</v>
      </c>
      <c r="C25" s="49">
        <v>0.42405709624290466</v>
      </c>
      <c r="D25" s="49">
        <v>1.6826924085617065</v>
      </c>
      <c r="E25" s="49">
        <v>9.0909090042114258</v>
      </c>
      <c r="F25" s="55">
        <v>542</v>
      </c>
      <c r="G25" s="55"/>
      <c r="H25" s="55">
        <v>331</v>
      </c>
      <c r="I25" s="51">
        <f t="shared" si="0"/>
        <v>222013</v>
      </c>
      <c r="J25" s="48">
        <f>WOW_DD[[#This Row],[Cumulative done story points]]</f>
        <v>981</v>
      </c>
      <c r="K25" s="48">
        <f>IF(WOW_DD[[#This Row],[Cumulative done story points]]=0,0,WOW_DD[[#This Row],[Defect Density]])</f>
        <v>0.42405709624290466</v>
      </c>
      <c r="L25" s="56">
        <f ca="1">IF(ISNUMBER(WOW_DD[[#This Row],[Ext Regression %]]),WOW_DD[[#This Row],[Ext Regression %]],IF(ISBLANK(WOW_DD[[#This Row],[Ext Regression %]]),OFFSET(WOW_DD[[#This Row],[Ext Reg]],-1,0),0))</f>
        <v>1.6826924085617065</v>
      </c>
      <c r="M25" s="56">
        <f ca="1">IF(ISNUMBER(WOW_DD[[#This Row],[Core Regression %]]),WOW_DD[[#This Row],[Core Regression %]],IF(ISBLANK(WOW_DD[[#This Row],[Core Regression %]]),OFFSET(WOW_DD[[#This Row],[Core Reg]],-1,0),0))</f>
        <v>9.0909090042114258</v>
      </c>
      <c r="N25" s="65">
        <f>WOW_DD[[#This Row],[Core]]/SUM(WOW_DD[[#This Row],[Ext]],WOW_DD[[#This Row],[Core]])</f>
        <v>0.37915234822451316</v>
      </c>
    </row>
    <row r="26" spans="1:14">
      <c r="A26" s="50">
        <v>41428.564192592588</v>
      </c>
      <c r="B26" s="49">
        <v>991</v>
      </c>
      <c r="C26" s="49">
        <v>0.43188697099685669</v>
      </c>
      <c r="D26" s="49">
        <v>2.1028037071228027</v>
      </c>
      <c r="E26" s="49">
        <v>10.181818008422852</v>
      </c>
      <c r="F26" s="55">
        <v>556</v>
      </c>
      <c r="G26" s="55"/>
      <c r="H26" s="55">
        <v>362</v>
      </c>
      <c r="I26" s="51">
        <f t="shared" si="0"/>
        <v>232013</v>
      </c>
      <c r="J26" s="48">
        <f>WOW_DD[[#This Row],[Cumulative done story points]]</f>
        <v>991</v>
      </c>
      <c r="K26" s="48">
        <f>IF(WOW_DD[[#This Row],[Cumulative done story points]]=0,0,WOW_DD[[#This Row],[Defect Density]])</f>
        <v>0.43188697099685669</v>
      </c>
      <c r="L26" s="56">
        <f ca="1">IF(ISNUMBER(WOW_DD[[#This Row],[Ext Regression %]]),WOW_DD[[#This Row],[Ext Regression %]],IF(ISBLANK(WOW_DD[[#This Row],[Ext Regression %]]),OFFSET(WOW_DD[[#This Row],[Ext Reg]],-1,0),0))</f>
        <v>2.1028037071228027</v>
      </c>
      <c r="M26" s="56">
        <f ca="1">IF(ISNUMBER(WOW_DD[[#This Row],[Core Regression %]]),WOW_DD[[#This Row],[Core Regression %]],IF(ISBLANK(WOW_DD[[#This Row],[Core Regression %]]),OFFSET(WOW_DD[[#This Row],[Core Reg]],-1,0),0))</f>
        <v>10.181818008422852</v>
      </c>
      <c r="N26" s="65">
        <f>WOW_DD[[#This Row],[Core]]/SUM(WOW_DD[[#This Row],[Ext]],WOW_DD[[#This Row],[Core]])</f>
        <v>0.39433551198257083</v>
      </c>
    </row>
    <row r="27" spans="1:14">
      <c r="A27" s="50">
        <v>41435.564192592588</v>
      </c>
      <c r="B27" s="49">
        <v>996</v>
      </c>
      <c r="C27" s="49">
        <v>0.45381525158882141</v>
      </c>
      <c r="D27" s="49">
        <v>2.4336283206939697</v>
      </c>
      <c r="E27" s="49">
        <v>11.295680999755859</v>
      </c>
      <c r="F27" s="55">
        <v>586</v>
      </c>
      <c r="G27" s="55"/>
      <c r="H27" s="55">
        <v>403</v>
      </c>
      <c r="I27" s="51">
        <f t="shared" si="0"/>
        <v>242013</v>
      </c>
      <c r="J27" s="48">
        <f>WOW_DD[[#This Row],[Cumulative done story points]]</f>
        <v>996</v>
      </c>
      <c r="K27" s="48">
        <f>IF(WOW_DD[[#This Row],[Cumulative done story points]]=0,0,WOW_DD[[#This Row],[Defect Density]])</f>
        <v>0.45381525158882141</v>
      </c>
      <c r="L27" s="56">
        <f ca="1">IF(ISNUMBER(WOW_DD[[#This Row],[Ext Regression %]]),WOW_DD[[#This Row],[Ext Regression %]],IF(ISBLANK(WOW_DD[[#This Row],[Ext Regression %]]),OFFSET(WOW_DD[[#This Row],[Ext Reg]],-1,0),0))</f>
        <v>2.4336283206939697</v>
      </c>
      <c r="M27" s="56">
        <f ca="1">IF(ISNUMBER(WOW_DD[[#This Row],[Core Regression %]]),WOW_DD[[#This Row],[Core Regression %]],IF(ISBLANK(WOW_DD[[#This Row],[Core Regression %]]),OFFSET(WOW_DD[[#This Row],[Core Reg]],-1,0),0))</f>
        <v>11.295680999755859</v>
      </c>
      <c r="N27" s="65">
        <f>WOW_DD[[#This Row],[Core]]/SUM(WOW_DD[[#This Row],[Ext]],WOW_DD[[#This Row],[Core]])</f>
        <v>0.40748230535894842</v>
      </c>
    </row>
    <row r="28" spans="1:14">
      <c r="A28" s="50">
        <v>41442.564192592588</v>
      </c>
      <c r="B28" s="49">
        <v>996</v>
      </c>
      <c r="C28" s="49">
        <v>0.46084338426589966</v>
      </c>
      <c r="D28" s="49">
        <v>2.6143791675567627</v>
      </c>
      <c r="E28" s="49">
        <v>10.932476043701172</v>
      </c>
      <c r="F28" s="55">
        <v>594</v>
      </c>
      <c r="G28" s="55"/>
      <c r="H28" s="55">
        <v>419</v>
      </c>
      <c r="I28" s="51">
        <f t="shared" si="0"/>
        <v>252013</v>
      </c>
      <c r="J28" s="48">
        <f>WOW_DD[[#This Row],[Cumulative done story points]]</f>
        <v>996</v>
      </c>
      <c r="K28" s="48">
        <f>IF(WOW_DD[[#This Row],[Cumulative done story points]]=0,0,WOW_DD[[#This Row],[Defect Density]])</f>
        <v>0.46084338426589966</v>
      </c>
      <c r="L28" s="56">
        <f ca="1">IF(ISNUMBER(WOW_DD[[#This Row],[Ext Regression %]]),WOW_DD[[#This Row],[Ext Regression %]],IF(ISBLANK(WOW_DD[[#This Row],[Ext Regression %]]),OFFSET(WOW_DD[[#This Row],[Ext Reg]],-1,0),0))</f>
        <v>2.6143791675567627</v>
      </c>
      <c r="M28" s="56">
        <f ca="1">IF(ISNUMBER(WOW_DD[[#This Row],[Core Regression %]]),WOW_DD[[#This Row],[Core Regression %]],IF(ISBLANK(WOW_DD[[#This Row],[Core Regression %]]),OFFSET(WOW_DD[[#This Row],[Core Reg]],-1,0),0))</f>
        <v>10.932476043701172</v>
      </c>
      <c r="N28" s="65">
        <f>WOW_DD[[#This Row],[Core]]/SUM(WOW_DD[[#This Row],[Ext]],WOW_DD[[#This Row],[Core]])</f>
        <v>0.41362290227048371</v>
      </c>
    </row>
    <row r="29" spans="1:14">
      <c r="A29" s="50">
        <v>41449.564192592588</v>
      </c>
      <c r="B29" s="49">
        <v>1071</v>
      </c>
      <c r="C29" s="49">
        <v>0.44911298155784607</v>
      </c>
      <c r="D29" s="49">
        <v>2.4948024749755859</v>
      </c>
      <c r="E29" s="49">
        <v>11.041009902954102</v>
      </c>
      <c r="F29" s="55">
        <v>622</v>
      </c>
      <c r="G29" s="55"/>
      <c r="H29" s="55">
        <v>426</v>
      </c>
      <c r="I29" s="51">
        <f t="shared" si="0"/>
        <v>262013</v>
      </c>
      <c r="J29" s="48">
        <f>WOW_DD[[#This Row],[Cumulative done story points]]</f>
        <v>1071</v>
      </c>
      <c r="K29" s="48">
        <f>IF(WOW_DD[[#This Row],[Cumulative done story points]]=0,0,WOW_DD[[#This Row],[Defect Density]])</f>
        <v>0.44911298155784607</v>
      </c>
      <c r="L29" s="56">
        <f ca="1">IF(ISNUMBER(WOW_DD[[#This Row],[Ext Regression %]]),WOW_DD[[#This Row],[Ext Regression %]],IF(ISBLANK(WOW_DD[[#This Row],[Ext Regression %]]),OFFSET(WOW_DD[[#This Row],[Ext Reg]],-1,0),0))</f>
        <v>2.4948024749755859</v>
      </c>
      <c r="M29" s="56">
        <f ca="1">IF(ISNUMBER(WOW_DD[[#This Row],[Core Regression %]]),WOW_DD[[#This Row],[Core Regression %]],IF(ISBLANK(WOW_DD[[#This Row],[Core Regression %]]),OFFSET(WOW_DD[[#This Row],[Core Reg]],-1,0),0))</f>
        <v>11.041009902954102</v>
      </c>
      <c r="N29" s="65">
        <f>WOW_DD[[#This Row],[Core]]/SUM(WOW_DD[[#This Row],[Ext]],WOW_DD[[#This Row],[Core]])</f>
        <v>0.40648854961832059</v>
      </c>
    </row>
    <row r="30" spans="1:14">
      <c r="A30" s="50">
        <v>41456.564192592588</v>
      </c>
      <c r="B30" s="49">
        <v>1229</v>
      </c>
      <c r="C30" s="49">
        <v>0.39951178431510925</v>
      </c>
      <c r="D30" s="49">
        <v>2.4439918994903564</v>
      </c>
      <c r="E30" s="49">
        <v>10.83591365814209</v>
      </c>
      <c r="F30" s="55">
        <v>636</v>
      </c>
      <c r="G30" s="55"/>
      <c r="H30" s="55">
        <v>432</v>
      </c>
      <c r="I30" s="51">
        <f t="shared" si="0"/>
        <v>272013</v>
      </c>
      <c r="J30" s="48">
        <f>WOW_DD[[#This Row],[Cumulative done story points]]</f>
        <v>1229</v>
      </c>
      <c r="K30" s="48">
        <f>IF(WOW_DD[[#This Row],[Cumulative done story points]]=0,0,WOW_DD[[#This Row],[Defect Density]])</f>
        <v>0.39951178431510925</v>
      </c>
      <c r="L30" s="56">
        <f ca="1">IF(ISNUMBER(WOW_DD[[#This Row],[Ext Regression %]]),WOW_DD[[#This Row],[Ext Regression %]],IF(ISBLANK(WOW_DD[[#This Row],[Ext Regression %]]),OFFSET(WOW_DD[[#This Row],[Ext Reg]],-1,0),0))</f>
        <v>2.4439918994903564</v>
      </c>
      <c r="M30" s="56">
        <f ca="1">IF(ISNUMBER(WOW_DD[[#This Row],[Core Regression %]]),WOW_DD[[#This Row],[Core Regression %]],IF(ISBLANK(WOW_DD[[#This Row],[Core Regression %]]),OFFSET(WOW_DD[[#This Row],[Core Reg]],-1,0),0))</f>
        <v>10.83591365814209</v>
      </c>
      <c r="N30" s="65">
        <f>WOW_DD[[#This Row],[Core]]/SUM(WOW_DD[[#This Row],[Ext]],WOW_DD[[#This Row],[Core]])</f>
        <v>0.4044943820224719</v>
      </c>
    </row>
    <row r="31" spans="1:14">
      <c r="A31" s="50">
        <v>41463.564192592588</v>
      </c>
      <c r="B31" s="49">
        <v>1350</v>
      </c>
      <c r="C31" s="49">
        <v>0.37037035822868347</v>
      </c>
      <c r="D31" s="49">
        <v>3</v>
      </c>
      <c r="E31" s="49">
        <v>11.04294490814209</v>
      </c>
      <c r="F31" s="55">
        <v>646</v>
      </c>
      <c r="G31" s="55"/>
      <c r="H31" s="55">
        <v>437</v>
      </c>
      <c r="I31" s="51">
        <f t="shared" si="0"/>
        <v>282013</v>
      </c>
      <c r="J31" s="48">
        <f>WOW_DD[[#This Row],[Cumulative done story points]]</f>
        <v>1350</v>
      </c>
      <c r="K31" s="48">
        <f>IF(WOW_DD[[#This Row],[Cumulative done story points]]=0,0,WOW_DD[[#This Row],[Defect Density]])</f>
        <v>0.37037035822868347</v>
      </c>
      <c r="L31" s="56">
        <f ca="1">IF(ISNUMBER(WOW_DD[[#This Row],[Ext Regression %]]),WOW_DD[[#This Row],[Ext Regression %]],IF(ISBLANK(WOW_DD[[#This Row],[Ext Regression %]]),OFFSET(WOW_DD[[#This Row],[Ext Reg]],-1,0),0))</f>
        <v>3</v>
      </c>
      <c r="M31" s="56">
        <f ca="1">IF(ISNUMBER(WOW_DD[[#This Row],[Core Regression %]]),WOW_DD[[#This Row],[Core Regression %]],IF(ISBLANK(WOW_DD[[#This Row],[Core Regression %]]),OFFSET(WOW_DD[[#This Row],[Core Reg]],-1,0),0))</f>
        <v>11.04294490814209</v>
      </c>
      <c r="N31" s="65">
        <f>WOW_DD[[#This Row],[Core]]/SUM(WOW_DD[[#This Row],[Ext]],WOW_DD[[#This Row],[Core]])</f>
        <v>0.40350877192982454</v>
      </c>
    </row>
    <row r="32" spans="1:14">
      <c r="A32" s="50">
        <v>41470.564192592588</v>
      </c>
      <c r="B32" s="49">
        <v>1377</v>
      </c>
      <c r="C32" s="49">
        <v>0.37109658122062683</v>
      </c>
      <c r="D32" s="49">
        <v>2.9354207515716553</v>
      </c>
      <c r="E32" s="49">
        <v>11.044776916503906</v>
      </c>
      <c r="F32" s="55">
        <v>664</v>
      </c>
      <c r="G32" s="55"/>
      <c r="H32" s="55">
        <v>447</v>
      </c>
      <c r="I32" s="51">
        <f t="shared" si="0"/>
        <v>292013</v>
      </c>
      <c r="J32" s="48">
        <f>WOW_DD[[#This Row],[Cumulative done story points]]</f>
        <v>1377</v>
      </c>
      <c r="K32" s="48">
        <f>IF(WOW_DD[[#This Row],[Cumulative done story points]]=0,0,WOW_DD[[#This Row],[Defect Density]])</f>
        <v>0.37109658122062683</v>
      </c>
      <c r="L32" s="56">
        <f ca="1">IF(ISNUMBER(WOW_DD[[#This Row],[Ext Regression %]]),WOW_DD[[#This Row],[Ext Regression %]],IF(ISBLANK(WOW_DD[[#This Row],[Ext Regression %]]),OFFSET(WOW_DD[[#This Row],[Ext Reg]],-1,0),0))</f>
        <v>2.9354207515716553</v>
      </c>
      <c r="M32" s="56">
        <f ca="1">IF(ISNUMBER(WOW_DD[[#This Row],[Core Regression %]]),WOW_DD[[#This Row],[Core Regression %]],IF(ISBLANK(WOW_DD[[#This Row],[Core Regression %]]),OFFSET(WOW_DD[[#This Row],[Core Reg]],-1,0),0))</f>
        <v>11.044776916503906</v>
      </c>
      <c r="N32" s="65">
        <f>WOW_DD[[#This Row],[Core]]/SUM(WOW_DD[[#This Row],[Ext]],WOW_DD[[#This Row],[Core]])</f>
        <v>0.40234023402340235</v>
      </c>
    </row>
    <row r="33" spans="1:14">
      <c r="A33" s="50">
        <v>41477.564192592588</v>
      </c>
      <c r="B33" s="49">
        <v>1446</v>
      </c>
      <c r="C33" s="49">
        <v>0.36237898468971252</v>
      </c>
      <c r="D33" s="49">
        <v>3.0534350872039795</v>
      </c>
      <c r="E33" s="49">
        <v>10.632184028625488</v>
      </c>
      <c r="F33" s="55">
        <v>683</v>
      </c>
      <c r="G33" s="55"/>
      <c r="H33" s="55">
        <v>465</v>
      </c>
      <c r="I33" s="51">
        <f t="shared" si="0"/>
        <v>302013</v>
      </c>
      <c r="J33" s="48">
        <f>WOW_DD[[#This Row],[Cumulative done story points]]</f>
        <v>1446</v>
      </c>
      <c r="K33" s="48">
        <f>IF(WOW_DD[[#This Row],[Cumulative done story points]]=0,0,WOW_DD[[#This Row],[Defect Density]])</f>
        <v>0.36237898468971252</v>
      </c>
      <c r="L33" s="56">
        <f ca="1">IF(ISNUMBER(WOW_DD[[#This Row],[Ext Regression %]]),WOW_DD[[#This Row],[Ext Regression %]],IF(ISBLANK(WOW_DD[[#This Row],[Ext Regression %]]),OFFSET(WOW_DD[[#This Row],[Ext Reg]],-1,0),0))</f>
        <v>3.0534350872039795</v>
      </c>
      <c r="M33" s="56">
        <f ca="1">IF(ISNUMBER(WOW_DD[[#This Row],[Core Regression %]]),WOW_DD[[#This Row],[Core Regression %]],IF(ISBLANK(WOW_DD[[#This Row],[Core Regression %]]),OFFSET(WOW_DD[[#This Row],[Core Reg]],-1,0),0))</f>
        <v>10.632184028625488</v>
      </c>
      <c r="N33" s="65">
        <f>WOW_DD[[#This Row],[Core]]/SUM(WOW_DD[[#This Row],[Ext]],WOW_DD[[#This Row],[Core]])</f>
        <v>0.40505226480836237</v>
      </c>
    </row>
    <row r="34" spans="1:14">
      <c r="A34" s="50">
        <v>41484.564192592588</v>
      </c>
      <c r="B34" s="49">
        <v>1555</v>
      </c>
      <c r="C34" s="49">
        <v>0.34983924031257629</v>
      </c>
      <c r="D34" s="49">
        <v>2.9411764144897461</v>
      </c>
      <c r="E34" s="49">
        <v>10.497238159179687</v>
      </c>
      <c r="F34" s="55">
        <v>709</v>
      </c>
      <c r="G34" s="55"/>
      <c r="H34" s="55">
        <v>486</v>
      </c>
      <c r="I34" s="51">
        <f t="shared" ref="I34:I68" si="1">VALUE(WEEKNUM(A34*1)&amp;YEAR(A34*1))</f>
        <v>312013</v>
      </c>
      <c r="J34" s="48">
        <f>WOW_DD[[#This Row],[Cumulative done story points]]</f>
        <v>1555</v>
      </c>
      <c r="K34" s="48">
        <f>IF(WOW_DD[[#This Row],[Cumulative done story points]]=0,0,WOW_DD[[#This Row],[Defect Density]])</f>
        <v>0.34983924031257629</v>
      </c>
      <c r="L34" s="56">
        <f ca="1">IF(ISNUMBER(WOW_DD[[#This Row],[Ext Regression %]]),WOW_DD[[#This Row],[Ext Regression %]],IF(ISBLANK(WOW_DD[[#This Row],[Ext Regression %]]),OFFSET(WOW_DD[[#This Row],[Ext Reg]],-1,0),0))</f>
        <v>2.9411764144897461</v>
      </c>
      <c r="M34" s="56">
        <f ca="1">IF(ISNUMBER(WOW_DD[[#This Row],[Core Regression %]]),WOW_DD[[#This Row],[Core Regression %]],IF(ISBLANK(WOW_DD[[#This Row],[Core Regression %]]),OFFSET(WOW_DD[[#This Row],[Core Reg]],-1,0),0))</f>
        <v>10.497238159179687</v>
      </c>
      <c r="N34" s="65">
        <f>WOW_DD[[#This Row],[Core]]/SUM(WOW_DD[[#This Row],[Ext]],WOW_DD[[#This Row],[Core]])</f>
        <v>0.40669456066945608</v>
      </c>
    </row>
    <row r="35" spans="1:14">
      <c r="A35" s="50">
        <v>41491.564192592588</v>
      </c>
      <c r="B35" s="49">
        <v>1631</v>
      </c>
      <c r="C35" s="49">
        <v>0.34028202295303345</v>
      </c>
      <c r="D35" s="49">
        <v>3.4234232902526855</v>
      </c>
      <c r="E35" s="49">
        <v>10.40000057220459</v>
      </c>
      <c r="F35" s="55">
        <v>726</v>
      </c>
      <c r="G35" s="55"/>
      <c r="H35" s="55">
        <v>505</v>
      </c>
      <c r="I35" s="51">
        <f t="shared" si="1"/>
        <v>322013</v>
      </c>
      <c r="J35" s="48">
        <f>WOW_DD[[#This Row],[Cumulative done story points]]</f>
        <v>1631</v>
      </c>
      <c r="K35" s="48">
        <f>IF(WOW_DD[[#This Row],[Cumulative done story points]]=0,0,WOW_DD[[#This Row],[Defect Density]])</f>
        <v>0.34028202295303345</v>
      </c>
      <c r="L35" s="56">
        <f ca="1">IF(ISNUMBER(WOW_DD[[#This Row],[Ext Regression %]]),WOW_DD[[#This Row],[Ext Regression %]],IF(ISBLANK(WOW_DD[[#This Row],[Ext Regression %]]),OFFSET(WOW_DD[[#This Row],[Ext Reg]],-1,0),0))</f>
        <v>3.4234232902526855</v>
      </c>
      <c r="M35" s="56">
        <f ca="1">IF(ISNUMBER(WOW_DD[[#This Row],[Core Regression %]]),WOW_DD[[#This Row],[Core Regression %]],IF(ISBLANK(WOW_DD[[#This Row],[Core Regression %]]),OFFSET(WOW_DD[[#This Row],[Core Reg]],-1,0),0))</f>
        <v>10.40000057220459</v>
      </c>
      <c r="N35" s="65">
        <f>WOW_DD[[#This Row],[Core]]/SUM(WOW_DD[[#This Row],[Ext]],WOW_DD[[#This Row],[Core]])</f>
        <v>0.41023558082859463</v>
      </c>
    </row>
    <row r="36" spans="1:14">
      <c r="A36" s="50">
        <v>41498.564192592588</v>
      </c>
      <c r="B36" s="49">
        <v>1664</v>
      </c>
      <c r="C36" s="49">
        <v>0.34314903616905212</v>
      </c>
      <c r="D36" s="49">
        <v>3.5026271343231201</v>
      </c>
      <c r="E36" s="49">
        <v>10.236220359802246</v>
      </c>
      <c r="F36" s="55">
        <v>745</v>
      </c>
      <c r="G36" s="55"/>
      <c r="H36" s="55">
        <v>512</v>
      </c>
      <c r="I36" s="51">
        <f t="shared" si="1"/>
        <v>332013</v>
      </c>
      <c r="J36" s="48">
        <f>WOW_DD[[#This Row],[Cumulative done story points]]</f>
        <v>1664</v>
      </c>
      <c r="K36" s="48">
        <f>IF(WOW_DD[[#This Row],[Cumulative done story points]]=0,0,WOW_DD[[#This Row],[Defect Density]])</f>
        <v>0.34314903616905212</v>
      </c>
      <c r="L36" s="56">
        <f ca="1">IF(ISNUMBER(WOW_DD[[#This Row],[Ext Regression %]]),WOW_DD[[#This Row],[Ext Regression %]],IF(ISBLANK(WOW_DD[[#This Row],[Ext Regression %]]),OFFSET(WOW_DD[[#This Row],[Ext Reg]],-1,0),0))</f>
        <v>3.5026271343231201</v>
      </c>
      <c r="M36" s="56">
        <f ca="1">IF(ISNUMBER(WOW_DD[[#This Row],[Core Regression %]]),WOW_DD[[#This Row],[Core Regression %]],IF(ISBLANK(WOW_DD[[#This Row],[Core Regression %]]),OFFSET(WOW_DD[[#This Row],[Core Reg]],-1,0),0))</f>
        <v>10.236220359802246</v>
      </c>
      <c r="N36" s="65">
        <f>WOW_DD[[#This Row],[Core]]/SUM(WOW_DD[[#This Row],[Ext]],WOW_DD[[#This Row],[Core]])</f>
        <v>0.40731901352426414</v>
      </c>
    </row>
    <row r="37" spans="1:14">
      <c r="A37" s="50">
        <v>41505.564192592588</v>
      </c>
      <c r="B37" s="49">
        <v>1701</v>
      </c>
      <c r="C37" s="49">
        <v>0.34450322389602661</v>
      </c>
      <c r="D37" s="49">
        <v>3.4129693508148193</v>
      </c>
      <c r="E37" s="49">
        <v>10.025062561035156</v>
      </c>
      <c r="F37" s="55">
        <v>766</v>
      </c>
      <c r="G37" s="55"/>
      <c r="H37" s="55">
        <v>531</v>
      </c>
      <c r="I37" s="51">
        <f t="shared" si="1"/>
        <v>342013</v>
      </c>
      <c r="J37" s="48">
        <f>WOW_DD[[#This Row],[Cumulative done story points]]</f>
        <v>1701</v>
      </c>
      <c r="K37" s="48">
        <f>IF(WOW_DD[[#This Row],[Cumulative done story points]]=0,0,WOW_DD[[#This Row],[Defect Density]])</f>
        <v>0.34450322389602661</v>
      </c>
      <c r="L37" s="56">
        <f ca="1">IF(ISNUMBER(WOW_DD[[#This Row],[Ext Regression %]]),WOW_DD[[#This Row],[Ext Regression %]],IF(ISBLANK(WOW_DD[[#This Row],[Ext Regression %]]),OFFSET(WOW_DD[[#This Row],[Ext Reg]],-1,0),0))</f>
        <v>3.4129693508148193</v>
      </c>
      <c r="M37" s="56">
        <f ca="1">IF(ISNUMBER(WOW_DD[[#This Row],[Core Regression %]]),WOW_DD[[#This Row],[Core Regression %]],IF(ISBLANK(WOW_DD[[#This Row],[Core Regression %]]),OFFSET(WOW_DD[[#This Row],[Core Reg]],-1,0),0))</f>
        <v>10.025062561035156</v>
      </c>
      <c r="N37" s="65">
        <f>WOW_DD[[#This Row],[Core]]/SUM(WOW_DD[[#This Row],[Ext]],WOW_DD[[#This Row],[Core]])</f>
        <v>0.40940632228218965</v>
      </c>
    </row>
    <row r="38" spans="1:14">
      <c r="A38" s="50">
        <v>41512.564192592588</v>
      </c>
      <c r="B38" s="49">
        <v>1747</v>
      </c>
      <c r="C38" s="49">
        <v>0.34688037633895874</v>
      </c>
      <c r="D38" s="49">
        <v>3.4653465747833252</v>
      </c>
      <c r="E38" s="49">
        <v>9.73236083984375</v>
      </c>
      <c r="F38" s="55">
        <v>795</v>
      </c>
      <c r="G38" s="55"/>
      <c r="H38" s="55">
        <v>547</v>
      </c>
      <c r="I38" s="51">
        <f t="shared" si="1"/>
        <v>352013</v>
      </c>
      <c r="J38" s="48">
        <f>WOW_DD[[#This Row],[Cumulative done story points]]</f>
        <v>1747</v>
      </c>
      <c r="K38" s="48">
        <f>IF(WOW_DD[[#This Row],[Cumulative done story points]]=0,0,WOW_DD[[#This Row],[Defect Density]])</f>
        <v>0.34688037633895874</v>
      </c>
      <c r="L38" s="56">
        <f ca="1">IF(ISNUMBER(WOW_DD[[#This Row],[Ext Regression %]]),WOW_DD[[#This Row],[Ext Regression %]],IF(ISBLANK(WOW_DD[[#This Row],[Ext Regression %]]),OFFSET(WOW_DD[[#This Row],[Ext Reg]],-1,0),0))</f>
        <v>3.4653465747833252</v>
      </c>
      <c r="M38" s="56">
        <f ca="1">IF(ISNUMBER(WOW_DD[[#This Row],[Core Regression %]]),WOW_DD[[#This Row],[Core Regression %]],IF(ISBLANK(WOW_DD[[#This Row],[Core Regression %]]),OFFSET(WOW_DD[[#This Row],[Core Reg]],-1,0),0))</f>
        <v>9.73236083984375</v>
      </c>
      <c r="N38" s="65">
        <f>WOW_DD[[#This Row],[Core]]/SUM(WOW_DD[[#This Row],[Ext]],WOW_DD[[#This Row],[Core]])</f>
        <v>0.40760059612518629</v>
      </c>
    </row>
    <row r="39" spans="1:14">
      <c r="A39" s="50">
        <v>41519.564192592588</v>
      </c>
      <c r="B39" s="49">
        <v>1753</v>
      </c>
      <c r="C39" s="49">
        <v>0.35139760375022888</v>
      </c>
      <c r="D39" s="49">
        <v>3.4090909957885742</v>
      </c>
      <c r="E39" s="49">
        <v>9.6153850555419922</v>
      </c>
      <c r="F39" s="55">
        <v>808</v>
      </c>
      <c r="G39" s="55"/>
      <c r="H39" s="55">
        <v>553</v>
      </c>
      <c r="I39" s="51">
        <f t="shared" si="1"/>
        <v>362013</v>
      </c>
      <c r="J39" s="48">
        <f>WOW_DD[[#This Row],[Cumulative done story points]]</f>
        <v>1753</v>
      </c>
      <c r="K39" s="48">
        <f>IF(WOW_DD[[#This Row],[Cumulative done story points]]=0,0,WOW_DD[[#This Row],[Defect Density]])</f>
        <v>0.35139760375022888</v>
      </c>
      <c r="L39" s="56">
        <f ca="1">IF(ISNUMBER(WOW_DD[[#This Row],[Ext Regression %]]),WOW_DD[[#This Row],[Ext Regression %]],IF(ISBLANK(WOW_DD[[#This Row],[Ext Regression %]]),OFFSET(WOW_DD[[#This Row],[Ext Reg]],-1,0),0))</f>
        <v>3.4090909957885742</v>
      </c>
      <c r="M39" s="56">
        <f ca="1">IF(ISNUMBER(WOW_DD[[#This Row],[Core Regression %]]),WOW_DD[[#This Row],[Core Regression %]],IF(ISBLANK(WOW_DD[[#This Row],[Core Regression %]]),OFFSET(WOW_DD[[#This Row],[Core Reg]],-1,0),0))</f>
        <v>9.6153850555419922</v>
      </c>
      <c r="N39" s="65">
        <f>WOW_DD[[#This Row],[Core]]/SUM(WOW_DD[[#This Row],[Ext]],WOW_DD[[#This Row],[Core]])</f>
        <v>0.40631888317413667</v>
      </c>
    </row>
    <row r="40" spans="1:14">
      <c r="A40" s="50">
        <v>41526.564192592588</v>
      </c>
      <c r="B40" s="49">
        <v>1791</v>
      </c>
      <c r="C40" s="49">
        <v>0.34840869903564453</v>
      </c>
      <c r="D40" s="49">
        <v>3.5256412029266357</v>
      </c>
      <c r="E40" s="49">
        <v>9.3896713256835937</v>
      </c>
      <c r="F40" s="55">
        <v>819</v>
      </c>
      <c r="G40" s="55"/>
      <c r="H40" s="55">
        <v>563</v>
      </c>
      <c r="I40" s="51">
        <f t="shared" si="1"/>
        <v>372013</v>
      </c>
      <c r="J40" s="48">
        <f>WOW_DD[[#This Row],[Cumulative done story points]]</f>
        <v>1791</v>
      </c>
      <c r="K40" s="48">
        <f>IF(WOW_DD[[#This Row],[Cumulative done story points]]=0,0,WOW_DD[[#This Row],[Defect Density]])</f>
        <v>0.34840869903564453</v>
      </c>
      <c r="L40" s="56">
        <f ca="1">IF(ISNUMBER(WOW_DD[[#This Row],[Ext Regression %]]),WOW_DD[[#This Row],[Ext Regression %]],IF(ISBLANK(WOW_DD[[#This Row],[Ext Regression %]]),OFFSET(WOW_DD[[#This Row],[Ext Reg]],-1,0),0))</f>
        <v>3.5256412029266357</v>
      </c>
      <c r="M40" s="56">
        <f ca="1">IF(ISNUMBER(WOW_DD[[#This Row],[Core Regression %]]),WOW_DD[[#This Row],[Core Regression %]],IF(ISBLANK(WOW_DD[[#This Row],[Core Regression %]]),OFFSET(WOW_DD[[#This Row],[Core Reg]],-1,0),0))</f>
        <v>9.3896713256835937</v>
      </c>
      <c r="N40" s="65">
        <f>WOW_DD[[#This Row],[Core]]/SUM(WOW_DD[[#This Row],[Ext]],WOW_DD[[#This Row],[Core]])</f>
        <v>0.40738060781476121</v>
      </c>
    </row>
    <row r="41" spans="1:14">
      <c r="A41" s="50">
        <v>41533.564192592588</v>
      </c>
      <c r="B41" s="49">
        <v>1799</v>
      </c>
      <c r="C41" s="49">
        <v>0.35075041651725769</v>
      </c>
      <c r="D41" s="49">
        <v>3.6450080871582031</v>
      </c>
      <c r="E41" s="49">
        <v>9.3240089416503906</v>
      </c>
      <c r="F41" s="55">
        <v>827</v>
      </c>
      <c r="G41" s="55"/>
      <c r="H41" s="55">
        <v>567</v>
      </c>
      <c r="I41" s="51">
        <f t="shared" si="1"/>
        <v>382013</v>
      </c>
      <c r="J41" s="48">
        <f>WOW_DD[[#This Row],[Cumulative done story points]]</f>
        <v>1799</v>
      </c>
      <c r="K41" s="48">
        <f>IF(WOW_DD[[#This Row],[Cumulative done story points]]=0,0,WOW_DD[[#This Row],[Defect Density]])</f>
        <v>0.35075041651725769</v>
      </c>
      <c r="L41" s="56">
        <f ca="1">IF(ISNUMBER(WOW_DD[[#This Row],[Ext Regression %]]),WOW_DD[[#This Row],[Ext Regression %]],IF(ISBLANK(WOW_DD[[#This Row],[Ext Regression %]]),OFFSET(WOW_DD[[#This Row],[Ext Reg]],-1,0),0))</f>
        <v>3.6450080871582031</v>
      </c>
      <c r="M41" s="56">
        <f ca="1">IF(ISNUMBER(WOW_DD[[#This Row],[Core Regression %]]),WOW_DD[[#This Row],[Core Regression %]],IF(ISBLANK(WOW_DD[[#This Row],[Core Regression %]]),OFFSET(WOW_DD[[#This Row],[Core Reg]],-1,0),0))</f>
        <v>9.3240089416503906</v>
      </c>
      <c r="N41" s="65">
        <f>WOW_DD[[#This Row],[Core]]/SUM(WOW_DD[[#This Row],[Ext]],WOW_DD[[#This Row],[Core]])</f>
        <v>0.40674318507890961</v>
      </c>
    </row>
    <row r="42" spans="1:14">
      <c r="A42" s="50">
        <v>41540.564192592588</v>
      </c>
      <c r="B42" s="49">
        <v>1818</v>
      </c>
      <c r="C42" s="49">
        <v>0.35093510150909424</v>
      </c>
      <c r="D42" s="49">
        <v>3.6050155162811279</v>
      </c>
      <c r="E42" s="49">
        <v>9.3394079208374023</v>
      </c>
      <c r="F42" s="55">
        <v>836</v>
      </c>
      <c r="G42" s="55"/>
      <c r="H42" s="55">
        <v>578</v>
      </c>
      <c r="I42" s="51">
        <f t="shared" si="1"/>
        <v>392013</v>
      </c>
      <c r="J42" s="48">
        <f>WOW_DD[[#This Row],[Cumulative done story points]]</f>
        <v>1818</v>
      </c>
      <c r="K42" s="48">
        <f>IF(WOW_DD[[#This Row],[Cumulative done story points]]=0,0,WOW_DD[[#This Row],[Defect Density]])</f>
        <v>0.35093510150909424</v>
      </c>
      <c r="L42" s="56">
        <f ca="1">IF(ISNUMBER(WOW_DD[[#This Row],[Ext Regression %]]),WOW_DD[[#This Row],[Ext Regression %]],IF(ISBLANK(WOW_DD[[#This Row],[Ext Regression %]]),OFFSET(WOW_DD[[#This Row],[Ext Reg]],-1,0),0))</f>
        <v>3.6050155162811279</v>
      </c>
      <c r="M42" s="56">
        <f ca="1">IF(ISNUMBER(WOW_DD[[#This Row],[Core Regression %]]),WOW_DD[[#This Row],[Core Regression %]],IF(ISBLANK(WOW_DD[[#This Row],[Core Regression %]]),OFFSET(WOW_DD[[#This Row],[Core Reg]],-1,0),0))</f>
        <v>9.3394079208374023</v>
      </c>
      <c r="N42" s="65">
        <f>WOW_DD[[#This Row],[Core]]/SUM(WOW_DD[[#This Row],[Ext]],WOW_DD[[#This Row],[Core]])</f>
        <v>0.40876944837340878</v>
      </c>
    </row>
    <row r="43" spans="1:14">
      <c r="A43" s="50">
        <v>41547.564192592588</v>
      </c>
      <c r="B43" s="49">
        <v>1854</v>
      </c>
      <c r="C43" s="49">
        <v>0.35221144556999207</v>
      </c>
      <c r="D43" s="49">
        <v>3.5222053527832031</v>
      </c>
      <c r="E43" s="49">
        <v>9.0507726669311523</v>
      </c>
      <c r="F43" s="55">
        <v>857</v>
      </c>
      <c r="G43" s="55"/>
      <c r="H43" s="55">
        <v>592</v>
      </c>
      <c r="I43" s="51">
        <f t="shared" si="1"/>
        <v>402013</v>
      </c>
      <c r="J43" s="48">
        <f>WOW_DD[[#This Row],[Cumulative done story points]]</f>
        <v>1854</v>
      </c>
      <c r="K43" s="48">
        <f>IF(WOW_DD[[#This Row],[Cumulative done story points]]=0,0,WOW_DD[[#This Row],[Defect Density]])</f>
        <v>0.35221144556999207</v>
      </c>
      <c r="L43" s="56">
        <f ca="1">IF(ISNUMBER(WOW_DD[[#This Row],[Ext Regression %]]),WOW_DD[[#This Row],[Ext Regression %]],IF(ISBLANK(WOW_DD[[#This Row],[Ext Regression %]]),OFFSET(WOW_DD[[#This Row],[Ext Reg]],-1,0),0))</f>
        <v>3.5222053527832031</v>
      </c>
      <c r="M43" s="56">
        <f ca="1">IF(ISNUMBER(WOW_DD[[#This Row],[Core Regression %]]),WOW_DD[[#This Row],[Core Regression %]],IF(ISBLANK(WOW_DD[[#This Row],[Core Regression %]]),OFFSET(WOW_DD[[#This Row],[Core Reg]],-1,0),0))</f>
        <v>9.0507726669311523</v>
      </c>
      <c r="N43" s="65">
        <f>WOW_DD[[#This Row],[Core]]/SUM(WOW_DD[[#This Row],[Ext]],WOW_DD[[#This Row],[Core]])</f>
        <v>0.4085576259489303</v>
      </c>
    </row>
    <row r="44" spans="1:14">
      <c r="A44" s="50">
        <v>41554.564192592588</v>
      </c>
      <c r="B44" s="49">
        <v>1874</v>
      </c>
      <c r="C44" s="49">
        <v>0.35805761814117432</v>
      </c>
      <c r="D44" s="49">
        <v>3.5767509937286377</v>
      </c>
      <c r="E44" s="49">
        <v>9.0909090042114258</v>
      </c>
      <c r="F44" s="55">
        <v>878</v>
      </c>
      <c r="G44" s="55"/>
      <c r="H44" s="55">
        <v>604</v>
      </c>
      <c r="I44" s="51">
        <f t="shared" si="1"/>
        <v>412013</v>
      </c>
      <c r="J44" s="48">
        <f>WOW_DD[[#This Row],[Cumulative done story points]]</f>
        <v>1874</v>
      </c>
      <c r="K44" s="48">
        <f>IF(WOW_DD[[#This Row],[Cumulative done story points]]=0,0,WOW_DD[[#This Row],[Defect Density]])</f>
        <v>0.35805761814117432</v>
      </c>
      <c r="L44" s="56">
        <f ca="1">IF(ISNUMBER(WOW_DD[[#This Row],[Ext Regression %]]),WOW_DD[[#This Row],[Ext Regression %]],IF(ISBLANK(WOW_DD[[#This Row],[Ext Regression %]]),OFFSET(WOW_DD[[#This Row],[Ext Reg]],-1,0),0))</f>
        <v>3.5767509937286377</v>
      </c>
      <c r="M44" s="56">
        <f ca="1">IF(ISNUMBER(WOW_DD[[#This Row],[Core Regression %]]),WOW_DD[[#This Row],[Core Regression %]],IF(ISBLANK(WOW_DD[[#This Row],[Core Regression %]]),OFFSET(WOW_DD[[#This Row],[Core Reg]],-1,0),0))</f>
        <v>9.0909090042114258</v>
      </c>
      <c r="N44">
        <f>WOW_DD[[#This Row],[Core]]/SUM(WOW_DD[[#This Row],[Ext]],WOW_DD[[#This Row],[Core]])</f>
        <v>0.40755735492577599</v>
      </c>
    </row>
    <row r="45" spans="1:14">
      <c r="A45" s="50">
        <v>41561.564192592588</v>
      </c>
      <c r="B45" s="49">
        <v>1954</v>
      </c>
      <c r="C45" s="49">
        <v>0.3520982563495636</v>
      </c>
      <c r="D45" s="49">
        <v>3.633720874786377</v>
      </c>
      <c r="E45" s="49">
        <v>8.9397087097167969</v>
      </c>
      <c r="F45" s="55">
        <v>901</v>
      </c>
      <c r="G45" s="55"/>
      <c r="H45" s="55">
        <v>626</v>
      </c>
      <c r="I45" s="51">
        <f t="shared" si="1"/>
        <v>422013</v>
      </c>
      <c r="J45" s="48">
        <f>WOW_DD[[#This Row],[Cumulative done story points]]</f>
        <v>1954</v>
      </c>
      <c r="K45" s="48">
        <f>IF(WOW_DD[[#This Row],[Cumulative done story points]]=0,0,WOW_DD[[#This Row],[Defect Density]])</f>
        <v>0.3520982563495636</v>
      </c>
      <c r="L45" s="56">
        <f ca="1">IF(ISNUMBER(WOW_DD[[#This Row],[Ext Regression %]]),WOW_DD[[#This Row],[Ext Regression %]],IF(ISBLANK(WOW_DD[[#This Row],[Ext Regression %]]),OFFSET(WOW_DD[[#This Row],[Ext Reg]],-1,0),0))</f>
        <v>3.633720874786377</v>
      </c>
      <c r="M45" s="56">
        <f ca="1">IF(ISNUMBER(WOW_DD[[#This Row],[Core Regression %]]),WOW_DD[[#This Row],[Core Regression %]],IF(ISBLANK(WOW_DD[[#This Row],[Core Regression %]]),OFFSET(WOW_DD[[#This Row],[Core Reg]],-1,0),0))</f>
        <v>8.9397087097167969</v>
      </c>
      <c r="N45">
        <f>WOW_DD[[#This Row],[Core]]/SUM(WOW_DD[[#This Row],[Ext]],WOW_DD[[#This Row],[Core]])</f>
        <v>0.40995415848068106</v>
      </c>
    </row>
    <row r="46" spans="1:14">
      <c r="A46" s="50">
        <v>41568.564192592588</v>
      </c>
      <c r="B46" s="49">
        <v>1983</v>
      </c>
      <c r="C46" s="49">
        <v>0.35350477695465088</v>
      </c>
      <c r="D46" s="49">
        <v>3.5663337707519531</v>
      </c>
      <c r="E46" s="49">
        <v>8.8353414535522461</v>
      </c>
      <c r="F46" s="55">
        <v>922</v>
      </c>
      <c r="G46" s="55"/>
      <c r="H46" s="55">
        <v>645</v>
      </c>
      <c r="I46" s="51">
        <f t="shared" si="1"/>
        <v>432013</v>
      </c>
      <c r="J46" s="48">
        <f>WOW_DD[[#This Row],[Cumulative done story points]]</f>
        <v>1983</v>
      </c>
      <c r="K46" s="48">
        <f>IF(WOW_DD[[#This Row],[Cumulative done story points]]=0,0,WOW_DD[[#This Row],[Defect Density]])</f>
        <v>0.35350477695465088</v>
      </c>
      <c r="L46" s="56">
        <f ca="1">IF(ISNUMBER(WOW_DD[[#This Row],[Ext Regression %]]),WOW_DD[[#This Row],[Ext Regression %]],IF(ISBLANK(WOW_DD[[#This Row],[Ext Regression %]]),OFFSET(WOW_DD[[#This Row],[Ext Reg]],-1,0),0))</f>
        <v>3.5663337707519531</v>
      </c>
      <c r="M46" s="56">
        <f ca="1">IF(ISNUMBER(WOW_DD[[#This Row],[Core Regression %]]),WOW_DD[[#This Row],[Core Regression %]],IF(ISBLANK(WOW_DD[[#This Row],[Core Regression %]]),OFFSET(WOW_DD[[#This Row],[Core Reg]],-1,0),0))</f>
        <v>8.8353414535522461</v>
      </c>
      <c r="N46">
        <f>WOW_DD[[#This Row],[Core]]/SUM(WOW_DD[[#This Row],[Ext]],WOW_DD[[#This Row],[Core]])</f>
        <v>0.41161455009572434</v>
      </c>
    </row>
    <row r="47" spans="1:14">
      <c r="A47" s="50">
        <v>41575.564192592588</v>
      </c>
      <c r="B47" s="49">
        <v>2001</v>
      </c>
      <c r="C47" s="49">
        <v>0.35832083225250244</v>
      </c>
      <c r="D47" s="49">
        <v>3.7656903266906738</v>
      </c>
      <c r="E47" s="49">
        <v>8.8000001907348633</v>
      </c>
      <c r="F47" s="55">
        <v>942</v>
      </c>
      <c r="G47" s="55"/>
      <c r="H47" s="55">
        <v>647</v>
      </c>
      <c r="I47" s="51">
        <f t="shared" si="1"/>
        <v>442013</v>
      </c>
      <c r="J47" s="48">
        <f>WOW_DD[[#This Row],[Cumulative done story points]]</f>
        <v>2001</v>
      </c>
      <c r="K47" s="48">
        <f>IF(WOW_DD[[#This Row],[Cumulative done story points]]=0,0,WOW_DD[[#This Row],[Defect Density]])</f>
        <v>0.35832083225250244</v>
      </c>
      <c r="L47" s="56">
        <f ca="1">IF(ISNUMBER(WOW_DD[[#This Row],[Ext Regression %]]),WOW_DD[[#This Row],[Ext Regression %]],IF(ISBLANK(WOW_DD[[#This Row],[Ext Regression %]]),OFFSET(WOW_DD[[#This Row],[Ext Reg]],-1,0),0))</f>
        <v>3.7656903266906738</v>
      </c>
      <c r="M47" s="56">
        <f ca="1">IF(ISNUMBER(WOW_DD[[#This Row],[Core Regression %]]),WOW_DD[[#This Row],[Core Regression %]],IF(ISBLANK(WOW_DD[[#This Row],[Core Regression %]]),OFFSET(WOW_DD[[#This Row],[Core Reg]],-1,0),0))</f>
        <v>8.8000001907348633</v>
      </c>
      <c r="N47">
        <f>WOW_DD[[#This Row],[Core]]/SUM(WOW_DD[[#This Row],[Ext]],WOW_DD[[#This Row],[Core]])</f>
        <v>0.40717432347388294</v>
      </c>
    </row>
    <row r="48" spans="1:14">
      <c r="A48" s="50">
        <v>41582.564192592588</v>
      </c>
      <c r="B48" s="49">
        <v>2011</v>
      </c>
      <c r="C48" s="49">
        <v>0.36996519565582275</v>
      </c>
      <c r="D48" s="49">
        <v>4.0322580337524414</v>
      </c>
      <c r="E48" s="49">
        <v>8.5106382369995117</v>
      </c>
      <c r="F48" s="55">
        <v>976</v>
      </c>
      <c r="G48" s="55"/>
      <c r="H48" s="55">
        <v>665</v>
      </c>
      <c r="I48" s="51">
        <f t="shared" si="1"/>
        <v>452013</v>
      </c>
      <c r="J48" s="48">
        <f>WOW_DD[[#This Row],[Cumulative done story points]]</f>
        <v>2011</v>
      </c>
      <c r="K48" s="48">
        <f>IF(WOW_DD[[#This Row],[Cumulative done story points]]=0,0,WOW_DD[[#This Row],[Defect Density]])</f>
        <v>0.36996519565582275</v>
      </c>
      <c r="L48" s="56">
        <f ca="1">IF(ISNUMBER(WOW_DD[[#This Row],[Ext Regression %]]),WOW_DD[[#This Row],[Ext Regression %]],IF(ISBLANK(WOW_DD[[#This Row],[Ext Regression %]]),OFFSET(WOW_DD[[#This Row],[Ext Reg]],-1,0),0))</f>
        <v>4.0322580337524414</v>
      </c>
      <c r="M48" s="56">
        <f ca="1">IF(ISNUMBER(WOW_DD[[#This Row],[Core Regression %]]),WOW_DD[[#This Row],[Core Regression %]],IF(ISBLANK(WOW_DD[[#This Row],[Core Regression %]]),OFFSET(WOW_DD[[#This Row],[Core Reg]],-1,0),0))</f>
        <v>8.5106382369995117</v>
      </c>
      <c r="N48">
        <f>WOW_DD[[#This Row],[Core]]/SUM(WOW_DD[[#This Row],[Ext]],WOW_DD[[#This Row],[Core]])</f>
        <v>0.40524070688604508</v>
      </c>
    </row>
    <row r="49" spans="1:14">
      <c r="A49" s="50">
        <v>41589.564192592588</v>
      </c>
      <c r="B49" s="49">
        <v>2045</v>
      </c>
      <c r="C49" s="49">
        <v>0.37310513854026794</v>
      </c>
      <c r="D49" s="49">
        <v>3.9318480491638184</v>
      </c>
      <c r="E49" s="49">
        <v>8.5877866744995117</v>
      </c>
      <c r="F49" s="55">
        <v>1000</v>
      </c>
      <c r="G49" s="55"/>
      <c r="H49" s="55">
        <v>673</v>
      </c>
      <c r="I49" s="51">
        <f t="shared" si="1"/>
        <v>462013</v>
      </c>
      <c r="J49" s="48">
        <f>WOW_DD[[#This Row],[Cumulative done story points]]</f>
        <v>2045</v>
      </c>
      <c r="K49" s="48">
        <f>IF(WOW_DD[[#This Row],[Cumulative done story points]]=0,0,WOW_DD[[#This Row],[Defect Density]])</f>
        <v>0.37310513854026794</v>
      </c>
      <c r="L49" s="56">
        <f ca="1">IF(ISNUMBER(WOW_DD[[#This Row],[Ext Regression %]]),WOW_DD[[#This Row],[Ext Regression %]],IF(ISBLANK(WOW_DD[[#This Row],[Ext Regression %]]),OFFSET(WOW_DD[[#This Row],[Ext Reg]],-1,0),0))</f>
        <v>3.9318480491638184</v>
      </c>
      <c r="M49" s="56">
        <f ca="1">IF(ISNUMBER(WOW_DD[[#This Row],[Core Regression %]]),WOW_DD[[#This Row],[Core Regression %]],IF(ISBLANK(WOW_DD[[#This Row],[Core Regression %]]),OFFSET(WOW_DD[[#This Row],[Core Reg]],-1,0),0))</f>
        <v>8.5877866744995117</v>
      </c>
      <c r="N49">
        <f>WOW_DD[[#This Row],[Core]]/SUM(WOW_DD[[#This Row],[Ext]],WOW_DD[[#This Row],[Core]])</f>
        <v>0.40227136879856545</v>
      </c>
    </row>
    <row r="50" spans="1:14">
      <c r="A50" s="50">
        <v>41596.564192592588</v>
      </c>
      <c r="B50" s="49">
        <v>2067</v>
      </c>
      <c r="C50" s="49">
        <v>0.37784227728843689</v>
      </c>
      <c r="D50" s="49">
        <v>4.0973110198974609</v>
      </c>
      <c r="E50" s="49">
        <v>8.6792449951171875</v>
      </c>
      <c r="F50" s="55">
        <v>1027</v>
      </c>
      <c r="G50" s="55"/>
      <c r="H50" s="55">
        <v>681</v>
      </c>
      <c r="I50" s="51">
        <f t="shared" si="1"/>
        <v>472013</v>
      </c>
      <c r="J50" s="48">
        <f>WOW_DD[[#This Row],[Cumulative done story points]]</f>
        <v>2067</v>
      </c>
      <c r="K50" s="48">
        <f>IF(WOW_DD[[#This Row],[Cumulative done story points]]=0,0,WOW_DD[[#This Row],[Defect Density]])</f>
        <v>0.37784227728843689</v>
      </c>
      <c r="L50" s="56">
        <f ca="1">IF(ISNUMBER(WOW_DD[[#This Row],[Ext Regression %]]),WOW_DD[[#This Row],[Ext Regression %]],IF(ISBLANK(WOW_DD[[#This Row],[Ext Regression %]]),OFFSET(WOW_DD[[#This Row],[Ext Reg]],-1,0),0))</f>
        <v>4.0973110198974609</v>
      </c>
      <c r="M50" s="56">
        <f ca="1">IF(ISNUMBER(WOW_DD[[#This Row],[Core Regression %]]),WOW_DD[[#This Row],[Core Regression %]],IF(ISBLANK(WOW_DD[[#This Row],[Core Regression %]]),OFFSET(WOW_DD[[#This Row],[Core Reg]],-1,0),0))</f>
        <v>8.6792449951171875</v>
      </c>
      <c r="N50">
        <f>WOW_DD[[#This Row],[Core]]/SUM(WOW_DD[[#This Row],[Ext]],WOW_DD[[#This Row],[Core]])</f>
        <v>0.39871194379391101</v>
      </c>
    </row>
    <row r="51" spans="1:14">
      <c r="A51" s="50">
        <v>41603.564192592588</v>
      </c>
      <c r="B51" s="49">
        <v>2071</v>
      </c>
      <c r="C51" s="49">
        <v>0.38435539603233337</v>
      </c>
      <c r="D51" s="49">
        <v>4.6482410430908203</v>
      </c>
      <c r="E51" s="49">
        <v>9.1588783264160156</v>
      </c>
      <c r="F51" s="55">
        <v>1042</v>
      </c>
      <c r="G51" s="55"/>
      <c r="H51" s="55">
        <v>687</v>
      </c>
      <c r="I51" s="51">
        <f t="shared" si="1"/>
        <v>482013</v>
      </c>
      <c r="J51" s="48">
        <f>WOW_DD[[#This Row],[Cumulative done story points]]</f>
        <v>2071</v>
      </c>
      <c r="K51" s="48">
        <f>IF(WOW_DD[[#This Row],[Cumulative done story points]]=0,0,WOW_DD[[#This Row],[Defect Density]])</f>
        <v>0.38435539603233337</v>
      </c>
      <c r="L51" s="56">
        <f ca="1">IF(ISNUMBER(WOW_DD[[#This Row],[Ext Regression %]]),WOW_DD[[#This Row],[Ext Regression %]],IF(ISBLANK(WOW_DD[[#This Row],[Ext Regression %]]),OFFSET(WOW_DD[[#This Row],[Ext Reg]],-1,0),0))</f>
        <v>4.6482410430908203</v>
      </c>
      <c r="M51" s="56">
        <f ca="1">IF(ISNUMBER(WOW_DD[[#This Row],[Core Regression %]]),WOW_DD[[#This Row],[Core Regression %]],IF(ISBLANK(WOW_DD[[#This Row],[Core Regression %]]),OFFSET(WOW_DD[[#This Row],[Core Reg]],-1,0),0))</f>
        <v>9.1588783264160156</v>
      </c>
      <c r="N51">
        <f>WOW_DD[[#This Row],[Core]]/SUM(WOW_DD[[#This Row],[Ext]],WOW_DD[[#This Row],[Core]])</f>
        <v>0.39733950260266049</v>
      </c>
    </row>
    <row r="52" spans="1:14">
      <c r="A52" s="50">
        <v>41610.564192592588</v>
      </c>
      <c r="B52" s="49">
        <v>2086</v>
      </c>
      <c r="C52" s="49">
        <v>0.38734421133995056</v>
      </c>
      <c r="D52" s="49">
        <v>4.8267326354980469</v>
      </c>
      <c r="E52" s="49">
        <v>9.6188745498657227</v>
      </c>
      <c r="F52" s="55">
        <v>1057</v>
      </c>
      <c r="G52" s="55"/>
      <c r="H52" s="55">
        <v>704</v>
      </c>
      <c r="I52" s="51">
        <f t="shared" si="1"/>
        <v>492013</v>
      </c>
      <c r="J52" s="48">
        <f>WOW_DD[[#This Row],[Cumulative done story points]]</f>
        <v>2086</v>
      </c>
      <c r="K52" s="48">
        <f>IF(WOW_DD[[#This Row],[Cumulative done story points]]=0,0,WOW_DD[[#This Row],[Defect Density]])</f>
        <v>0.38734421133995056</v>
      </c>
      <c r="L52" s="56">
        <f ca="1">IF(ISNUMBER(WOW_DD[[#This Row],[Ext Regression %]]),WOW_DD[[#This Row],[Ext Regression %]],IF(ISBLANK(WOW_DD[[#This Row],[Ext Regression %]]),OFFSET(WOW_DD[[#This Row],[Ext Reg]],-1,0),0))</f>
        <v>4.8267326354980469</v>
      </c>
      <c r="M52" s="56">
        <f ca="1">IF(ISNUMBER(WOW_DD[[#This Row],[Core Regression %]]),WOW_DD[[#This Row],[Core Regression %]],IF(ISBLANK(WOW_DD[[#This Row],[Core Regression %]]),OFFSET(WOW_DD[[#This Row],[Core Reg]],-1,0),0))</f>
        <v>9.6188745498657227</v>
      </c>
      <c r="N52">
        <f>WOW_DD[[#This Row],[Core]]/SUM(WOW_DD[[#This Row],[Ext]],WOW_DD[[#This Row],[Core]])</f>
        <v>0.39977285633162973</v>
      </c>
    </row>
    <row r="53" spans="1:14">
      <c r="A53" s="50">
        <v>41617.564192592588</v>
      </c>
      <c r="B53" s="49">
        <v>2117</v>
      </c>
      <c r="C53" s="49">
        <v>0.3882853090763092</v>
      </c>
      <c r="D53" s="49">
        <v>4.9878344535827637</v>
      </c>
      <c r="E53" s="49">
        <v>9.4812164306640625</v>
      </c>
      <c r="F53" s="55">
        <v>1083</v>
      </c>
      <c r="G53" s="55"/>
      <c r="H53" s="55">
        <v>715</v>
      </c>
      <c r="I53" s="51">
        <f t="shared" si="1"/>
        <v>502013</v>
      </c>
      <c r="J53" s="48">
        <f>WOW_DD[[#This Row],[Cumulative done story points]]</f>
        <v>2117</v>
      </c>
      <c r="K53" s="48">
        <f>IF(WOW_DD[[#This Row],[Cumulative done story points]]=0,0,WOW_DD[[#This Row],[Defect Density]])</f>
        <v>0.3882853090763092</v>
      </c>
      <c r="L53" s="56">
        <f ca="1">IF(ISNUMBER(WOW_DD[[#This Row],[Ext Regression %]]),WOW_DD[[#This Row],[Ext Regression %]],IF(ISBLANK(WOW_DD[[#This Row],[Ext Regression %]]),OFFSET(WOW_DD[[#This Row],[Ext Reg]],-1,0),0))</f>
        <v>4.9878344535827637</v>
      </c>
      <c r="M53" s="56">
        <f ca="1">IF(ISNUMBER(WOW_DD[[#This Row],[Core Regression %]]),WOW_DD[[#This Row],[Core Regression %]],IF(ISBLANK(WOW_DD[[#This Row],[Core Regression %]]),OFFSET(WOW_DD[[#This Row],[Core Reg]],-1,0),0))</f>
        <v>9.4812164306640625</v>
      </c>
      <c r="N53">
        <f>WOW_DD[[#This Row],[Core]]/SUM(WOW_DD[[#This Row],[Ext]],WOW_DD[[#This Row],[Core]])</f>
        <v>0.39766407119021135</v>
      </c>
    </row>
    <row r="54" spans="1:14">
      <c r="A54" s="50">
        <v>41624.564192592588</v>
      </c>
      <c r="B54" s="49">
        <v>2130</v>
      </c>
      <c r="C54" s="49">
        <v>0.39201876521110535</v>
      </c>
      <c r="D54" s="49">
        <v>5.1497006416320801</v>
      </c>
      <c r="E54" s="49">
        <v>9.347442626953125</v>
      </c>
      <c r="F54" s="55">
        <v>1105</v>
      </c>
      <c r="G54" s="55"/>
      <c r="H54" s="55">
        <v>724</v>
      </c>
      <c r="I54" s="51">
        <f t="shared" si="1"/>
        <v>512013</v>
      </c>
      <c r="J54" s="48">
        <f>WOW_DD[[#This Row],[Cumulative done story points]]</f>
        <v>2130</v>
      </c>
      <c r="K54" s="48">
        <f>IF(WOW_DD[[#This Row],[Cumulative done story points]]=0,0,WOW_DD[[#This Row],[Defect Density]])</f>
        <v>0.39201876521110535</v>
      </c>
      <c r="L54">
        <f ca="1">IF(ISNUMBER(WOW_DD[[#This Row],[Ext Regression %]]),WOW_DD[[#This Row],[Ext Regression %]],IF(ISBLANK(WOW_DD[[#This Row],[Ext Regression %]]),OFFSET(WOW_DD[[#This Row],[Ext Reg]],-1,0),0))</f>
        <v>5.1497006416320801</v>
      </c>
      <c r="M54">
        <f ca="1">IF(ISNUMBER(WOW_DD[[#This Row],[Core Regression %]]),WOW_DD[[#This Row],[Core Regression %]],IF(ISBLANK(WOW_DD[[#This Row],[Core Regression %]]),OFFSET(WOW_DD[[#This Row],[Core Reg]],-1,0),0))</f>
        <v>9.347442626953125</v>
      </c>
      <c r="N54">
        <f>WOW_DD[[#This Row],[Core]]/SUM(WOW_DD[[#This Row],[Ext]],WOW_DD[[#This Row],[Core]])</f>
        <v>0.39584472389283759</v>
      </c>
    </row>
    <row r="55" spans="1:14">
      <c r="A55" s="50">
        <v>41631.564192592588</v>
      </c>
      <c r="B55" s="49">
        <v>2201</v>
      </c>
      <c r="C55" s="49">
        <v>0.39391186833381653</v>
      </c>
      <c r="D55" s="49">
        <v>5.0749711990356445</v>
      </c>
      <c r="E55" s="49">
        <v>9.4501714706420898</v>
      </c>
      <c r="F55" s="55">
        <v>1144</v>
      </c>
      <c r="G55" s="55"/>
      <c r="H55" s="55">
        <v>743</v>
      </c>
      <c r="I55" s="51">
        <f t="shared" si="1"/>
        <v>522013</v>
      </c>
      <c r="J55" s="48">
        <f>WOW_DD[[#This Row],[Cumulative done story points]]</f>
        <v>2201</v>
      </c>
      <c r="K55" s="48">
        <f>IF(WOW_DD[[#This Row],[Cumulative done story points]]=0,0,WOW_DD[[#This Row],[Defect Density]])</f>
        <v>0.39391186833381653</v>
      </c>
      <c r="L55">
        <f ca="1">IF(ISNUMBER(WOW_DD[[#This Row],[Ext Regression %]]),WOW_DD[[#This Row],[Ext Regression %]],IF(ISBLANK(WOW_DD[[#This Row],[Ext Regression %]]),OFFSET(WOW_DD[[#This Row],[Ext Reg]],-1,0),0))</f>
        <v>5.0749711990356445</v>
      </c>
      <c r="M55">
        <f ca="1">IF(ISNUMBER(WOW_DD[[#This Row],[Core Regression %]]),WOW_DD[[#This Row],[Core Regression %]],IF(ISBLANK(WOW_DD[[#This Row],[Core Regression %]]),OFFSET(WOW_DD[[#This Row],[Core Reg]],-1,0),0))</f>
        <v>9.4501714706420898</v>
      </c>
      <c r="N55">
        <f>WOW_DD[[#This Row],[Core]]/SUM(WOW_DD[[#This Row],[Ext]],WOW_DD[[#This Row],[Core]])</f>
        <v>0.39374668786433492</v>
      </c>
    </row>
    <row r="56" spans="1:14">
      <c r="A56" s="50">
        <v>41638.564192592588</v>
      </c>
      <c r="B56" s="49">
        <v>2241</v>
      </c>
      <c r="C56" s="49">
        <v>0.40026775002479553</v>
      </c>
      <c r="D56" s="49">
        <v>5.1282052993774414</v>
      </c>
      <c r="E56" s="49">
        <v>9.6989965438842773</v>
      </c>
      <c r="F56" s="55">
        <v>1186</v>
      </c>
      <c r="G56" s="55"/>
      <c r="H56" s="55">
        <v>762</v>
      </c>
      <c r="I56" s="51">
        <f t="shared" si="1"/>
        <v>532013</v>
      </c>
      <c r="J56" s="48">
        <f>WOW_DD[[#This Row],[Cumulative done story points]]</f>
        <v>2241</v>
      </c>
      <c r="K56" s="48">
        <f>IF(WOW_DD[[#This Row],[Cumulative done story points]]=0,0,WOW_DD[[#This Row],[Defect Density]])</f>
        <v>0.40026775002479553</v>
      </c>
      <c r="L56">
        <f ca="1">IF(ISNUMBER(WOW_DD[[#This Row],[Ext Regression %]]),WOW_DD[[#This Row],[Ext Regression %]],IF(ISBLANK(WOW_DD[[#This Row],[Ext Regression %]]),OFFSET(WOW_DD[[#This Row],[Ext Reg]],-1,0),0))</f>
        <v>5.1282052993774414</v>
      </c>
      <c r="M56">
        <f ca="1">IF(ISNUMBER(WOW_DD[[#This Row],[Core Regression %]]),WOW_DD[[#This Row],[Core Regression %]],IF(ISBLANK(WOW_DD[[#This Row],[Core Regression %]]),OFFSET(WOW_DD[[#This Row],[Core Reg]],-1,0),0))</f>
        <v>9.6989965438842773</v>
      </c>
      <c r="N56">
        <f>WOW_DD[[#This Row],[Core]]/SUM(WOW_DD[[#This Row],[Ext]],WOW_DD[[#This Row],[Core]])</f>
        <v>0.39117043121149897</v>
      </c>
    </row>
    <row r="57" spans="1:14">
      <c r="A57" s="50">
        <v>41645.564192592588</v>
      </c>
      <c r="B57" s="49">
        <v>2323</v>
      </c>
      <c r="C57" s="49">
        <v>0.40120533108711243</v>
      </c>
      <c r="D57" s="49">
        <v>5.6866950988769531</v>
      </c>
      <c r="E57" s="49">
        <v>10.161290168762207</v>
      </c>
      <c r="F57" s="55">
        <v>1241</v>
      </c>
      <c r="G57" s="55"/>
      <c r="H57" s="55">
        <v>789</v>
      </c>
      <c r="I57" s="51">
        <f t="shared" si="1"/>
        <v>22014</v>
      </c>
      <c r="J57" s="48">
        <f>WOW_DD[[#This Row],[Cumulative done story points]]</f>
        <v>2323</v>
      </c>
      <c r="K57" s="48">
        <f>IF(WOW_DD[[#This Row],[Cumulative done story points]]=0,0,WOW_DD[[#This Row],[Defect Density]])</f>
        <v>0.40120533108711243</v>
      </c>
      <c r="L57">
        <f ca="1">IF(ISNUMBER(WOW_DD[[#This Row],[Ext Regression %]]),WOW_DD[[#This Row],[Ext Regression %]],IF(ISBLANK(WOW_DD[[#This Row],[Ext Regression %]]),OFFSET(WOW_DD[[#This Row],[Ext Reg]],-1,0),0))</f>
        <v>5.6866950988769531</v>
      </c>
      <c r="M57">
        <f ca="1">IF(ISNUMBER(WOW_DD[[#This Row],[Core Regression %]]),WOW_DD[[#This Row],[Core Regression %]],IF(ISBLANK(WOW_DD[[#This Row],[Core Regression %]]),OFFSET(WOW_DD[[#This Row],[Core Reg]],-1,0),0))</f>
        <v>10.161290168762207</v>
      </c>
      <c r="N57">
        <f>WOW_DD[[#This Row],[Core]]/SUM(WOW_DD[[#This Row],[Ext]],WOW_DD[[#This Row],[Core]])</f>
        <v>0.38866995073891625</v>
      </c>
    </row>
    <row r="58" spans="1:14">
      <c r="A58" s="50">
        <v>41652.564192592588</v>
      </c>
      <c r="B58" s="49">
        <v>2351</v>
      </c>
      <c r="C58" s="49">
        <v>0.40450870990753174</v>
      </c>
      <c r="D58" s="49">
        <v>5.7833857536315918</v>
      </c>
      <c r="E58" s="49">
        <v>9.9369087219238281</v>
      </c>
      <c r="F58" s="55">
        <v>1270</v>
      </c>
      <c r="G58" s="55"/>
      <c r="H58" s="55">
        <v>805</v>
      </c>
      <c r="I58" s="51">
        <f t="shared" si="1"/>
        <v>32014</v>
      </c>
      <c r="J58" s="48">
        <f>WOW_DD[[#This Row],[Cumulative done story points]]</f>
        <v>2351</v>
      </c>
      <c r="K58" s="48">
        <f>IF(WOW_DD[[#This Row],[Cumulative done story points]]=0,0,WOW_DD[[#This Row],[Defect Density]])</f>
        <v>0.40450870990753174</v>
      </c>
      <c r="L58">
        <f ca="1">IF(ISNUMBER(WOW_DD[[#This Row],[Ext Regression %]]),WOW_DD[[#This Row],[Ext Regression %]],IF(ISBLANK(WOW_DD[[#This Row],[Ext Regression %]]),OFFSET(WOW_DD[[#This Row],[Ext Reg]],-1,0),0))</f>
        <v>5.7833857536315918</v>
      </c>
      <c r="M58">
        <f ca="1">IF(ISNUMBER(WOW_DD[[#This Row],[Core Regression %]]),WOW_DD[[#This Row],[Core Regression %]],IF(ISBLANK(WOW_DD[[#This Row],[Core Regression %]]),OFFSET(WOW_DD[[#This Row],[Core Reg]],-1,0),0))</f>
        <v>9.9369087219238281</v>
      </c>
      <c r="N58">
        <f>WOW_DD[[#This Row],[Core]]/SUM(WOW_DD[[#This Row],[Ext]],WOW_DD[[#This Row],[Core]])</f>
        <v>0.38795180722891565</v>
      </c>
    </row>
    <row r="59" spans="1:14">
      <c r="A59" s="50">
        <v>41659.564192592588</v>
      </c>
      <c r="B59" s="49">
        <v>2396</v>
      </c>
      <c r="C59" s="49">
        <v>0.41068446636199951</v>
      </c>
      <c r="D59" s="49">
        <v>5.6910572052001953</v>
      </c>
      <c r="E59" s="49">
        <v>10</v>
      </c>
      <c r="F59" s="55">
        <v>1319</v>
      </c>
      <c r="G59" s="55"/>
      <c r="H59" s="55">
        <v>823</v>
      </c>
      <c r="I59" s="51">
        <f t="shared" si="1"/>
        <v>42014</v>
      </c>
      <c r="J59" s="48">
        <f>WOW_DD[[#This Row],[Cumulative done story points]]</f>
        <v>2396</v>
      </c>
      <c r="K59" s="48">
        <f>IF(WOW_DD[[#This Row],[Cumulative done story points]]=0,0,WOW_DD[[#This Row],[Defect Density]])</f>
        <v>0.41068446636199951</v>
      </c>
      <c r="L59">
        <f ca="1">IF(ISNUMBER(WOW_DD[[#This Row],[Ext Regression %]]),WOW_DD[[#This Row],[Ext Regression %]],IF(ISBLANK(WOW_DD[[#This Row],[Ext Regression %]]),OFFSET(WOW_DD[[#This Row],[Ext Reg]],-1,0),0))</f>
        <v>5.6910572052001953</v>
      </c>
      <c r="M59">
        <f ca="1">IF(ISNUMBER(WOW_DD[[#This Row],[Core Regression %]]),WOW_DD[[#This Row],[Core Regression %]],IF(ISBLANK(WOW_DD[[#This Row],[Core Regression %]]),OFFSET(WOW_DD[[#This Row],[Core Reg]],-1,0),0))</f>
        <v>10</v>
      </c>
      <c r="N59">
        <f>WOW_DD[[#This Row],[Core]]/SUM(WOW_DD[[#This Row],[Ext]],WOW_DD[[#This Row],[Core]])</f>
        <v>0.38422035480859013</v>
      </c>
    </row>
    <row r="60" spans="1:14">
      <c r="A60" s="50">
        <v>41666.564192592588</v>
      </c>
      <c r="B60" s="49">
        <v>2405</v>
      </c>
      <c r="C60" s="49">
        <v>0.41871100664138794</v>
      </c>
      <c r="D60" s="49">
        <v>5.8589873313903809</v>
      </c>
      <c r="E60" s="49">
        <v>10.42296028137207</v>
      </c>
      <c r="F60" s="55">
        <v>1345</v>
      </c>
      <c r="G60" s="55"/>
      <c r="H60" s="55">
        <v>836</v>
      </c>
      <c r="I60" s="51">
        <f t="shared" si="1"/>
        <v>52014</v>
      </c>
      <c r="J60" s="48">
        <f>WOW_DD[[#This Row],[Cumulative done story points]]</f>
        <v>2405</v>
      </c>
      <c r="K60" s="48">
        <f>IF(WOW_DD[[#This Row],[Cumulative done story points]]=0,0,WOW_DD[[#This Row],[Defect Density]])</f>
        <v>0.41871100664138794</v>
      </c>
      <c r="L60">
        <f ca="1">IF(ISNUMBER(WOW_DD[[#This Row],[Ext Regression %]]),WOW_DD[[#This Row],[Ext Regression %]],IF(ISBLANK(WOW_DD[[#This Row],[Ext Regression %]]),OFFSET(WOW_DD[[#This Row],[Ext Reg]],-1,0),0))</f>
        <v>5.8589873313903809</v>
      </c>
      <c r="M60">
        <f ca="1">IF(ISNUMBER(WOW_DD[[#This Row],[Core Regression %]]),WOW_DD[[#This Row],[Core Regression %]],IF(ISBLANK(WOW_DD[[#This Row],[Core Regression %]]),OFFSET(WOW_DD[[#This Row],[Core Reg]],-1,0),0))</f>
        <v>10.42296028137207</v>
      </c>
      <c r="N60">
        <f>WOW_DD[[#This Row],[Core]]/SUM(WOW_DD[[#This Row],[Ext]],WOW_DD[[#This Row],[Core]])</f>
        <v>0.3833104080696928</v>
      </c>
    </row>
    <row r="61" spans="1:14">
      <c r="A61" s="50">
        <v>41673.564192592588</v>
      </c>
      <c r="B61" s="49">
        <v>2443</v>
      </c>
      <c r="C61" s="49">
        <v>0.42447811365127563</v>
      </c>
      <c r="D61" s="49">
        <v>6.3645133972167969</v>
      </c>
      <c r="E61" s="49">
        <v>10.911808967590332</v>
      </c>
      <c r="F61" s="55">
        <v>1382</v>
      </c>
      <c r="G61" s="55"/>
      <c r="H61" s="55">
        <v>845</v>
      </c>
      <c r="I61" s="51">
        <f t="shared" si="1"/>
        <v>62014</v>
      </c>
      <c r="J61" s="48">
        <f>WOW_DD[[#This Row],[Cumulative done story points]]</f>
        <v>2443</v>
      </c>
      <c r="K61" s="48">
        <f>IF(WOW_DD[[#This Row],[Cumulative done story points]]=0,0,WOW_DD[[#This Row],[Defect Density]])</f>
        <v>0.42447811365127563</v>
      </c>
      <c r="L61">
        <f ca="1">IF(ISNUMBER(WOW_DD[[#This Row],[Ext Regression %]]),WOW_DD[[#This Row],[Ext Regression %]],IF(ISBLANK(WOW_DD[[#This Row],[Ext Regression %]]),OFFSET(WOW_DD[[#This Row],[Ext Reg]],-1,0),0))</f>
        <v>6.3645133972167969</v>
      </c>
      <c r="M61">
        <f ca="1">IF(ISNUMBER(WOW_DD[[#This Row],[Core Regression %]]),WOW_DD[[#This Row],[Core Regression %]],IF(ISBLANK(WOW_DD[[#This Row],[Core Regression %]]),OFFSET(WOW_DD[[#This Row],[Core Reg]],-1,0),0))</f>
        <v>10.911808967590332</v>
      </c>
      <c r="N61">
        <f>WOW_DD[[#This Row],[Core]]/SUM(WOW_DD[[#This Row],[Ext]],WOW_DD[[#This Row],[Core]])</f>
        <v>0.37943421643466546</v>
      </c>
    </row>
    <row r="62" spans="1:14">
      <c r="A62" s="50">
        <v>41680.564192592588</v>
      </c>
      <c r="B62" s="49">
        <v>2482</v>
      </c>
      <c r="C62" s="49">
        <v>0.43553584814071655</v>
      </c>
      <c r="D62" s="49">
        <v>6.3829789161682129</v>
      </c>
      <c r="E62" s="49">
        <v>10.740203857421875</v>
      </c>
      <c r="F62" s="55">
        <v>1442</v>
      </c>
      <c r="G62" s="55"/>
      <c r="H62" s="55">
        <v>871</v>
      </c>
      <c r="I62" s="51">
        <f t="shared" si="1"/>
        <v>72014</v>
      </c>
      <c r="J62" s="48">
        <f>WOW_DD[[#This Row],[Cumulative done story points]]</f>
        <v>2482</v>
      </c>
      <c r="K62" s="48">
        <f>IF(WOW_DD[[#This Row],[Cumulative done story points]]=0,0,WOW_DD[[#This Row],[Defect Density]])</f>
        <v>0.43553584814071655</v>
      </c>
      <c r="L62">
        <f ca="1">IF(ISNUMBER(WOW_DD[[#This Row],[Ext Regression %]]),WOW_DD[[#This Row],[Ext Regression %]],IF(ISBLANK(WOW_DD[[#This Row],[Ext Regression %]]),OFFSET(WOW_DD[[#This Row],[Ext Reg]],-1,0),0))</f>
        <v>6.3829789161682129</v>
      </c>
      <c r="M62">
        <f ca="1">IF(ISNUMBER(WOW_DD[[#This Row],[Core Regression %]]),WOW_DD[[#This Row],[Core Regression %]],IF(ISBLANK(WOW_DD[[#This Row],[Core Regression %]]),OFFSET(WOW_DD[[#This Row],[Core Reg]],-1,0),0))</f>
        <v>10.740203857421875</v>
      </c>
      <c r="N62">
        <f>WOW_DD[[#This Row],[Core]]/SUM(WOW_DD[[#This Row],[Ext]],WOW_DD[[#This Row],[Core]])</f>
        <v>0.37656722870730652</v>
      </c>
    </row>
    <row r="63" spans="1:14">
      <c r="A63" s="50">
        <v>41687.564192592588</v>
      </c>
      <c r="B63" s="49">
        <v>2548</v>
      </c>
      <c r="C63" s="49">
        <v>0.43877550959587097</v>
      </c>
      <c r="D63" s="49">
        <v>6.618962287902832</v>
      </c>
      <c r="E63" s="49">
        <v>11.379800796508789</v>
      </c>
      <c r="F63" s="55">
        <v>1488</v>
      </c>
      <c r="G63" s="55"/>
      <c r="H63" s="55">
        <v>888</v>
      </c>
      <c r="I63" s="53">
        <f t="shared" si="1"/>
        <v>82014</v>
      </c>
      <c r="J63" s="48">
        <f>WOW_DD[[#This Row],[Cumulative done story points]]</f>
        <v>2548</v>
      </c>
      <c r="K63" s="48">
        <f>IF(WOW_DD[[#This Row],[Cumulative done story points]]=0,0,WOW_DD[[#This Row],[Defect Density]])</f>
        <v>0.43877550959587097</v>
      </c>
      <c r="L63">
        <f ca="1">IF(ISNUMBER(WOW_DD[[#This Row],[Ext Regression %]]),WOW_DD[[#This Row],[Ext Regression %]],IF(ISBLANK(WOW_DD[[#This Row],[Ext Regression %]]),OFFSET(WOW_DD[[#This Row],[Ext Reg]],-1,0),0))</f>
        <v>6.618962287902832</v>
      </c>
      <c r="M63">
        <f ca="1">IF(ISNUMBER(WOW_DD[[#This Row],[Core Regression %]]),WOW_DD[[#This Row],[Core Regression %]],IF(ISBLANK(WOW_DD[[#This Row],[Core Regression %]]),OFFSET(WOW_DD[[#This Row],[Core Reg]],-1,0),0))</f>
        <v>11.379800796508789</v>
      </c>
      <c r="N63">
        <f>WOW_DD[[#This Row],[Core]]/SUM(WOW_DD[[#This Row],[Ext]],WOW_DD[[#This Row],[Core]])</f>
        <v>0.37373737373737376</v>
      </c>
    </row>
    <row r="64" spans="1:14">
      <c r="A64" s="50">
        <v>41694.564192592588</v>
      </c>
      <c r="B64" s="49">
        <v>2612</v>
      </c>
      <c r="C64" s="49">
        <v>0.43644717335700989</v>
      </c>
      <c r="D64" s="49">
        <v>6.9298243522644043</v>
      </c>
      <c r="E64" s="49">
        <v>11.83843994140625</v>
      </c>
      <c r="F64" s="55">
        <v>1520</v>
      </c>
      <c r="G64" s="55"/>
      <c r="H64" s="55">
        <v>905</v>
      </c>
      <c r="I64" s="53">
        <f t="shared" si="1"/>
        <v>92014</v>
      </c>
      <c r="J64" s="48">
        <f>WOW_DD[[#This Row],[Cumulative done story points]]</f>
        <v>2612</v>
      </c>
      <c r="K64" s="48">
        <f>IF(WOW_DD[[#This Row],[Cumulative done story points]]=0,0,WOW_DD[[#This Row],[Defect Density]])</f>
        <v>0.43644717335700989</v>
      </c>
      <c r="L64">
        <f ca="1">IF(ISNUMBER(WOW_DD[[#This Row],[Ext Regression %]]),WOW_DD[[#This Row],[Ext Regression %]],IF(ISBLANK(WOW_DD[[#This Row],[Ext Regression %]]),OFFSET(WOW_DD[[#This Row],[Ext Reg]],-1,0),0))</f>
        <v>6.9298243522644043</v>
      </c>
      <c r="M64">
        <f ca="1">IF(ISNUMBER(WOW_DD[[#This Row],[Core Regression %]]),WOW_DD[[#This Row],[Core Regression %]],IF(ISBLANK(WOW_DD[[#This Row],[Core Regression %]]),OFFSET(WOW_DD[[#This Row],[Core Reg]],-1,0),0))</f>
        <v>11.83843994140625</v>
      </c>
      <c r="N64">
        <f>WOW_DD[[#This Row],[Core]]/SUM(WOW_DD[[#This Row],[Ext]],WOW_DD[[#This Row],[Core]])</f>
        <v>0.3731958762886598</v>
      </c>
    </row>
    <row r="65" spans="1:14">
      <c r="A65" s="50">
        <v>41701.564192592588</v>
      </c>
      <c r="B65" s="49">
        <v>2691</v>
      </c>
      <c r="C65" s="49">
        <v>0.43106651306152344</v>
      </c>
      <c r="D65" s="49">
        <v>6.9827585220336914</v>
      </c>
      <c r="E65" s="49">
        <v>12.021858215332031</v>
      </c>
      <c r="F65" s="55">
        <v>1548</v>
      </c>
      <c r="G65" s="55"/>
      <c r="H65" s="55">
        <v>921</v>
      </c>
      <c r="I65" s="53">
        <f t="shared" si="1"/>
        <v>102014</v>
      </c>
      <c r="J65" s="48">
        <f>WOW_DD[[#This Row],[Cumulative done story points]]</f>
        <v>2691</v>
      </c>
      <c r="K65" s="48">
        <f>IF(WOW_DD[[#This Row],[Cumulative done story points]]=0,0,WOW_DD[[#This Row],[Defect Density]])</f>
        <v>0.43106651306152344</v>
      </c>
      <c r="L65">
        <f ca="1">IF(ISNUMBER(WOW_DD[[#This Row],[Ext Regression %]]),WOW_DD[[#This Row],[Ext Regression %]],IF(ISBLANK(WOW_DD[[#This Row],[Ext Regression %]]),OFFSET(WOW_DD[[#This Row],[Ext Reg]],-1,0),0))</f>
        <v>6.9827585220336914</v>
      </c>
      <c r="M65">
        <f ca="1">IF(ISNUMBER(WOW_DD[[#This Row],[Core Regression %]]),WOW_DD[[#This Row],[Core Regression %]],IF(ISBLANK(WOW_DD[[#This Row],[Core Regression %]]),OFFSET(WOW_DD[[#This Row],[Core Reg]],-1,0),0))</f>
        <v>12.021858215332031</v>
      </c>
      <c r="N65">
        <f>WOW_DD[[#This Row],[Core]]/SUM(WOW_DD[[#This Row],[Ext]],WOW_DD[[#This Row],[Core]])</f>
        <v>0.3730255164034022</v>
      </c>
    </row>
    <row r="66" spans="1:14">
      <c r="A66" s="50">
        <v>41708.564192592588</v>
      </c>
      <c r="B66" s="49">
        <v>2732</v>
      </c>
      <c r="C66" s="49">
        <v>0.43374815583229065</v>
      </c>
      <c r="D66" s="49">
        <v>7.3417720794677734</v>
      </c>
      <c r="E66" s="49">
        <v>12.550607681274414</v>
      </c>
      <c r="F66" s="55">
        <v>1579</v>
      </c>
      <c r="G66" s="55"/>
      <c r="H66" s="55">
        <v>932</v>
      </c>
      <c r="I66" s="53">
        <f t="shared" si="1"/>
        <v>112014</v>
      </c>
      <c r="J66" s="48">
        <f>WOW_DD[[#This Row],[Cumulative done story points]]</f>
        <v>2732</v>
      </c>
      <c r="K66" s="48">
        <f>IF(WOW_DD[[#This Row],[Cumulative done story points]]=0,0,WOW_DD[[#This Row],[Defect Density]])</f>
        <v>0.43374815583229065</v>
      </c>
      <c r="L66">
        <f ca="1">IF(ISNUMBER(WOW_DD[[#This Row],[Ext Regression %]]),WOW_DD[[#This Row],[Ext Regression %]],IF(ISBLANK(WOW_DD[[#This Row],[Ext Regression %]]),OFFSET(WOW_DD[[#This Row],[Ext Reg]],-1,0),0))</f>
        <v>7.3417720794677734</v>
      </c>
      <c r="M66">
        <f ca="1">IF(ISNUMBER(WOW_DD[[#This Row],[Core Regression %]]),WOW_DD[[#This Row],[Core Regression %]],IF(ISBLANK(WOW_DD[[#This Row],[Core Regression %]]),OFFSET(WOW_DD[[#This Row],[Core Reg]],-1,0),0))</f>
        <v>12.550607681274414</v>
      </c>
      <c r="N66">
        <f>WOW_DD[[#This Row],[Core]]/SUM(WOW_DD[[#This Row],[Ext]],WOW_DD[[#This Row],[Core]])</f>
        <v>0.37116686579052172</v>
      </c>
    </row>
    <row r="67" spans="1:14">
      <c r="A67" s="50">
        <v>41715.564192592588</v>
      </c>
      <c r="B67" s="49">
        <v>2793</v>
      </c>
      <c r="C67" s="49">
        <v>0.44038668274879456</v>
      </c>
      <c r="D67" s="49">
        <v>7.47967529296875</v>
      </c>
      <c r="E67" s="49">
        <v>12.317880630493164</v>
      </c>
      <c r="F67" s="55">
        <v>1631</v>
      </c>
      <c r="G67" s="55"/>
      <c r="H67" s="55">
        <v>949</v>
      </c>
      <c r="I67" s="53">
        <f t="shared" si="1"/>
        <v>122014</v>
      </c>
      <c r="J67" s="48">
        <f>WOW_DD[[#This Row],[Cumulative done story points]]</f>
        <v>2793</v>
      </c>
      <c r="K67" s="48">
        <f>IF(WOW_DD[[#This Row],[Cumulative done story points]]=0,0,WOW_DD[[#This Row],[Defect Density]])</f>
        <v>0.44038668274879456</v>
      </c>
      <c r="L67">
        <f ca="1">IF(ISNUMBER(WOW_DD[[#This Row],[Ext Regression %]]),WOW_DD[[#This Row],[Ext Regression %]],IF(ISBLANK(WOW_DD[[#This Row],[Ext Regression %]]),OFFSET(WOW_DD[[#This Row],[Ext Reg]],-1,0),0))</f>
        <v>7.47967529296875</v>
      </c>
      <c r="M67">
        <f ca="1">IF(ISNUMBER(WOW_DD[[#This Row],[Core Regression %]]),WOW_DD[[#This Row],[Core Regression %]],IF(ISBLANK(WOW_DD[[#This Row],[Core Regression %]]),OFFSET(WOW_DD[[#This Row],[Core Reg]],-1,0),0))</f>
        <v>12.317880630493164</v>
      </c>
      <c r="N67">
        <f>WOW_DD[[#This Row],[Core]]/SUM(WOW_DD[[#This Row],[Ext]],WOW_DD[[#This Row],[Core]])</f>
        <v>0.36782945736434108</v>
      </c>
    </row>
    <row r="68" spans="1:14">
      <c r="A68" s="50">
        <v>41722.564192592588</v>
      </c>
      <c r="B68" s="49">
        <v>2801</v>
      </c>
      <c r="C68" s="49">
        <v>0.45198142528533936</v>
      </c>
      <c r="D68" s="49">
        <v>7.8199052810668945</v>
      </c>
      <c r="E68" s="49">
        <v>12.195121765136719</v>
      </c>
      <c r="F68" s="55">
        <v>1673</v>
      </c>
      <c r="G68" s="55"/>
      <c r="H68" s="55">
        <v>975</v>
      </c>
      <c r="I68" s="53">
        <f t="shared" si="1"/>
        <v>132014</v>
      </c>
      <c r="J68" s="48">
        <f>WOW_DD[[#This Row],[Cumulative done story points]]</f>
        <v>2801</v>
      </c>
      <c r="K68" s="48">
        <f>IF(WOW_DD[[#This Row],[Cumulative done story points]]=0,0,WOW_DD[[#This Row],[Defect Density]])</f>
        <v>0.45198142528533936</v>
      </c>
      <c r="L68">
        <f ca="1">IF(ISNUMBER(WOW_DD[[#This Row],[Ext Regression %]]),WOW_DD[[#This Row],[Ext Regression %]],IF(ISBLANK(WOW_DD[[#This Row],[Ext Regression %]]),OFFSET(WOW_DD[[#This Row],[Ext Reg]],-1,0),0))</f>
        <v>7.8199052810668945</v>
      </c>
      <c r="M68">
        <f ca="1">IF(ISNUMBER(WOW_DD[[#This Row],[Core Regression %]]),WOW_DD[[#This Row],[Core Regression %]],IF(ISBLANK(WOW_DD[[#This Row],[Core Regression %]]),OFFSET(WOW_DD[[#This Row],[Core Reg]],-1,0),0))</f>
        <v>12.195121765136719</v>
      </c>
      <c r="N68">
        <f>WOW_DD[[#This Row],[Core]]/SUM(WOW_DD[[#This Row],[Ext]],WOW_DD[[#This Row],[Core]])</f>
        <v>0.36820241691842898</v>
      </c>
    </row>
    <row r="69" spans="1:14">
      <c r="A69" s="83">
        <v>41729.564192592588</v>
      </c>
      <c r="B69" s="84">
        <v>2822</v>
      </c>
      <c r="C69" s="84">
        <v>0.46066617965698242</v>
      </c>
      <c r="D69" s="84">
        <v>8.0769233703613281</v>
      </c>
      <c r="E69" s="84">
        <v>12.155387878417969</v>
      </c>
      <c r="F69" s="84">
        <v>1717</v>
      </c>
      <c r="G69" s="84"/>
      <c r="H69" s="84">
        <v>996</v>
      </c>
      <c r="I69" s="85">
        <f t="shared" ref="I69:I83" si="2">VALUE(WEEKNUM(A69*1)&amp;YEAR(A69*1))</f>
        <v>142014</v>
      </c>
      <c r="J69" s="85">
        <f>WOW_DD[[#This Row],[Cumulative done story points]]</f>
        <v>2822</v>
      </c>
      <c r="K69" s="85">
        <f>IF(WOW_DD[[#This Row],[Cumulative done story points]]=0,0,WOW_DD[[#This Row],[Defect Density]])</f>
        <v>0.46066617965698242</v>
      </c>
      <c r="L69" s="84">
        <f ca="1">IF(ISNUMBER(WOW_DD[[#This Row],[Ext Regression %]]),WOW_DD[[#This Row],[Ext Regression %]],IF(ISBLANK(WOW_DD[[#This Row],[Ext Regression %]]),OFFSET(WOW_DD[[#This Row],[Ext Reg]],-1,0),0))</f>
        <v>8.0769233703613281</v>
      </c>
      <c r="M69" s="84">
        <f ca="1">IF(ISNUMBER(WOW_DD[[#This Row],[Core Regression %]]),WOW_DD[[#This Row],[Core Regression %]],IF(ISBLANK(WOW_DD[[#This Row],[Core Regression %]]),OFFSET(WOW_DD[[#This Row],[Core Reg]],-1,0),0))</f>
        <v>12.155387878417969</v>
      </c>
      <c r="N69" s="84">
        <f>WOW_DD[[#This Row],[Core]]/SUM(WOW_DD[[#This Row],[Ext]],WOW_DD[[#This Row],[Core]])</f>
        <v>0.36712126796903799</v>
      </c>
    </row>
    <row r="70" spans="1:14">
      <c r="A70" s="83">
        <v>41736.564192592588</v>
      </c>
      <c r="B70" s="84">
        <v>2822</v>
      </c>
      <c r="C70" s="84">
        <v>0.47306874394416809</v>
      </c>
      <c r="D70" s="84">
        <v>8.1647939682006836</v>
      </c>
      <c r="E70" s="84">
        <v>12.054121017456055</v>
      </c>
      <c r="F70" s="84">
        <v>1764</v>
      </c>
      <c r="G70" s="84"/>
      <c r="H70" s="84">
        <v>1011</v>
      </c>
      <c r="I70" s="85">
        <f t="shared" si="2"/>
        <v>152014</v>
      </c>
      <c r="J70" s="85">
        <f>WOW_DD[[#This Row],[Cumulative done story points]]</f>
        <v>2822</v>
      </c>
      <c r="K70" s="85">
        <f>IF(WOW_DD[[#This Row],[Cumulative done story points]]=0,0,WOW_DD[[#This Row],[Defect Density]])</f>
        <v>0.47306874394416809</v>
      </c>
      <c r="L70" s="84">
        <f ca="1">IF(ISNUMBER(WOW_DD[[#This Row],[Ext Regression %]]),WOW_DD[[#This Row],[Ext Regression %]],IF(ISBLANK(WOW_DD[[#This Row],[Ext Regression %]]),OFFSET(WOW_DD[[#This Row],[Ext Reg]],-1,0),0))</f>
        <v>8.1647939682006836</v>
      </c>
      <c r="M70" s="84">
        <f ca="1">IF(ISNUMBER(WOW_DD[[#This Row],[Core Regression %]]),WOW_DD[[#This Row],[Core Regression %]],IF(ISBLANK(WOW_DD[[#This Row],[Core Regression %]]),OFFSET(WOW_DD[[#This Row],[Core Reg]],-1,0),0))</f>
        <v>12.054121017456055</v>
      </c>
      <c r="N70" s="84">
        <f>WOW_DD[[#This Row],[Core]]/SUM(WOW_DD[[#This Row],[Ext]],WOW_DD[[#This Row],[Core]])</f>
        <v>0.36432432432432432</v>
      </c>
    </row>
    <row r="71" spans="1:14">
      <c r="A71" s="83">
        <v>41743.564192592588</v>
      </c>
      <c r="B71" s="84">
        <v>2822</v>
      </c>
      <c r="C71" s="84">
        <v>0.47909283638000488</v>
      </c>
      <c r="D71" s="84">
        <v>8.2840232849121094</v>
      </c>
      <c r="E71" s="84">
        <v>12.07317066192627</v>
      </c>
      <c r="F71" s="84">
        <v>1789</v>
      </c>
      <c r="G71" s="84"/>
      <c r="H71" s="84">
        <v>1019</v>
      </c>
      <c r="I71" s="85">
        <f t="shared" si="2"/>
        <v>162014</v>
      </c>
      <c r="J71" s="85">
        <f>WOW_DD[[#This Row],[Cumulative done story points]]</f>
        <v>2822</v>
      </c>
      <c r="K71" s="85">
        <f>IF(WOW_DD[[#This Row],[Cumulative done story points]]=0,0,WOW_DD[[#This Row],[Defect Density]])</f>
        <v>0.47909283638000488</v>
      </c>
      <c r="L71" s="84">
        <f ca="1">IF(ISNUMBER(WOW_DD[[#This Row],[Ext Regression %]]),WOW_DD[[#This Row],[Ext Regression %]],IF(ISBLANK(WOW_DD[[#This Row],[Ext Regression %]]),OFFSET(WOW_DD[[#This Row],[Ext Reg]],-1,0),0))</f>
        <v>8.2840232849121094</v>
      </c>
      <c r="M71" s="84">
        <f ca="1">IF(ISNUMBER(WOW_DD[[#This Row],[Core Regression %]]),WOW_DD[[#This Row],[Core Regression %]],IF(ISBLANK(WOW_DD[[#This Row],[Core Regression %]]),OFFSET(WOW_DD[[#This Row],[Core Reg]],-1,0),0))</f>
        <v>12.07317066192627</v>
      </c>
      <c r="N71" s="84">
        <f>WOW_DD[[#This Row],[Core]]/SUM(WOW_DD[[#This Row],[Ext]],WOW_DD[[#This Row],[Core]])</f>
        <v>0.3628917378917379</v>
      </c>
    </row>
    <row r="72" spans="1:14">
      <c r="A72" s="83">
        <v>41750.564192592588</v>
      </c>
      <c r="B72" s="84">
        <v>2822</v>
      </c>
      <c r="C72" s="84">
        <v>0.49610206484794617</v>
      </c>
      <c r="D72" s="84">
        <v>9</v>
      </c>
      <c r="E72" s="84">
        <v>12.183353424072266</v>
      </c>
      <c r="F72" s="84">
        <v>1843</v>
      </c>
      <c r="G72" s="84"/>
      <c r="H72" s="84">
        <v>1031</v>
      </c>
      <c r="I72" s="85">
        <f t="shared" si="2"/>
        <v>172014</v>
      </c>
      <c r="J72" s="85">
        <f>WOW_DD[[#This Row],[Cumulative done story points]]</f>
        <v>2822</v>
      </c>
      <c r="K72" s="85">
        <f>IF(WOW_DD[[#This Row],[Cumulative done story points]]=0,0,WOW_DD[[#This Row],[Defect Density]])</f>
        <v>0.49610206484794617</v>
      </c>
      <c r="L72" s="84">
        <f ca="1">IF(ISNUMBER(WOW_DD[[#This Row],[Ext Regression %]]),WOW_DD[[#This Row],[Ext Regression %]],IF(ISBLANK(WOW_DD[[#This Row],[Ext Regression %]]),OFFSET(WOW_DD[[#This Row],[Ext Reg]],-1,0),0))</f>
        <v>9</v>
      </c>
      <c r="M72" s="84">
        <f ca="1">IF(ISNUMBER(WOW_DD[[#This Row],[Core Regression %]]),WOW_DD[[#This Row],[Core Regression %]],IF(ISBLANK(WOW_DD[[#This Row],[Core Regression %]]),OFFSET(WOW_DD[[#This Row],[Core Reg]],-1,0),0))</f>
        <v>12.183353424072266</v>
      </c>
      <c r="N72" s="84">
        <f>WOW_DD[[#This Row],[Core]]/SUM(WOW_DD[[#This Row],[Ext]],WOW_DD[[#This Row],[Core]])</f>
        <v>0.35873347251217813</v>
      </c>
    </row>
    <row r="73" spans="1:14">
      <c r="A73" s="83">
        <v>41757.564192592588</v>
      </c>
      <c r="B73" s="84">
        <v>2822</v>
      </c>
      <c r="C73" s="84">
        <v>0.50744152069091797</v>
      </c>
      <c r="D73" s="84">
        <v>9.5670394897460937</v>
      </c>
      <c r="E73" s="84">
        <v>12.440757751464844</v>
      </c>
      <c r="F73" s="84">
        <v>1886</v>
      </c>
      <c r="G73" s="84"/>
      <c r="H73" s="84">
        <v>1047</v>
      </c>
      <c r="I73" s="85">
        <f t="shared" si="2"/>
        <v>182014</v>
      </c>
      <c r="J73" s="85">
        <f>WOW_DD[[#This Row],[Cumulative done story points]]</f>
        <v>2822</v>
      </c>
      <c r="K73" s="85">
        <f>IF(WOW_DD[[#This Row],[Cumulative done story points]]=0,0,WOW_DD[[#This Row],[Defect Density]])</f>
        <v>0.50744152069091797</v>
      </c>
      <c r="L73" s="84">
        <f ca="1">IF(ISNUMBER(WOW_DD[[#This Row],[Ext Regression %]]),WOW_DD[[#This Row],[Ext Regression %]],IF(ISBLANK(WOW_DD[[#This Row],[Ext Regression %]]),OFFSET(WOW_DD[[#This Row],[Ext Reg]],-1,0),0))</f>
        <v>9.5670394897460937</v>
      </c>
      <c r="M73" s="84">
        <f ca="1">IF(ISNUMBER(WOW_DD[[#This Row],[Core Regression %]]),WOW_DD[[#This Row],[Core Regression %]],IF(ISBLANK(WOW_DD[[#This Row],[Core Regression %]]),OFFSET(WOW_DD[[#This Row],[Core Reg]],-1,0),0))</f>
        <v>12.440757751464844</v>
      </c>
      <c r="N73" s="84">
        <f>WOW_DD[[#This Row],[Core]]/SUM(WOW_DD[[#This Row],[Ext]],WOW_DD[[#This Row],[Core]])</f>
        <v>0.35697238322536651</v>
      </c>
    </row>
    <row r="74" spans="1:14">
      <c r="A74" s="83">
        <v>41764.564192592588</v>
      </c>
      <c r="B74" s="84">
        <v>2822</v>
      </c>
      <c r="C74" s="84">
        <v>0.51771795749664307</v>
      </c>
      <c r="D74" s="84">
        <v>9.7193698883056641</v>
      </c>
      <c r="E74" s="84">
        <v>12.52900218963623</v>
      </c>
      <c r="F74" s="84">
        <v>1922</v>
      </c>
      <c r="G74" s="84"/>
      <c r="H74" s="84">
        <v>1067</v>
      </c>
      <c r="I74" s="85">
        <f t="shared" si="2"/>
        <v>192014</v>
      </c>
      <c r="J74" s="85">
        <f>WOW_DD[[#This Row],[Cumulative done story points]]</f>
        <v>2822</v>
      </c>
      <c r="K74" s="85">
        <f>IF(WOW_DD[[#This Row],[Cumulative done story points]]=0,0,WOW_DD[[#This Row],[Defect Density]])</f>
        <v>0.51771795749664307</v>
      </c>
      <c r="L74" s="84">
        <f ca="1">IF(ISNUMBER(WOW_DD[[#This Row],[Ext Regression %]]),WOW_DD[[#This Row],[Ext Regression %]],IF(ISBLANK(WOW_DD[[#This Row],[Ext Regression %]]),OFFSET(WOW_DD[[#This Row],[Ext Reg]],-1,0),0))</f>
        <v>9.7193698883056641</v>
      </c>
      <c r="M74" s="84">
        <f ca="1">IF(ISNUMBER(WOW_DD[[#This Row],[Core Regression %]]),WOW_DD[[#This Row],[Core Regression %]],IF(ISBLANK(WOW_DD[[#This Row],[Core Regression %]]),OFFSET(WOW_DD[[#This Row],[Core Reg]],-1,0),0))</f>
        <v>12.52900218963623</v>
      </c>
      <c r="N74" s="84">
        <f>WOW_DD[[#This Row],[Core]]/SUM(WOW_DD[[#This Row],[Ext]],WOW_DD[[#This Row],[Core]])</f>
        <v>0.35697557711609235</v>
      </c>
    </row>
    <row r="75" spans="1:14">
      <c r="A75" s="83">
        <v>41771.564192592588</v>
      </c>
      <c r="B75" s="84">
        <v>2822</v>
      </c>
      <c r="C75" s="84">
        <v>0.52834868431091309</v>
      </c>
      <c r="D75" s="84">
        <v>10.060362815856934</v>
      </c>
      <c r="E75" s="84">
        <v>12.585033416748047</v>
      </c>
      <c r="F75" s="84">
        <v>1960</v>
      </c>
      <c r="G75" s="84"/>
      <c r="H75" s="84">
        <v>1088</v>
      </c>
      <c r="I75" s="85">
        <f t="shared" si="2"/>
        <v>202014</v>
      </c>
      <c r="J75" s="85">
        <f>WOW_DD[[#This Row],[Cumulative done story points]]</f>
        <v>2822</v>
      </c>
      <c r="K75" s="85">
        <f>IF(WOW_DD[[#This Row],[Cumulative done story points]]=0,0,WOW_DD[[#This Row],[Defect Density]])</f>
        <v>0.52834868431091309</v>
      </c>
      <c r="L75" s="84">
        <f ca="1">IF(ISNUMBER(WOW_DD[[#This Row],[Ext Regression %]]),WOW_DD[[#This Row],[Ext Regression %]],IF(ISBLANK(WOW_DD[[#This Row],[Ext Regression %]]),OFFSET(WOW_DD[[#This Row],[Ext Reg]],-1,0),0))</f>
        <v>10.060362815856934</v>
      </c>
      <c r="M75" s="84">
        <f ca="1">IF(ISNUMBER(WOW_DD[[#This Row],[Core Regression %]]),WOW_DD[[#This Row],[Core Regression %]],IF(ISBLANK(WOW_DD[[#This Row],[Core Regression %]]),OFFSET(WOW_DD[[#This Row],[Core Reg]],-1,0),0))</f>
        <v>12.585033416748047</v>
      </c>
      <c r="N75" s="84">
        <f>WOW_DD[[#This Row],[Core]]/SUM(WOW_DD[[#This Row],[Ext]],WOW_DD[[#This Row],[Core]])</f>
        <v>0.35695538057742782</v>
      </c>
    </row>
    <row r="76" spans="1:14">
      <c r="A76" s="83">
        <v>41778.564192592588</v>
      </c>
      <c r="B76" s="84">
        <v>2822</v>
      </c>
      <c r="C76" s="84">
        <v>0.53472715616226196</v>
      </c>
      <c r="D76" s="84">
        <v>10.536779403686523</v>
      </c>
      <c r="E76" s="84">
        <v>12.696629524230957</v>
      </c>
      <c r="F76" s="84">
        <v>1989</v>
      </c>
      <c r="G76" s="84"/>
      <c r="H76" s="84">
        <v>1100</v>
      </c>
      <c r="I76" s="85">
        <f t="shared" si="2"/>
        <v>212014</v>
      </c>
      <c r="J76" s="85">
        <f>WOW_DD[[#This Row],[Cumulative done story points]]</f>
        <v>2822</v>
      </c>
      <c r="K76" s="85">
        <f>IF(WOW_DD[[#This Row],[Cumulative done story points]]=0,0,WOW_DD[[#This Row],[Defect Density]])</f>
        <v>0.53472715616226196</v>
      </c>
      <c r="L76" s="84">
        <f ca="1">IF(ISNUMBER(WOW_DD[[#This Row],[Ext Regression %]]),WOW_DD[[#This Row],[Ext Regression %]],IF(ISBLANK(WOW_DD[[#This Row],[Ext Regression %]]),OFFSET(WOW_DD[[#This Row],[Ext Reg]],-1,0),0))</f>
        <v>10.536779403686523</v>
      </c>
      <c r="M76" s="84">
        <f ca="1">IF(ISNUMBER(WOW_DD[[#This Row],[Core Regression %]]),WOW_DD[[#This Row],[Core Regression %]],IF(ISBLANK(WOW_DD[[#This Row],[Core Regression %]]),OFFSET(WOW_DD[[#This Row],[Core Reg]],-1,0),0))</f>
        <v>12.696629524230957</v>
      </c>
      <c r="N76" s="84">
        <f>WOW_DD[[#This Row],[Core]]/SUM(WOW_DD[[#This Row],[Ext]],WOW_DD[[#This Row],[Core]])</f>
        <v>0.35610229847847202</v>
      </c>
    </row>
    <row r="77" spans="1:14">
      <c r="A77" s="83">
        <v>41785.564192592588</v>
      </c>
      <c r="B77" s="84">
        <v>2822</v>
      </c>
      <c r="C77" s="84">
        <v>0.54394048452377319</v>
      </c>
      <c r="D77" s="84">
        <v>11.14006519317627</v>
      </c>
      <c r="E77" s="84">
        <v>13.259668350219727</v>
      </c>
      <c r="F77" s="84">
        <v>2027</v>
      </c>
      <c r="G77" s="84"/>
      <c r="H77" s="84">
        <v>1116</v>
      </c>
      <c r="I77" s="85">
        <f t="shared" si="2"/>
        <v>222014</v>
      </c>
      <c r="J77" s="85">
        <f>WOW_DD[[#This Row],[Cumulative done story points]]</f>
        <v>2822</v>
      </c>
      <c r="K77" s="85">
        <f>IF(WOW_DD[[#This Row],[Cumulative done story points]]=0,0,WOW_DD[[#This Row],[Defect Density]])</f>
        <v>0.54394048452377319</v>
      </c>
      <c r="L77" s="84">
        <f ca="1">IF(ISNUMBER(WOW_DD[[#This Row],[Ext Regression %]]),WOW_DD[[#This Row],[Ext Regression %]],IF(ISBLANK(WOW_DD[[#This Row],[Ext Regression %]]),OFFSET(WOW_DD[[#This Row],[Ext Reg]],-1,0),0))</f>
        <v>11.14006519317627</v>
      </c>
      <c r="M77" s="84">
        <f ca="1">IF(ISNUMBER(WOW_DD[[#This Row],[Core Regression %]]),WOW_DD[[#This Row],[Core Regression %]],IF(ISBLANK(WOW_DD[[#This Row],[Core Regression %]]),OFFSET(WOW_DD[[#This Row],[Core Reg]],-1,0),0))</f>
        <v>13.259668350219727</v>
      </c>
      <c r="N77" s="84">
        <f>WOW_DD[[#This Row],[Core]]/SUM(WOW_DD[[#This Row],[Ext]],WOW_DD[[#This Row],[Core]])</f>
        <v>0.35507476932866688</v>
      </c>
    </row>
    <row r="78" spans="1:14">
      <c r="A78" s="83">
        <v>41792.564192592588</v>
      </c>
      <c r="B78" s="84">
        <v>2822</v>
      </c>
      <c r="C78" s="84">
        <v>0.5499645471572876</v>
      </c>
      <c r="D78" s="84">
        <v>11.340206146240234</v>
      </c>
      <c r="E78" s="84">
        <v>13.427947044372559</v>
      </c>
      <c r="F78" s="84">
        <v>2051</v>
      </c>
      <c r="G78" s="84"/>
      <c r="H78" s="84">
        <v>1127</v>
      </c>
      <c r="I78" s="85">
        <f t="shared" si="2"/>
        <v>232014</v>
      </c>
      <c r="J78" s="85">
        <f>WOW_DD[[#This Row],[Cumulative done story points]]</f>
        <v>2822</v>
      </c>
      <c r="K78" s="85">
        <f>IF(WOW_DD[[#This Row],[Cumulative done story points]]=0,0,WOW_DD[[#This Row],[Defect Density]])</f>
        <v>0.5499645471572876</v>
      </c>
      <c r="L78" s="84">
        <f ca="1">IF(ISNUMBER(WOW_DD[[#This Row],[Ext Regression %]]),WOW_DD[[#This Row],[Ext Regression %]],IF(ISBLANK(WOW_DD[[#This Row],[Ext Regression %]]),OFFSET(WOW_DD[[#This Row],[Ext Reg]],-1,0),0))</f>
        <v>11.340206146240234</v>
      </c>
      <c r="M78" s="84">
        <f ca="1">IF(ISNUMBER(WOW_DD[[#This Row],[Core Regression %]]),WOW_DD[[#This Row],[Core Regression %]],IF(ISBLANK(WOW_DD[[#This Row],[Core Regression %]]),OFFSET(WOW_DD[[#This Row],[Core Reg]],-1,0),0))</f>
        <v>13.427947044372559</v>
      </c>
      <c r="N78" s="84">
        <f>WOW_DD[[#This Row],[Core]]/SUM(WOW_DD[[#This Row],[Ext]],WOW_DD[[#This Row],[Core]])</f>
        <v>0.35462555066079293</v>
      </c>
    </row>
    <row r="79" spans="1:14">
      <c r="A79" s="83">
        <v>41799.564192592588</v>
      </c>
      <c r="B79" s="84">
        <v>2822</v>
      </c>
      <c r="C79" s="84">
        <v>0.55917787551879883</v>
      </c>
      <c r="D79" s="84">
        <v>11.343472480773926</v>
      </c>
      <c r="E79" s="84">
        <v>13.818565368652344</v>
      </c>
      <c r="F79" s="84">
        <v>2091</v>
      </c>
      <c r="G79" s="84"/>
      <c r="H79" s="84">
        <v>1161</v>
      </c>
      <c r="I79" s="85">
        <f t="shared" si="2"/>
        <v>242014</v>
      </c>
      <c r="J79" s="85">
        <f>WOW_DD[[#This Row],[Cumulative done story points]]</f>
        <v>2822</v>
      </c>
      <c r="K79" s="85">
        <f>IF(WOW_DD[[#This Row],[Cumulative done story points]]=0,0,WOW_DD[[#This Row],[Defect Density]])</f>
        <v>0.55917787551879883</v>
      </c>
      <c r="L79" s="84">
        <f ca="1">IF(ISNUMBER(WOW_DD[[#This Row],[Ext Regression %]]),WOW_DD[[#This Row],[Ext Regression %]],IF(ISBLANK(WOW_DD[[#This Row],[Ext Regression %]]),OFFSET(WOW_DD[[#This Row],[Ext Reg]],-1,0),0))</f>
        <v>11.343472480773926</v>
      </c>
      <c r="M79" s="84">
        <f ca="1">IF(ISNUMBER(WOW_DD[[#This Row],[Core Regression %]]),WOW_DD[[#This Row],[Core Regression %]],IF(ISBLANK(WOW_DD[[#This Row],[Core Regression %]]),OFFSET(WOW_DD[[#This Row],[Core Reg]],-1,0),0))</f>
        <v>13.818565368652344</v>
      </c>
      <c r="N79" s="84">
        <f>WOW_DD[[#This Row],[Core]]/SUM(WOW_DD[[#This Row],[Ext]],WOW_DD[[#This Row],[Core]])</f>
        <v>0.3570110701107011</v>
      </c>
    </row>
    <row r="80" spans="1:14">
      <c r="A80" s="83">
        <v>41806.564192592588</v>
      </c>
      <c r="B80" s="84">
        <v>2822</v>
      </c>
      <c r="C80" s="84">
        <v>0.57051736116409302</v>
      </c>
      <c r="D80" s="84">
        <v>12.236024856567383</v>
      </c>
      <c r="E80" s="84">
        <v>14.181439399719238</v>
      </c>
      <c r="F80" s="84">
        <v>2132</v>
      </c>
      <c r="G80" s="84"/>
      <c r="H80" s="84">
        <v>1174</v>
      </c>
      <c r="I80" s="85">
        <f t="shared" si="2"/>
        <v>252014</v>
      </c>
      <c r="J80" s="85">
        <f>WOW_DD[[#This Row],[Cumulative done story points]]</f>
        <v>2822</v>
      </c>
      <c r="K80" s="85">
        <f>IF(WOW_DD[[#This Row],[Cumulative done story points]]=0,0,WOW_DD[[#This Row],[Defect Density]])</f>
        <v>0.57051736116409302</v>
      </c>
      <c r="L80" s="84">
        <f ca="1">IF(ISNUMBER(WOW_DD[[#This Row],[Ext Regression %]]),WOW_DD[[#This Row],[Ext Regression %]],IF(ISBLANK(WOW_DD[[#This Row],[Ext Regression %]]),OFFSET(WOW_DD[[#This Row],[Ext Reg]],-1,0),0))</f>
        <v>12.236024856567383</v>
      </c>
      <c r="M80" s="84">
        <f ca="1">IF(ISNUMBER(WOW_DD[[#This Row],[Core Regression %]]),WOW_DD[[#This Row],[Core Regression %]],IF(ISBLANK(WOW_DD[[#This Row],[Core Regression %]]),OFFSET(WOW_DD[[#This Row],[Core Reg]],-1,0),0))</f>
        <v>14.181439399719238</v>
      </c>
      <c r="N80" s="84">
        <f>WOW_DD[[#This Row],[Core]]/SUM(WOW_DD[[#This Row],[Ext]],WOW_DD[[#This Row],[Core]])</f>
        <v>0.35511191772534784</v>
      </c>
    </row>
    <row r="81" spans="1:14">
      <c r="A81" s="83">
        <v>41813.564192592588</v>
      </c>
      <c r="B81" s="84">
        <v>2822</v>
      </c>
      <c r="C81" s="84">
        <v>0.57725018262863159</v>
      </c>
      <c r="D81" s="84">
        <v>12.277470588684082</v>
      </c>
      <c r="E81" s="84">
        <v>14.211618423461914</v>
      </c>
      <c r="F81" s="84">
        <v>2157</v>
      </c>
      <c r="G81" s="84"/>
      <c r="H81" s="84">
        <v>1180</v>
      </c>
      <c r="I81" s="85">
        <f t="shared" si="2"/>
        <v>262014</v>
      </c>
      <c r="J81" s="85">
        <f>WOW_DD[[#This Row],[Cumulative done story points]]</f>
        <v>2822</v>
      </c>
      <c r="K81" s="85">
        <f>IF(WOW_DD[[#This Row],[Cumulative done story points]]=0,0,WOW_DD[[#This Row],[Defect Density]])</f>
        <v>0.57725018262863159</v>
      </c>
      <c r="L81" s="84">
        <f ca="1">IF(ISNUMBER(WOW_DD[[#This Row],[Ext Regression %]]),WOW_DD[[#This Row],[Ext Regression %]],IF(ISBLANK(WOW_DD[[#This Row],[Ext Regression %]]),OFFSET(WOW_DD[[#This Row],[Ext Reg]],-1,0),0))</f>
        <v>12.277470588684082</v>
      </c>
      <c r="M81" s="84">
        <f ca="1">IF(ISNUMBER(WOW_DD[[#This Row],[Core Regression %]]),WOW_DD[[#This Row],[Core Regression %]],IF(ISBLANK(WOW_DD[[#This Row],[Core Regression %]]),OFFSET(WOW_DD[[#This Row],[Core Reg]],-1,0),0))</f>
        <v>14.211618423461914</v>
      </c>
      <c r="N81" s="84">
        <f>WOW_DD[[#This Row],[Core]]/SUM(WOW_DD[[#This Row],[Ext]],WOW_DD[[#This Row],[Core]])</f>
        <v>0.35361102786934373</v>
      </c>
    </row>
    <row r="82" spans="1:14">
      <c r="A82" s="83">
        <v>41820.564192592588</v>
      </c>
      <c r="B82" s="84">
        <v>2822</v>
      </c>
      <c r="C82" s="84">
        <v>0.59000706672668457</v>
      </c>
      <c r="D82" s="84">
        <v>12.372372627258301</v>
      </c>
      <c r="E82" s="84">
        <v>14.169214248657227</v>
      </c>
      <c r="F82" s="84">
        <v>2210</v>
      </c>
      <c r="G82" s="84"/>
      <c r="H82" s="84">
        <v>1198</v>
      </c>
      <c r="I82" s="85">
        <f t="shared" si="2"/>
        <v>272014</v>
      </c>
      <c r="J82" s="85">
        <f>WOW_DD[[#This Row],[Cumulative done story points]]</f>
        <v>2822</v>
      </c>
      <c r="K82" s="85">
        <f>IF(WOW_DD[[#This Row],[Cumulative done story points]]=0,0,WOW_DD[[#This Row],[Defect Density]])</f>
        <v>0.59000706672668457</v>
      </c>
      <c r="L82" s="84">
        <f ca="1">IF(ISNUMBER(WOW_DD[[#This Row],[Ext Regression %]]),WOW_DD[[#This Row],[Ext Regression %]],IF(ISBLANK(WOW_DD[[#This Row],[Ext Regression %]]),OFFSET(WOW_DD[[#This Row],[Ext Reg]],-1,0),0))</f>
        <v>12.372372627258301</v>
      </c>
      <c r="M82" s="84">
        <f ca="1">IF(ISNUMBER(WOW_DD[[#This Row],[Core Regression %]]),WOW_DD[[#This Row],[Core Regression %]],IF(ISBLANK(WOW_DD[[#This Row],[Core Regression %]]),OFFSET(WOW_DD[[#This Row],[Core Reg]],-1,0),0))</f>
        <v>14.169214248657227</v>
      </c>
      <c r="N82" s="84">
        <f>WOW_DD[[#This Row],[Core]]/SUM(WOW_DD[[#This Row],[Ext]],WOW_DD[[#This Row],[Core]])</f>
        <v>0.35152582159624413</v>
      </c>
    </row>
    <row r="83" spans="1:14">
      <c r="A83" s="83">
        <v>41827.564192592588</v>
      </c>
      <c r="B83" s="84">
        <v>2822</v>
      </c>
      <c r="C83" s="84">
        <v>0.59425938129425049</v>
      </c>
      <c r="D83" s="84">
        <v>12.343470573425293</v>
      </c>
      <c r="E83" s="84">
        <v>14.126016616821289</v>
      </c>
      <c r="F83" s="84">
        <v>2222</v>
      </c>
      <c r="G83" s="84"/>
      <c r="H83" s="84">
        <v>1201</v>
      </c>
      <c r="I83" s="85">
        <f t="shared" si="2"/>
        <v>282014</v>
      </c>
      <c r="J83" s="85">
        <f>WOW_DD[[#This Row],[Cumulative done story points]]</f>
        <v>2822</v>
      </c>
      <c r="K83" s="85">
        <f>IF(WOW_DD[[#This Row],[Cumulative done story points]]=0,0,WOW_DD[[#This Row],[Defect Density]])</f>
        <v>0.59425938129425049</v>
      </c>
      <c r="L83" s="84">
        <f ca="1">IF(ISNUMBER(WOW_DD[[#This Row],[Ext Regression %]]),WOW_DD[[#This Row],[Ext Regression %]],IF(ISBLANK(WOW_DD[[#This Row],[Ext Regression %]]),OFFSET(WOW_DD[[#This Row],[Ext Reg]],-1,0),0))</f>
        <v>12.343470573425293</v>
      </c>
      <c r="M83" s="84">
        <f ca="1">IF(ISNUMBER(WOW_DD[[#This Row],[Core Regression %]]),WOW_DD[[#This Row],[Core Regression %]],IF(ISBLANK(WOW_DD[[#This Row],[Core Regression %]]),OFFSET(WOW_DD[[#This Row],[Core Reg]],-1,0),0))</f>
        <v>14.126016616821289</v>
      </c>
      <c r="N83" s="84">
        <f>WOW_DD[[#This Row],[Core]]/SUM(WOW_DD[[#This Row],[Ext]],WOW_DD[[#This Row],[Core]])</f>
        <v>0.35086181711948583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27"/>
  <sheetViews>
    <sheetView zoomScale="80" zoomScaleNormal="80" workbookViewId="0"/>
  </sheetViews>
  <sheetFormatPr defaultRowHeight="15"/>
  <cols>
    <col min="1" max="1" width="15.5703125" customWidth="1"/>
    <col min="2" max="2" width="29.42578125" customWidth="1"/>
    <col min="3" max="3" width="25.28515625" bestFit="1" customWidth="1"/>
    <col min="4" max="5" width="25.28515625" customWidth="1"/>
    <col min="9" max="9" width="13.28515625" bestFit="1" customWidth="1"/>
    <col min="10" max="10" width="10.7109375" bestFit="1" customWidth="1"/>
    <col min="12" max="12" width="10.7109375" bestFit="1" customWidth="1"/>
  </cols>
  <sheetData>
    <row r="1" spans="1:14">
      <c r="A1" s="49" t="s">
        <v>33</v>
      </c>
      <c r="B1" s="49" t="s">
        <v>32</v>
      </c>
      <c r="C1" s="49" t="s">
        <v>31</v>
      </c>
      <c r="D1" s="49" t="s">
        <v>48</v>
      </c>
      <c r="E1" s="49" t="s">
        <v>49</v>
      </c>
      <c r="F1" s="55" t="s">
        <v>78</v>
      </c>
      <c r="G1" s="52" t="s">
        <v>81</v>
      </c>
      <c r="H1" s="55" t="s">
        <v>79</v>
      </c>
      <c r="I1" s="52" t="s">
        <v>16</v>
      </c>
      <c r="J1" s="52" t="s">
        <v>30</v>
      </c>
      <c r="K1" s="52" t="s">
        <v>29</v>
      </c>
      <c r="L1" s="52" t="s">
        <v>50</v>
      </c>
      <c r="M1" s="52" t="s">
        <v>51</v>
      </c>
      <c r="N1" s="55" t="s">
        <v>80</v>
      </c>
    </row>
    <row r="2" spans="1:14">
      <c r="A2" s="50">
        <v>41030.532207789351</v>
      </c>
      <c r="B2" s="49">
        <v>0</v>
      </c>
      <c r="C2" s="49">
        <v>100</v>
      </c>
      <c r="D2" s="49">
        <v>0</v>
      </c>
      <c r="E2" s="49" t="e">
        <v>#NUM!</v>
      </c>
      <c r="F2" s="55">
        <v>3</v>
      </c>
      <c r="G2" s="55"/>
      <c r="H2" s="55">
        <v>0</v>
      </c>
      <c r="I2" s="48">
        <f t="shared" ref="I2:I34" si="0">VALUE(WEEKNUM(A2*1)&amp;YEAR(A2*1))</f>
        <v>182012</v>
      </c>
      <c r="J2" s="48">
        <f>SSL_DD[[#This Row],[Cumulative done story points]]</f>
        <v>0</v>
      </c>
      <c r="K2" s="48">
        <f>IF(SSL_DD[[#This Row],[Cumulative done story points]]=0,0,SSL_DD[[#This Row],[Defect Density]])</f>
        <v>0</v>
      </c>
      <c r="L2" s="56">
        <f ca="1">IF(ISNUMBER(SSL_DD[[#This Row],[Ext Regression %]]),SSL_DD[[#This Row],[Ext Regression %]],IF(ISBLANK(SSL_DD[[#This Row],[Ext Regression %]]),OFFSET(SSL_DD[[#This Row],[Ext Reg]],-1,0),0))</f>
        <v>0</v>
      </c>
      <c r="M2" s="56">
        <f ca="1">IF(ISNUMBER(SSL_DD[[#This Row],[Core Regression %]]),SSL_DD[[#This Row],[Core Regression %]],IF(ISBLANK(SSL_DD[[#This Row],[Core Regression %]]),OFFSET(SSL_DD[[#This Row],[Core Reg]],-1,0),0))</f>
        <v>0</v>
      </c>
      <c r="N2" s="65">
        <f>SSL_DD[[#This Row],[Core]]/SUM(SSL_DD[[#This Row],[Ext]],SSL_DD[[#This Row],[Core]])</f>
        <v>0</v>
      </c>
    </row>
    <row r="3" spans="1:14">
      <c r="A3" s="50">
        <v>41037.532207789351</v>
      </c>
      <c r="B3" s="49">
        <v>0</v>
      </c>
      <c r="C3" s="49">
        <v>100</v>
      </c>
      <c r="D3" s="49">
        <v>0</v>
      </c>
      <c r="E3" s="49">
        <v>0</v>
      </c>
      <c r="F3" s="55">
        <v>13</v>
      </c>
      <c r="G3" s="55"/>
      <c r="H3" s="55">
        <v>2</v>
      </c>
      <c r="I3" s="48">
        <f t="shared" si="0"/>
        <v>192012</v>
      </c>
      <c r="J3" s="48">
        <f>SSL_DD[[#This Row],[Cumulative done story points]]</f>
        <v>0</v>
      </c>
      <c r="K3" s="48">
        <f>IF(SSL_DD[[#This Row],[Cumulative done story points]]=0,0,SSL_DD[[#This Row],[Defect Density]])</f>
        <v>0</v>
      </c>
      <c r="L3" s="56">
        <f ca="1">IF(ISNUMBER(SSL_DD[[#This Row],[Ext Regression %]]),SSL_DD[[#This Row],[Ext Regression %]],IF(ISBLANK(SSL_DD[[#This Row],[Ext Regression %]]),OFFSET(SSL_DD[[#This Row],[Ext Reg]],-1,0),0))</f>
        <v>0</v>
      </c>
      <c r="M3" s="56">
        <f ca="1">IF(ISNUMBER(SSL_DD[[#This Row],[Core Regression %]]),SSL_DD[[#This Row],[Core Regression %]],IF(ISBLANK(SSL_DD[[#This Row],[Core Regression %]]),OFFSET(SSL_DD[[#This Row],[Core Reg]],-1,0),0))</f>
        <v>0</v>
      </c>
      <c r="N3" s="65">
        <f>SSL_DD[[#This Row],[Core]]/SUM(SSL_DD[[#This Row],[Ext]],SSL_DD[[#This Row],[Core]])</f>
        <v>0.13333333333333333</v>
      </c>
    </row>
    <row r="4" spans="1:14">
      <c r="A4" s="50">
        <v>41044.532207789351</v>
      </c>
      <c r="B4" s="49">
        <v>0</v>
      </c>
      <c r="C4" s="49">
        <v>100</v>
      </c>
      <c r="D4" s="49">
        <v>6.25</v>
      </c>
      <c r="E4" s="49">
        <v>30.000001907348633</v>
      </c>
      <c r="F4" s="55">
        <v>19</v>
      </c>
      <c r="G4" s="55"/>
      <c r="H4" s="55">
        <v>11</v>
      </c>
      <c r="I4" s="48">
        <f t="shared" si="0"/>
        <v>202012</v>
      </c>
      <c r="J4" s="48">
        <f>SSL_DD[[#This Row],[Cumulative done story points]]</f>
        <v>0</v>
      </c>
      <c r="K4" s="48">
        <f>IF(SSL_DD[[#This Row],[Cumulative done story points]]=0,0,SSL_DD[[#This Row],[Defect Density]])</f>
        <v>0</v>
      </c>
      <c r="L4" s="56">
        <f ca="1">IF(ISNUMBER(SSL_DD[[#This Row],[Ext Regression %]]),SSL_DD[[#This Row],[Ext Regression %]],IF(ISBLANK(SSL_DD[[#This Row],[Ext Regression %]]),OFFSET(SSL_DD[[#This Row],[Ext Reg]],-1,0),0))</f>
        <v>6.25</v>
      </c>
      <c r="M4" s="56">
        <f ca="1">IF(ISNUMBER(SSL_DD[[#This Row],[Core Regression %]]),SSL_DD[[#This Row],[Core Regression %]],IF(ISBLANK(SSL_DD[[#This Row],[Core Regression %]]),OFFSET(SSL_DD[[#This Row],[Core Reg]],-1,0),0))</f>
        <v>30.000001907348633</v>
      </c>
      <c r="N4" s="65">
        <f>SSL_DD[[#This Row],[Core]]/SUM(SSL_DD[[#This Row],[Ext]],SSL_DD[[#This Row],[Core]])</f>
        <v>0.36666666666666664</v>
      </c>
    </row>
    <row r="5" spans="1:14">
      <c r="A5" s="50">
        <v>41051.532207789351</v>
      </c>
      <c r="B5" s="49">
        <v>0</v>
      </c>
      <c r="C5" s="49">
        <v>100</v>
      </c>
      <c r="D5" s="49">
        <v>10</v>
      </c>
      <c r="E5" s="49">
        <v>33.333335876464844</v>
      </c>
      <c r="F5" s="55">
        <v>23</v>
      </c>
      <c r="G5" s="55"/>
      <c r="H5" s="55">
        <v>15</v>
      </c>
      <c r="I5" s="48">
        <f t="shared" si="0"/>
        <v>212012</v>
      </c>
      <c r="J5" s="48">
        <f>SSL_DD[[#This Row],[Cumulative done story points]]</f>
        <v>0</v>
      </c>
      <c r="K5" s="48">
        <f>IF(SSL_DD[[#This Row],[Cumulative done story points]]=0,0,SSL_DD[[#This Row],[Defect Density]])</f>
        <v>0</v>
      </c>
      <c r="L5" s="56">
        <f ca="1">IF(ISNUMBER(SSL_DD[[#This Row],[Ext Regression %]]),SSL_DD[[#This Row],[Ext Regression %]],IF(ISBLANK(SSL_DD[[#This Row],[Ext Regression %]]),OFFSET(SSL_DD[[#This Row],[Ext Reg]],-1,0),0))</f>
        <v>10</v>
      </c>
      <c r="M5" s="56">
        <f ca="1">IF(ISNUMBER(SSL_DD[[#This Row],[Core Regression %]]),SSL_DD[[#This Row],[Core Regression %]],IF(ISBLANK(SSL_DD[[#This Row],[Core Regression %]]),OFFSET(SSL_DD[[#This Row],[Core Reg]],-1,0),0))</f>
        <v>33.333335876464844</v>
      </c>
      <c r="N5" s="65">
        <f>SSL_DD[[#This Row],[Core]]/SUM(SSL_DD[[#This Row],[Ext]],SSL_DD[[#This Row],[Core]])</f>
        <v>0.39473684210526316</v>
      </c>
    </row>
    <row r="6" spans="1:14">
      <c r="A6" s="50">
        <v>41058.532207789351</v>
      </c>
      <c r="B6" s="49">
        <v>0</v>
      </c>
      <c r="C6" s="49">
        <v>100</v>
      </c>
      <c r="D6" s="49">
        <v>8.3333339691162109</v>
      </c>
      <c r="E6" s="49">
        <v>33.333335876464844</v>
      </c>
      <c r="F6" s="55">
        <v>27</v>
      </c>
      <c r="G6" s="55"/>
      <c r="H6" s="55">
        <v>16</v>
      </c>
      <c r="I6" s="48">
        <f t="shared" si="0"/>
        <v>222012</v>
      </c>
      <c r="J6" s="48">
        <f>SSL_DD[[#This Row],[Cumulative done story points]]</f>
        <v>0</v>
      </c>
      <c r="K6" s="48">
        <f>IF(SSL_DD[[#This Row],[Cumulative done story points]]=0,0,SSL_DD[[#This Row],[Defect Density]])</f>
        <v>0</v>
      </c>
      <c r="L6" s="56">
        <f ca="1">IF(ISNUMBER(SSL_DD[[#This Row],[Ext Regression %]]),SSL_DD[[#This Row],[Ext Regression %]],IF(ISBLANK(SSL_DD[[#This Row],[Ext Regression %]]),OFFSET(SSL_DD[[#This Row],[Ext Reg]],-1,0),0))</f>
        <v>8.3333339691162109</v>
      </c>
      <c r="M6" s="56">
        <f ca="1">IF(ISNUMBER(SSL_DD[[#This Row],[Core Regression %]]),SSL_DD[[#This Row],[Core Regression %]],IF(ISBLANK(SSL_DD[[#This Row],[Core Regression %]]),OFFSET(SSL_DD[[#This Row],[Core Reg]],-1,0),0))</f>
        <v>33.333335876464844</v>
      </c>
      <c r="N6" s="65">
        <f>SSL_DD[[#This Row],[Core]]/SUM(SSL_DD[[#This Row],[Ext]],SSL_DD[[#This Row],[Core]])</f>
        <v>0.37209302325581395</v>
      </c>
    </row>
    <row r="7" spans="1:14">
      <c r="A7" s="50">
        <v>41065.532207789351</v>
      </c>
      <c r="B7" s="49">
        <v>0</v>
      </c>
      <c r="C7" s="49">
        <v>100</v>
      </c>
      <c r="D7" s="49">
        <v>8.3333339691162109</v>
      </c>
      <c r="E7" s="49">
        <v>30.769231796264648</v>
      </c>
      <c r="F7" s="55">
        <v>27</v>
      </c>
      <c r="G7" s="55"/>
      <c r="H7" s="55">
        <v>17</v>
      </c>
      <c r="I7" s="48">
        <f t="shared" si="0"/>
        <v>232012</v>
      </c>
      <c r="J7" s="48">
        <f>SSL_DD[[#This Row],[Cumulative done story points]]</f>
        <v>0</v>
      </c>
      <c r="K7" s="48">
        <f>IF(SSL_DD[[#This Row],[Cumulative done story points]]=0,0,SSL_DD[[#This Row],[Defect Density]])</f>
        <v>0</v>
      </c>
      <c r="L7" s="56">
        <f ca="1">IF(ISNUMBER(SSL_DD[[#This Row],[Ext Regression %]]),SSL_DD[[#This Row],[Ext Regression %]],IF(ISBLANK(SSL_DD[[#This Row],[Ext Regression %]]),OFFSET(SSL_DD[[#This Row],[Ext Reg]],-1,0),0))</f>
        <v>8.3333339691162109</v>
      </c>
      <c r="M7" s="56">
        <f ca="1">IF(ISNUMBER(SSL_DD[[#This Row],[Core Regression %]]),SSL_DD[[#This Row],[Core Regression %]],IF(ISBLANK(SSL_DD[[#This Row],[Core Regression %]]),OFFSET(SSL_DD[[#This Row],[Core Reg]],-1,0),0))</f>
        <v>30.769231796264648</v>
      </c>
      <c r="N7" s="65">
        <f>SSL_DD[[#This Row],[Core]]/SUM(SSL_DD[[#This Row],[Ext]],SSL_DD[[#This Row],[Core]])</f>
        <v>0.38636363636363635</v>
      </c>
    </row>
    <row r="8" spans="1:14">
      <c r="A8" s="50">
        <v>41072.532207789351</v>
      </c>
      <c r="B8" s="49">
        <v>0</v>
      </c>
      <c r="C8" s="49">
        <v>100</v>
      </c>
      <c r="D8" s="49">
        <v>8.3333339691162109</v>
      </c>
      <c r="E8" s="49">
        <v>30.769231796264648</v>
      </c>
      <c r="F8" s="55">
        <v>27</v>
      </c>
      <c r="G8" s="55"/>
      <c r="H8" s="55">
        <v>17</v>
      </c>
      <c r="I8" s="48">
        <f t="shared" si="0"/>
        <v>242012</v>
      </c>
      <c r="J8" s="48">
        <f>SSL_DD[[#This Row],[Cumulative done story points]]</f>
        <v>0</v>
      </c>
      <c r="K8" s="48">
        <f>IF(SSL_DD[[#This Row],[Cumulative done story points]]=0,0,SSL_DD[[#This Row],[Defect Density]])</f>
        <v>0</v>
      </c>
      <c r="L8" s="56">
        <f ca="1">IF(ISNUMBER(SSL_DD[[#This Row],[Ext Regression %]]),SSL_DD[[#This Row],[Ext Regression %]],IF(ISBLANK(SSL_DD[[#This Row],[Ext Regression %]]),OFFSET(SSL_DD[[#This Row],[Ext Reg]],-1,0),0))</f>
        <v>8.3333339691162109</v>
      </c>
      <c r="M8" s="56">
        <f ca="1">IF(ISNUMBER(SSL_DD[[#This Row],[Core Regression %]]),SSL_DD[[#This Row],[Core Regression %]],IF(ISBLANK(SSL_DD[[#This Row],[Core Regression %]]),OFFSET(SSL_DD[[#This Row],[Core Reg]],-1,0),0))</f>
        <v>30.769231796264648</v>
      </c>
      <c r="N8" s="65">
        <f>SSL_DD[[#This Row],[Core]]/SUM(SSL_DD[[#This Row],[Ext]],SSL_DD[[#This Row],[Core]])</f>
        <v>0.38636363636363635</v>
      </c>
    </row>
    <row r="9" spans="1:14">
      <c r="A9" s="50">
        <v>41079.532207789351</v>
      </c>
      <c r="B9" s="49">
        <v>0</v>
      </c>
      <c r="C9" s="49">
        <v>100</v>
      </c>
      <c r="D9" s="49">
        <v>8</v>
      </c>
      <c r="E9" s="49">
        <v>28.571430206298828</v>
      </c>
      <c r="F9" s="55">
        <v>28</v>
      </c>
      <c r="G9" s="55"/>
      <c r="H9" s="55">
        <v>18</v>
      </c>
      <c r="I9" s="48">
        <f t="shared" si="0"/>
        <v>252012</v>
      </c>
      <c r="J9" s="48">
        <f>SSL_DD[[#This Row],[Cumulative done story points]]</f>
        <v>0</v>
      </c>
      <c r="K9" s="48">
        <f>IF(SSL_DD[[#This Row],[Cumulative done story points]]=0,0,SSL_DD[[#This Row],[Defect Density]])</f>
        <v>0</v>
      </c>
      <c r="L9" s="56">
        <f ca="1">IF(ISNUMBER(SSL_DD[[#This Row],[Ext Regression %]]),SSL_DD[[#This Row],[Ext Regression %]],IF(ISBLANK(SSL_DD[[#This Row],[Ext Regression %]]),OFFSET(SSL_DD[[#This Row],[Ext Reg]],-1,0),0))</f>
        <v>8</v>
      </c>
      <c r="M9" s="56">
        <f ca="1">IF(ISNUMBER(SSL_DD[[#This Row],[Core Regression %]]),SSL_DD[[#This Row],[Core Regression %]],IF(ISBLANK(SSL_DD[[#This Row],[Core Regression %]]),OFFSET(SSL_DD[[#This Row],[Core Reg]],-1,0),0))</f>
        <v>28.571430206298828</v>
      </c>
      <c r="N9" s="65">
        <f>SSL_DD[[#This Row],[Core]]/SUM(SSL_DD[[#This Row],[Ext]],SSL_DD[[#This Row],[Core]])</f>
        <v>0.39130434782608697</v>
      </c>
    </row>
    <row r="10" spans="1:14">
      <c r="A10" s="50">
        <v>41086.532207789351</v>
      </c>
      <c r="B10" s="49">
        <v>0</v>
      </c>
      <c r="C10" s="49">
        <v>100</v>
      </c>
      <c r="D10" s="49">
        <v>8</v>
      </c>
      <c r="E10" s="49">
        <v>28.571430206298828</v>
      </c>
      <c r="F10" s="55">
        <v>28</v>
      </c>
      <c r="G10" s="55"/>
      <c r="H10" s="55">
        <v>18</v>
      </c>
      <c r="I10" s="48">
        <f t="shared" si="0"/>
        <v>262012</v>
      </c>
      <c r="J10" s="48">
        <f>SSL_DD[[#This Row],[Cumulative done story points]]</f>
        <v>0</v>
      </c>
      <c r="K10" s="48">
        <f>IF(SSL_DD[[#This Row],[Cumulative done story points]]=0,0,SSL_DD[[#This Row],[Defect Density]])</f>
        <v>0</v>
      </c>
      <c r="L10" s="56">
        <f ca="1">IF(ISNUMBER(SSL_DD[[#This Row],[Ext Regression %]]),SSL_DD[[#This Row],[Ext Regression %]],IF(ISBLANK(SSL_DD[[#This Row],[Ext Regression %]]),OFFSET(SSL_DD[[#This Row],[Ext Reg]],-1,0),0))</f>
        <v>8</v>
      </c>
      <c r="M10" s="56">
        <f ca="1">IF(ISNUMBER(SSL_DD[[#This Row],[Core Regression %]]),SSL_DD[[#This Row],[Core Regression %]],IF(ISBLANK(SSL_DD[[#This Row],[Core Regression %]]),OFFSET(SSL_DD[[#This Row],[Core Reg]],-1,0),0))</f>
        <v>28.571430206298828</v>
      </c>
      <c r="N10" s="65">
        <f>SSL_DD[[#This Row],[Core]]/SUM(SSL_DD[[#This Row],[Ext]],SSL_DD[[#This Row],[Core]])</f>
        <v>0.39130434782608697</v>
      </c>
    </row>
    <row r="11" spans="1:14">
      <c r="A11" s="50">
        <v>41093.532207789351</v>
      </c>
      <c r="B11" s="49">
        <v>0</v>
      </c>
      <c r="C11" s="49">
        <v>100</v>
      </c>
      <c r="D11" s="49">
        <v>10.344827651977539</v>
      </c>
      <c r="E11" s="49">
        <v>33.333335876464844</v>
      </c>
      <c r="F11" s="55">
        <v>32</v>
      </c>
      <c r="G11" s="55"/>
      <c r="H11" s="55">
        <v>19</v>
      </c>
      <c r="I11" s="48">
        <f t="shared" si="0"/>
        <v>272012</v>
      </c>
      <c r="J11" s="48">
        <f>SSL_DD[[#This Row],[Cumulative done story points]]</f>
        <v>0</v>
      </c>
      <c r="K11" s="48">
        <f>IF(SSL_DD[[#This Row],[Cumulative done story points]]=0,0,SSL_DD[[#This Row],[Defect Density]])</f>
        <v>0</v>
      </c>
      <c r="L11" s="56">
        <f ca="1">IF(ISNUMBER(SSL_DD[[#This Row],[Ext Regression %]]),SSL_DD[[#This Row],[Ext Regression %]],IF(ISBLANK(SSL_DD[[#This Row],[Ext Regression %]]),OFFSET(SSL_DD[[#This Row],[Ext Reg]],-1,0),0))</f>
        <v>10.344827651977539</v>
      </c>
      <c r="M11" s="56">
        <f ca="1">IF(ISNUMBER(SSL_DD[[#This Row],[Core Regression %]]),SSL_DD[[#This Row],[Core Regression %]],IF(ISBLANK(SSL_DD[[#This Row],[Core Regression %]]),OFFSET(SSL_DD[[#This Row],[Core Reg]],-1,0),0))</f>
        <v>33.333335876464844</v>
      </c>
      <c r="N11" s="65">
        <f>SSL_DD[[#This Row],[Core]]/SUM(SSL_DD[[#This Row],[Ext]],SSL_DD[[#This Row],[Core]])</f>
        <v>0.37254901960784315</v>
      </c>
    </row>
    <row r="12" spans="1:14">
      <c r="A12" s="50">
        <v>41100.532207789351</v>
      </c>
      <c r="B12" s="49">
        <v>0</v>
      </c>
      <c r="C12" s="49">
        <v>100</v>
      </c>
      <c r="D12" s="49">
        <v>15.789472579956055</v>
      </c>
      <c r="E12" s="49">
        <v>31.25</v>
      </c>
      <c r="F12" s="55">
        <v>55</v>
      </c>
      <c r="G12" s="55"/>
      <c r="H12" s="55">
        <v>20</v>
      </c>
      <c r="I12" s="48">
        <f t="shared" si="0"/>
        <v>282012</v>
      </c>
      <c r="J12" s="48">
        <f>SSL_DD[[#This Row],[Cumulative done story points]]</f>
        <v>0</v>
      </c>
      <c r="K12" s="48">
        <f>IF(SSL_DD[[#This Row],[Cumulative done story points]]=0,0,SSL_DD[[#This Row],[Defect Density]])</f>
        <v>0</v>
      </c>
      <c r="L12" s="56">
        <f ca="1">IF(ISNUMBER(SSL_DD[[#This Row],[Ext Regression %]]),SSL_DD[[#This Row],[Ext Regression %]],IF(ISBLANK(SSL_DD[[#This Row],[Ext Regression %]]),OFFSET(SSL_DD[[#This Row],[Ext Reg]],-1,0),0))</f>
        <v>15.789472579956055</v>
      </c>
      <c r="M12" s="56">
        <f ca="1">IF(ISNUMBER(SSL_DD[[#This Row],[Core Regression %]]),SSL_DD[[#This Row],[Core Regression %]],IF(ISBLANK(SSL_DD[[#This Row],[Core Regression %]]),OFFSET(SSL_DD[[#This Row],[Core Reg]],-1,0),0))</f>
        <v>31.25</v>
      </c>
      <c r="N12" s="65">
        <f>SSL_DD[[#This Row],[Core]]/SUM(SSL_DD[[#This Row],[Ext]],SSL_DD[[#This Row],[Core]])</f>
        <v>0.26666666666666666</v>
      </c>
    </row>
    <row r="13" spans="1:14">
      <c r="A13" s="50">
        <v>41107.532207789351</v>
      </c>
      <c r="B13" s="49">
        <v>0</v>
      </c>
      <c r="C13" s="49">
        <v>100</v>
      </c>
      <c r="D13" s="49">
        <v>15.789472579956055</v>
      </c>
      <c r="E13" s="49">
        <v>29.411766052246094</v>
      </c>
      <c r="F13" s="55">
        <v>62</v>
      </c>
      <c r="G13" s="55"/>
      <c r="H13" s="55">
        <v>21</v>
      </c>
      <c r="I13" s="48">
        <f t="shared" si="0"/>
        <v>292012</v>
      </c>
      <c r="J13" s="48">
        <f>SSL_DD[[#This Row],[Cumulative done story points]]</f>
        <v>0</v>
      </c>
      <c r="K13" s="48">
        <f>IF(SSL_DD[[#This Row],[Cumulative done story points]]=0,0,SSL_DD[[#This Row],[Defect Density]])</f>
        <v>0</v>
      </c>
      <c r="L13" s="56">
        <f ca="1">IF(ISNUMBER(SSL_DD[[#This Row],[Ext Regression %]]),SSL_DD[[#This Row],[Ext Regression %]],IF(ISBLANK(SSL_DD[[#This Row],[Ext Regression %]]),OFFSET(SSL_DD[[#This Row],[Ext Reg]],-1,0),0))</f>
        <v>15.789472579956055</v>
      </c>
      <c r="M13" s="56">
        <f ca="1">IF(ISNUMBER(SSL_DD[[#This Row],[Core Regression %]]),SSL_DD[[#This Row],[Core Regression %]],IF(ISBLANK(SSL_DD[[#This Row],[Core Regression %]]),OFFSET(SSL_DD[[#This Row],[Core Reg]],-1,0),0))</f>
        <v>29.411766052246094</v>
      </c>
      <c r="N13" s="65">
        <f>SSL_DD[[#This Row],[Core]]/SUM(SSL_DD[[#This Row],[Ext]],SSL_DD[[#This Row],[Core]])</f>
        <v>0.25301204819277107</v>
      </c>
    </row>
    <row r="14" spans="1:14">
      <c r="A14" s="50">
        <v>41114.532207789351</v>
      </c>
      <c r="B14" s="49">
        <v>0</v>
      </c>
      <c r="C14" s="49">
        <v>100</v>
      </c>
      <c r="D14" s="49">
        <v>15.384615898132324</v>
      </c>
      <c r="E14" s="49">
        <v>29.411766052246094</v>
      </c>
      <c r="F14" s="55">
        <v>77</v>
      </c>
      <c r="G14" s="55"/>
      <c r="H14" s="55">
        <v>21</v>
      </c>
      <c r="I14" s="48">
        <f t="shared" si="0"/>
        <v>302012</v>
      </c>
      <c r="J14" s="48">
        <f>SSL_DD[[#This Row],[Cumulative done story points]]</f>
        <v>0</v>
      </c>
      <c r="K14" s="48">
        <f>IF(SSL_DD[[#This Row],[Cumulative done story points]]=0,0,SSL_DD[[#This Row],[Defect Density]])</f>
        <v>0</v>
      </c>
      <c r="L14" s="56">
        <f ca="1">IF(ISNUMBER(SSL_DD[[#This Row],[Ext Regression %]]),SSL_DD[[#This Row],[Ext Regression %]],IF(ISBLANK(SSL_DD[[#This Row],[Ext Regression %]]),OFFSET(SSL_DD[[#This Row],[Ext Reg]],-1,0),0))</f>
        <v>15.384615898132324</v>
      </c>
      <c r="M14" s="56">
        <f ca="1">IF(ISNUMBER(SSL_DD[[#This Row],[Core Regression %]]),SSL_DD[[#This Row],[Core Regression %]],IF(ISBLANK(SSL_DD[[#This Row],[Core Regression %]]),OFFSET(SSL_DD[[#This Row],[Core Reg]],-1,0),0))</f>
        <v>29.411766052246094</v>
      </c>
      <c r="N14" s="65">
        <f>SSL_DD[[#This Row],[Core]]/SUM(SSL_DD[[#This Row],[Ext]],SSL_DD[[#This Row],[Core]])</f>
        <v>0.21428571428571427</v>
      </c>
    </row>
    <row r="15" spans="1:14">
      <c r="A15" s="50">
        <v>41121.532207789351</v>
      </c>
      <c r="B15" s="49">
        <v>0</v>
      </c>
      <c r="C15" s="49">
        <v>100</v>
      </c>
      <c r="D15" s="49">
        <v>15.000000953674316</v>
      </c>
      <c r="E15" s="49">
        <v>33.333335876464844</v>
      </c>
      <c r="F15" s="55">
        <v>81</v>
      </c>
      <c r="G15" s="55"/>
      <c r="H15" s="55">
        <v>22</v>
      </c>
      <c r="I15" s="48">
        <f t="shared" si="0"/>
        <v>312012</v>
      </c>
      <c r="J15" s="48">
        <f>SSL_DD[[#This Row],[Cumulative done story points]]</f>
        <v>0</v>
      </c>
      <c r="K15" s="48">
        <f>IF(SSL_DD[[#This Row],[Cumulative done story points]]=0,0,SSL_DD[[#This Row],[Defect Density]])</f>
        <v>0</v>
      </c>
      <c r="L15" s="56">
        <f ca="1">IF(ISNUMBER(SSL_DD[[#This Row],[Ext Regression %]]),SSL_DD[[#This Row],[Ext Regression %]],IF(ISBLANK(SSL_DD[[#This Row],[Ext Regression %]]),OFFSET(SSL_DD[[#This Row],[Ext Reg]],-1,0),0))</f>
        <v>15.000000953674316</v>
      </c>
      <c r="M15" s="56">
        <f ca="1">IF(ISNUMBER(SSL_DD[[#This Row],[Core Regression %]]),SSL_DD[[#This Row],[Core Regression %]],IF(ISBLANK(SSL_DD[[#This Row],[Core Regression %]]),OFFSET(SSL_DD[[#This Row],[Core Reg]],-1,0),0))</f>
        <v>33.333335876464844</v>
      </c>
      <c r="N15" s="65">
        <f>SSL_DD[[#This Row],[Core]]/SUM(SSL_DD[[#This Row],[Ext]],SSL_DD[[#This Row],[Core]])</f>
        <v>0.21359223300970873</v>
      </c>
    </row>
    <row r="16" spans="1:14">
      <c r="A16" s="50">
        <v>41128.532207789351</v>
      </c>
      <c r="B16" s="49">
        <v>0</v>
      </c>
      <c r="C16" s="49">
        <v>100</v>
      </c>
      <c r="D16" s="49">
        <v>15.000000953674316</v>
      </c>
      <c r="E16" s="49">
        <v>33.333335876464844</v>
      </c>
      <c r="F16" s="55">
        <v>81</v>
      </c>
      <c r="G16" s="55"/>
      <c r="H16" s="55">
        <v>22</v>
      </c>
      <c r="I16" s="48">
        <f t="shared" si="0"/>
        <v>322012</v>
      </c>
      <c r="J16" s="48">
        <f>SSL_DD[[#This Row],[Cumulative done story points]]</f>
        <v>0</v>
      </c>
      <c r="K16" s="48">
        <f>IF(SSL_DD[[#This Row],[Cumulative done story points]]=0,0,SSL_DD[[#This Row],[Defect Density]])</f>
        <v>0</v>
      </c>
      <c r="L16" s="56">
        <f ca="1">IF(ISNUMBER(SSL_DD[[#This Row],[Ext Regression %]]),SSL_DD[[#This Row],[Ext Regression %]],IF(ISBLANK(SSL_DD[[#This Row],[Ext Regression %]]),OFFSET(SSL_DD[[#This Row],[Ext Reg]],-1,0),0))</f>
        <v>15.000000953674316</v>
      </c>
      <c r="M16" s="56">
        <f ca="1">IF(ISNUMBER(SSL_DD[[#This Row],[Core Regression %]]),SSL_DD[[#This Row],[Core Regression %]],IF(ISBLANK(SSL_DD[[#This Row],[Core Regression %]]),OFFSET(SSL_DD[[#This Row],[Core Reg]],-1,0),0))</f>
        <v>33.333335876464844</v>
      </c>
      <c r="N16" s="65">
        <f>SSL_DD[[#This Row],[Core]]/SUM(SSL_DD[[#This Row],[Ext]],SSL_DD[[#This Row],[Core]])</f>
        <v>0.21359223300970873</v>
      </c>
    </row>
    <row r="17" spans="1:14">
      <c r="A17" s="50">
        <v>41135.532207789351</v>
      </c>
      <c r="B17" s="49">
        <v>0</v>
      </c>
      <c r="C17" s="49">
        <v>100</v>
      </c>
      <c r="D17" s="49">
        <v>15.000000953674316</v>
      </c>
      <c r="E17" s="49">
        <v>31.578945159912109</v>
      </c>
      <c r="F17" s="55">
        <v>81</v>
      </c>
      <c r="G17" s="55"/>
      <c r="H17" s="55">
        <v>23</v>
      </c>
      <c r="I17" s="48">
        <f t="shared" si="0"/>
        <v>332012</v>
      </c>
      <c r="J17" s="48">
        <f>SSL_DD[[#This Row],[Cumulative done story points]]</f>
        <v>0</v>
      </c>
      <c r="K17" s="48">
        <f>IF(SSL_DD[[#This Row],[Cumulative done story points]]=0,0,SSL_DD[[#This Row],[Defect Density]])</f>
        <v>0</v>
      </c>
      <c r="L17" s="56">
        <f ca="1">IF(ISNUMBER(SSL_DD[[#This Row],[Ext Regression %]]),SSL_DD[[#This Row],[Ext Regression %]],IF(ISBLANK(SSL_DD[[#This Row],[Ext Regression %]]),OFFSET(SSL_DD[[#This Row],[Ext Reg]],-1,0),0))</f>
        <v>15.000000953674316</v>
      </c>
      <c r="M17" s="56">
        <f ca="1">IF(ISNUMBER(SSL_DD[[#This Row],[Core Regression %]]),SSL_DD[[#This Row],[Core Regression %]],IF(ISBLANK(SSL_DD[[#This Row],[Core Regression %]]),OFFSET(SSL_DD[[#This Row],[Core Reg]],-1,0),0))</f>
        <v>31.578945159912109</v>
      </c>
      <c r="N17" s="65">
        <f>SSL_DD[[#This Row],[Core]]/SUM(SSL_DD[[#This Row],[Ext]],SSL_DD[[#This Row],[Core]])</f>
        <v>0.22115384615384615</v>
      </c>
    </row>
    <row r="18" spans="1:14">
      <c r="A18" s="50">
        <v>41142.532207789351</v>
      </c>
      <c r="B18" s="49">
        <v>0</v>
      </c>
      <c r="C18" s="49">
        <v>100</v>
      </c>
      <c r="D18" s="49">
        <v>15.000000953674316</v>
      </c>
      <c r="E18" s="49">
        <v>31.578945159912109</v>
      </c>
      <c r="F18" s="55">
        <v>81</v>
      </c>
      <c r="G18" s="55"/>
      <c r="H18" s="55">
        <v>23</v>
      </c>
      <c r="I18" s="48">
        <f t="shared" si="0"/>
        <v>342012</v>
      </c>
      <c r="J18" s="48">
        <f>SSL_DD[[#This Row],[Cumulative done story points]]</f>
        <v>0</v>
      </c>
      <c r="K18" s="48">
        <f>IF(SSL_DD[[#This Row],[Cumulative done story points]]=0,0,SSL_DD[[#This Row],[Defect Density]])</f>
        <v>0</v>
      </c>
      <c r="L18" s="56">
        <f ca="1">IF(ISNUMBER(SSL_DD[[#This Row],[Ext Regression %]]),SSL_DD[[#This Row],[Ext Regression %]],IF(ISBLANK(SSL_DD[[#This Row],[Ext Regression %]]),OFFSET(SSL_DD[[#This Row],[Ext Reg]],-1,0),0))</f>
        <v>15.000000953674316</v>
      </c>
      <c r="M18" s="56">
        <f ca="1">IF(ISNUMBER(SSL_DD[[#This Row],[Core Regression %]]),SSL_DD[[#This Row],[Core Regression %]],IF(ISBLANK(SSL_DD[[#This Row],[Core Regression %]]),OFFSET(SSL_DD[[#This Row],[Core Reg]],-1,0),0))</f>
        <v>31.578945159912109</v>
      </c>
      <c r="N18" s="65">
        <f>SSL_DD[[#This Row],[Core]]/SUM(SSL_DD[[#This Row],[Ext]],SSL_DD[[#This Row],[Core]])</f>
        <v>0.22115384615384615</v>
      </c>
    </row>
    <row r="19" spans="1:14">
      <c r="A19" s="50">
        <v>41149.532207789351</v>
      </c>
      <c r="B19" s="49">
        <v>0</v>
      </c>
      <c r="C19" s="49">
        <v>100</v>
      </c>
      <c r="D19" s="49">
        <v>14.634145736694336</v>
      </c>
      <c r="E19" s="49">
        <v>28.571430206298828</v>
      </c>
      <c r="F19" s="55">
        <v>83</v>
      </c>
      <c r="G19" s="55"/>
      <c r="H19" s="55">
        <v>26</v>
      </c>
      <c r="I19" s="48">
        <f t="shared" si="0"/>
        <v>352012</v>
      </c>
      <c r="J19" s="48">
        <f>SSL_DD[[#This Row],[Cumulative done story points]]</f>
        <v>0</v>
      </c>
      <c r="K19" s="48">
        <f>IF(SSL_DD[[#This Row],[Cumulative done story points]]=0,0,SSL_DD[[#This Row],[Defect Density]])</f>
        <v>0</v>
      </c>
      <c r="L19" s="56">
        <f ca="1">IF(ISNUMBER(SSL_DD[[#This Row],[Ext Regression %]]),SSL_DD[[#This Row],[Ext Regression %]],IF(ISBLANK(SSL_DD[[#This Row],[Ext Regression %]]),OFFSET(SSL_DD[[#This Row],[Ext Reg]],-1,0),0))</f>
        <v>14.634145736694336</v>
      </c>
      <c r="M19" s="56">
        <f ca="1">IF(ISNUMBER(SSL_DD[[#This Row],[Core Regression %]]),SSL_DD[[#This Row],[Core Regression %]],IF(ISBLANK(SSL_DD[[#This Row],[Core Regression %]]),OFFSET(SSL_DD[[#This Row],[Core Reg]],-1,0),0))</f>
        <v>28.571430206298828</v>
      </c>
      <c r="N19" s="65">
        <f>SSL_DD[[#This Row],[Core]]/SUM(SSL_DD[[#This Row],[Ext]],SSL_DD[[#This Row],[Core]])</f>
        <v>0.23853211009174313</v>
      </c>
    </row>
    <row r="20" spans="1:14">
      <c r="A20" s="50">
        <v>41156.532207789351</v>
      </c>
      <c r="B20" s="49">
        <v>0</v>
      </c>
      <c r="C20" s="49">
        <v>100</v>
      </c>
      <c r="D20" s="49">
        <v>14.634145736694336</v>
      </c>
      <c r="E20" s="49">
        <v>28.571430206298828</v>
      </c>
      <c r="F20" s="55">
        <v>85</v>
      </c>
      <c r="G20" s="55"/>
      <c r="H20" s="55">
        <v>27</v>
      </c>
      <c r="I20" s="48">
        <f t="shared" si="0"/>
        <v>362012</v>
      </c>
      <c r="J20" s="48">
        <f>SSL_DD[[#This Row],[Cumulative done story points]]</f>
        <v>0</v>
      </c>
      <c r="K20" s="48">
        <f>IF(SSL_DD[[#This Row],[Cumulative done story points]]=0,0,SSL_DD[[#This Row],[Defect Density]])</f>
        <v>0</v>
      </c>
      <c r="L20" s="56">
        <f ca="1">IF(ISNUMBER(SSL_DD[[#This Row],[Ext Regression %]]),SSL_DD[[#This Row],[Ext Regression %]],IF(ISBLANK(SSL_DD[[#This Row],[Ext Regression %]]),OFFSET(SSL_DD[[#This Row],[Ext Reg]],-1,0),0))</f>
        <v>14.634145736694336</v>
      </c>
      <c r="M20" s="56">
        <f ca="1">IF(ISNUMBER(SSL_DD[[#This Row],[Core Regression %]]),SSL_DD[[#This Row],[Core Regression %]],IF(ISBLANK(SSL_DD[[#This Row],[Core Regression %]]),OFFSET(SSL_DD[[#This Row],[Core Reg]],-1,0),0))</f>
        <v>28.571430206298828</v>
      </c>
      <c r="N20" s="65">
        <f>SSL_DD[[#This Row],[Core]]/SUM(SSL_DD[[#This Row],[Ext]],SSL_DD[[#This Row],[Core]])</f>
        <v>0.24107142857142858</v>
      </c>
    </row>
    <row r="21" spans="1:14">
      <c r="A21" s="50">
        <v>41163.532207789351</v>
      </c>
      <c r="B21" s="49">
        <v>0</v>
      </c>
      <c r="C21" s="49">
        <v>100</v>
      </c>
      <c r="D21" s="49">
        <v>14.285715103149414</v>
      </c>
      <c r="E21" s="49">
        <v>28.571430206298828</v>
      </c>
      <c r="F21" s="55">
        <v>87</v>
      </c>
      <c r="G21" s="55"/>
      <c r="H21" s="55">
        <v>27</v>
      </c>
      <c r="I21" s="48">
        <f t="shared" si="0"/>
        <v>372012</v>
      </c>
      <c r="J21" s="48">
        <f>SSL_DD[[#This Row],[Cumulative done story points]]</f>
        <v>0</v>
      </c>
      <c r="K21" s="48">
        <f>IF(SSL_DD[[#This Row],[Cumulative done story points]]=0,0,SSL_DD[[#This Row],[Defect Density]])</f>
        <v>0</v>
      </c>
      <c r="L21" s="56">
        <f ca="1">IF(ISNUMBER(SSL_DD[[#This Row],[Ext Regression %]]),SSL_DD[[#This Row],[Ext Regression %]],IF(ISBLANK(SSL_DD[[#This Row],[Ext Regression %]]),OFFSET(SSL_DD[[#This Row],[Ext Reg]],-1,0),0))</f>
        <v>14.285715103149414</v>
      </c>
      <c r="M21" s="56">
        <f ca="1">IF(ISNUMBER(SSL_DD[[#This Row],[Core Regression %]]),SSL_DD[[#This Row],[Core Regression %]],IF(ISBLANK(SSL_DD[[#This Row],[Core Regression %]]),OFFSET(SSL_DD[[#This Row],[Core Reg]],-1,0),0))</f>
        <v>28.571430206298828</v>
      </c>
      <c r="N21" s="65">
        <f>SSL_DD[[#This Row],[Core]]/SUM(SSL_DD[[#This Row],[Ext]],SSL_DD[[#This Row],[Core]])</f>
        <v>0.23684210526315788</v>
      </c>
    </row>
    <row r="22" spans="1:14">
      <c r="A22" s="50">
        <v>41170.532207789351</v>
      </c>
      <c r="B22" s="49">
        <v>0</v>
      </c>
      <c r="C22" s="49">
        <v>100</v>
      </c>
      <c r="D22" s="49">
        <v>14.285715103149414</v>
      </c>
      <c r="E22" s="49">
        <v>28.571430206298828</v>
      </c>
      <c r="F22" s="55">
        <v>87</v>
      </c>
      <c r="G22" s="55"/>
      <c r="H22" s="55">
        <v>27</v>
      </c>
      <c r="I22" s="48">
        <f t="shared" si="0"/>
        <v>382012</v>
      </c>
      <c r="J22" s="48">
        <f>SSL_DD[[#This Row],[Cumulative done story points]]</f>
        <v>0</v>
      </c>
      <c r="K22" s="48">
        <f>IF(SSL_DD[[#This Row],[Cumulative done story points]]=0,0,SSL_DD[[#This Row],[Defect Density]])</f>
        <v>0</v>
      </c>
      <c r="L22" s="56">
        <f ca="1">IF(ISNUMBER(SSL_DD[[#This Row],[Ext Regression %]]),SSL_DD[[#This Row],[Ext Regression %]],IF(ISBLANK(SSL_DD[[#This Row],[Ext Regression %]]),OFFSET(SSL_DD[[#This Row],[Ext Reg]],-1,0),0))</f>
        <v>14.285715103149414</v>
      </c>
      <c r="M22" s="56">
        <f ca="1">IF(ISNUMBER(SSL_DD[[#This Row],[Core Regression %]]),SSL_DD[[#This Row],[Core Regression %]],IF(ISBLANK(SSL_DD[[#This Row],[Core Regression %]]),OFFSET(SSL_DD[[#This Row],[Core Reg]],-1,0),0))</f>
        <v>28.571430206298828</v>
      </c>
      <c r="N22" s="65">
        <f>SSL_DD[[#This Row],[Core]]/SUM(SSL_DD[[#This Row],[Ext]],SSL_DD[[#This Row],[Core]])</f>
        <v>0.23684210526315788</v>
      </c>
    </row>
    <row r="23" spans="1:14">
      <c r="A23" s="50">
        <v>41177.532207789351</v>
      </c>
      <c r="B23" s="49">
        <v>0</v>
      </c>
      <c r="C23" s="49">
        <v>100</v>
      </c>
      <c r="D23" s="49">
        <v>14.285715103149414</v>
      </c>
      <c r="E23" s="49">
        <v>28.571430206298828</v>
      </c>
      <c r="F23" s="55">
        <v>87</v>
      </c>
      <c r="G23" s="55"/>
      <c r="H23" s="55">
        <v>27</v>
      </c>
      <c r="I23" s="48">
        <f t="shared" si="0"/>
        <v>392012</v>
      </c>
      <c r="J23" s="48">
        <f>SSL_DD[[#This Row],[Cumulative done story points]]</f>
        <v>0</v>
      </c>
      <c r="K23" s="48">
        <f>IF(SSL_DD[[#This Row],[Cumulative done story points]]=0,0,SSL_DD[[#This Row],[Defect Density]])</f>
        <v>0</v>
      </c>
      <c r="L23" s="56">
        <f ca="1">IF(ISNUMBER(SSL_DD[[#This Row],[Ext Regression %]]),SSL_DD[[#This Row],[Ext Regression %]],IF(ISBLANK(SSL_DD[[#This Row],[Ext Regression %]]),OFFSET(SSL_DD[[#This Row],[Ext Reg]],-1,0),0))</f>
        <v>14.285715103149414</v>
      </c>
      <c r="M23" s="56">
        <f ca="1">IF(ISNUMBER(SSL_DD[[#This Row],[Core Regression %]]),SSL_DD[[#This Row],[Core Regression %]],IF(ISBLANK(SSL_DD[[#This Row],[Core Regression %]]),OFFSET(SSL_DD[[#This Row],[Core Reg]],-1,0),0))</f>
        <v>28.571430206298828</v>
      </c>
      <c r="N23" s="65">
        <f>SSL_DD[[#This Row],[Core]]/SUM(SSL_DD[[#This Row],[Ext]],SSL_DD[[#This Row],[Core]])</f>
        <v>0.23684210526315788</v>
      </c>
    </row>
    <row r="24" spans="1:14">
      <c r="A24" s="50">
        <v>41184.532207789351</v>
      </c>
      <c r="B24" s="49">
        <v>0</v>
      </c>
      <c r="C24" s="49">
        <v>100</v>
      </c>
      <c r="D24" s="49">
        <v>14.285715103149414</v>
      </c>
      <c r="E24" s="49">
        <v>28.571430206298828</v>
      </c>
      <c r="F24" s="55">
        <v>87</v>
      </c>
      <c r="G24" s="55"/>
      <c r="H24" s="55">
        <v>27</v>
      </c>
      <c r="I24" s="48">
        <f t="shared" si="0"/>
        <v>402012</v>
      </c>
      <c r="J24" s="48">
        <f>SSL_DD[[#This Row],[Cumulative done story points]]</f>
        <v>0</v>
      </c>
      <c r="K24" s="48">
        <f>IF(SSL_DD[[#This Row],[Cumulative done story points]]=0,0,SSL_DD[[#This Row],[Defect Density]])</f>
        <v>0</v>
      </c>
      <c r="L24" s="56">
        <f ca="1">IF(ISNUMBER(SSL_DD[[#This Row],[Ext Regression %]]),SSL_DD[[#This Row],[Ext Regression %]],IF(ISBLANK(SSL_DD[[#This Row],[Ext Regression %]]),OFFSET(SSL_DD[[#This Row],[Ext Reg]],-1,0),0))</f>
        <v>14.285715103149414</v>
      </c>
      <c r="M24" s="56">
        <f ca="1">IF(ISNUMBER(SSL_DD[[#This Row],[Core Regression %]]),SSL_DD[[#This Row],[Core Regression %]],IF(ISBLANK(SSL_DD[[#This Row],[Core Regression %]]),OFFSET(SSL_DD[[#This Row],[Core Reg]],-1,0),0))</f>
        <v>28.571430206298828</v>
      </c>
      <c r="N24" s="65">
        <f>SSL_DD[[#This Row],[Core]]/SUM(SSL_DD[[#This Row],[Ext]],SSL_DD[[#This Row],[Core]])</f>
        <v>0.23684210526315788</v>
      </c>
    </row>
    <row r="25" spans="1:14">
      <c r="A25" s="50">
        <v>41191.532207789351</v>
      </c>
      <c r="B25" s="49">
        <v>0</v>
      </c>
      <c r="C25" s="49">
        <v>100</v>
      </c>
      <c r="D25" s="49">
        <v>14.285715103149414</v>
      </c>
      <c r="E25" s="49">
        <v>28.571430206298828</v>
      </c>
      <c r="F25" s="55">
        <v>88</v>
      </c>
      <c r="G25" s="55"/>
      <c r="H25" s="55">
        <v>27</v>
      </c>
      <c r="I25" s="48">
        <f t="shared" si="0"/>
        <v>412012</v>
      </c>
      <c r="J25" s="48">
        <f>SSL_DD[[#This Row],[Cumulative done story points]]</f>
        <v>0</v>
      </c>
      <c r="K25" s="48">
        <f>IF(SSL_DD[[#This Row],[Cumulative done story points]]=0,0,SSL_DD[[#This Row],[Defect Density]])</f>
        <v>0</v>
      </c>
      <c r="L25" s="56">
        <f ca="1">IF(ISNUMBER(SSL_DD[[#This Row],[Ext Regression %]]),SSL_DD[[#This Row],[Ext Regression %]],IF(ISBLANK(SSL_DD[[#This Row],[Ext Regression %]]),OFFSET(SSL_DD[[#This Row],[Ext Reg]],-1,0),0))</f>
        <v>14.285715103149414</v>
      </c>
      <c r="M25" s="56">
        <f ca="1">IF(ISNUMBER(SSL_DD[[#This Row],[Core Regression %]]),SSL_DD[[#This Row],[Core Regression %]],IF(ISBLANK(SSL_DD[[#This Row],[Core Regression %]]),OFFSET(SSL_DD[[#This Row],[Core Reg]],-1,0),0))</f>
        <v>28.571430206298828</v>
      </c>
      <c r="N25" s="65">
        <f>SSL_DD[[#This Row],[Core]]/SUM(SSL_DD[[#This Row],[Ext]],SSL_DD[[#This Row],[Core]])</f>
        <v>0.23478260869565218</v>
      </c>
    </row>
    <row r="26" spans="1:14">
      <c r="A26" s="50">
        <v>41198.532207789351</v>
      </c>
      <c r="B26" s="49">
        <v>0</v>
      </c>
      <c r="C26" s="49">
        <v>100</v>
      </c>
      <c r="D26" s="49">
        <v>14.285715103149414</v>
      </c>
      <c r="E26" s="49">
        <v>28.571430206298828</v>
      </c>
      <c r="F26" s="55">
        <v>88</v>
      </c>
      <c r="G26" s="55"/>
      <c r="H26" s="55">
        <v>27</v>
      </c>
      <c r="I26" s="48">
        <f t="shared" si="0"/>
        <v>422012</v>
      </c>
      <c r="J26" s="48">
        <f>SSL_DD[[#This Row],[Cumulative done story points]]</f>
        <v>0</v>
      </c>
      <c r="K26" s="48">
        <f>IF(SSL_DD[[#This Row],[Cumulative done story points]]=0,0,SSL_DD[[#This Row],[Defect Density]])</f>
        <v>0</v>
      </c>
      <c r="L26" s="56">
        <f ca="1">IF(ISNUMBER(SSL_DD[[#This Row],[Ext Regression %]]),SSL_DD[[#This Row],[Ext Regression %]],IF(ISBLANK(SSL_DD[[#This Row],[Ext Regression %]]),OFFSET(SSL_DD[[#This Row],[Ext Reg]],-1,0),0))</f>
        <v>14.285715103149414</v>
      </c>
      <c r="M26" s="56">
        <f ca="1">IF(ISNUMBER(SSL_DD[[#This Row],[Core Regression %]]),SSL_DD[[#This Row],[Core Regression %]],IF(ISBLANK(SSL_DD[[#This Row],[Core Regression %]]),OFFSET(SSL_DD[[#This Row],[Core Reg]],-1,0),0))</f>
        <v>28.571430206298828</v>
      </c>
      <c r="N26" s="65">
        <f>SSL_DD[[#This Row],[Core]]/SUM(SSL_DD[[#This Row],[Ext]],SSL_DD[[#This Row],[Core]])</f>
        <v>0.23478260869565218</v>
      </c>
    </row>
    <row r="27" spans="1:14">
      <c r="A27" s="50">
        <v>41205.532207789351</v>
      </c>
      <c r="B27" s="49">
        <v>0</v>
      </c>
      <c r="C27" s="49">
        <v>100</v>
      </c>
      <c r="D27" s="49">
        <v>14.285715103149414</v>
      </c>
      <c r="E27" s="49">
        <v>28.571430206298828</v>
      </c>
      <c r="F27" s="55">
        <v>88</v>
      </c>
      <c r="G27" s="55"/>
      <c r="H27" s="55">
        <v>27</v>
      </c>
      <c r="I27" s="48">
        <f t="shared" si="0"/>
        <v>432012</v>
      </c>
      <c r="J27" s="48">
        <f>SSL_DD[[#This Row],[Cumulative done story points]]</f>
        <v>0</v>
      </c>
      <c r="K27" s="48">
        <f>IF(SSL_DD[[#This Row],[Cumulative done story points]]=0,0,SSL_DD[[#This Row],[Defect Density]])</f>
        <v>0</v>
      </c>
      <c r="L27" s="56">
        <f ca="1">IF(ISNUMBER(SSL_DD[[#This Row],[Ext Regression %]]),SSL_DD[[#This Row],[Ext Regression %]],IF(ISBLANK(SSL_DD[[#This Row],[Ext Regression %]]),OFFSET(SSL_DD[[#This Row],[Ext Reg]],-1,0),0))</f>
        <v>14.285715103149414</v>
      </c>
      <c r="M27" s="56">
        <f ca="1">IF(ISNUMBER(SSL_DD[[#This Row],[Core Regression %]]),SSL_DD[[#This Row],[Core Regression %]],IF(ISBLANK(SSL_DD[[#This Row],[Core Regression %]]),OFFSET(SSL_DD[[#This Row],[Core Reg]],-1,0),0))</f>
        <v>28.571430206298828</v>
      </c>
      <c r="N27" s="65">
        <f>SSL_DD[[#This Row],[Core]]/SUM(SSL_DD[[#This Row],[Ext]],SSL_DD[[#This Row],[Core]])</f>
        <v>0.23478260869565218</v>
      </c>
    </row>
    <row r="28" spans="1:14">
      <c r="A28" s="50">
        <v>41212.532207789351</v>
      </c>
      <c r="B28" s="49">
        <v>0</v>
      </c>
      <c r="C28" s="49">
        <v>100</v>
      </c>
      <c r="D28" s="49">
        <v>20</v>
      </c>
      <c r="E28" s="49">
        <v>28.571430206298828</v>
      </c>
      <c r="F28" s="55">
        <v>91</v>
      </c>
      <c r="G28" s="55"/>
      <c r="H28" s="55">
        <v>27</v>
      </c>
      <c r="I28" s="48">
        <f t="shared" si="0"/>
        <v>442012</v>
      </c>
      <c r="J28" s="48">
        <f>SSL_DD[[#This Row],[Cumulative done story points]]</f>
        <v>0</v>
      </c>
      <c r="K28" s="48">
        <f>IF(SSL_DD[[#This Row],[Cumulative done story points]]=0,0,SSL_DD[[#This Row],[Defect Density]])</f>
        <v>0</v>
      </c>
      <c r="L28" s="56">
        <f ca="1">IF(ISNUMBER(SSL_DD[[#This Row],[Ext Regression %]]),SSL_DD[[#This Row],[Ext Regression %]],IF(ISBLANK(SSL_DD[[#This Row],[Ext Regression %]]),OFFSET(SSL_DD[[#This Row],[Ext Reg]],-1,0),0))</f>
        <v>20</v>
      </c>
      <c r="M28" s="56">
        <f ca="1">IF(ISNUMBER(SSL_DD[[#This Row],[Core Regression %]]),SSL_DD[[#This Row],[Core Regression %]],IF(ISBLANK(SSL_DD[[#This Row],[Core Regression %]]),OFFSET(SSL_DD[[#This Row],[Core Reg]],-1,0),0))</f>
        <v>28.571430206298828</v>
      </c>
      <c r="N28" s="65">
        <f>SSL_DD[[#This Row],[Core]]/SUM(SSL_DD[[#This Row],[Ext]],SSL_DD[[#This Row],[Core]])</f>
        <v>0.2288135593220339</v>
      </c>
    </row>
    <row r="29" spans="1:14">
      <c r="A29" s="50">
        <v>41219.532207789351</v>
      </c>
      <c r="B29" s="49">
        <v>0</v>
      </c>
      <c r="C29" s="49">
        <v>100</v>
      </c>
      <c r="D29" s="49">
        <v>20</v>
      </c>
      <c r="E29" s="49">
        <v>28.571430206298828</v>
      </c>
      <c r="F29" s="55">
        <v>91</v>
      </c>
      <c r="G29" s="55"/>
      <c r="H29" s="55">
        <v>27</v>
      </c>
      <c r="I29" s="48">
        <f t="shared" si="0"/>
        <v>452012</v>
      </c>
      <c r="J29" s="48">
        <f>SSL_DD[[#This Row],[Cumulative done story points]]</f>
        <v>0</v>
      </c>
      <c r="K29" s="48">
        <f>IF(SSL_DD[[#This Row],[Cumulative done story points]]=0,0,SSL_DD[[#This Row],[Defect Density]])</f>
        <v>0</v>
      </c>
      <c r="L29" s="56">
        <f ca="1">IF(ISNUMBER(SSL_DD[[#This Row],[Ext Regression %]]),SSL_DD[[#This Row],[Ext Regression %]],IF(ISBLANK(SSL_DD[[#This Row],[Ext Regression %]]),OFFSET(SSL_DD[[#This Row],[Ext Reg]],-1,0),0))</f>
        <v>20</v>
      </c>
      <c r="M29" s="56">
        <f ca="1">IF(ISNUMBER(SSL_DD[[#This Row],[Core Regression %]]),SSL_DD[[#This Row],[Core Regression %]],IF(ISBLANK(SSL_DD[[#This Row],[Core Regression %]]),OFFSET(SSL_DD[[#This Row],[Core Reg]],-1,0),0))</f>
        <v>28.571430206298828</v>
      </c>
      <c r="N29" s="65">
        <f>SSL_DD[[#This Row],[Core]]/SUM(SSL_DD[[#This Row],[Ext]],SSL_DD[[#This Row],[Core]])</f>
        <v>0.2288135593220339</v>
      </c>
    </row>
    <row r="30" spans="1:14">
      <c r="A30" s="50">
        <v>41226.532207789351</v>
      </c>
      <c r="B30" s="49">
        <v>0</v>
      </c>
      <c r="C30" s="49">
        <v>100</v>
      </c>
      <c r="D30" s="49">
        <v>20</v>
      </c>
      <c r="E30" s="49">
        <v>28.571430206298828</v>
      </c>
      <c r="F30" s="55">
        <v>91</v>
      </c>
      <c r="G30" s="55"/>
      <c r="H30" s="55">
        <v>27</v>
      </c>
      <c r="I30" s="48">
        <f t="shared" si="0"/>
        <v>462012</v>
      </c>
      <c r="J30" s="48">
        <f>SSL_DD[[#This Row],[Cumulative done story points]]</f>
        <v>0</v>
      </c>
      <c r="K30" s="48">
        <f>IF(SSL_DD[[#This Row],[Cumulative done story points]]=0,0,SSL_DD[[#This Row],[Defect Density]])</f>
        <v>0</v>
      </c>
      <c r="L30" s="56">
        <f ca="1">IF(ISNUMBER(SSL_DD[[#This Row],[Ext Regression %]]),SSL_DD[[#This Row],[Ext Regression %]],IF(ISBLANK(SSL_DD[[#This Row],[Ext Regression %]]),OFFSET(SSL_DD[[#This Row],[Ext Reg]],-1,0),0))</f>
        <v>20</v>
      </c>
      <c r="M30" s="56">
        <f ca="1">IF(ISNUMBER(SSL_DD[[#This Row],[Core Regression %]]),SSL_DD[[#This Row],[Core Regression %]],IF(ISBLANK(SSL_DD[[#This Row],[Core Regression %]]),OFFSET(SSL_DD[[#This Row],[Core Reg]],-1,0),0))</f>
        <v>28.571430206298828</v>
      </c>
      <c r="N30" s="65">
        <f>SSL_DD[[#This Row],[Core]]/SUM(SSL_DD[[#This Row],[Ext]],SSL_DD[[#This Row],[Core]])</f>
        <v>0.2288135593220339</v>
      </c>
    </row>
    <row r="31" spans="1:14">
      <c r="A31" s="50">
        <v>41233.532207789351</v>
      </c>
      <c r="B31" s="49">
        <v>0</v>
      </c>
      <c r="C31" s="49">
        <v>100</v>
      </c>
      <c r="D31" s="49">
        <v>20</v>
      </c>
      <c r="E31" s="49">
        <v>28.571430206298828</v>
      </c>
      <c r="F31" s="55">
        <v>92</v>
      </c>
      <c r="G31" s="55"/>
      <c r="H31" s="55">
        <v>27</v>
      </c>
      <c r="I31" s="48">
        <f t="shared" si="0"/>
        <v>472012</v>
      </c>
      <c r="J31" s="48">
        <f>SSL_DD[[#This Row],[Cumulative done story points]]</f>
        <v>0</v>
      </c>
      <c r="K31" s="48">
        <f>IF(SSL_DD[[#This Row],[Cumulative done story points]]=0,0,SSL_DD[[#This Row],[Defect Density]])</f>
        <v>0</v>
      </c>
      <c r="L31" s="56">
        <f ca="1">IF(ISNUMBER(SSL_DD[[#This Row],[Ext Regression %]]),SSL_DD[[#This Row],[Ext Regression %]],IF(ISBLANK(SSL_DD[[#This Row],[Ext Regression %]]),OFFSET(SSL_DD[[#This Row],[Ext Reg]],-1,0),0))</f>
        <v>20</v>
      </c>
      <c r="M31" s="56">
        <f ca="1">IF(ISNUMBER(SSL_DD[[#This Row],[Core Regression %]]),SSL_DD[[#This Row],[Core Regression %]],IF(ISBLANK(SSL_DD[[#This Row],[Core Regression %]]),OFFSET(SSL_DD[[#This Row],[Core Reg]],-1,0),0))</f>
        <v>28.571430206298828</v>
      </c>
      <c r="N31" s="65">
        <f>SSL_DD[[#This Row],[Core]]/SUM(SSL_DD[[#This Row],[Ext]],SSL_DD[[#This Row],[Core]])</f>
        <v>0.22689075630252101</v>
      </c>
    </row>
    <row r="32" spans="1:14">
      <c r="A32" s="50">
        <v>41240.532207789351</v>
      </c>
      <c r="B32" s="49">
        <v>0</v>
      </c>
      <c r="C32" s="49">
        <v>100</v>
      </c>
      <c r="D32" s="49">
        <v>20</v>
      </c>
      <c r="E32" s="49">
        <v>28.571430206298828</v>
      </c>
      <c r="F32" s="55">
        <v>92</v>
      </c>
      <c r="G32" s="55"/>
      <c r="H32" s="55">
        <v>27</v>
      </c>
      <c r="I32" s="48">
        <f t="shared" si="0"/>
        <v>482012</v>
      </c>
      <c r="J32" s="48">
        <f>SSL_DD[[#This Row],[Cumulative done story points]]</f>
        <v>0</v>
      </c>
      <c r="K32" s="48">
        <f>IF(SSL_DD[[#This Row],[Cumulative done story points]]=0,0,SSL_DD[[#This Row],[Defect Density]])</f>
        <v>0</v>
      </c>
      <c r="L32" s="56">
        <f ca="1">IF(ISNUMBER(SSL_DD[[#This Row],[Ext Regression %]]),SSL_DD[[#This Row],[Ext Regression %]],IF(ISBLANK(SSL_DD[[#This Row],[Ext Regression %]]),OFFSET(SSL_DD[[#This Row],[Ext Reg]],-1,0),0))</f>
        <v>20</v>
      </c>
      <c r="M32" s="56">
        <f ca="1">IF(ISNUMBER(SSL_DD[[#This Row],[Core Regression %]]),SSL_DD[[#This Row],[Core Regression %]],IF(ISBLANK(SSL_DD[[#This Row],[Core Regression %]]),OFFSET(SSL_DD[[#This Row],[Core Reg]],-1,0),0))</f>
        <v>28.571430206298828</v>
      </c>
      <c r="N32" s="65">
        <f>SSL_DD[[#This Row],[Core]]/SUM(SSL_DD[[#This Row],[Ext]],SSL_DD[[#This Row],[Core]])</f>
        <v>0.22689075630252101</v>
      </c>
    </row>
    <row r="33" spans="1:14">
      <c r="A33" s="50">
        <v>41247.532207789351</v>
      </c>
      <c r="B33" s="49">
        <v>0</v>
      </c>
      <c r="C33" s="49">
        <v>100</v>
      </c>
      <c r="D33" s="49">
        <v>20</v>
      </c>
      <c r="E33" s="49">
        <v>28.571430206298828</v>
      </c>
      <c r="F33" s="55">
        <v>92</v>
      </c>
      <c r="G33" s="55"/>
      <c r="H33" s="55">
        <v>27</v>
      </c>
      <c r="I33" s="48">
        <f t="shared" si="0"/>
        <v>492012</v>
      </c>
      <c r="J33" s="48">
        <f>SSL_DD[[#This Row],[Cumulative done story points]]</f>
        <v>0</v>
      </c>
      <c r="K33" s="48">
        <f>IF(SSL_DD[[#This Row],[Cumulative done story points]]=0,0,SSL_DD[[#This Row],[Defect Density]])</f>
        <v>0</v>
      </c>
      <c r="L33" s="56">
        <f ca="1">IF(ISNUMBER(SSL_DD[[#This Row],[Ext Regression %]]),SSL_DD[[#This Row],[Ext Regression %]],IF(ISBLANK(SSL_DD[[#This Row],[Ext Regression %]]),OFFSET(SSL_DD[[#This Row],[Ext Reg]],-1,0),0))</f>
        <v>20</v>
      </c>
      <c r="M33" s="56">
        <f ca="1">IF(ISNUMBER(SSL_DD[[#This Row],[Core Regression %]]),SSL_DD[[#This Row],[Core Regression %]],IF(ISBLANK(SSL_DD[[#This Row],[Core Regression %]]),OFFSET(SSL_DD[[#This Row],[Core Reg]],-1,0),0))</f>
        <v>28.571430206298828</v>
      </c>
      <c r="N33" s="65">
        <f>SSL_DD[[#This Row],[Core]]/SUM(SSL_DD[[#This Row],[Ext]],SSL_DD[[#This Row],[Core]])</f>
        <v>0.22689075630252101</v>
      </c>
    </row>
    <row r="34" spans="1:14">
      <c r="A34" s="50">
        <v>41254.532207789351</v>
      </c>
      <c r="B34" s="49">
        <v>0</v>
      </c>
      <c r="C34" s="49">
        <v>100</v>
      </c>
      <c r="D34" s="49">
        <v>20</v>
      </c>
      <c r="E34" s="49">
        <v>28.571430206298828</v>
      </c>
      <c r="F34" s="55">
        <v>92</v>
      </c>
      <c r="G34" s="55"/>
      <c r="H34" s="55">
        <v>27</v>
      </c>
      <c r="I34" s="48">
        <f t="shared" si="0"/>
        <v>502012</v>
      </c>
      <c r="J34" s="48">
        <f>SSL_DD[[#This Row],[Cumulative done story points]]</f>
        <v>0</v>
      </c>
      <c r="K34" s="48">
        <f>IF(SSL_DD[[#This Row],[Cumulative done story points]]=0,0,SSL_DD[[#This Row],[Defect Density]])</f>
        <v>0</v>
      </c>
      <c r="L34" s="56">
        <f ca="1">IF(ISNUMBER(SSL_DD[[#This Row],[Ext Regression %]]),SSL_DD[[#This Row],[Ext Regression %]],IF(ISBLANK(SSL_DD[[#This Row],[Ext Regression %]]),OFFSET(SSL_DD[[#This Row],[Ext Reg]],-1,0),0))</f>
        <v>20</v>
      </c>
      <c r="M34" s="56">
        <f ca="1">IF(ISNUMBER(SSL_DD[[#This Row],[Core Regression %]]),SSL_DD[[#This Row],[Core Regression %]],IF(ISBLANK(SSL_DD[[#This Row],[Core Regression %]]),OFFSET(SSL_DD[[#This Row],[Core Reg]],-1,0),0))</f>
        <v>28.571430206298828</v>
      </c>
      <c r="N34" s="65">
        <f>SSL_DD[[#This Row],[Core]]/SUM(SSL_DD[[#This Row],[Ext]],SSL_DD[[#This Row],[Core]])</f>
        <v>0.22689075630252101</v>
      </c>
    </row>
    <row r="35" spans="1:14">
      <c r="A35" s="83">
        <v>41261.532207789351</v>
      </c>
      <c r="B35" s="84">
        <v>0</v>
      </c>
      <c r="C35" s="84">
        <v>100</v>
      </c>
      <c r="D35" s="84">
        <v>20</v>
      </c>
      <c r="E35" s="84">
        <v>28.571430206298828</v>
      </c>
      <c r="F35" s="84">
        <v>92</v>
      </c>
      <c r="G35" s="84"/>
      <c r="H35" s="84">
        <v>27</v>
      </c>
      <c r="I35" s="85">
        <f t="shared" ref="I35:I66" si="1">VALUE(WEEKNUM(A35*1)&amp;YEAR(A35*1))</f>
        <v>512012</v>
      </c>
      <c r="J35" s="85">
        <f>SSL_DD[[#This Row],[Cumulative done story points]]</f>
        <v>0</v>
      </c>
      <c r="K35" s="85">
        <f>IF(SSL_DD[[#This Row],[Cumulative done story points]]=0,0,SSL_DD[[#This Row],[Defect Density]])</f>
        <v>0</v>
      </c>
      <c r="L35" s="87">
        <f ca="1">IF(ISNUMBER(SSL_DD[[#This Row],[Ext Regression %]]),SSL_DD[[#This Row],[Ext Regression %]],IF(ISBLANK(SSL_DD[[#This Row],[Ext Regression %]]),OFFSET(SSL_DD[[#This Row],[Ext Reg]],-1,0),0))</f>
        <v>20</v>
      </c>
      <c r="M35" s="87">
        <f ca="1">IF(ISNUMBER(SSL_DD[[#This Row],[Core Regression %]]),SSL_DD[[#This Row],[Core Regression %]],IF(ISBLANK(SSL_DD[[#This Row],[Core Regression %]]),OFFSET(SSL_DD[[#This Row],[Core Reg]],-1,0),0))</f>
        <v>28.571430206298828</v>
      </c>
      <c r="N35" s="88">
        <f>SSL_DD[[#This Row],[Core]]/SUM(SSL_DD[[#This Row],[Ext]],SSL_DD[[#This Row],[Core]])</f>
        <v>0.22689075630252101</v>
      </c>
    </row>
    <row r="36" spans="1:14">
      <c r="A36" s="83">
        <v>41268.532207789351</v>
      </c>
      <c r="B36" s="84">
        <v>0</v>
      </c>
      <c r="C36" s="84">
        <v>100</v>
      </c>
      <c r="D36" s="84">
        <v>20</v>
      </c>
      <c r="E36" s="84">
        <v>28.571430206298828</v>
      </c>
      <c r="F36" s="84">
        <v>92</v>
      </c>
      <c r="G36" s="84"/>
      <c r="H36" s="84">
        <v>27</v>
      </c>
      <c r="I36" s="85">
        <f t="shared" si="1"/>
        <v>522012</v>
      </c>
      <c r="J36" s="85">
        <f>SSL_DD[[#This Row],[Cumulative done story points]]</f>
        <v>0</v>
      </c>
      <c r="K36" s="85">
        <f>IF(SSL_DD[[#This Row],[Cumulative done story points]]=0,0,SSL_DD[[#This Row],[Defect Density]])</f>
        <v>0</v>
      </c>
      <c r="L36" s="87">
        <f ca="1">IF(ISNUMBER(SSL_DD[[#This Row],[Ext Regression %]]),SSL_DD[[#This Row],[Ext Regression %]],IF(ISBLANK(SSL_DD[[#This Row],[Ext Regression %]]),OFFSET(SSL_DD[[#This Row],[Ext Reg]],-1,0),0))</f>
        <v>20</v>
      </c>
      <c r="M36" s="87">
        <f ca="1">IF(ISNUMBER(SSL_DD[[#This Row],[Core Regression %]]),SSL_DD[[#This Row],[Core Regression %]],IF(ISBLANK(SSL_DD[[#This Row],[Core Regression %]]),OFFSET(SSL_DD[[#This Row],[Core Reg]],-1,0),0))</f>
        <v>28.571430206298828</v>
      </c>
      <c r="N36" s="88">
        <f>SSL_DD[[#This Row],[Core]]/SUM(SSL_DD[[#This Row],[Ext]],SSL_DD[[#This Row],[Core]])</f>
        <v>0.22689075630252101</v>
      </c>
    </row>
    <row r="37" spans="1:14">
      <c r="A37" s="83">
        <v>41275.532207789351</v>
      </c>
      <c r="B37" s="84">
        <v>0</v>
      </c>
      <c r="C37" s="84">
        <v>100</v>
      </c>
      <c r="D37" s="84">
        <v>20</v>
      </c>
      <c r="E37" s="84">
        <v>28.571430206298828</v>
      </c>
      <c r="F37" s="84">
        <v>92</v>
      </c>
      <c r="G37" s="84"/>
      <c r="H37" s="84">
        <v>27</v>
      </c>
      <c r="I37" s="85">
        <f t="shared" si="1"/>
        <v>12013</v>
      </c>
      <c r="J37" s="85">
        <f>SSL_DD[[#This Row],[Cumulative done story points]]</f>
        <v>0</v>
      </c>
      <c r="K37" s="85">
        <f>IF(SSL_DD[[#This Row],[Cumulative done story points]]=0,0,SSL_DD[[#This Row],[Defect Density]])</f>
        <v>0</v>
      </c>
      <c r="L37" s="87">
        <f ca="1">IF(ISNUMBER(SSL_DD[[#This Row],[Ext Regression %]]),SSL_DD[[#This Row],[Ext Regression %]],IF(ISBLANK(SSL_DD[[#This Row],[Ext Regression %]]),OFFSET(SSL_DD[[#This Row],[Ext Reg]],-1,0),0))</f>
        <v>20</v>
      </c>
      <c r="M37" s="87">
        <f ca="1">IF(ISNUMBER(SSL_DD[[#This Row],[Core Regression %]]),SSL_DD[[#This Row],[Core Regression %]],IF(ISBLANK(SSL_DD[[#This Row],[Core Regression %]]),OFFSET(SSL_DD[[#This Row],[Core Reg]],-1,0),0))</f>
        <v>28.571430206298828</v>
      </c>
      <c r="N37" s="88">
        <f>SSL_DD[[#This Row],[Core]]/SUM(SSL_DD[[#This Row],[Ext]],SSL_DD[[#This Row],[Core]])</f>
        <v>0.22689075630252101</v>
      </c>
    </row>
    <row r="38" spans="1:14">
      <c r="A38" s="83">
        <v>41282.532207789351</v>
      </c>
      <c r="B38" s="84">
        <v>0</v>
      </c>
      <c r="C38" s="84">
        <v>100</v>
      </c>
      <c r="D38" s="84">
        <v>20</v>
      </c>
      <c r="E38" s="84">
        <v>28.571430206298828</v>
      </c>
      <c r="F38" s="84">
        <v>92</v>
      </c>
      <c r="G38" s="84"/>
      <c r="H38" s="84">
        <v>27</v>
      </c>
      <c r="I38" s="85">
        <f t="shared" si="1"/>
        <v>22013</v>
      </c>
      <c r="J38" s="85">
        <f>SSL_DD[[#This Row],[Cumulative done story points]]</f>
        <v>0</v>
      </c>
      <c r="K38" s="85">
        <f>IF(SSL_DD[[#This Row],[Cumulative done story points]]=0,0,SSL_DD[[#This Row],[Defect Density]])</f>
        <v>0</v>
      </c>
      <c r="L38" s="87">
        <f ca="1">IF(ISNUMBER(SSL_DD[[#This Row],[Ext Regression %]]),SSL_DD[[#This Row],[Ext Regression %]],IF(ISBLANK(SSL_DD[[#This Row],[Ext Regression %]]),OFFSET(SSL_DD[[#This Row],[Ext Reg]],-1,0),0))</f>
        <v>20</v>
      </c>
      <c r="M38" s="87">
        <f ca="1">IF(ISNUMBER(SSL_DD[[#This Row],[Core Regression %]]),SSL_DD[[#This Row],[Core Regression %]],IF(ISBLANK(SSL_DD[[#This Row],[Core Regression %]]),OFFSET(SSL_DD[[#This Row],[Core Reg]],-1,0),0))</f>
        <v>28.571430206298828</v>
      </c>
      <c r="N38" s="88">
        <f>SSL_DD[[#This Row],[Core]]/SUM(SSL_DD[[#This Row],[Ext]],SSL_DD[[#This Row],[Core]])</f>
        <v>0.22689075630252101</v>
      </c>
    </row>
    <row r="39" spans="1:14">
      <c r="A39" s="83">
        <v>41289.532207789351</v>
      </c>
      <c r="B39" s="84">
        <v>0</v>
      </c>
      <c r="C39" s="84">
        <v>100</v>
      </c>
      <c r="D39" s="84">
        <v>19.565217971801758</v>
      </c>
      <c r="E39" s="84">
        <v>28.571430206298828</v>
      </c>
      <c r="F39" s="84">
        <v>94</v>
      </c>
      <c r="G39" s="84"/>
      <c r="H39" s="84">
        <v>27</v>
      </c>
      <c r="I39" s="85">
        <f t="shared" si="1"/>
        <v>32013</v>
      </c>
      <c r="J39" s="85">
        <f>SSL_DD[[#This Row],[Cumulative done story points]]</f>
        <v>0</v>
      </c>
      <c r="K39" s="85">
        <f>IF(SSL_DD[[#This Row],[Cumulative done story points]]=0,0,SSL_DD[[#This Row],[Defect Density]])</f>
        <v>0</v>
      </c>
      <c r="L39" s="87">
        <f ca="1">IF(ISNUMBER(SSL_DD[[#This Row],[Ext Regression %]]),SSL_DD[[#This Row],[Ext Regression %]],IF(ISBLANK(SSL_DD[[#This Row],[Ext Regression %]]),OFFSET(SSL_DD[[#This Row],[Ext Reg]],-1,0),0))</f>
        <v>19.565217971801758</v>
      </c>
      <c r="M39" s="87">
        <f ca="1">IF(ISNUMBER(SSL_DD[[#This Row],[Core Regression %]]),SSL_DD[[#This Row],[Core Regression %]],IF(ISBLANK(SSL_DD[[#This Row],[Core Regression %]]),OFFSET(SSL_DD[[#This Row],[Core Reg]],-1,0),0))</f>
        <v>28.571430206298828</v>
      </c>
      <c r="N39" s="88">
        <f>SSL_DD[[#This Row],[Core]]/SUM(SSL_DD[[#This Row],[Ext]],SSL_DD[[#This Row],[Core]])</f>
        <v>0.2231404958677686</v>
      </c>
    </row>
    <row r="40" spans="1:14">
      <c r="A40" s="83">
        <v>41296.532207789351</v>
      </c>
      <c r="B40" s="84">
        <v>0</v>
      </c>
      <c r="C40" s="84">
        <v>100</v>
      </c>
      <c r="D40" s="84">
        <v>19.565217971801758</v>
      </c>
      <c r="E40" s="84">
        <v>28.571430206298828</v>
      </c>
      <c r="F40" s="84">
        <v>94</v>
      </c>
      <c r="G40" s="84"/>
      <c r="H40" s="84">
        <v>27</v>
      </c>
      <c r="I40" s="85">
        <f t="shared" si="1"/>
        <v>42013</v>
      </c>
      <c r="J40" s="85">
        <f>SSL_DD[[#This Row],[Cumulative done story points]]</f>
        <v>0</v>
      </c>
      <c r="K40" s="85">
        <f>IF(SSL_DD[[#This Row],[Cumulative done story points]]=0,0,SSL_DD[[#This Row],[Defect Density]])</f>
        <v>0</v>
      </c>
      <c r="L40" s="87">
        <f ca="1">IF(ISNUMBER(SSL_DD[[#This Row],[Ext Regression %]]),SSL_DD[[#This Row],[Ext Regression %]],IF(ISBLANK(SSL_DD[[#This Row],[Ext Regression %]]),OFFSET(SSL_DD[[#This Row],[Ext Reg]],-1,0),0))</f>
        <v>19.565217971801758</v>
      </c>
      <c r="M40" s="87">
        <f ca="1">IF(ISNUMBER(SSL_DD[[#This Row],[Core Regression %]]),SSL_DD[[#This Row],[Core Regression %]],IF(ISBLANK(SSL_DD[[#This Row],[Core Regression %]]),OFFSET(SSL_DD[[#This Row],[Core Reg]],-1,0),0))</f>
        <v>28.571430206298828</v>
      </c>
      <c r="N40" s="88">
        <f>SSL_DD[[#This Row],[Core]]/SUM(SSL_DD[[#This Row],[Ext]],SSL_DD[[#This Row],[Core]])</f>
        <v>0.2231404958677686</v>
      </c>
    </row>
    <row r="41" spans="1:14">
      <c r="A41" s="83">
        <v>41303.532207789351</v>
      </c>
      <c r="B41" s="84">
        <v>0</v>
      </c>
      <c r="C41" s="84">
        <v>100</v>
      </c>
      <c r="D41" s="84">
        <v>19.565217971801758</v>
      </c>
      <c r="E41" s="84">
        <v>28.571430206298828</v>
      </c>
      <c r="F41" s="84">
        <v>94</v>
      </c>
      <c r="G41" s="84"/>
      <c r="H41" s="84">
        <v>27</v>
      </c>
      <c r="I41" s="85">
        <f t="shared" si="1"/>
        <v>52013</v>
      </c>
      <c r="J41" s="85">
        <f>SSL_DD[[#This Row],[Cumulative done story points]]</f>
        <v>0</v>
      </c>
      <c r="K41" s="85">
        <f>IF(SSL_DD[[#This Row],[Cumulative done story points]]=0,0,SSL_DD[[#This Row],[Defect Density]])</f>
        <v>0</v>
      </c>
      <c r="L41" s="87">
        <f ca="1">IF(ISNUMBER(SSL_DD[[#This Row],[Ext Regression %]]),SSL_DD[[#This Row],[Ext Regression %]],IF(ISBLANK(SSL_DD[[#This Row],[Ext Regression %]]),OFFSET(SSL_DD[[#This Row],[Ext Reg]],-1,0),0))</f>
        <v>19.565217971801758</v>
      </c>
      <c r="M41" s="87">
        <f ca="1">IF(ISNUMBER(SSL_DD[[#This Row],[Core Regression %]]),SSL_DD[[#This Row],[Core Regression %]],IF(ISBLANK(SSL_DD[[#This Row],[Core Regression %]]),OFFSET(SSL_DD[[#This Row],[Core Reg]],-1,0),0))</f>
        <v>28.571430206298828</v>
      </c>
      <c r="N41" s="88">
        <f>SSL_DD[[#This Row],[Core]]/SUM(SSL_DD[[#This Row],[Ext]],SSL_DD[[#This Row],[Core]])</f>
        <v>0.2231404958677686</v>
      </c>
    </row>
    <row r="42" spans="1:14">
      <c r="A42" s="83">
        <v>41310.532207789351</v>
      </c>
      <c r="B42" s="84">
        <v>0</v>
      </c>
      <c r="C42" s="84">
        <v>100</v>
      </c>
      <c r="D42" s="84">
        <v>19.565217971801758</v>
      </c>
      <c r="E42" s="84">
        <v>28.571430206298828</v>
      </c>
      <c r="F42" s="84">
        <v>94</v>
      </c>
      <c r="G42" s="84"/>
      <c r="H42" s="84">
        <v>27</v>
      </c>
      <c r="I42" s="85">
        <f t="shared" si="1"/>
        <v>62013</v>
      </c>
      <c r="J42" s="85">
        <f>SSL_DD[[#This Row],[Cumulative done story points]]</f>
        <v>0</v>
      </c>
      <c r="K42" s="85">
        <f>IF(SSL_DD[[#This Row],[Cumulative done story points]]=0,0,SSL_DD[[#This Row],[Defect Density]])</f>
        <v>0</v>
      </c>
      <c r="L42" s="87">
        <f ca="1">IF(ISNUMBER(SSL_DD[[#This Row],[Ext Regression %]]),SSL_DD[[#This Row],[Ext Regression %]],IF(ISBLANK(SSL_DD[[#This Row],[Ext Regression %]]),OFFSET(SSL_DD[[#This Row],[Ext Reg]],-1,0),0))</f>
        <v>19.565217971801758</v>
      </c>
      <c r="M42" s="87">
        <f ca="1">IF(ISNUMBER(SSL_DD[[#This Row],[Core Regression %]]),SSL_DD[[#This Row],[Core Regression %]],IF(ISBLANK(SSL_DD[[#This Row],[Core Regression %]]),OFFSET(SSL_DD[[#This Row],[Core Reg]],-1,0),0))</f>
        <v>28.571430206298828</v>
      </c>
      <c r="N42" s="88">
        <f>SSL_DD[[#This Row],[Core]]/SUM(SSL_DD[[#This Row],[Ext]],SSL_DD[[#This Row],[Core]])</f>
        <v>0.2231404958677686</v>
      </c>
    </row>
    <row r="43" spans="1:14">
      <c r="A43" s="83">
        <v>41317.532207789351</v>
      </c>
      <c r="B43" s="84">
        <v>0</v>
      </c>
      <c r="C43" s="84">
        <v>100</v>
      </c>
      <c r="D43" s="84">
        <v>19.565217971801758</v>
      </c>
      <c r="E43" s="84">
        <v>28.571430206298828</v>
      </c>
      <c r="F43" s="84">
        <v>94</v>
      </c>
      <c r="G43" s="84"/>
      <c r="H43" s="84">
        <v>28</v>
      </c>
      <c r="I43" s="85">
        <f t="shared" si="1"/>
        <v>72013</v>
      </c>
      <c r="J43" s="85">
        <f>SSL_DD[[#This Row],[Cumulative done story points]]</f>
        <v>0</v>
      </c>
      <c r="K43" s="85">
        <f>IF(SSL_DD[[#This Row],[Cumulative done story points]]=0,0,SSL_DD[[#This Row],[Defect Density]])</f>
        <v>0</v>
      </c>
      <c r="L43" s="87">
        <f ca="1">IF(ISNUMBER(SSL_DD[[#This Row],[Ext Regression %]]),SSL_DD[[#This Row],[Ext Regression %]],IF(ISBLANK(SSL_DD[[#This Row],[Ext Regression %]]),OFFSET(SSL_DD[[#This Row],[Ext Reg]],-1,0),0))</f>
        <v>19.565217971801758</v>
      </c>
      <c r="M43" s="87">
        <f ca="1">IF(ISNUMBER(SSL_DD[[#This Row],[Core Regression %]]),SSL_DD[[#This Row],[Core Regression %]],IF(ISBLANK(SSL_DD[[#This Row],[Core Regression %]]),OFFSET(SSL_DD[[#This Row],[Core Reg]],-1,0),0))</f>
        <v>28.571430206298828</v>
      </c>
      <c r="N43" s="88">
        <f>SSL_DD[[#This Row],[Core]]/SUM(SSL_DD[[#This Row],[Ext]],SSL_DD[[#This Row],[Core]])</f>
        <v>0.22950819672131148</v>
      </c>
    </row>
    <row r="44" spans="1:14">
      <c r="A44" s="83">
        <v>41324.532207789351</v>
      </c>
      <c r="B44" s="84">
        <v>0</v>
      </c>
      <c r="C44" s="84">
        <v>100</v>
      </c>
      <c r="D44" s="84">
        <v>19.565217971801758</v>
      </c>
      <c r="E44" s="84">
        <v>28.571430206298828</v>
      </c>
      <c r="F44" s="84">
        <v>96</v>
      </c>
      <c r="G44" s="84"/>
      <c r="H44" s="84">
        <v>29</v>
      </c>
      <c r="I44" s="85">
        <f t="shared" si="1"/>
        <v>82013</v>
      </c>
      <c r="J44" s="85">
        <f>SSL_DD[[#This Row],[Cumulative done story points]]</f>
        <v>0</v>
      </c>
      <c r="K44" s="85">
        <f>IF(SSL_DD[[#This Row],[Cumulative done story points]]=0,0,SSL_DD[[#This Row],[Defect Density]])</f>
        <v>0</v>
      </c>
      <c r="L44" s="87">
        <f ca="1">IF(ISNUMBER(SSL_DD[[#This Row],[Ext Regression %]]),SSL_DD[[#This Row],[Ext Regression %]],IF(ISBLANK(SSL_DD[[#This Row],[Ext Regression %]]),OFFSET(SSL_DD[[#This Row],[Ext Reg]],-1,0),0))</f>
        <v>19.565217971801758</v>
      </c>
      <c r="M44" s="87">
        <f ca="1">IF(ISNUMBER(SSL_DD[[#This Row],[Core Regression %]]),SSL_DD[[#This Row],[Core Regression %]],IF(ISBLANK(SSL_DD[[#This Row],[Core Regression %]]),OFFSET(SSL_DD[[#This Row],[Core Reg]],-1,0),0))</f>
        <v>28.571430206298828</v>
      </c>
      <c r="N44" s="88">
        <f>SSL_DD[[#This Row],[Core]]/SUM(SSL_DD[[#This Row],[Ext]],SSL_DD[[#This Row],[Core]])</f>
        <v>0.23200000000000001</v>
      </c>
    </row>
    <row r="45" spans="1:14">
      <c r="A45" s="83">
        <v>41331.532207789351</v>
      </c>
      <c r="B45" s="84">
        <v>0</v>
      </c>
      <c r="C45" s="84">
        <v>100</v>
      </c>
      <c r="D45" s="84">
        <v>19.565217971801758</v>
      </c>
      <c r="E45" s="84">
        <v>28.571430206298828</v>
      </c>
      <c r="F45" s="84">
        <v>96</v>
      </c>
      <c r="G45" s="84"/>
      <c r="H45" s="84">
        <v>30</v>
      </c>
      <c r="I45" s="85">
        <f t="shared" si="1"/>
        <v>92013</v>
      </c>
      <c r="J45" s="85">
        <f>SSL_DD[[#This Row],[Cumulative done story points]]</f>
        <v>0</v>
      </c>
      <c r="K45" s="85">
        <f>IF(SSL_DD[[#This Row],[Cumulative done story points]]=0,0,SSL_DD[[#This Row],[Defect Density]])</f>
        <v>0</v>
      </c>
      <c r="L45" s="87">
        <f ca="1">IF(ISNUMBER(SSL_DD[[#This Row],[Ext Regression %]]),SSL_DD[[#This Row],[Ext Regression %]],IF(ISBLANK(SSL_DD[[#This Row],[Ext Regression %]]),OFFSET(SSL_DD[[#This Row],[Ext Reg]],-1,0),0))</f>
        <v>19.565217971801758</v>
      </c>
      <c r="M45" s="87">
        <f ca="1">IF(ISNUMBER(SSL_DD[[#This Row],[Core Regression %]]),SSL_DD[[#This Row],[Core Regression %]],IF(ISBLANK(SSL_DD[[#This Row],[Core Regression %]]),OFFSET(SSL_DD[[#This Row],[Core Reg]],-1,0),0))</f>
        <v>28.571430206298828</v>
      </c>
      <c r="N45" s="88">
        <f>SSL_DD[[#This Row],[Core]]/SUM(SSL_DD[[#This Row],[Ext]],SSL_DD[[#This Row],[Core]])</f>
        <v>0.23809523809523808</v>
      </c>
    </row>
    <row r="46" spans="1:14">
      <c r="A46" s="83">
        <v>41338.532207789351</v>
      </c>
      <c r="B46" s="84">
        <v>0</v>
      </c>
      <c r="C46" s="84">
        <v>100</v>
      </c>
      <c r="D46" s="84">
        <v>19.565217971801758</v>
      </c>
      <c r="E46" s="84">
        <v>28.571430206298828</v>
      </c>
      <c r="F46" s="84">
        <v>96</v>
      </c>
      <c r="G46" s="84"/>
      <c r="H46" s="84">
        <v>30</v>
      </c>
      <c r="I46" s="85">
        <f t="shared" si="1"/>
        <v>102013</v>
      </c>
      <c r="J46" s="85">
        <f>SSL_DD[[#This Row],[Cumulative done story points]]</f>
        <v>0</v>
      </c>
      <c r="K46" s="85">
        <f>IF(SSL_DD[[#This Row],[Cumulative done story points]]=0,0,SSL_DD[[#This Row],[Defect Density]])</f>
        <v>0</v>
      </c>
      <c r="L46" s="87">
        <f ca="1">IF(ISNUMBER(SSL_DD[[#This Row],[Ext Regression %]]),SSL_DD[[#This Row],[Ext Regression %]],IF(ISBLANK(SSL_DD[[#This Row],[Ext Regression %]]),OFFSET(SSL_DD[[#This Row],[Ext Reg]],-1,0),0))</f>
        <v>19.565217971801758</v>
      </c>
      <c r="M46" s="87">
        <f ca="1">IF(ISNUMBER(SSL_DD[[#This Row],[Core Regression %]]),SSL_DD[[#This Row],[Core Regression %]],IF(ISBLANK(SSL_DD[[#This Row],[Core Regression %]]),OFFSET(SSL_DD[[#This Row],[Core Reg]],-1,0),0))</f>
        <v>28.571430206298828</v>
      </c>
      <c r="N46" s="88">
        <f>SSL_DD[[#This Row],[Core]]/SUM(SSL_DD[[#This Row],[Ext]],SSL_DD[[#This Row],[Core]])</f>
        <v>0.23809523809523808</v>
      </c>
    </row>
    <row r="47" spans="1:14">
      <c r="A47" s="83">
        <v>41345.532207789351</v>
      </c>
      <c r="B47" s="84">
        <v>0</v>
      </c>
      <c r="C47" s="84">
        <v>100</v>
      </c>
      <c r="D47" s="84">
        <v>19.565217971801758</v>
      </c>
      <c r="E47" s="84">
        <v>27.272727966308594</v>
      </c>
      <c r="F47" s="84">
        <v>97</v>
      </c>
      <c r="G47" s="84"/>
      <c r="H47" s="84">
        <v>31</v>
      </c>
      <c r="I47" s="85">
        <f t="shared" si="1"/>
        <v>112013</v>
      </c>
      <c r="J47" s="85">
        <f>SSL_DD[[#This Row],[Cumulative done story points]]</f>
        <v>0</v>
      </c>
      <c r="K47" s="85">
        <f>IF(SSL_DD[[#This Row],[Cumulative done story points]]=0,0,SSL_DD[[#This Row],[Defect Density]])</f>
        <v>0</v>
      </c>
      <c r="L47" s="87">
        <f ca="1">IF(ISNUMBER(SSL_DD[[#This Row],[Ext Regression %]]),SSL_DD[[#This Row],[Ext Regression %]],IF(ISBLANK(SSL_DD[[#This Row],[Ext Regression %]]),OFFSET(SSL_DD[[#This Row],[Ext Reg]],-1,0),0))</f>
        <v>19.565217971801758</v>
      </c>
      <c r="M47" s="87">
        <f ca="1">IF(ISNUMBER(SSL_DD[[#This Row],[Core Regression %]]),SSL_DD[[#This Row],[Core Regression %]],IF(ISBLANK(SSL_DD[[#This Row],[Core Regression %]]),OFFSET(SSL_DD[[#This Row],[Core Reg]],-1,0),0))</f>
        <v>27.272727966308594</v>
      </c>
      <c r="N47" s="88">
        <f>SSL_DD[[#This Row],[Core]]/SUM(SSL_DD[[#This Row],[Ext]],SSL_DD[[#This Row],[Core]])</f>
        <v>0.2421875</v>
      </c>
    </row>
    <row r="48" spans="1:14">
      <c r="A48" s="83">
        <v>41352.532207789351</v>
      </c>
      <c r="B48" s="84">
        <v>0</v>
      </c>
      <c r="C48" s="84">
        <v>100</v>
      </c>
      <c r="D48" s="84">
        <v>19.148937225341797</v>
      </c>
      <c r="E48" s="84">
        <v>30.434782028198242</v>
      </c>
      <c r="F48" s="84">
        <v>98</v>
      </c>
      <c r="G48" s="84"/>
      <c r="H48" s="84">
        <v>32</v>
      </c>
      <c r="I48" s="85">
        <f t="shared" si="1"/>
        <v>122013</v>
      </c>
      <c r="J48" s="85">
        <f>SSL_DD[[#This Row],[Cumulative done story points]]</f>
        <v>0</v>
      </c>
      <c r="K48" s="85">
        <f>IF(SSL_DD[[#This Row],[Cumulative done story points]]=0,0,SSL_DD[[#This Row],[Defect Density]])</f>
        <v>0</v>
      </c>
      <c r="L48" s="87">
        <f ca="1">IF(ISNUMBER(SSL_DD[[#This Row],[Ext Regression %]]),SSL_DD[[#This Row],[Ext Regression %]],IF(ISBLANK(SSL_DD[[#This Row],[Ext Regression %]]),OFFSET(SSL_DD[[#This Row],[Ext Reg]],-1,0),0))</f>
        <v>19.148937225341797</v>
      </c>
      <c r="M48" s="87">
        <f ca="1">IF(ISNUMBER(SSL_DD[[#This Row],[Core Regression %]]),SSL_DD[[#This Row],[Core Regression %]],IF(ISBLANK(SSL_DD[[#This Row],[Core Regression %]]),OFFSET(SSL_DD[[#This Row],[Core Reg]],-1,0),0))</f>
        <v>30.434782028198242</v>
      </c>
      <c r="N48" s="88">
        <f>SSL_DD[[#This Row],[Core]]/SUM(SSL_DD[[#This Row],[Ext]],SSL_DD[[#This Row],[Core]])</f>
        <v>0.24615384615384617</v>
      </c>
    </row>
    <row r="49" spans="1:14">
      <c r="A49" s="83">
        <v>41359.532207789351</v>
      </c>
      <c r="B49" s="84">
        <v>0</v>
      </c>
      <c r="C49" s="84">
        <v>100</v>
      </c>
      <c r="D49" s="84">
        <v>19.148937225341797</v>
      </c>
      <c r="E49" s="84">
        <v>30.434782028198242</v>
      </c>
      <c r="F49" s="84">
        <v>98</v>
      </c>
      <c r="G49" s="84"/>
      <c r="H49" s="84">
        <v>32</v>
      </c>
      <c r="I49" s="85">
        <f t="shared" si="1"/>
        <v>132013</v>
      </c>
      <c r="J49" s="85">
        <f>SSL_DD[[#This Row],[Cumulative done story points]]</f>
        <v>0</v>
      </c>
      <c r="K49" s="85">
        <f>IF(SSL_DD[[#This Row],[Cumulative done story points]]=0,0,SSL_DD[[#This Row],[Defect Density]])</f>
        <v>0</v>
      </c>
      <c r="L49" s="87">
        <f ca="1">IF(ISNUMBER(SSL_DD[[#This Row],[Ext Regression %]]),SSL_DD[[#This Row],[Ext Regression %]],IF(ISBLANK(SSL_DD[[#This Row],[Ext Regression %]]),OFFSET(SSL_DD[[#This Row],[Ext Reg]],-1,0),0))</f>
        <v>19.148937225341797</v>
      </c>
      <c r="M49" s="87">
        <f ca="1">IF(ISNUMBER(SSL_DD[[#This Row],[Core Regression %]]),SSL_DD[[#This Row],[Core Regression %]],IF(ISBLANK(SSL_DD[[#This Row],[Core Regression %]]),OFFSET(SSL_DD[[#This Row],[Core Reg]],-1,0),0))</f>
        <v>30.434782028198242</v>
      </c>
      <c r="N49" s="88">
        <f>SSL_DD[[#This Row],[Core]]/SUM(SSL_DD[[#This Row],[Ext]],SSL_DD[[#This Row],[Core]])</f>
        <v>0.24615384615384617</v>
      </c>
    </row>
    <row r="50" spans="1:14">
      <c r="A50" s="83">
        <v>41366.532207789351</v>
      </c>
      <c r="B50" s="84">
        <v>0</v>
      </c>
      <c r="C50" s="84">
        <v>100</v>
      </c>
      <c r="D50" s="84">
        <v>20.833332061767578</v>
      </c>
      <c r="E50" s="84">
        <v>30.434782028198242</v>
      </c>
      <c r="F50" s="84">
        <v>99</v>
      </c>
      <c r="G50" s="84"/>
      <c r="H50" s="84">
        <v>32</v>
      </c>
      <c r="I50" s="85">
        <f t="shared" si="1"/>
        <v>142013</v>
      </c>
      <c r="J50" s="85">
        <f>SSL_DD[[#This Row],[Cumulative done story points]]</f>
        <v>0</v>
      </c>
      <c r="K50" s="85">
        <f>IF(SSL_DD[[#This Row],[Cumulative done story points]]=0,0,SSL_DD[[#This Row],[Defect Density]])</f>
        <v>0</v>
      </c>
      <c r="L50" s="87">
        <f ca="1">IF(ISNUMBER(SSL_DD[[#This Row],[Ext Regression %]]),SSL_DD[[#This Row],[Ext Regression %]],IF(ISBLANK(SSL_DD[[#This Row],[Ext Regression %]]),OFFSET(SSL_DD[[#This Row],[Ext Reg]],-1,0),0))</f>
        <v>20.833332061767578</v>
      </c>
      <c r="M50" s="87">
        <f ca="1">IF(ISNUMBER(SSL_DD[[#This Row],[Core Regression %]]),SSL_DD[[#This Row],[Core Regression %]],IF(ISBLANK(SSL_DD[[#This Row],[Core Regression %]]),OFFSET(SSL_DD[[#This Row],[Core Reg]],-1,0),0))</f>
        <v>30.434782028198242</v>
      </c>
      <c r="N50" s="88">
        <f>SSL_DD[[#This Row],[Core]]/SUM(SSL_DD[[#This Row],[Ext]],SSL_DD[[#This Row],[Core]])</f>
        <v>0.24427480916030533</v>
      </c>
    </row>
    <row r="51" spans="1:14">
      <c r="A51" s="83">
        <v>41373.532207789351</v>
      </c>
      <c r="B51" s="84">
        <v>0</v>
      </c>
      <c r="C51" s="84">
        <v>100</v>
      </c>
      <c r="D51" s="84">
        <v>20.833332061767578</v>
      </c>
      <c r="E51" s="84">
        <v>30.434782028198242</v>
      </c>
      <c r="F51" s="84">
        <v>99</v>
      </c>
      <c r="G51" s="84"/>
      <c r="H51" s="84">
        <v>32</v>
      </c>
      <c r="I51" s="85">
        <f t="shared" si="1"/>
        <v>152013</v>
      </c>
      <c r="J51" s="85">
        <f>SSL_DD[[#This Row],[Cumulative done story points]]</f>
        <v>0</v>
      </c>
      <c r="K51" s="85">
        <f>IF(SSL_DD[[#This Row],[Cumulative done story points]]=0,0,SSL_DD[[#This Row],[Defect Density]])</f>
        <v>0</v>
      </c>
      <c r="L51" s="87">
        <f ca="1">IF(ISNUMBER(SSL_DD[[#This Row],[Ext Regression %]]),SSL_DD[[#This Row],[Ext Regression %]],IF(ISBLANK(SSL_DD[[#This Row],[Ext Regression %]]),OFFSET(SSL_DD[[#This Row],[Ext Reg]],-1,0),0))</f>
        <v>20.833332061767578</v>
      </c>
      <c r="M51" s="87">
        <f ca="1">IF(ISNUMBER(SSL_DD[[#This Row],[Core Regression %]]),SSL_DD[[#This Row],[Core Regression %]],IF(ISBLANK(SSL_DD[[#This Row],[Core Regression %]]),OFFSET(SSL_DD[[#This Row],[Core Reg]],-1,0),0))</f>
        <v>30.434782028198242</v>
      </c>
      <c r="N51" s="88">
        <f>SSL_DD[[#This Row],[Core]]/SUM(SSL_DD[[#This Row],[Ext]],SSL_DD[[#This Row],[Core]])</f>
        <v>0.24427480916030533</v>
      </c>
    </row>
    <row r="52" spans="1:14">
      <c r="A52" s="83">
        <v>41380.532207789351</v>
      </c>
      <c r="B52" s="84">
        <v>0</v>
      </c>
      <c r="C52" s="84">
        <v>100</v>
      </c>
      <c r="D52" s="84">
        <v>20.833332061767578</v>
      </c>
      <c r="E52" s="84">
        <v>30.434782028198242</v>
      </c>
      <c r="F52" s="84">
        <v>100</v>
      </c>
      <c r="G52" s="84"/>
      <c r="H52" s="84">
        <v>32</v>
      </c>
      <c r="I52" s="85">
        <f t="shared" si="1"/>
        <v>162013</v>
      </c>
      <c r="J52" s="85">
        <f>SSL_DD[[#This Row],[Cumulative done story points]]</f>
        <v>0</v>
      </c>
      <c r="K52" s="85">
        <f>IF(SSL_DD[[#This Row],[Cumulative done story points]]=0,0,SSL_DD[[#This Row],[Defect Density]])</f>
        <v>0</v>
      </c>
      <c r="L52" s="87">
        <f ca="1">IF(ISNUMBER(SSL_DD[[#This Row],[Ext Regression %]]),SSL_DD[[#This Row],[Ext Regression %]],IF(ISBLANK(SSL_DD[[#This Row],[Ext Regression %]]),OFFSET(SSL_DD[[#This Row],[Ext Reg]],-1,0),0))</f>
        <v>20.833332061767578</v>
      </c>
      <c r="M52" s="87">
        <f ca="1">IF(ISNUMBER(SSL_DD[[#This Row],[Core Regression %]]),SSL_DD[[#This Row],[Core Regression %]],IF(ISBLANK(SSL_DD[[#This Row],[Core Regression %]]),OFFSET(SSL_DD[[#This Row],[Core Reg]],-1,0),0))</f>
        <v>30.434782028198242</v>
      </c>
      <c r="N52" s="88">
        <f>SSL_DD[[#This Row],[Core]]/SUM(SSL_DD[[#This Row],[Ext]],SSL_DD[[#This Row],[Core]])</f>
        <v>0.24242424242424243</v>
      </c>
    </row>
    <row r="53" spans="1:14">
      <c r="A53" s="83">
        <v>41387.532207789351</v>
      </c>
      <c r="B53" s="84">
        <v>0</v>
      </c>
      <c r="C53" s="84">
        <v>100</v>
      </c>
      <c r="D53" s="84">
        <v>20.833332061767578</v>
      </c>
      <c r="E53" s="84">
        <v>30.434782028198242</v>
      </c>
      <c r="F53" s="84">
        <v>100</v>
      </c>
      <c r="G53" s="84"/>
      <c r="H53" s="84">
        <v>32</v>
      </c>
      <c r="I53" s="85">
        <f t="shared" si="1"/>
        <v>172013</v>
      </c>
      <c r="J53" s="85">
        <f>SSL_DD[[#This Row],[Cumulative done story points]]</f>
        <v>0</v>
      </c>
      <c r="K53" s="85">
        <f>IF(SSL_DD[[#This Row],[Cumulative done story points]]=0,0,SSL_DD[[#This Row],[Defect Density]])</f>
        <v>0</v>
      </c>
      <c r="L53" s="87">
        <f ca="1">IF(ISNUMBER(SSL_DD[[#This Row],[Ext Regression %]]),SSL_DD[[#This Row],[Ext Regression %]],IF(ISBLANK(SSL_DD[[#This Row],[Ext Regression %]]),OFFSET(SSL_DD[[#This Row],[Ext Reg]],-1,0),0))</f>
        <v>20.833332061767578</v>
      </c>
      <c r="M53" s="87">
        <f ca="1">IF(ISNUMBER(SSL_DD[[#This Row],[Core Regression %]]),SSL_DD[[#This Row],[Core Regression %]],IF(ISBLANK(SSL_DD[[#This Row],[Core Regression %]]),OFFSET(SSL_DD[[#This Row],[Core Reg]],-1,0),0))</f>
        <v>30.434782028198242</v>
      </c>
      <c r="N53" s="88">
        <f>SSL_DD[[#This Row],[Core]]/SUM(SSL_DD[[#This Row],[Ext]],SSL_DD[[#This Row],[Core]])</f>
        <v>0.24242424242424243</v>
      </c>
    </row>
    <row r="54" spans="1:14">
      <c r="A54" s="83">
        <v>41394.532207789351</v>
      </c>
      <c r="B54" s="84">
        <v>0</v>
      </c>
      <c r="C54" s="84">
        <v>100</v>
      </c>
      <c r="D54" s="84">
        <v>19.230770111083984</v>
      </c>
      <c r="E54" s="84">
        <v>30.434782028198242</v>
      </c>
      <c r="F54" s="84">
        <v>105</v>
      </c>
      <c r="G54" s="84"/>
      <c r="H54" s="84">
        <v>32</v>
      </c>
      <c r="I54" s="85">
        <f t="shared" si="1"/>
        <v>182013</v>
      </c>
      <c r="J54" s="85">
        <f>SSL_DD[[#This Row],[Cumulative done story points]]</f>
        <v>0</v>
      </c>
      <c r="K54" s="85">
        <f>IF(SSL_DD[[#This Row],[Cumulative done story points]]=0,0,SSL_DD[[#This Row],[Defect Density]])</f>
        <v>0</v>
      </c>
      <c r="L54" s="87">
        <f ca="1">IF(ISNUMBER(SSL_DD[[#This Row],[Ext Regression %]]),SSL_DD[[#This Row],[Ext Regression %]],IF(ISBLANK(SSL_DD[[#This Row],[Ext Regression %]]),OFFSET(SSL_DD[[#This Row],[Ext Reg]],-1,0),0))</f>
        <v>19.230770111083984</v>
      </c>
      <c r="M54" s="87">
        <f ca="1">IF(ISNUMBER(SSL_DD[[#This Row],[Core Regression %]]),SSL_DD[[#This Row],[Core Regression %]],IF(ISBLANK(SSL_DD[[#This Row],[Core Regression %]]),OFFSET(SSL_DD[[#This Row],[Core Reg]],-1,0),0))</f>
        <v>30.434782028198242</v>
      </c>
      <c r="N54" s="88">
        <f>SSL_DD[[#This Row],[Core]]/SUM(SSL_DD[[#This Row],[Ext]],SSL_DD[[#This Row],[Core]])</f>
        <v>0.23357664233576642</v>
      </c>
    </row>
    <row r="55" spans="1:14">
      <c r="A55" s="83">
        <v>41401.532207789351</v>
      </c>
      <c r="B55" s="84">
        <v>0</v>
      </c>
      <c r="C55" s="84">
        <v>100</v>
      </c>
      <c r="D55" s="84">
        <v>18.867925643920898</v>
      </c>
      <c r="E55" s="84">
        <v>29.166666030883789</v>
      </c>
      <c r="F55" s="84">
        <v>106</v>
      </c>
      <c r="G55" s="84"/>
      <c r="H55" s="84">
        <v>33</v>
      </c>
      <c r="I55" s="85">
        <f t="shared" si="1"/>
        <v>192013</v>
      </c>
      <c r="J55" s="85">
        <f>SSL_DD[[#This Row],[Cumulative done story points]]</f>
        <v>0</v>
      </c>
      <c r="K55" s="85">
        <f>IF(SSL_DD[[#This Row],[Cumulative done story points]]=0,0,SSL_DD[[#This Row],[Defect Density]])</f>
        <v>0</v>
      </c>
      <c r="L55" s="87">
        <f ca="1">IF(ISNUMBER(SSL_DD[[#This Row],[Ext Regression %]]),SSL_DD[[#This Row],[Ext Regression %]],IF(ISBLANK(SSL_DD[[#This Row],[Ext Regression %]]),OFFSET(SSL_DD[[#This Row],[Ext Reg]],-1,0),0))</f>
        <v>18.867925643920898</v>
      </c>
      <c r="M55" s="87">
        <f ca="1">IF(ISNUMBER(SSL_DD[[#This Row],[Core Regression %]]),SSL_DD[[#This Row],[Core Regression %]],IF(ISBLANK(SSL_DD[[#This Row],[Core Regression %]]),OFFSET(SSL_DD[[#This Row],[Core Reg]],-1,0),0))</f>
        <v>29.166666030883789</v>
      </c>
      <c r="N55" s="88">
        <f>SSL_DD[[#This Row],[Core]]/SUM(SSL_DD[[#This Row],[Ext]],SSL_DD[[#This Row],[Core]])</f>
        <v>0.23741007194244604</v>
      </c>
    </row>
    <row r="56" spans="1:14">
      <c r="A56" s="83">
        <v>41408.532207789351</v>
      </c>
      <c r="B56" s="84">
        <v>0</v>
      </c>
      <c r="C56" s="84">
        <v>100</v>
      </c>
      <c r="D56" s="84">
        <v>18.867925643920898</v>
      </c>
      <c r="E56" s="84">
        <v>29.166666030883789</v>
      </c>
      <c r="F56" s="84">
        <v>106</v>
      </c>
      <c r="G56" s="84"/>
      <c r="H56" s="84">
        <v>33</v>
      </c>
      <c r="I56" s="85">
        <f t="shared" si="1"/>
        <v>202013</v>
      </c>
      <c r="J56" s="85">
        <f>SSL_DD[[#This Row],[Cumulative done story points]]</f>
        <v>0</v>
      </c>
      <c r="K56" s="85">
        <f>IF(SSL_DD[[#This Row],[Cumulative done story points]]=0,0,SSL_DD[[#This Row],[Defect Density]])</f>
        <v>0</v>
      </c>
      <c r="L56" s="87">
        <f ca="1">IF(ISNUMBER(SSL_DD[[#This Row],[Ext Regression %]]),SSL_DD[[#This Row],[Ext Regression %]],IF(ISBLANK(SSL_DD[[#This Row],[Ext Regression %]]),OFFSET(SSL_DD[[#This Row],[Ext Reg]],-1,0),0))</f>
        <v>18.867925643920898</v>
      </c>
      <c r="M56" s="87">
        <f ca="1">IF(ISNUMBER(SSL_DD[[#This Row],[Core Regression %]]),SSL_DD[[#This Row],[Core Regression %]],IF(ISBLANK(SSL_DD[[#This Row],[Core Regression %]]),OFFSET(SSL_DD[[#This Row],[Core Reg]],-1,0),0))</f>
        <v>29.166666030883789</v>
      </c>
      <c r="N56" s="88">
        <f>SSL_DD[[#This Row],[Core]]/SUM(SSL_DD[[#This Row],[Ext]],SSL_DD[[#This Row],[Core]])</f>
        <v>0.23741007194244604</v>
      </c>
    </row>
    <row r="57" spans="1:14">
      <c r="A57" s="83">
        <v>41415.532207789351</v>
      </c>
      <c r="B57" s="84">
        <v>0</v>
      </c>
      <c r="C57" s="84">
        <v>100</v>
      </c>
      <c r="D57" s="84">
        <v>17.543859481811523</v>
      </c>
      <c r="E57" s="84">
        <v>29.166666030883789</v>
      </c>
      <c r="F57" s="84">
        <v>110</v>
      </c>
      <c r="G57" s="84"/>
      <c r="H57" s="84">
        <v>33</v>
      </c>
      <c r="I57" s="85">
        <f t="shared" si="1"/>
        <v>212013</v>
      </c>
      <c r="J57" s="85">
        <f>SSL_DD[[#This Row],[Cumulative done story points]]</f>
        <v>0</v>
      </c>
      <c r="K57" s="85">
        <f>IF(SSL_DD[[#This Row],[Cumulative done story points]]=0,0,SSL_DD[[#This Row],[Defect Density]])</f>
        <v>0</v>
      </c>
      <c r="L57" s="87">
        <f ca="1">IF(ISNUMBER(SSL_DD[[#This Row],[Ext Regression %]]),SSL_DD[[#This Row],[Ext Regression %]],IF(ISBLANK(SSL_DD[[#This Row],[Ext Regression %]]),OFFSET(SSL_DD[[#This Row],[Ext Reg]],-1,0),0))</f>
        <v>17.543859481811523</v>
      </c>
      <c r="M57" s="87">
        <f ca="1">IF(ISNUMBER(SSL_DD[[#This Row],[Core Regression %]]),SSL_DD[[#This Row],[Core Regression %]],IF(ISBLANK(SSL_DD[[#This Row],[Core Regression %]]),OFFSET(SSL_DD[[#This Row],[Core Reg]],-1,0),0))</f>
        <v>29.166666030883789</v>
      </c>
      <c r="N57" s="88">
        <f>SSL_DD[[#This Row],[Core]]/SUM(SSL_DD[[#This Row],[Ext]],SSL_DD[[#This Row],[Core]])</f>
        <v>0.23076923076923078</v>
      </c>
    </row>
    <row r="58" spans="1:14">
      <c r="A58" s="83">
        <v>41422.532207789351</v>
      </c>
      <c r="B58" s="84">
        <v>0</v>
      </c>
      <c r="C58" s="84">
        <v>100</v>
      </c>
      <c r="D58" s="84">
        <v>16.129032135009766</v>
      </c>
      <c r="E58" s="84">
        <v>28</v>
      </c>
      <c r="F58" s="84">
        <v>115</v>
      </c>
      <c r="G58" s="84"/>
      <c r="H58" s="84">
        <v>34</v>
      </c>
      <c r="I58" s="85">
        <f t="shared" si="1"/>
        <v>222013</v>
      </c>
      <c r="J58" s="85">
        <f>SSL_DD[[#This Row],[Cumulative done story points]]</f>
        <v>0</v>
      </c>
      <c r="K58" s="85">
        <f>IF(SSL_DD[[#This Row],[Cumulative done story points]]=0,0,SSL_DD[[#This Row],[Defect Density]])</f>
        <v>0</v>
      </c>
      <c r="L58" s="87">
        <f ca="1">IF(ISNUMBER(SSL_DD[[#This Row],[Ext Regression %]]),SSL_DD[[#This Row],[Ext Regression %]],IF(ISBLANK(SSL_DD[[#This Row],[Ext Regression %]]),OFFSET(SSL_DD[[#This Row],[Ext Reg]],-1,0),0))</f>
        <v>16.129032135009766</v>
      </c>
      <c r="M58" s="87">
        <f ca="1">IF(ISNUMBER(SSL_DD[[#This Row],[Core Regression %]]),SSL_DD[[#This Row],[Core Regression %]],IF(ISBLANK(SSL_DD[[#This Row],[Core Regression %]]),OFFSET(SSL_DD[[#This Row],[Core Reg]],-1,0),0))</f>
        <v>28</v>
      </c>
      <c r="N58" s="88">
        <f>SSL_DD[[#This Row],[Core]]/SUM(SSL_DD[[#This Row],[Ext]],SSL_DD[[#This Row],[Core]])</f>
        <v>0.22818791946308725</v>
      </c>
    </row>
    <row r="59" spans="1:14">
      <c r="A59" s="83">
        <v>41429.532207789351</v>
      </c>
      <c r="B59" s="84">
        <v>0</v>
      </c>
      <c r="C59" s="84">
        <v>100</v>
      </c>
      <c r="D59" s="84">
        <v>15.625</v>
      </c>
      <c r="E59" s="84">
        <v>28</v>
      </c>
      <c r="F59" s="84">
        <v>118</v>
      </c>
      <c r="G59" s="84"/>
      <c r="H59" s="84">
        <v>34</v>
      </c>
      <c r="I59" s="85">
        <f t="shared" si="1"/>
        <v>232013</v>
      </c>
      <c r="J59" s="85">
        <f>SSL_DD[[#This Row],[Cumulative done story points]]</f>
        <v>0</v>
      </c>
      <c r="K59" s="85">
        <f>IF(SSL_DD[[#This Row],[Cumulative done story points]]=0,0,SSL_DD[[#This Row],[Defect Density]])</f>
        <v>0</v>
      </c>
      <c r="L59" s="87">
        <f ca="1">IF(ISNUMBER(SSL_DD[[#This Row],[Ext Regression %]]),SSL_DD[[#This Row],[Ext Regression %]],IF(ISBLANK(SSL_DD[[#This Row],[Ext Regression %]]),OFFSET(SSL_DD[[#This Row],[Ext Reg]],-1,0),0))</f>
        <v>15.625</v>
      </c>
      <c r="M59" s="87">
        <f ca="1">IF(ISNUMBER(SSL_DD[[#This Row],[Core Regression %]]),SSL_DD[[#This Row],[Core Regression %]],IF(ISBLANK(SSL_DD[[#This Row],[Core Regression %]]),OFFSET(SSL_DD[[#This Row],[Core Reg]],-1,0),0))</f>
        <v>28</v>
      </c>
      <c r="N59" s="88">
        <f>SSL_DD[[#This Row],[Core]]/SUM(SSL_DD[[#This Row],[Ext]],SSL_DD[[#This Row],[Core]])</f>
        <v>0.22368421052631579</v>
      </c>
    </row>
    <row r="60" spans="1:14">
      <c r="A60" s="83">
        <v>41436.532207789351</v>
      </c>
      <c r="B60" s="84">
        <v>0</v>
      </c>
      <c r="C60" s="84">
        <v>100</v>
      </c>
      <c r="D60" s="84">
        <v>15.625</v>
      </c>
      <c r="E60" s="84">
        <v>28</v>
      </c>
      <c r="F60" s="84">
        <v>118</v>
      </c>
      <c r="G60" s="84"/>
      <c r="H60" s="84">
        <v>34</v>
      </c>
      <c r="I60" s="85">
        <f t="shared" si="1"/>
        <v>242013</v>
      </c>
      <c r="J60" s="85">
        <f>SSL_DD[[#This Row],[Cumulative done story points]]</f>
        <v>0</v>
      </c>
      <c r="K60" s="85">
        <f>IF(SSL_DD[[#This Row],[Cumulative done story points]]=0,0,SSL_DD[[#This Row],[Defect Density]])</f>
        <v>0</v>
      </c>
      <c r="L60" s="87">
        <f ca="1">IF(ISNUMBER(SSL_DD[[#This Row],[Ext Regression %]]),SSL_DD[[#This Row],[Ext Regression %]],IF(ISBLANK(SSL_DD[[#This Row],[Ext Regression %]]),OFFSET(SSL_DD[[#This Row],[Ext Reg]],-1,0),0))</f>
        <v>15.625</v>
      </c>
      <c r="M60" s="87">
        <f ca="1">IF(ISNUMBER(SSL_DD[[#This Row],[Core Regression %]]),SSL_DD[[#This Row],[Core Regression %]],IF(ISBLANK(SSL_DD[[#This Row],[Core Regression %]]),OFFSET(SSL_DD[[#This Row],[Core Reg]],-1,0),0))</f>
        <v>28</v>
      </c>
      <c r="N60" s="88">
        <f>SSL_DD[[#This Row],[Core]]/SUM(SSL_DD[[#This Row],[Ext]],SSL_DD[[#This Row],[Core]])</f>
        <v>0.22368421052631579</v>
      </c>
    </row>
    <row r="61" spans="1:14">
      <c r="A61" s="83">
        <v>41443.532207789351</v>
      </c>
      <c r="B61" s="84">
        <v>0</v>
      </c>
      <c r="C61" s="84">
        <v>100</v>
      </c>
      <c r="D61" s="84">
        <v>14.285715103149414</v>
      </c>
      <c r="E61" s="84">
        <v>28</v>
      </c>
      <c r="F61" s="84">
        <v>125</v>
      </c>
      <c r="G61" s="84"/>
      <c r="H61" s="84">
        <v>34</v>
      </c>
      <c r="I61" s="85">
        <f t="shared" si="1"/>
        <v>252013</v>
      </c>
      <c r="J61" s="85">
        <f>SSL_DD[[#This Row],[Cumulative done story points]]</f>
        <v>0</v>
      </c>
      <c r="K61" s="85">
        <f>IF(SSL_DD[[#This Row],[Cumulative done story points]]=0,0,SSL_DD[[#This Row],[Defect Density]])</f>
        <v>0</v>
      </c>
      <c r="L61" s="87">
        <f ca="1">IF(ISNUMBER(SSL_DD[[#This Row],[Ext Regression %]]),SSL_DD[[#This Row],[Ext Regression %]],IF(ISBLANK(SSL_DD[[#This Row],[Ext Regression %]]),OFFSET(SSL_DD[[#This Row],[Ext Reg]],-1,0),0))</f>
        <v>14.285715103149414</v>
      </c>
      <c r="M61" s="87">
        <f ca="1">IF(ISNUMBER(SSL_DD[[#This Row],[Core Regression %]]),SSL_DD[[#This Row],[Core Regression %]],IF(ISBLANK(SSL_DD[[#This Row],[Core Regression %]]),OFFSET(SSL_DD[[#This Row],[Core Reg]],-1,0),0))</f>
        <v>28</v>
      </c>
      <c r="N61" s="88">
        <f>SSL_DD[[#This Row],[Core]]/SUM(SSL_DD[[#This Row],[Ext]],SSL_DD[[#This Row],[Core]])</f>
        <v>0.21383647798742139</v>
      </c>
    </row>
    <row r="62" spans="1:14">
      <c r="A62" s="83">
        <v>41450.532207789351</v>
      </c>
      <c r="B62" s="84">
        <v>0</v>
      </c>
      <c r="C62" s="84">
        <v>100</v>
      </c>
      <c r="D62" s="84">
        <v>12.658227920532227</v>
      </c>
      <c r="E62" s="84">
        <v>26.923078536987305</v>
      </c>
      <c r="F62" s="84">
        <v>135</v>
      </c>
      <c r="G62" s="84"/>
      <c r="H62" s="84">
        <v>35</v>
      </c>
      <c r="I62" s="85">
        <f t="shared" si="1"/>
        <v>262013</v>
      </c>
      <c r="J62" s="85">
        <f>SSL_DD[[#This Row],[Cumulative done story points]]</f>
        <v>0</v>
      </c>
      <c r="K62" s="85">
        <f>IF(SSL_DD[[#This Row],[Cumulative done story points]]=0,0,SSL_DD[[#This Row],[Defect Density]])</f>
        <v>0</v>
      </c>
      <c r="L62" s="87">
        <f ca="1">IF(ISNUMBER(SSL_DD[[#This Row],[Ext Regression %]]),SSL_DD[[#This Row],[Ext Regression %]],IF(ISBLANK(SSL_DD[[#This Row],[Ext Regression %]]),OFFSET(SSL_DD[[#This Row],[Ext Reg]],-1,0),0))</f>
        <v>12.658227920532227</v>
      </c>
      <c r="M62" s="87">
        <f ca="1">IF(ISNUMBER(SSL_DD[[#This Row],[Core Regression %]]),SSL_DD[[#This Row],[Core Regression %]],IF(ISBLANK(SSL_DD[[#This Row],[Core Regression %]]),OFFSET(SSL_DD[[#This Row],[Core Reg]],-1,0),0))</f>
        <v>26.923078536987305</v>
      </c>
      <c r="N62" s="88">
        <f>SSL_DD[[#This Row],[Core]]/SUM(SSL_DD[[#This Row],[Ext]],SSL_DD[[#This Row],[Core]])</f>
        <v>0.20588235294117646</v>
      </c>
    </row>
    <row r="63" spans="1:14">
      <c r="A63" s="83">
        <v>41457.532207789351</v>
      </c>
      <c r="B63" s="84">
        <v>0</v>
      </c>
      <c r="C63" s="84">
        <v>100</v>
      </c>
      <c r="D63" s="84">
        <v>11.494253158569336</v>
      </c>
      <c r="E63" s="84">
        <v>26.923078536987305</v>
      </c>
      <c r="F63" s="84">
        <v>144</v>
      </c>
      <c r="G63" s="84"/>
      <c r="H63" s="84">
        <v>35</v>
      </c>
      <c r="I63" s="85">
        <f t="shared" si="1"/>
        <v>272013</v>
      </c>
      <c r="J63" s="85">
        <f>SSL_DD[[#This Row],[Cumulative done story points]]</f>
        <v>0</v>
      </c>
      <c r="K63" s="85">
        <f>IF(SSL_DD[[#This Row],[Cumulative done story points]]=0,0,SSL_DD[[#This Row],[Defect Density]])</f>
        <v>0</v>
      </c>
      <c r="L63" s="87">
        <f ca="1">IF(ISNUMBER(SSL_DD[[#This Row],[Ext Regression %]]),SSL_DD[[#This Row],[Ext Regression %]],IF(ISBLANK(SSL_DD[[#This Row],[Ext Regression %]]),OFFSET(SSL_DD[[#This Row],[Ext Reg]],-1,0),0))</f>
        <v>11.494253158569336</v>
      </c>
      <c r="M63" s="87">
        <f ca="1">IF(ISNUMBER(SSL_DD[[#This Row],[Core Regression %]]),SSL_DD[[#This Row],[Core Regression %]],IF(ISBLANK(SSL_DD[[#This Row],[Core Regression %]]),OFFSET(SSL_DD[[#This Row],[Core Reg]],-1,0),0))</f>
        <v>26.923078536987305</v>
      </c>
      <c r="N63" s="88">
        <f>SSL_DD[[#This Row],[Core]]/SUM(SSL_DD[[#This Row],[Ext]],SSL_DD[[#This Row],[Core]])</f>
        <v>0.19553072625698323</v>
      </c>
    </row>
    <row r="64" spans="1:14">
      <c r="A64" s="83">
        <v>41464.532207789351</v>
      </c>
      <c r="B64" s="84">
        <v>0</v>
      </c>
      <c r="C64" s="84">
        <v>100</v>
      </c>
      <c r="D64" s="84">
        <v>10.416666030883789</v>
      </c>
      <c r="E64" s="84">
        <v>25.925926208496094</v>
      </c>
      <c r="F64" s="84">
        <v>154</v>
      </c>
      <c r="G64" s="84"/>
      <c r="H64" s="84">
        <v>36</v>
      </c>
      <c r="I64" s="85">
        <f t="shared" si="1"/>
        <v>282013</v>
      </c>
      <c r="J64" s="85">
        <f>SSL_DD[[#This Row],[Cumulative done story points]]</f>
        <v>0</v>
      </c>
      <c r="K64" s="85">
        <f>IF(SSL_DD[[#This Row],[Cumulative done story points]]=0,0,SSL_DD[[#This Row],[Defect Density]])</f>
        <v>0</v>
      </c>
      <c r="L64" s="87">
        <f ca="1">IF(ISNUMBER(SSL_DD[[#This Row],[Ext Regression %]]),SSL_DD[[#This Row],[Ext Regression %]],IF(ISBLANK(SSL_DD[[#This Row],[Ext Regression %]]),OFFSET(SSL_DD[[#This Row],[Ext Reg]],-1,0),0))</f>
        <v>10.416666030883789</v>
      </c>
      <c r="M64" s="87">
        <f ca="1">IF(ISNUMBER(SSL_DD[[#This Row],[Core Regression %]]),SSL_DD[[#This Row],[Core Regression %]],IF(ISBLANK(SSL_DD[[#This Row],[Core Regression %]]),OFFSET(SSL_DD[[#This Row],[Core Reg]],-1,0),0))</f>
        <v>25.925926208496094</v>
      </c>
      <c r="N64" s="88">
        <f>SSL_DD[[#This Row],[Core]]/SUM(SSL_DD[[#This Row],[Ext]],SSL_DD[[#This Row],[Core]])</f>
        <v>0.18947368421052632</v>
      </c>
    </row>
    <row r="65" spans="1:14">
      <c r="A65" s="83">
        <v>41471.532207789351</v>
      </c>
      <c r="B65" s="84">
        <v>0</v>
      </c>
      <c r="C65" s="84">
        <v>100</v>
      </c>
      <c r="D65" s="84">
        <v>8.4033613204956055</v>
      </c>
      <c r="E65" s="84">
        <v>25.925926208496094</v>
      </c>
      <c r="F65" s="84">
        <v>179</v>
      </c>
      <c r="G65" s="84"/>
      <c r="H65" s="84">
        <v>36</v>
      </c>
      <c r="I65" s="85">
        <f t="shared" si="1"/>
        <v>292013</v>
      </c>
      <c r="J65" s="85">
        <f>SSL_DD[[#This Row],[Cumulative done story points]]</f>
        <v>0</v>
      </c>
      <c r="K65" s="85">
        <f>IF(SSL_DD[[#This Row],[Cumulative done story points]]=0,0,SSL_DD[[#This Row],[Defect Density]])</f>
        <v>0</v>
      </c>
      <c r="L65" s="87">
        <f ca="1">IF(ISNUMBER(SSL_DD[[#This Row],[Ext Regression %]]),SSL_DD[[#This Row],[Ext Regression %]],IF(ISBLANK(SSL_DD[[#This Row],[Ext Regression %]]),OFFSET(SSL_DD[[#This Row],[Ext Reg]],-1,0),0))</f>
        <v>8.4033613204956055</v>
      </c>
      <c r="M65" s="87">
        <f ca="1">IF(ISNUMBER(SSL_DD[[#This Row],[Core Regression %]]),SSL_DD[[#This Row],[Core Regression %]],IF(ISBLANK(SSL_DD[[#This Row],[Core Regression %]]),OFFSET(SSL_DD[[#This Row],[Core Reg]],-1,0),0))</f>
        <v>25.925926208496094</v>
      </c>
      <c r="N65" s="88">
        <f>SSL_DD[[#This Row],[Core]]/SUM(SSL_DD[[#This Row],[Ext]],SSL_DD[[#This Row],[Core]])</f>
        <v>0.16744186046511628</v>
      </c>
    </row>
    <row r="66" spans="1:14">
      <c r="A66" s="83">
        <v>41478.532207789351</v>
      </c>
      <c r="B66" s="84">
        <v>0</v>
      </c>
      <c r="C66" s="84">
        <v>100</v>
      </c>
      <c r="D66" s="84">
        <v>8.59375</v>
      </c>
      <c r="E66" s="84">
        <v>21.212121963500977</v>
      </c>
      <c r="F66" s="84">
        <v>190</v>
      </c>
      <c r="G66" s="84"/>
      <c r="H66" s="84">
        <v>46</v>
      </c>
      <c r="I66" s="85">
        <f t="shared" si="1"/>
        <v>302013</v>
      </c>
      <c r="J66" s="85">
        <f>SSL_DD[[#This Row],[Cumulative done story points]]</f>
        <v>0</v>
      </c>
      <c r="K66" s="85">
        <f>IF(SSL_DD[[#This Row],[Cumulative done story points]]=0,0,SSL_DD[[#This Row],[Defect Density]])</f>
        <v>0</v>
      </c>
      <c r="L66" s="87">
        <f ca="1">IF(ISNUMBER(SSL_DD[[#This Row],[Ext Regression %]]),SSL_DD[[#This Row],[Ext Regression %]],IF(ISBLANK(SSL_DD[[#This Row],[Ext Regression %]]),OFFSET(SSL_DD[[#This Row],[Ext Reg]],-1,0),0))</f>
        <v>8.59375</v>
      </c>
      <c r="M66" s="87">
        <f ca="1">IF(ISNUMBER(SSL_DD[[#This Row],[Core Regression %]]),SSL_DD[[#This Row],[Core Regression %]],IF(ISBLANK(SSL_DD[[#This Row],[Core Regression %]]),OFFSET(SSL_DD[[#This Row],[Core Reg]],-1,0),0))</f>
        <v>21.212121963500977</v>
      </c>
      <c r="N66" s="88">
        <f>SSL_DD[[#This Row],[Core]]/SUM(SSL_DD[[#This Row],[Ext]],SSL_DD[[#This Row],[Core]])</f>
        <v>0.19491525423728814</v>
      </c>
    </row>
    <row r="67" spans="1:14">
      <c r="A67" s="83">
        <v>41485.532207789351</v>
      </c>
      <c r="B67" s="84">
        <v>0</v>
      </c>
      <c r="C67" s="84">
        <v>100</v>
      </c>
      <c r="D67" s="84">
        <v>9.0909090042114258</v>
      </c>
      <c r="E67" s="84">
        <v>21.212121963500977</v>
      </c>
      <c r="F67" s="84">
        <v>199</v>
      </c>
      <c r="G67" s="84"/>
      <c r="H67" s="84">
        <v>46</v>
      </c>
      <c r="I67" s="85">
        <f t="shared" ref="I67:I98" si="2">VALUE(WEEKNUM(A67*1)&amp;YEAR(A67*1))</f>
        <v>312013</v>
      </c>
      <c r="J67" s="85">
        <f>SSL_DD[[#This Row],[Cumulative done story points]]</f>
        <v>0</v>
      </c>
      <c r="K67" s="85">
        <f>IF(SSL_DD[[#This Row],[Cumulative done story points]]=0,0,SSL_DD[[#This Row],[Defect Density]])</f>
        <v>0</v>
      </c>
      <c r="L67" s="87">
        <f ca="1">IF(ISNUMBER(SSL_DD[[#This Row],[Ext Regression %]]),SSL_DD[[#This Row],[Ext Regression %]],IF(ISBLANK(SSL_DD[[#This Row],[Ext Regression %]]),OFFSET(SSL_DD[[#This Row],[Ext Reg]],-1,0),0))</f>
        <v>9.0909090042114258</v>
      </c>
      <c r="M67" s="87">
        <f ca="1">IF(ISNUMBER(SSL_DD[[#This Row],[Core Regression %]]),SSL_DD[[#This Row],[Core Regression %]],IF(ISBLANK(SSL_DD[[#This Row],[Core Regression %]]),OFFSET(SSL_DD[[#This Row],[Core Reg]],-1,0),0))</f>
        <v>21.212121963500977</v>
      </c>
      <c r="N67" s="88">
        <f>SSL_DD[[#This Row],[Core]]/SUM(SSL_DD[[#This Row],[Ext]],SSL_DD[[#This Row],[Core]])</f>
        <v>0.18775510204081633</v>
      </c>
    </row>
    <row r="68" spans="1:14">
      <c r="A68" s="83">
        <v>41492.532207789351</v>
      </c>
      <c r="B68" s="84">
        <v>0</v>
      </c>
      <c r="C68" s="84">
        <v>100</v>
      </c>
      <c r="D68" s="84">
        <v>9.4890508651733398</v>
      </c>
      <c r="E68" s="84">
        <v>18.918918609619141</v>
      </c>
      <c r="F68" s="84">
        <v>205</v>
      </c>
      <c r="G68" s="84"/>
      <c r="H68" s="84">
        <v>51</v>
      </c>
      <c r="I68" s="85">
        <f t="shared" si="2"/>
        <v>322013</v>
      </c>
      <c r="J68" s="85">
        <f>SSL_DD[[#This Row],[Cumulative done story points]]</f>
        <v>0</v>
      </c>
      <c r="K68" s="85">
        <f>IF(SSL_DD[[#This Row],[Cumulative done story points]]=0,0,SSL_DD[[#This Row],[Defect Density]])</f>
        <v>0</v>
      </c>
      <c r="L68" s="87">
        <f ca="1">IF(ISNUMBER(SSL_DD[[#This Row],[Ext Regression %]]),SSL_DD[[#This Row],[Ext Regression %]],IF(ISBLANK(SSL_DD[[#This Row],[Ext Regression %]]),OFFSET(SSL_DD[[#This Row],[Ext Reg]],-1,0),0))</f>
        <v>9.4890508651733398</v>
      </c>
      <c r="M68" s="87">
        <f ca="1">IF(ISNUMBER(SSL_DD[[#This Row],[Core Regression %]]),SSL_DD[[#This Row],[Core Regression %]],IF(ISBLANK(SSL_DD[[#This Row],[Core Regression %]]),OFFSET(SSL_DD[[#This Row],[Core Reg]],-1,0),0))</f>
        <v>18.918918609619141</v>
      </c>
      <c r="N68" s="88">
        <f>SSL_DD[[#This Row],[Core]]/SUM(SSL_DD[[#This Row],[Ext]],SSL_DD[[#This Row],[Core]])</f>
        <v>0.19921875</v>
      </c>
    </row>
    <row r="69" spans="1:14">
      <c r="A69" s="83">
        <v>41499.532207789351</v>
      </c>
      <c r="B69" s="84">
        <v>0</v>
      </c>
      <c r="C69" s="84">
        <v>100</v>
      </c>
      <c r="D69" s="84">
        <v>10.738255500793457</v>
      </c>
      <c r="E69" s="84">
        <v>17.5</v>
      </c>
      <c r="F69" s="84">
        <v>219</v>
      </c>
      <c r="G69" s="84"/>
      <c r="H69" s="84">
        <v>54</v>
      </c>
      <c r="I69" s="85">
        <f t="shared" si="2"/>
        <v>332013</v>
      </c>
      <c r="J69" s="85">
        <f>SSL_DD[[#This Row],[Cumulative done story points]]</f>
        <v>0</v>
      </c>
      <c r="K69" s="85">
        <f>IF(SSL_DD[[#This Row],[Cumulative done story points]]=0,0,SSL_DD[[#This Row],[Defect Density]])</f>
        <v>0</v>
      </c>
      <c r="L69" s="87">
        <f ca="1">IF(ISNUMBER(SSL_DD[[#This Row],[Ext Regression %]]),SSL_DD[[#This Row],[Ext Regression %]],IF(ISBLANK(SSL_DD[[#This Row],[Ext Regression %]]),OFFSET(SSL_DD[[#This Row],[Ext Reg]],-1,0),0))</f>
        <v>10.738255500793457</v>
      </c>
      <c r="M69" s="87">
        <f ca="1">IF(ISNUMBER(SSL_DD[[#This Row],[Core Regression %]]),SSL_DD[[#This Row],[Core Regression %]],IF(ISBLANK(SSL_DD[[#This Row],[Core Regression %]]),OFFSET(SSL_DD[[#This Row],[Core Reg]],-1,0),0))</f>
        <v>17.5</v>
      </c>
      <c r="N69" s="88">
        <f>SSL_DD[[#This Row],[Core]]/SUM(SSL_DD[[#This Row],[Ext]],SSL_DD[[#This Row],[Core]])</f>
        <v>0.19780219780219779</v>
      </c>
    </row>
    <row r="70" spans="1:14">
      <c r="A70" s="83">
        <v>41506.532207789351</v>
      </c>
      <c r="B70" s="84">
        <v>0</v>
      </c>
      <c r="C70" s="84">
        <v>100</v>
      </c>
      <c r="D70" s="84">
        <v>10.256410598754883</v>
      </c>
      <c r="E70" s="84">
        <v>17.5</v>
      </c>
      <c r="F70" s="84">
        <v>226</v>
      </c>
      <c r="G70" s="84"/>
      <c r="H70" s="84">
        <v>54</v>
      </c>
      <c r="I70" s="85">
        <f t="shared" si="2"/>
        <v>342013</v>
      </c>
      <c r="J70" s="85">
        <f>SSL_DD[[#This Row],[Cumulative done story points]]</f>
        <v>0</v>
      </c>
      <c r="K70" s="85">
        <f>IF(SSL_DD[[#This Row],[Cumulative done story points]]=0,0,SSL_DD[[#This Row],[Defect Density]])</f>
        <v>0</v>
      </c>
      <c r="L70" s="87">
        <f ca="1">IF(ISNUMBER(SSL_DD[[#This Row],[Ext Regression %]]),SSL_DD[[#This Row],[Ext Regression %]],IF(ISBLANK(SSL_DD[[#This Row],[Ext Regression %]]),OFFSET(SSL_DD[[#This Row],[Ext Reg]],-1,0),0))</f>
        <v>10.256410598754883</v>
      </c>
      <c r="M70" s="87">
        <f ca="1">IF(ISNUMBER(SSL_DD[[#This Row],[Core Regression %]]),SSL_DD[[#This Row],[Core Regression %]],IF(ISBLANK(SSL_DD[[#This Row],[Core Regression %]]),OFFSET(SSL_DD[[#This Row],[Core Reg]],-1,0),0))</f>
        <v>17.5</v>
      </c>
      <c r="N70" s="88">
        <f>SSL_DD[[#This Row],[Core]]/SUM(SSL_DD[[#This Row],[Ext]],SSL_DD[[#This Row],[Core]])</f>
        <v>0.19285714285714287</v>
      </c>
    </row>
    <row r="71" spans="1:14">
      <c r="A71" s="83">
        <v>41513.532207789351</v>
      </c>
      <c r="B71" s="84">
        <v>0</v>
      </c>
      <c r="C71" s="84">
        <v>100</v>
      </c>
      <c r="D71" s="84">
        <v>10.559005737304687</v>
      </c>
      <c r="E71" s="84">
        <v>17.5</v>
      </c>
      <c r="F71" s="84">
        <v>234</v>
      </c>
      <c r="G71" s="84"/>
      <c r="H71" s="84">
        <v>57</v>
      </c>
      <c r="I71" s="85">
        <f t="shared" si="2"/>
        <v>352013</v>
      </c>
      <c r="J71" s="85">
        <f>SSL_DD[[#This Row],[Cumulative done story points]]</f>
        <v>0</v>
      </c>
      <c r="K71" s="85">
        <f>IF(SSL_DD[[#This Row],[Cumulative done story points]]=0,0,SSL_DD[[#This Row],[Defect Density]])</f>
        <v>0</v>
      </c>
      <c r="L71" s="87">
        <f ca="1">IF(ISNUMBER(SSL_DD[[#This Row],[Ext Regression %]]),SSL_DD[[#This Row],[Ext Regression %]],IF(ISBLANK(SSL_DD[[#This Row],[Ext Regression %]]),OFFSET(SSL_DD[[#This Row],[Ext Reg]],-1,0),0))</f>
        <v>10.559005737304687</v>
      </c>
      <c r="M71" s="87">
        <f ca="1">IF(ISNUMBER(SSL_DD[[#This Row],[Core Regression %]]),SSL_DD[[#This Row],[Core Regression %]],IF(ISBLANK(SSL_DD[[#This Row],[Core Regression %]]),OFFSET(SSL_DD[[#This Row],[Core Reg]],-1,0),0))</f>
        <v>17.5</v>
      </c>
      <c r="N71" s="88">
        <f>SSL_DD[[#This Row],[Core]]/SUM(SSL_DD[[#This Row],[Ext]],SSL_DD[[#This Row],[Core]])</f>
        <v>0.19587628865979381</v>
      </c>
    </row>
    <row r="72" spans="1:14">
      <c r="A72" s="83">
        <v>41520.532207789351</v>
      </c>
      <c r="B72" s="84">
        <v>0</v>
      </c>
      <c r="C72" s="84">
        <v>100</v>
      </c>
      <c r="D72" s="84">
        <v>10.493826866149902</v>
      </c>
      <c r="E72" s="84">
        <v>18.181818008422852</v>
      </c>
      <c r="F72" s="84">
        <v>235</v>
      </c>
      <c r="G72" s="84"/>
      <c r="H72" s="84">
        <v>61</v>
      </c>
      <c r="I72" s="85">
        <f t="shared" si="2"/>
        <v>362013</v>
      </c>
      <c r="J72" s="85">
        <f>SSL_DD[[#This Row],[Cumulative done story points]]</f>
        <v>0</v>
      </c>
      <c r="K72" s="85">
        <f>IF(SSL_DD[[#This Row],[Cumulative done story points]]=0,0,SSL_DD[[#This Row],[Defect Density]])</f>
        <v>0</v>
      </c>
      <c r="L72" s="87">
        <f ca="1">IF(ISNUMBER(SSL_DD[[#This Row],[Ext Regression %]]),SSL_DD[[#This Row],[Ext Regression %]],IF(ISBLANK(SSL_DD[[#This Row],[Ext Regression %]]),OFFSET(SSL_DD[[#This Row],[Ext Reg]],-1,0),0))</f>
        <v>10.493826866149902</v>
      </c>
      <c r="M72" s="87">
        <f ca="1">IF(ISNUMBER(SSL_DD[[#This Row],[Core Regression %]]),SSL_DD[[#This Row],[Core Regression %]],IF(ISBLANK(SSL_DD[[#This Row],[Core Regression %]]),OFFSET(SSL_DD[[#This Row],[Core Reg]],-1,0),0))</f>
        <v>18.181818008422852</v>
      </c>
      <c r="N72" s="88">
        <f>SSL_DD[[#This Row],[Core]]/SUM(SSL_DD[[#This Row],[Ext]],SSL_DD[[#This Row],[Core]])</f>
        <v>0.20608108108108109</v>
      </c>
    </row>
    <row r="73" spans="1:14">
      <c r="A73" s="83">
        <v>41527.532207789351</v>
      </c>
      <c r="B73" s="84">
        <v>0</v>
      </c>
      <c r="C73" s="84">
        <v>100</v>
      </c>
      <c r="D73" s="84">
        <v>10.67415714263916</v>
      </c>
      <c r="E73" s="84">
        <v>19.607843399047852</v>
      </c>
      <c r="F73" s="84">
        <v>265</v>
      </c>
      <c r="G73" s="84"/>
      <c r="H73" s="84">
        <v>70</v>
      </c>
      <c r="I73" s="85">
        <f t="shared" si="2"/>
        <v>372013</v>
      </c>
      <c r="J73" s="85">
        <f>SSL_DD[[#This Row],[Cumulative done story points]]</f>
        <v>0</v>
      </c>
      <c r="K73" s="85">
        <f>IF(SSL_DD[[#This Row],[Cumulative done story points]]=0,0,SSL_DD[[#This Row],[Defect Density]])</f>
        <v>0</v>
      </c>
      <c r="L73" s="87">
        <f ca="1">IF(ISNUMBER(SSL_DD[[#This Row],[Ext Regression %]]),SSL_DD[[#This Row],[Ext Regression %]],IF(ISBLANK(SSL_DD[[#This Row],[Ext Regression %]]),OFFSET(SSL_DD[[#This Row],[Ext Reg]],-1,0),0))</f>
        <v>10.67415714263916</v>
      </c>
      <c r="M73" s="87">
        <f ca="1">IF(ISNUMBER(SSL_DD[[#This Row],[Core Regression %]]),SSL_DD[[#This Row],[Core Regression %]],IF(ISBLANK(SSL_DD[[#This Row],[Core Regression %]]),OFFSET(SSL_DD[[#This Row],[Core Reg]],-1,0),0))</f>
        <v>19.607843399047852</v>
      </c>
      <c r="N73" s="88">
        <f>SSL_DD[[#This Row],[Core]]/SUM(SSL_DD[[#This Row],[Ext]],SSL_DD[[#This Row],[Core]])</f>
        <v>0.20895522388059701</v>
      </c>
    </row>
    <row r="74" spans="1:14">
      <c r="A74" s="83">
        <v>41534.532207789351</v>
      </c>
      <c r="B74" s="84">
        <v>0</v>
      </c>
      <c r="C74" s="84">
        <v>100</v>
      </c>
      <c r="D74" s="84">
        <v>9.6330280303955078</v>
      </c>
      <c r="E74" s="84">
        <v>17.391304016113281</v>
      </c>
      <c r="F74" s="84">
        <v>338</v>
      </c>
      <c r="G74" s="84"/>
      <c r="H74" s="84">
        <v>91</v>
      </c>
      <c r="I74" s="85">
        <f t="shared" si="2"/>
        <v>382013</v>
      </c>
      <c r="J74" s="85">
        <f>SSL_DD[[#This Row],[Cumulative done story points]]</f>
        <v>0</v>
      </c>
      <c r="K74" s="85">
        <f>IF(SSL_DD[[#This Row],[Cumulative done story points]]=0,0,SSL_DD[[#This Row],[Defect Density]])</f>
        <v>0</v>
      </c>
      <c r="L74" s="87">
        <f ca="1">IF(ISNUMBER(SSL_DD[[#This Row],[Ext Regression %]]),SSL_DD[[#This Row],[Ext Regression %]],IF(ISBLANK(SSL_DD[[#This Row],[Ext Regression %]]),OFFSET(SSL_DD[[#This Row],[Ext Reg]],-1,0),0))</f>
        <v>9.6330280303955078</v>
      </c>
      <c r="M74" s="87">
        <f ca="1">IF(ISNUMBER(SSL_DD[[#This Row],[Core Regression %]]),SSL_DD[[#This Row],[Core Regression %]],IF(ISBLANK(SSL_DD[[#This Row],[Core Regression %]]),OFFSET(SSL_DD[[#This Row],[Core Reg]],-1,0),0))</f>
        <v>17.391304016113281</v>
      </c>
      <c r="N74" s="88">
        <f>SSL_DD[[#This Row],[Core]]/SUM(SSL_DD[[#This Row],[Ext]],SSL_DD[[#This Row],[Core]])</f>
        <v>0.21212121212121213</v>
      </c>
    </row>
    <row r="75" spans="1:14">
      <c r="A75" s="83">
        <v>41541.532207789351</v>
      </c>
      <c r="B75" s="84">
        <v>0</v>
      </c>
      <c r="C75" s="84">
        <v>100</v>
      </c>
      <c r="D75" s="84">
        <v>9.9099102020263672</v>
      </c>
      <c r="E75" s="84">
        <v>16.438356399536133</v>
      </c>
      <c r="F75" s="84">
        <v>344</v>
      </c>
      <c r="G75" s="84"/>
      <c r="H75" s="84">
        <v>98</v>
      </c>
      <c r="I75" s="85">
        <f t="shared" si="2"/>
        <v>392013</v>
      </c>
      <c r="J75" s="85">
        <f>SSL_DD[[#This Row],[Cumulative done story points]]</f>
        <v>0</v>
      </c>
      <c r="K75" s="85">
        <f>IF(SSL_DD[[#This Row],[Cumulative done story points]]=0,0,SSL_DD[[#This Row],[Defect Density]])</f>
        <v>0</v>
      </c>
      <c r="L75" s="87">
        <f ca="1">IF(ISNUMBER(SSL_DD[[#This Row],[Ext Regression %]]),SSL_DD[[#This Row],[Ext Regression %]],IF(ISBLANK(SSL_DD[[#This Row],[Ext Regression %]]),OFFSET(SSL_DD[[#This Row],[Ext Reg]],-1,0),0))</f>
        <v>9.9099102020263672</v>
      </c>
      <c r="M75" s="87">
        <f ca="1">IF(ISNUMBER(SSL_DD[[#This Row],[Core Regression %]]),SSL_DD[[#This Row],[Core Regression %]],IF(ISBLANK(SSL_DD[[#This Row],[Core Regression %]]),OFFSET(SSL_DD[[#This Row],[Core Reg]],-1,0),0))</f>
        <v>16.438356399536133</v>
      </c>
      <c r="N75" s="88">
        <f>SSL_DD[[#This Row],[Core]]/SUM(SSL_DD[[#This Row],[Ext]],SSL_DD[[#This Row],[Core]])</f>
        <v>0.22171945701357465</v>
      </c>
    </row>
    <row r="76" spans="1:14">
      <c r="A76" s="83">
        <v>41548.532207789351</v>
      </c>
      <c r="B76" s="84">
        <v>0</v>
      </c>
      <c r="C76" s="84">
        <v>100</v>
      </c>
      <c r="D76" s="84">
        <v>9.8290596008300781</v>
      </c>
      <c r="E76" s="84">
        <v>13.793103218078613</v>
      </c>
      <c r="F76" s="84">
        <v>372</v>
      </c>
      <c r="G76" s="84"/>
      <c r="H76" s="84">
        <v>114</v>
      </c>
      <c r="I76" s="85">
        <f t="shared" si="2"/>
        <v>402013</v>
      </c>
      <c r="J76" s="85">
        <f>SSL_DD[[#This Row],[Cumulative done story points]]</f>
        <v>0</v>
      </c>
      <c r="K76" s="85">
        <f>IF(SSL_DD[[#This Row],[Cumulative done story points]]=0,0,SSL_DD[[#This Row],[Defect Density]])</f>
        <v>0</v>
      </c>
      <c r="L76" s="87">
        <f ca="1">IF(ISNUMBER(SSL_DD[[#This Row],[Ext Regression %]]),SSL_DD[[#This Row],[Ext Regression %]],IF(ISBLANK(SSL_DD[[#This Row],[Ext Regression %]]),OFFSET(SSL_DD[[#This Row],[Ext Reg]],-1,0),0))</f>
        <v>9.8290596008300781</v>
      </c>
      <c r="M76" s="87">
        <f ca="1">IF(ISNUMBER(SSL_DD[[#This Row],[Core Regression %]]),SSL_DD[[#This Row],[Core Regression %]],IF(ISBLANK(SSL_DD[[#This Row],[Core Regression %]]),OFFSET(SSL_DD[[#This Row],[Core Reg]],-1,0),0))</f>
        <v>13.793103218078613</v>
      </c>
      <c r="N76" s="88">
        <f>SSL_DD[[#This Row],[Core]]/SUM(SSL_DD[[#This Row],[Ext]],SSL_DD[[#This Row],[Core]])</f>
        <v>0.23456790123456789</v>
      </c>
    </row>
    <row r="77" spans="1:14">
      <c r="A77" s="83">
        <v>41555.532207789351</v>
      </c>
      <c r="B77" s="84">
        <v>0</v>
      </c>
      <c r="C77" s="84">
        <v>100</v>
      </c>
      <c r="D77" s="84">
        <v>11.877394676208496</v>
      </c>
      <c r="E77" s="84">
        <v>14.141413688659668</v>
      </c>
      <c r="F77" s="84">
        <v>412</v>
      </c>
      <c r="G77" s="84"/>
      <c r="H77" s="84">
        <v>133</v>
      </c>
      <c r="I77" s="85">
        <f t="shared" si="2"/>
        <v>412013</v>
      </c>
      <c r="J77" s="85">
        <f>SSL_DD[[#This Row],[Cumulative done story points]]</f>
        <v>0</v>
      </c>
      <c r="K77" s="85">
        <f>IF(SSL_DD[[#This Row],[Cumulative done story points]]=0,0,SSL_DD[[#This Row],[Defect Density]])</f>
        <v>0</v>
      </c>
      <c r="L77" s="87">
        <f ca="1">IF(ISNUMBER(SSL_DD[[#This Row],[Ext Regression %]]),SSL_DD[[#This Row],[Ext Regression %]],IF(ISBLANK(SSL_DD[[#This Row],[Ext Regression %]]),OFFSET(SSL_DD[[#This Row],[Ext Reg]],-1,0),0))</f>
        <v>11.877394676208496</v>
      </c>
      <c r="M77" s="87">
        <f ca="1">IF(ISNUMBER(SSL_DD[[#This Row],[Core Regression %]]),SSL_DD[[#This Row],[Core Regression %]],IF(ISBLANK(SSL_DD[[#This Row],[Core Regression %]]),OFFSET(SSL_DD[[#This Row],[Core Reg]],-1,0),0))</f>
        <v>14.141413688659668</v>
      </c>
      <c r="N77" s="88">
        <f>SSL_DD[[#This Row],[Core]]/SUM(SSL_DD[[#This Row],[Ext]],SSL_DD[[#This Row],[Core]])</f>
        <v>0.24403669724770644</v>
      </c>
    </row>
    <row r="78" spans="1:14">
      <c r="A78" s="83">
        <v>41562.532207789351</v>
      </c>
      <c r="B78" s="84">
        <v>0</v>
      </c>
      <c r="C78" s="84">
        <v>100</v>
      </c>
      <c r="D78" s="84">
        <v>10.763888359069824</v>
      </c>
      <c r="E78" s="84">
        <v>14.285715103149414</v>
      </c>
      <c r="F78" s="84">
        <v>447</v>
      </c>
      <c r="G78" s="84"/>
      <c r="H78" s="84">
        <v>149</v>
      </c>
      <c r="I78" s="85">
        <f t="shared" si="2"/>
        <v>422013</v>
      </c>
      <c r="J78" s="85">
        <f>SSL_DD[[#This Row],[Cumulative done story points]]</f>
        <v>0</v>
      </c>
      <c r="K78" s="85">
        <f>IF(SSL_DD[[#This Row],[Cumulative done story points]]=0,0,SSL_DD[[#This Row],[Defect Density]])</f>
        <v>0</v>
      </c>
      <c r="L78" s="87">
        <f ca="1">IF(ISNUMBER(SSL_DD[[#This Row],[Ext Regression %]]),SSL_DD[[#This Row],[Ext Regression %]],IF(ISBLANK(SSL_DD[[#This Row],[Ext Regression %]]),OFFSET(SSL_DD[[#This Row],[Ext Reg]],-1,0),0))</f>
        <v>10.763888359069824</v>
      </c>
      <c r="M78" s="87">
        <f ca="1">IF(ISNUMBER(SSL_DD[[#This Row],[Core Regression %]]),SSL_DD[[#This Row],[Core Regression %]],IF(ISBLANK(SSL_DD[[#This Row],[Core Regression %]]),OFFSET(SSL_DD[[#This Row],[Core Reg]],-1,0),0))</f>
        <v>14.285715103149414</v>
      </c>
      <c r="N78" s="88">
        <f>SSL_DD[[#This Row],[Core]]/SUM(SSL_DD[[#This Row],[Ext]],SSL_DD[[#This Row],[Core]])</f>
        <v>0.25</v>
      </c>
    </row>
    <row r="79" spans="1:14">
      <c r="A79" s="83">
        <v>41569.532207789351</v>
      </c>
      <c r="B79" s="84">
        <v>0</v>
      </c>
      <c r="C79" s="84">
        <v>100</v>
      </c>
      <c r="D79" s="84">
        <v>10.774410247802734</v>
      </c>
      <c r="E79" s="84">
        <v>15.702480316162109</v>
      </c>
      <c r="F79" s="84">
        <v>469</v>
      </c>
      <c r="G79" s="84"/>
      <c r="H79" s="84">
        <v>160</v>
      </c>
      <c r="I79" s="85">
        <f t="shared" si="2"/>
        <v>432013</v>
      </c>
      <c r="J79" s="85">
        <f>SSL_DD[[#This Row],[Cumulative done story points]]</f>
        <v>0</v>
      </c>
      <c r="K79" s="85">
        <f>IF(SSL_DD[[#This Row],[Cumulative done story points]]=0,0,SSL_DD[[#This Row],[Defect Density]])</f>
        <v>0</v>
      </c>
      <c r="L79" s="87">
        <f ca="1">IF(ISNUMBER(SSL_DD[[#This Row],[Ext Regression %]]),SSL_DD[[#This Row],[Ext Regression %]],IF(ISBLANK(SSL_DD[[#This Row],[Ext Regression %]]),OFFSET(SSL_DD[[#This Row],[Ext Reg]],-1,0),0))</f>
        <v>10.774410247802734</v>
      </c>
      <c r="M79" s="87">
        <f ca="1">IF(ISNUMBER(SSL_DD[[#This Row],[Core Regression %]]),SSL_DD[[#This Row],[Core Regression %]],IF(ISBLANK(SSL_DD[[#This Row],[Core Regression %]]),OFFSET(SSL_DD[[#This Row],[Core Reg]],-1,0),0))</f>
        <v>15.702480316162109</v>
      </c>
      <c r="N79" s="88">
        <f>SSL_DD[[#This Row],[Core]]/SUM(SSL_DD[[#This Row],[Ext]],SSL_DD[[#This Row],[Core]])</f>
        <v>0.25437201907790141</v>
      </c>
    </row>
    <row r="80" spans="1:14">
      <c r="A80" s="83">
        <v>41576.532207789351</v>
      </c>
      <c r="B80" s="84">
        <v>0</v>
      </c>
      <c r="C80" s="84">
        <v>100</v>
      </c>
      <c r="D80" s="84">
        <v>11.589404106140137</v>
      </c>
      <c r="E80" s="84">
        <v>17.96875</v>
      </c>
      <c r="F80" s="84">
        <v>476</v>
      </c>
      <c r="G80" s="84"/>
      <c r="H80" s="84">
        <v>167</v>
      </c>
      <c r="I80" s="85">
        <f t="shared" si="2"/>
        <v>442013</v>
      </c>
      <c r="J80" s="85">
        <f>SSL_DD[[#This Row],[Cumulative done story points]]</f>
        <v>0</v>
      </c>
      <c r="K80" s="85">
        <f>IF(SSL_DD[[#This Row],[Cumulative done story points]]=0,0,SSL_DD[[#This Row],[Defect Density]])</f>
        <v>0</v>
      </c>
      <c r="L80" s="87">
        <f ca="1">IF(ISNUMBER(SSL_DD[[#This Row],[Ext Regression %]]),SSL_DD[[#This Row],[Ext Regression %]],IF(ISBLANK(SSL_DD[[#This Row],[Ext Regression %]]),OFFSET(SSL_DD[[#This Row],[Ext Reg]],-1,0),0))</f>
        <v>11.589404106140137</v>
      </c>
      <c r="M80" s="87">
        <f ca="1">IF(ISNUMBER(SSL_DD[[#This Row],[Core Regression %]]),SSL_DD[[#This Row],[Core Regression %]],IF(ISBLANK(SSL_DD[[#This Row],[Core Regression %]]),OFFSET(SSL_DD[[#This Row],[Core Reg]],-1,0),0))</f>
        <v>17.96875</v>
      </c>
      <c r="N80" s="88">
        <f>SSL_DD[[#This Row],[Core]]/SUM(SSL_DD[[#This Row],[Ext]],SSL_DD[[#This Row],[Core]])</f>
        <v>0.25972006220839816</v>
      </c>
    </row>
    <row r="81" spans="1:14">
      <c r="A81" s="83">
        <v>41583.532207789351</v>
      </c>
      <c r="B81" s="84">
        <v>0</v>
      </c>
      <c r="C81" s="84">
        <v>100</v>
      </c>
      <c r="D81" s="84">
        <v>12.258064270019531</v>
      </c>
      <c r="E81" s="84">
        <v>20.300752639770508</v>
      </c>
      <c r="F81" s="84">
        <v>488</v>
      </c>
      <c r="G81" s="84"/>
      <c r="H81" s="84">
        <v>173</v>
      </c>
      <c r="I81" s="85">
        <f t="shared" si="2"/>
        <v>452013</v>
      </c>
      <c r="J81" s="85">
        <f>SSL_DD[[#This Row],[Cumulative done story points]]</f>
        <v>0</v>
      </c>
      <c r="K81" s="85">
        <f>IF(SSL_DD[[#This Row],[Cumulative done story points]]=0,0,SSL_DD[[#This Row],[Defect Density]])</f>
        <v>0</v>
      </c>
      <c r="L81" s="87">
        <f ca="1">IF(ISNUMBER(SSL_DD[[#This Row],[Ext Regression %]]),SSL_DD[[#This Row],[Ext Regression %]],IF(ISBLANK(SSL_DD[[#This Row],[Ext Regression %]]),OFFSET(SSL_DD[[#This Row],[Ext Reg]],-1,0),0))</f>
        <v>12.258064270019531</v>
      </c>
      <c r="M81" s="87">
        <f ca="1">IF(ISNUMBER(SSL_DD[[#This Row],[Core Regression %]]),SSL_DD[[#This Row],[Core Regression %]],IF(ISBLANK(SSL_DD[[#This Row],[Core Regression %]]),OFFSET(SSL_DD[[#This Row],[Core Reg]],-1,0),0))</f>
        <v>20.300752639770508</v>
      </c>
      <c r="N81" s="88">
        <f>SSL_DD[[#This Row],[Core]]/SUM(SSL_DD[[#This Row],[Ext]],SSL_DD[[#This Row],[Core]])</f>
        <v>0.26172465960665658</v>
      </c>
    </row>
    <row r="82" spans="1:14">
      <c r="A82" s="83">
        <v>41590.532207789351</v>
      </c>
      <c r="B82" s="84">
        <v>0</v>
      </c>
      <c r="C82" s="84">
        <v>100</v>
      </c>
      <c r="D82" s="84">
        <v>12.420382499694824</v>
      </c>
      <c r="E82" s="84">
        <v>22.302158355712891</v>
      </c>
      <c r="F82" s="84">
        <v>494</v>
      </c>
      <c r="G82" s="84"/>
      <c r="H82" s="84">
        <v>184</v>
      </c>
      <c r="I82" s="85">
        <f t="shared" si="2"/>
        <v>462013</v>
      </c>
      <c r="J82" s="85">
        <f>SSL_DD[[#This Row],[Cumulative done story points]]</f>
        <v>0</v>
      </c>
      <c r="K82" s="85">
        <f>IF(SSL_DD[[#This Row],[Cumulative done story points]]=0,0,SSL_DD[[#This Row],[Defect Density]])</f>
        <v>0</v>
      </c>
      <c r="L82" s="87">
        <f ca="1">IF(ISNUMBER(SSL_DD[[#This Row],[Ext Regression %]]),SSL_DD[[#This Row],[Ext Regression %]],IF(ISBLANK(SSL_DD[[#This Row],[Ext Regression %]]),OFFSET(SSL_DD[[#This Row],[Ext Reg]],-1,0),0))</f>
        <v>12.420382499694824</v>
      </c>
      <c r="M82" s="87">
        <f ca="1">IF(ISNUMBER(SSL_DD[[#This Row],[Core Regression %]]),SSL_DD[[#This Row],[Core Regression %]],IF(ISBLANK(SSL_DD[[#This Row],[Core Regression %]]),OFFSET(SSL_DD[[#This Row],[Core Reg]],-1,0),0))</f>
        <v>22.302158355712891</v>
      </c>
      <c r="N82" s="88">
        <f>SSL_DD[[#This Row],[Core]]/SUM(SSL_DD[[#This Row],[Ext]],SSL_DD[[#This Row],[Core]])</f>
        <v>0.27138643067846607</v>
      </c>
    </row>
    <row r="83" spans="1:14">
      <c r="A83" s="83">
        <v>41597.532207789351</v>
      </c>
      <c r="B83" s="84">
        <v>0</v>
      </c>
      <c r="C83" s="84">
        <v>100</v>
      </c>
      <c r="D83" s="84">
        <v>12.727272033691406</v>
      </c>
      <c r="E83" s="84">
        <v>26.282051086425781</v>
      </c>
      <c r="F83" s="84">
        <v>524</v>
      </c>
      <c r="G83" s="84"/>
      <c r="H83" s="84">
        <v>207</v>
      </c>
      <c r="I83" s="85">
        <f t="shared" si="2"/>
        <v>472013</v>
      </c>
      <c r="J83" s="85">
        <f>SSL_DD[[#This Row],[Cumulative done story points]]</f>
        <v>0</v>
      </c>
      <c r="K83" s="85">
        <f>IF(SSL_DD[[#This Row],[Cumulative done story points]]=0,0,SSL_DD[[#This Row],[Defect Density]])</f>
        <v>0</v>
      </c>
      <c r="L83" s="87">
        <f ca="1">IF(ISNUMBER(SSL_DD[[#This Row],[Ext Regression %]]),SSL_DD[[#This Row],[Ext Regression %]],IF(ISBLANK(SSL_DD[[#This Row],[Ext Regression %]]),OFFSET(SSL_DD[[#This Row],[Ext Reg]],-1,0),0))</f>
        <v>12.727272033691406</v>
      </c>
      <c r="M83" s="87">
        <f ca="1">IF(ISNUMBER(SSL_DD[[#This Row],[Core Regression %]]),SSL_DD[[#This Row],[Core Regression %]],IF(ISBLANK(SSL_DD[[#This Row],[Core Regression %]]),OFFSET(SSL_DD[[#This Row],[Core Reg]],-1,0),0))</f>
        <v>26.282051086425781</v>
      </c>
      <c r="N83" s="88">
        <f>SSL_DD[[#This Row],[Core]]/SUM(SSL_DD[[#This Row],[Ext]],SSL_DD[[#This Row],[Core]])</f>
        <v>0.28317373461012313</v>
      </c>
    </row>
    <row r="84" spans="1:14">
      <c r="A84" s="83">
        <v>41604.532207789351</v>
      </c>
      <c r="B84" s="84">
        <v>0</v>
      </c>
      <c r="C84" s="84">
        <v>100</v>
      </c>
      <c r="D84" s="84">
        <v>14.739884376525879</v>
      </c>
      <c r="E84" s="84">
        <v>30.409357070922852</v>
      </c>
      <c r="F84" s="84">
        <v>545</v>
      </c>
      <c r="G84" s="84"/>
      <c r="H84" s="84">
        <v>229</v>
      </c>
      <c r="I84" s="85">
        <f t="shared" si="2"/>
        <v>482013</v>
      </c>
      <c r="J84" s="85">
        <f>SSL_DD[[#This Row],[Cumulative done story points]]</f>
        <v>0</v>
      </c>
      <c r="K84" s="85">
        <f>IF(SSL_DD[[#This Row],[Cumulative done story points]]=0,0,SSL_DD[[#This Row],[Defect Density]])</f>
        <v>0</v>
      </c>
      <c r="L84" s="87">
        <f ca="1">IF(ISNUMBER(SSL_DD[[#This Row],[Ext Regression %]]),SSL_DD[[#This Row],[Ext Regression %]],IF(ISBLANK(SSL_DD[[#This Row],[Ext Regression %]]),OFFSET(SSL_DD[[#This Row],[Ext Reg]],-1,0),0))</f>
        <v>14.739884376525879</v>
      </c>
      <c r="M84" s="87">
        <f ca="1">IF(ISNUMBER(SSL_DD[[#This Row],[Core Regression %]]),SSL_DD[[#This Row],[Core Regression %]],IF(ISBLANK(SSL_DD[[#This Row],[Core Regression %]]),OFFSET(SSL_DD[[#This Row],[Core Reg]],-1,0),0))</f>
        <v>30.409357070922852</v>
      </c>
      <c r="N84" s="88">
        <f>SSL_DD[[#This Row],[Core]]/SUM(SSL_DD[[#This Row],[Ext]],SSL_DD[[#This Row],[Core]])</f>
        <v>0.29586563307493541</v>
      </c>
    </row>
    <row r="85" spans="1:14">
      <c r="A85" s="83">
        <v>41611.532207789351</v>
      </c>
      <c r="B85" s="84">
        <v>0</v>
      </c>
      <c r="C85" s="84">
        <v>100</v>
      </c>
      <c r="D85" s="84">
        <v>18.617019653320313</v>
      </c>
      <c r="E85" s="84">
        <v>32.620319366455078</v>
      </c>
      <c r="F85" s="84">
        <v>587</v>
      </c>
      <c r="G85" s="84"/>
      <c r="H85" s="84">
        <v>249</v>
      </c>
      <c r="I85" s="85">
        <f t="shared" si="2"/>
        <v>492013</v>
      </c>
      <c r="J85" s="85">
        <f>SSL_DD[[#This Row],[Cumulative done story points]]</f>
        <v>0</v>
      </c>
      <c r="K85" s="85">
        <f>IF(SSL_DD[[#This Row],[Cumulative done story points]]=0,0,SSL_DD[[#This Row],[Defect Density]])</f>
        <v>0</v>
      </c>
      <c r="L85" s="87">
        <f ca="1">IF(ISNUMBER(SSL_DD[[#This Row],[Ext Regression %]]),SSL_DD[[#This Row],[Ext Regression %]],IF(ISBLANK(SSL_DD[[#This Row],[Ext Regression %]]),OFFSET(SSL_DD[[#This Row],[Ext Reg]],-1,0),0))</f>
        <v>18.617019653320313</v>
      </c>
      <c r="M85" s="87">
        <f ca="1">IF(ISNUMBER(SSL_DD[[#This Row],[Core Regression %]]),SSL_DD[[#This Row],[Core Regression %]],IF(ISBLANK(SSL_DD[[#This Row],[Core Regression %]]),OFFSET(SSL_DD[[#This Row],[Core Reg]],-1,0),0))</f>
        <v>32.620319366455078</v>
      </c>
      <c r="N85" s="88">
        <f>SSL_DD[[#This Row],[Core]]/SUM(SSL_DD[[#This Row],[Ext]],SSL_DD[[#This Row],[Core]])</f>
        <v>0.29784688995215314</v>
      </c>
    </row>
    <row r="86" spans="1:14">
      <c r="A86" s="83">
        <v>41618.532207789351</v>
      </c>
      <c r="B86" s="84">
        <v>0</v>
      </c>
      <c r="C86" s="84">
        <v>100</v>
      </c>
      <c r="D86" s="84">
        <v>20.618556976318359</v>
      </c>
      <c r="E86" s="84">
        <v>32.8125</v>
      </c>
      <c r="F86" s="84">
        <v>601</v>
      </c>
      <c r="G86" s="84"/>
      <c r="H86" s="84">
        <v>255</v>
      </c>
      <c r="I86" s="85">
        <f t="shared" si="2"/>
        <v>502013</v>
      </c>
      <c r="J86" s="85">
        <f>SSL_DD[[#This Row],[Cumulative done story points]]</f>
        <v>0</v>
      </c>
      <c r="K86" s="85">
        <f>IF(SSL_DD[[#This Row],[Cumulative done story points]]=0,0,SSL_DD[[#This Row],[Defect Density]])</f>
        <v>0</v>
      </c>
      <c r="L86" s="87">
        <f ca="1">IF(ISNUMBER(SSL_DD[[#This Row],[Ext Regression %]]),SSL_DD[[#This Row],[Ext Regression %]],IF(ISBLANK(SSL_DD[[#This Row],[Ext Regression %]]),OFFSET(SSL_DD[[#This Row],[Ext Reg]],-1,0),0))</f>
        <v>20.618556976318359</v>
      </c>
      <c r="M86" s="87">
        <f ca="1">IF(ISNUMBER(SSL_DD[[#This Row],[Core Regression %]]),SSL_DD[[#This Row],[Core Regression %]],IF(ISBLANK(SSL_DD[[#This Row],[Core Regression %]]),OFFSET(SSL_DD[[#This Row],[Core Reg]],-1,0),0))</f>
        <v>32.8125</v>
      </c>
      <c r="N86" s="88">
        <f>SSL_DD[[#This Row],[Core]]/SUM(SSL_DD[[#This Row],[Ext]],SSL_DD[[#This Row],[Core]])</f>
        <v>0.29789719626168226</v>
      </c>
    </row>
    <row r="87" spans="1:14">
      <c r="A87" s="83">
        <v>41625.532207789351</v>
      </c>
      <c r="B87" s="84">
        <v>0</v>
      </c>
      <c r="C87" s="84">
        <v>100</v>
      </c>
      <c r="D87" s="84">
        <v>23.474178314208984</v>
      </c>
      <c r="E87" s="84">
        <v>38.636363983154297</v>
      </c>
      <c r="F87" s="84">
        <v>653</v>
      </c>
      <c r="G87" s="84"/>
      <c r="H87" s="84">
        <v>290</v>
      </c>
      <c r="I87" s="85">
        <f t="shared" si="2"/>
        <v>512013</v>
      </c>
      <c r="J87" s="85">
        <f>SSL_DD[[#This Row],[Cumulative done story points]]</f>
        <v>0</v>
      </c>
      <c r="K87" s="85">
        <f>IF(SSL_DD[[#This Row],[Cumulative done story points]]=0,0,SSL_DD[[#This Row],[Defect Density]])</f>
        <v>0</v>
      </c>
      <c r="L87" s="87">
        <f ca="1">IF(ISNUMBER(SSL_DD[[#This Row],[Ext Regression %]]),SSL_DD[[#This Row],[Ext Regression %]],IF(ISBLANK(SSL_DD[[#This Row],[Ext Regression %]]),OFFSET(SSL_DD[[#This Row],[Ext Reg]],-1,0),0))</f>
        <v>23.474178314208984</v>
      </c>
      <c r="M87" s="87">
        <f ca="1">IF(ISNUMBER(SSL_DD[[#This Row],[Core Regression %]]),SSL_DD[[#This Row],[Core Regression %]],IF(ISBLANK(SSL_DD[[#This Row],[Core Regression %]]),OFFSET(SSL_DD[[#This Row],[Core Reg]],-1,0),0))</f>
        <v>38.636363983154297</v>
      </c>
      <c r="N87" s="88">
        <f>SSL_DD[[#This Row],[Core]]/SUM(SSL_DD[[#This Row],[Ext]],SSL_DD[[#This Row],[Core]])</f>
        <v>0.30752916224814419</v>
      </c>
    </row>
    <row r="88" spans="1:14">
      <c r="A88" s="83">
        <v>41632.532207789351</v>
      </c>
      <c r="B88" s="84">
        <v>0</v>
      </c>
      <c r="C88" s="84">
        <v>100</v>
      </c>
      <c r="D88" s="84">
        <v>24.833702087402344</v>
      </c>
      <c r="E88" s="84">
        <v>40.692638397216797</v>
      </c>
      <c r="F88" s="84">
        <v>683</v>
      </c>
      <c r="G88" s="84"/>
      <c r="H88" s="84">
        <v>304</v>
      </c>
      <c r="I88" s="85">
        <f t="shared" si="2"/>
        <v>522013</v>
      </c>
      <c r="J88" s="85">
        <f>SSL_DD[[#This Row],[Cumulative done story points]]</f>
        <v>0</v>
      </c>
      <c r="K88" s="85">
        <f>IF(SSL_DD[[#This Row],[Cumulative done story points]]=0,0,SSL_DD[[#This Row],[Defect Density]])</f>
        <v>0</v>
      </c>
      <c r="L88" s="87">
        <f ca="1">IF(ISNUMBER(SSL_DD[[#This Row],[Ext Regression %]]),SSL_DD[[#This Row],[Ext Regression %]],IF(ISBLANK(SSL_DD[[#This Row],[Ext Regression %]]),OFFSET(SSL_DD[[#This Row],[Ext Reg]],-1,0),0))</f>
        <v>24.833702087402344</v>
      </c>
      <c r="M88" s="87">
        <f ca="1">IF(ISNUMBER(SSL_DD[[#This Row],[Core Regression %]]),SSL_DD[[#This Row],[Core Regression %]],IF(ISBLANK(SSL_DD[[#This Row],[Core Regression %]]),OFFSET(SSL_DD[[#This Row],[Core Reg]],-1,0),0))</f>
        <v>40.692638397216797</v>
      </c>
      <c r="N88" s="88">
        <f>SSL_DD[[#This Row],[Core]]/SUM(SSL_DD[[#This Row],[Ext]],SSL_DD[[#This Row],[Core]])</f>
        <v>0.30800405268490377</v>
      </c>
    </row>
    <row r="89" spans="1:14">
      <c r="A89" s="83">
        <v>41639.532207789351</v>
      </c>
      <c r="B89" s="84">
        <v>0</v>
      </c>
      <c r="C89" s="84">
        <v>100</v>
      </c>
      <c r="D89" s="84">
        <v>24.754419326782227</v>
      </c>
      <c r="E89" s="84">
        <v>39.676113128662109</v>
      </c>
      <c r="F89" s="84">
        <v>756</v>
      </c>
      <c r="G89" s="84"/>
      <c r="H89" s="84">
        <v>324</v>
      </c>
      <c r="I89" s="85">
        <f t="shared" si="2"/>
        <v>532013</v>
      </c>
      <c r="J89" s="85">
        <f>SSL_DD[[#This Row],[Cumulative done story points]]</f>
        <v>0</v>
      </c>
      <c r="K89" s="85">
        <f>IF(SSL_DD[[#This Row],[Cumulative done story points]]=0,0,SSL_DD[[#This Row],[Defect Density]])</f>
        <v>0</v>
      </c>
      <c r="L89" s="87">
        <f ca="1">IF(ISNUMBER(SSL_DD[[#This Row],[Ext Regression %]]),SSL_DD[[#This Row],[Ext Regression %]],IF(ISBLANK(SSL_DD[[#This Row],[Ext Regression %]]),OFFSET(SSL_DD[[#This Row],[Ext Reg]],-1,0),0))</f>
        <v>24.754419326782227</v>
      </c>
      <c r="M89" s="87">
        <f ca="1">IF(ISNUMBER(SSL_DD[[#This Row],[Core Regression %]]),SSL_DD[[#This Row],[Core Regression %]],IF(ISBLANK(SSL_DD[[#This Row],[Core Regression %]]),OFFSET(SSL_DD[[#This Row],[Core Reg]],-1,0),0))</f>
        <v>39.676113128662109</v>
      </c>
      <c r="N89" s="88">
        <f>SSL_DD[[#This Row],[Core]]/SUM(SSL_DD[[#This Row],[Ext]],SSL_DD[[#This Row],[Core]])</f>
        <v>0.3</v>
      </c>
    </row>
    <row r="90" spans="1:14">
      <c r="A90" s="83">
        <v>41646.532207789351</v>
      </c>
      <c r="B90" s="84">
        <v>0</v>
      </c>
      <c r="C90" s="84">
        <v>100</v>
      </c>
      <c r="D90" s="84">
        <v>26.654064178466797</v>
      </c>
      <c r="E90" s="84">
        <v>41.825096130371094</v>
      </c>
      <c r="F90" s="84">
        <v>787</v>
      </c>
      <c r="G90" s="84"/>
      <c r="H90" s="84">
        <v>344</v>
      </c>
      <c r="I90" s="85">
        <f t="shared" si="2"/>
        <v>22014</v>
      </c>
      <c r="J90" s="85">
        <f>SSL_DD[[#This Row],[Cumulative done story points]]</f>
        <v>0</v>
      </c>
      <c r="K90" s="85">
        <f>IF(SSL_DD[[#This Row],[Cumulative done story points]]=0,0,SSL_DD[[#This Row],[Defect Density]])</f>
        <v>0</v>
      </c>
      <c r="L90" s="87">
        <f ca="1">IF(ISNUMBER(SSL_DD[[#This Row],[Ext Regression %]]),SSL_DD[[#This Row],[Ext Regression %]],IF(ISBLANK(SSL_DD[[#This Row],[Ext Regression %]]),OFFSET(SSL_DD[[#This Row],[Ext Reg]],-1,0),0))</f>
        <v>26.654064178466797</v>
      </c>
      <c r="M90" s="87">
        <f ca="1">IF(ISNUMBER(SSL_DD[[#This Row],[Core Regression %]]),SSL_DD[[#This Row],[Core Regression %]],IF(ISBLANK(SSL_DD[[#This Row],[Core Regression %]]),OFFSET(SSL_DD[[#This Row],[Core Reg]],-1,0),0))</f>
        <v>41.825096130371094</v>
      </c>
      <c r="N90" s="88">
        <f>SSL_DD[[#This Row],[Core]]/SUM(SSL_DD[[#This Row],[Ext]],SSL_DD[[#This Row],[Core]])</f>
        <v>0.3041556145004421</v>
      </c>
    </row>
    <row r="91" spans="1:14">
      <c r="A91" s="83">
        <v>41653.532207789351</v>
      </c>
      <c r="B91" s="84">
        <v>0</v>
      </c>
      <c r="C91" s="84">
        <v>100</v>
      </c>
      <c r="D91" s="84">
        <v>28.388278961181641</v>
      </c>
      <c r="E91" s="84">
        <v>43.971630096435547</v>
      </c>
      <c r="F91" s="84">
        <v>810</v>
      </c>
      <c r="G91" s="84"/>
      <c r="H91" s="84">
        <v>367</v>
      </c>
      <c r="I91" s="85">
        <f t="shared" si="2"/>
        <v>32014</v>
      </c>
      <c r="J91" s="85">
        <f>SSL_DD[[#This Row],[Cumulative done story points]]</f>
        <v>0</v>
      </c>
      <c r="K91" s="85">
        <f>IF(SSL_DD[[#This Row],[Cumulative done story points]]=0,0,SSL_DD[[#This Row],[Defect Density]])</f>
        <v>0</v>
      </c>
      <c r="L91" s="87">
        <f ca="1">IF(ISNUMBER(SSL_DD[[#This Row],[Ext Regression %]]),SSL_DD[[#This Row],[Ext Regression %]],IF(ISBLANK(SSL_DD[[#This Row],[Ext Regression %]]),OFFSET(SSL_DD[[#This Row],[Ext Reg]],-1,0),0))</f>
        <v>28.388278961181641</v>
      </c>
      <c r="M91" s="87">
        <f ca="1">IF(ISNUMBER(SSL_DD[[#This Row],[Core Regression %]]),SSL_DD[[#This Row],[Core Regression %]],IF(ISBLANK(SSL_DD[[#This Row],[Core Regression %]]),OFFSET(SSL_DD[[#This Row],[Core Reg]],-1,0),0))</f>
        <v>43.971630096435547</v>
      </c>
      <c r="N91" s="88">
        <f>SSL_DD[[#This Row],[Core]]/SUM(SSL_DD[[#This Row],[Ext]],SSL_DD[[#This Row],[Core]])</f>
        <v>0.31180968564146133</v>
      </c>
    </row>
    <row r="92" spans="1:14">
      <c r="A92" s="83">
        <v>41660.532207789351</v>
      </c>
      <c r="B92" s="84">
        <v>0</v>
      </c>
      <c r="C92" s="84">
        <v>100</v>
      </c>
      <c r="D92" s="84">
        <v>29.858657836914063</v>
      </c>
      <c r="E92" s="84">
        <v>44.32989501953125</v>
      </c>
      <c r="F92" s="84">
        <v>841</v>
      </c>
      <c r="G92" s="84"/>
      <c r="H92" s="84">
        <v>385</v>
      </c>
      <c r="I92" s="85">
        <f t="shared" si="2"/>
        <v>42014</v>
      </c>
      <c r="J92" s="85">
        <f>SSL_DD[[#This Row],[Cumulative done story points]]</f>
        <v>0</v>
      </c>
      <c r="K92" s="85">
        <f>IF(SSL_DD[[#This Row],[Cumulative done story points]]=0,0,SSL_DD[[#This Row],[Defect Density]])</f>
        <v>0</v>
      </c>
      <c r="L92" s="87">
        <f ca="1">IF(ISNUMBER(SSL_DD[[#This Row],[Ext Regression %]]),SSL_DD[[#This Row],[Ext Regression %]],IF(ISBLANK(SSL_DD[[#This Row],[Ext Regression %]]),OFFSET(SSL_DD[[#This Row],[Ext Reg]],-1,0),0))</f>
        <v>29.858657836914063</v>
      </c>
      <c r="M92" s="87">
        <f ca="1">IF(ISNUMBER(SSL_DD[[#This Row],[Core Regression %]]),SSL_DD[[#This Row],[Core Regression %]],IF(ISBLANK(SSL_DD[[#This Row],[Core Regression %]]),OFFSET(SSL_DD[[#This Row],[Core Reg]],-1,0),0))</f>
        <v>44.32989501953125</v>
      </c>
      <c r="N92" s="88">
        <f>SSL_DD[[#This Row],[Core]]/SUM(SSL_DD[[#This Row],[Ext]],SSL_DD[[#This Row],[Core]])</f>
        <v>0.31402936378466556</v>
      </c>
    </row>
    <row r="93" spans="1:14">
      <c r="A93" s="83">
        <v>41667.532207789351</v>
      </c>
      <c r="B93" s="84">
        <v>0</v>
      </c>
      <c r="C93" s="84">
        <v>100</v>
      </c>
      <c r="D93" s="84">
        <v>32.183910369873047</v>
      </c>
      <c r="E93" s="84">
        <v>46.913578033447266</v>
      </c>
      <c r="F93" s="84">
        <v>906</v>
      </c>
      <c r="G93" s="84"/>
      <c r="H93" s="84">
        <v>424</v>
      </c>
      <c r="I93" s="85">
        <f t="shared" si="2"/>
        <v>52014</v>
      </c>
      <c r="J93" s="85">
        <f>SSL_DD[[#This Row],[Cumulative done story points]]</f>
        <v>0</v>
      </c>
      <c r="K93" s="85">
        <f>IF(SSL_DD[[#This Row],[Cumulative done story points]]=0,0,SSL_DD[[#This Row],[Defect Density]])</f>
        <v>0</v>
      </c>
      <c r="L93" s="87">
        <f ca="1">IF(ISNUMBER(SSL_DD[[#This Row],[Ext Regression %]]),SSL_DD[[#This Row],[Ext Regression %]],IF(ISBLANK(SSL_DD[[#This Row],[Ext Regression %]]),OFFSET(SSL_DD[[#This Row],[Ext Reg]],-1,0),0))</f>
        <v>32.183910369873047</v>
      </c>
      <c r="M93" s="87">
        <f ca="1">IF(ISNUMBER(SSL_DD[[#This Row],[Core Regression %]]),SSL_DD[[#This Row],[Core Regression %]],IF(ISBLANK(SSL_DD[[#This Row],[Core Regression %]]),OFFSET(SSL_DD[[#This Row],[Core Reg]],-1,0),0))</f>
        <v>46.913578033447266</v>
      </c>
      <c r="N93" s="88">
        <f>SSL_DD[[#This Row],[Core]]/SUM(SSL_DD[[#This Row],[Ext]],SSL_DD[[#This Row],[Core]])</f>
        <v>0.31879699248120302</v>
      </c>
    </row>
    <row r="94" spans="1:14">
      <c r="A94" s="83">
        <v>41674.532207789351</v>
      </c>
      <c r="B94" s="84">
        <v>0</v>
      </c>
      <c r="C94" s="84">
        <v>100</v>
      </c>
      <c r="D94" s="84">
        <v>33.598728179931641</v>
      </c>
      <c r="E94" s="84">
        <v>48.520709991455078</v>
      </c>
      <c r="F94" s="84">
        <v>931</v>
      </c>
      <c r="G94" s="84"/>
      <c r="H94" s="84">
        <v>441</v>
      </c>
      <c r="I94" s="85">
        <f t="shared" si="2"/>
        <v>62014</v>
      </c>
      <c r="J94" s="85">
        <f>SSL_DD[[#This Row],[Cumulative done story points]]</f>
        <v>0</v>
      </c>
      <c r="K94" s="85">
        <f>IF(SSL_DD[[#This Row],[Cumulative done story points]]=0,0,SSL_DD[[#This Row],[Defect Density]])</f>
        <v>0</v>
      </c>
      <c r="L94" s="87">
        <f ca="1">IF(ISNUMBER(SSL_DD[[#This Row],[Ext Regression %]]),SSL_DD[[#This Row],[Ext Regression %]],IF(ISBLANK(SSL_DD[[#This Row],[Ext Regression %]]),OFFSET(SSL_DD[[#This Row],[Ext Reg]],-1,0),0))</f>
        <v>33.598728179931641</v>
      </c>
      <c r="M94" s="87">
        <f ca="1">IF(ISNUMBER(SSL_DD[[#This Row],[Core Regression %]]),SSL_DD[[#This Row],[Core Regression %]],IF(ISBLANK(SSL_DD[[#This Row],[Core Regression %]]),OFFSET(SSL_DD[[#This Row],[Core Reg]],-1,0),0))</f>
        <v>48.520709991455078</v>
      </c>
      <c r="N94" s="88">
        <f>SSL_DD[[#This Row],[Core]]/SUM(SSL_DD[[#This Row],[Ext]],SSL_DD[[#This Row],[Core]])</f>
        <v>0.32142857142857145</v>
      </c>
    </row>
    <row r="95" spans="1:14">
      <c r="A95" s="83">
        <v>41681.532207789351</v>
      </c>
      <c r="B95" s="84">
        <v>0</v>
      </c>
      <c r="C95" s="84">
        <v>100</v>
      </c>
      <c r="D95" s="84">
        <v>32.882884979248047</v>
      </c>
      <c r="E95" s="84">
        <v>48.459384918212891</v>
      </c>
      <c r="F95" s="84">
        <v>987</v>
      </c>
      <c r="G95" s="84"/>
      <c r="H95" s="84">
        <v>466</v>
      </c>
      <c r="I95" s="85">
        <f t="shared" si="2"/>
        <v>72014</v>
      </c>
      <c r="J95" s="85">
        <f>SSL_DD[[#This Row],[Cumulative done story points]]</f>
        <v>0</v>
      </c>
      <c r="K95" s="85">
        <f>IF(SSL_DD[[#This Row],[Cumulative done story points]]=0,0,SSL_DD[[#This Row],[Defect Density]])</f>
        <v>0</v>
      </c>
      <c r="L95" s="87">
        <f ca="1">IF(ISNUMBER(SSL_DD[[#This Row],[Ext Regression %]]),SSL_DD[[#This Row],[Ext Regression %]],IF(ISBLANK(SSL_DD[[#This Row],[Ext Regression %]]),OFFSET(SSL_DD[[#This Row],[Ext Reg]],-1,0),0))</f>
        <v>32.882884979248047</v>
      </c>
      <c r="M95" s="87">
        <f ca="1">IF(ISNUMBER(SSL_DD[[#This Row],[Core Regression %]]),SSL_DD[[#This Row],[Core Regression %]],IF(ISBLANK(SSL_DD[[#This Row],[Core Regression %]]),OFFSET(SSL_DD[[#This Row],[Core Reg]],-1,0),0))</f>
        <v>48.459384918212891</v>
      </c>
      <c r="N95" s="88">
        <f>SSL_DD[[#This Row],[Core]]/SUM(SSL_DD[[#This Row],[Ext]],SSL_DD[[#This Row],[Core]])</f>
        <v>0.32071576049552647</v>
      </c>
    </row>
    <row r="96" spans="1:14">
      <c r="A96" s="83">
        <v>41688.532207789351</v>
      </c>
      <c r="B96" s="84">
        <v>0</v>
      </c>
      <c r="C96" s="84">
        <v>100</v>
      </c>
      <c r="D96" s="84">
        <v>33.236995697021484</v>
      </c>
      <c r="E96" s="84">
        <v>48.767124176025391</v>
      </c>
      <c r="F96" s="84">
        <v>1028</v>
      </c>
      <c r="G96" s="84"/>
      <c r="H96" s="84">
        <v>474</v>
      </c>
      <c r="I96" s="85">
        <f t="shared" si="2"/>
        <v>82014</v>
      </c>
      <c r="J96" s="85">
        <f>SSL_DD[[#This Row],[Cumulative done story points]]</f>
        <v>0</v>
      </c>
      <c r="K96" s="85">
        <f>IF(SSL_DD[[#This Row],[Cumulative done story points]]=0,0,SSL_DD[[#This Row],[Defect Density]])</f>
        <v>0</v>
      </c>
      <c r="L96" s="87">
        <f ca="1">IF(ISNUMBER(SSL_DD[[#This Row],[Ext Regression %]]),SSL_DD[[#This Row],[Ext Regression %]],IF(ISBLANK(SSL_DD[[#This Row],[Ext Regression %]]),OFFSET(SSL_DD[[#This Row],[Ext Reg]],-1,0),0))</f>
        <v>33.236995697021484</v>
      </c>
      <c r="M96" s="87">
        <f ca="1">IF(ISNUMBER(SSL_DD[[#This Row],[Core Regression %]]),SSL_DD[[#This Row],[Core Regression %]],IF(ISBLANK(SSL_DD[[#This Row],[Core Regression %]]),OFFSET(SSL_DD[[#This Row],[Core Reg]],-1,0),0))</f>
        <v>48.767124176025391</v>
      </c>
      <c r="N96" s="88">
        <f>SSL_DD[[#This Row],[Core]]/SUM(SSL_DD[[#This Row],[Ext]],SSL_DD[[#This Row],[Core]])</f>
        <v>0.31557922769640478</v>
      </c>
    </row>
    <row r="97" spans="1:14">
      <c r="A97" s="83">
        <v>41695.532207789351</v>
      </c>
      <c r="B97" s="84">
        <v>0</v>
      </c>
      <c r="C97" s="84">
        <v>100</v>
      </c>
      <c r="D97" s="84">
        <v>33.56353759765625</v>
      </c>
      <c r="E97" s="84">
        <v>48.812664031982422</v>
      </c>
      <c r="F97" s="84">
        <v>1077</v>
      </c>
      <c r="G97" s="84"/>
      <c r="H97" s="84">
        <v>498</v>
      </c>
      <c r="I97" s="85">
        <f t="shared" si="2"/>
        <v>92014</v>
      </c>
      <c r="J97" s="85">
        <f>SSL_DD[[#This Row],[Cumulative done story points]]</f>
        <v>0</v>
      </c>
      <c r="K97" s="85">
        <f>IF(SSL_DD[[#This Row],[Cumulative done story points]]=0,0,SSL_DD[[#This Row],[Defect Density]])</f>
        <v>0</v>
      </c>
      <c r="L97" s="87">
        <f ca="1">IF(ISNUMBER(SSL_DD[[#This Row],[Ext Regression %]]),SSL_DD[[#This Row],[Ext Regression %]],IF(ISBLANK(SSL_DD[[#This Row],[Ext Regression %]]),OFFSET(SSL_DD[[#This Row],[Ext Reg]],-1,0),0))</f>
        <v>33.56353759765625</v>
      </c>
      <c r="M97" s="87">
        <f ca="1">IF(ISNUMBER(SSL_DD[[#This Row],[Core Regression %]]),SSL_DD[[#This Row],[Core Regression %]],IF(ISBLANK(SSL_DD[[#This Row],[Core Regression %]]),OFFSET(SSL_DD[[#This Row],[Core Reg]],-1,0),0))</f>
        <v>48.812664031982422</v>
      </c>
      <c r="N97" s="88">
        <f>SSL_DD[[#This Row],[Core]]/SUM(SSL_DD[[#This Row],[Ext]],SSL_DD[[#This Row],[Core]])</f>
        <v>0.31619047619047619</v>
      </c>
    </row>
    <row r="98" spans="1:14">
      <c r="A98" s="83">
        <v>41702.532207789351</v>
      </c>
      <c r="B98" s="84">
        <v>0</v>
      </c>
      <c r="C98" s="84">
        <v>100</v>
      </c>
      <c r="D98" s="84">
        <v>37.657432556152344</v>
      </c>
      <c r="E98" s="84">
        <v>52.582157135009766</v>
      </c>
      <c r="F98" s="84">
        <v>1194</v>
      </c>
      <c r="G98" s="84"/>
      <c r="H98" s="84">
        <v>563</v>
      </c>
      <c r="I98" s="85">
        <f t="shared" si="2"/>
        <v>102014</v>
      </c>
      <c r="J98" s="85">
        <f>SSL_DD[[#This Row],[Cumulative done story points]]</f>
        <v>0</v>
      </c>
      <c r="K98" s="85">
        <f>IF(SSL_DD[[#This Row],[Cumulative done story points]]=0,0,SSL_DD[[#This Row],[Defect Density]])</f>
        <v>0</v>
      </c>
      <c r="L98" s="87">
        <f ca="1">IF(ISNUMBER(SSL_DD[[#This Row],[Ext Regression %]]),SSL_DD[[#This Row],[Ext Regression %]],IF(ISBLANK(SSL_DD[[#This Row],[Ext Regression %]]),OFFSET(SSL_DD[[#This Row],[Ext Reg]],-1,0),0))</f>
        <v>37.657432556152344</v>
      </c>
      <c r="M98" s="87">
        <f ca="1">IF(ISNUMBER(SSL_DD[[#This Row],[Core Regression %]]),SSL_DD[[#This Row],[Core Regression %]],IF(ISBLANK(SSL_DD[[#This Row],[Core Regression %]]),OFFSET(SSL_DD[[#This Row],[Core Reg]],-1,0),0))</f>
        <v>52.582157135009766</v>
      </c>
      <c r="N98" s="88">
        <f>SSL_DD[[#This Row],[Core]]/SUM(SSL_DD[[#This Row],[Ext]],SSL_DD[[#This Row],[Core]])</f>
        <v>0.32043255549231647</v>
      </c>
    </row>
    <row r="99" spans="1:14">
      <c r="A99" s="83">
        <v>41709.532207789351</v>
      </c>
      <c r="B99" s="84">
        <v>0</v>
      </c>
      <c r="C99" s="84">
        <v>100</v>
      </c>
      <c r="D99" s="84">
        <v>39.375747680664062</v>
      </c>
      <c r="E99" s="84">
        <v>53.947372436523437</v>
      </c>
      <c r="F99" s="84">
        <v>1250</v>
      </c>
      <c r="G99" s="84"/>
      <c r="H99" s="84">
        <v>598</v>
      </c>
      <c r="I99" s="85">
        <f t="shared" ref="I99:I116" si="3">VALUE(WEEKNUM(A99*1)&amp;YEAR(A99*1))</f>
        <v>112014</v>
      </c>
      <c r="J99" s="85">
        <f>SSL_DD[[#This Row],[Cumulative done story points]]</f>
        <v>0</v>
      </c>
      <c r="K99" s="85">
        <f>IF(SSL_DD[[#This Row],[Cumulative done story points]]=0,0,SSL_DD[[#This Row],[Defect Density]])</f>
        <v>0</v>
      </c>
      <c r="L99" s="87">
        <f ca="1">IF(ISNUMBER(SSL_DD[[#This Row],[Ext Regression %]]),SSL_DD[[#This Row],[Ext Regression %]],IF(ISBLANK(SSL_DD[[#This Row],[Ext Regression %]]),OFFSET(SSL_DD[[#This Row],[Ext Reg]],-1,0),0))</f>
        <v>39.375747680664062</v>
      </c>
      <c r="M99" s="87">
        <f ca="1">IF(ISNUMBER(SSL_DD[[#This Row],[Core Regression %]]),SSL_DD[[#This Row],[Core Regression %]],IF(ISBLANK(SSL_DD[[#This Row],[Core Regression %]]),OFFSET(SSL_DD[[#This Row],[Core Reg]],-1,0),0))</f>
        <v>53.947372436523437</v>
      </c>
      <c r="N99" s="88">
        <f>SSL_DD[[#This Row],[Core]]/SUM(SSL_DD[[#This Row],[Ext]],SSL_DD[[#This Row],[Core]])</f>
        <v>0.3235930735930736</v>
      </c>
    </row>
    <row r="100" spans="1:14">
      <c r="A100" s="83">
        <v>41716.532207789351</v>
      </c>
      <c r="B100" s="84">
        <v>0</v>
      </c>
      <c r="C100" s="84">
        <v>100</v>
      </c>
      <c r="D100" s="84">
        <v>39.454975128173828</v>
      </c>
      <c r="E100" s="84">
        <v>53.930133819580078</v>
      </c>
      <c r="F100" s="84">
        <v>1271</v>
      </c>
      <c r="G100" s="84"/>
      <c r="H100" s="84">
        <v>604</v>
      </c>
      <c r="I100" s="85">
        <f t="shared" si="3"/>
        <v>122014</v>
      </c>
      <c r="J100" s="85">
        <f>SSL_DD[[#This Row],[Cumulative done story points]]</f>
        <v>0</v>
      </c>
      <c r="K100" s="85">
        <f>IF(SSL_DD[[#This Row],[Cumulative done story points]]=0,0,SSL_DD[[#This Row],[Defect Density]])</f>
        <v>0</v>
      </c>
      <c r="L100" s="87">
        <f ca="1">IF(ISNUMBER(SSL_DD[[#This Row],[Ext Regression %]]),SSL_DD[[#This Row],[Ext Regression %]],IF(ISBLANK(SSL_DD[[#This Row],[Ext Regression %]]),OFFSET(SSL_DD[[#This Row],[Ext Reg]],-1,0),0))</f>
        <v>39.454975128173828</v>
      </c>
      <c r="M100" s="87">
        <f ca="1">IF(ISNUMBER(SSL_DD[[#This Row],[Core Regression %]]),SSL_DD[[#This Row],[Core Regression %]],IF(ISBLANK(SSL_DD[[#This Row],[Core Regression %]]),OFFSET(SSL_DD[[#This Row],[Core Reg]],-1,0),0))</f>
        <v>53.930133819580078</v>
      </c>
      <c r="N100" s="88">
        <f>SSL_DD[[#This Row],[Core]]/SUM(SSL_DD[[#This Row],[Ext]],SSL_DD[[#This Row],[Core]])</f>
        <v>0.32213333333333333</v>
      </c>
    </row>
    <row r="101" spans="1:14">
      <c r="A101" s="83">
        <v>41723.532207789351</v>
      </c>
      <c r="B101" s="84">
        <v>0</v>
      </c>
      <c r="C101" s="84">
        <v>100</v>
      </c>
      <c r="D101" s="84">
        <v>38.683601379394531</v>
      </c>
      <c r="E101" s="84">
        <v>53.319053649902344</v>
      </c>
      <c r="F101" s="84">
        <v>1303</v>
      </c>
      <c r="G101" s="84"/>
      <c r="H101" s="84">
        <v>620</v>
      </c>
      <c r="I101" s="85">
        <f t="shared" si="3"/>
        <v>132014</v>
      </c>
      <c r="J101" s="85">
        <f>SSL_DD[[#This Row],[Cumulative done story points]]</f>
        <v>0</v>
      </c>
      <c r="K101" s="85">
        <f>IF(SSL_DD[[#This Row],[Cumulative done story points]]=0,0,SSL_DD[[#This Row],[Defect Density]])</f>
        <v>0</v>
      </c>
      <c r="L101" s="87">
        <f ca="1">IF(ISNUMBER(SSL_DD[[#This Row],[Ext Regression %]]),SSL_DD[[#This Row],[Ext Regression %]],IF(ISBLANK(SSL_DD[[#This Row],[Ext Regression %]]),OFFSET(SSL_DD[[#This Row],[Ext Reg]],-1,0),0))</f>
        <v>38.683601379394531</v>
      </c>
      <c r="M101" s="87">
        <f ca="1">IF(ISNUMBER(SSL_DD[[#This Row],[Core Regression %]]),SSL_DD[[#This Row],[Core Regression %]],IF(ISBLANK(SSL_DD[[#This Row],[Core Regression %]]),OFFSET(SSL_DD[[#This Row],[Core Reg]],-1,0),0))</f>
        <v>53.319053649902344</v>
      </c>
      <c r="N101" s="88">
        <f>SSL_DD[[#This Row],[Core]]/SUM(SSL_DD[[#This Row],[Ext]],SSL_DD[[#This Row],[Core]])</f>
        <v>0.32241289651586064</v>
      </c>
    </row>
    <row r="102" spans="1:14">
      <c r="A102" s="83">
        <v>41730.532207789351</v>
      </c>
      <c r="B102" s="84">
        <v>36</v>
      </c>
      <c r="C102" s="84" t="e">
        <f>NA()</f>
        <v>#N/A</v>
      </c>
      <c r="D102" s="84">
        <v>39.737991333007812</v>
      </c>
      <c r="E102" s="84">
        <v>53.144012451171875</v>
      </c>
      <c r="F102" s="84">
        <v>1383</v>
      </c>
      <c r="G102" s="84"/>
      <c r="H102" s="84">
        <v>649</v>
      </c>
      <c r="I102" s="85">
        <f t="shared" si="3"/>
        <v>142014</v>
      </c>
      <c r="J102" s="85">
        <f>SSL_DD[[#This Row],[Cumulative done story points]]</f>
        <v>36</v>
      </c>
      <c r="K102" s="85" t="e">
        <f>IF(SSL_DD[[#This Row],[Cumulative done story points]]=0,0,SSL_DD[[#This Row],[Defect Density]])</f>
        <v>#N/A</v>
      </c>
      <c r="L102" s="87">
        <f ca="1">IF(ISNUMBER(SSL_DD[[#This Row],[Ext Regression %]]),SSL_DD[[#This Row],[Ext Regression %]],IF(ISBLANK(SSL_DD[[#This Row],[Ext Regression %]]),OFFSET(SSL_DD[[#This Row],[Ext Reg]],-1,0),0))</f>
        <v>39.737991333007812</v>
      </c>
      <c r="M102" s="87">
        <f ca="1">IF(ISNUMBER(SSL_DD[[#This Row],[Core Regression %]]),SSL_DD[[#This Row],[Core Regression %]],IF(ISBLANK(SSL_DD[[#This Row],[Core Regression %]]),OFFSET(SSL_DD[[#This Row],[Core Reg]],-1,0),0))</f>
        <v>53.144012451171875</v>
      </c>
      <c r="N102" s="88">
        <f>SSL_DD[[#This Row],[Core]]/SUM(SSL_DD[[#This Row],[Ext]],SSL_DD[[#This Row],[Core]])</f>
        <v>0.31938976377952755</v>
      </c>
    </row>
    <row r="103" spans="1:14">
      <c r="A103" s="83">
        <v>41737.532207789351</v>
      </c>
      <c r="B103" s="84">
        <v>62</v>
      </c>
      <c r="C103" s="84">
        <v>15.403225898742676</v>
      </c>
      <c r="D103" s="84">
        <v>40.628273010253906</v>
      </c>
      <c r="E103" s="84">
        <v>53.937004089355469</v>
      </c>
      <c r="F103" s="84">
        <v>1458</v>
      </c>
      <c r="G103" s="84"/>
      <c r="H103" s="84">
        <v>669</v>
      </c>
      <c r="I103" s="85">
        <f t="shared" si="3"/>
        <v>152014</v>
      </c>
      <c r="J103" s="85">
        <f>SSL_DD[[#This Row],[Cumulative done story points]]</f>
        <v>62</v>
      </c>
      <c r="K103" s="85">
        <f>IF(SSL_DD[[#This Row],[Cumulative done story points]]=0,0,SSL_DD[[#This Row],[Defect Density]])</f>
        <v>15.403225898742676</v>
      </c>
      <c r="L103" s="87">
        <f ca="1">IF(ISNUMBER(SSL_DD[[#This Row],[Ext Regression %]]),SSL_DD[[#This Row],[Ext Regression %]],IF(ISBLANK(SSL_DD[[#This Row],[Ext Regression %]]),OFFSET(SSL_DD[[#This Row],[Ext Reg]],-1,0),0))</f>
        <v>40.628273010253906</v>
      </c>
      <c r="M103" s="87">
        <f ca="1">IF(ISNUMBER(SSL_DD[[#This Row],[Core Regression %]]),SSL_DD[[#This Row],[Core Regression %]],IF(ISBLANK(SSL_DD[[#This Row],[Core Regression %]]),OFFSET(SSL_DD[[#This Row],[Core Reg]],-1,0),0))</f>
        <v>53.937004089355469</v>
      </c>
      <c r="N103" s="88">
        <f>SSL_DD[[#This Row],[Core]]/SUM(SSL_DD[[#This Row],[Ext]],SSL_DD[[#This Row],[Core]])</f>
        <v>0.3145275035260931</v>
      </c>
    </row>
    <row r="104" spans="1:14">
      <c r="A104" s="83">
        <v>41744.532207789351</v>
      </c>
      <c r="B104" s="84">
        <v>70</v>
      </c>
      <c r="C104" s="84">
        <v>14.128571510314941</v>
      </c>
      <c r="D104" s="84">
        <v>40.74822998046875</v>
      </c>
      <c r="E104" s="84">
        <v>54.406131744384766</v>
      </c>
      <c r="F104" s="84">
        <v>1507</v>
      </c>
      <c r="G104" s="84"/>
      <c r="H104" s="84">
        <v>685</v>
      </c>
      <c r="I104" s="85">
        <f t="shared" si="3"/>
        <v>162014</v>
      </c>
      <c r="J104" s="85">
        <f>SSL_DD[[#This Row],[Cumulative done story points]]</f>
        <v>70</v>
      </c>
      <c r="K104" s="85">
        <f>IF(SSL_DD[[#This Row],[Cumulative done story points]]=0,0,SSL_DD[[#This Row],[Defect Density]])</f>
        <v>14.128571510314941</v>
      </c>
      <c r="L104" s="87">
        <f ca="1">IF(ISNUMBER(SSL_DD[[#This Row],[Ext Regression %]]),SSL_DD[[#This Row],[Ext Regression %]],IF(ISBLANK(SSL_DD[[#This Row],[Ext Regression %]]),OFFSET(SSL_DD[[#This Row],[Ext Reg]],-1,0),0))</f>
        <v>40.74822998046875</v>
      </c>
      <c r="M104" s="87">
        <f ca="1">IF(ISNUMBER(SSL_DD[[#This Row],[Core Regression %]]),SSL_DD[[#This Row],[Core Regression %]],IF(ISBLANK(SSL_DD[[#This Row],[Core Regression %]]),OFFSET(SSL_DD[[#This Row],[Core Reg]],-1,0),0))</f>
        <v>54.406131744384766</v>
      </c>
      <c r="N104" s="88">
        <f>SSL_DD[[#This Row],[Core]]/SUM(SSL_DD[[#This Row],[Ext]],SSL_DD[[#This Row],[Core]])</f>
        <v>0.3125</v>
      </c>
    </row>
    <row r="105" spans="1:14">
      <c r="A105" s="83">
        <v>41751.532207789351</v>
      </c>
      <c r="B105" s="84">
        <v>151</v>
      </c>
      <c r="C105" s="84">
        <v>6.7947020530700684</v>
      </c>
      <c r="D105" s="84">
        <v>41.228069305419922</v>
      </c>
      <c r="E105" s="84">
        <v>53.676467895507813</v>
      </c>
      <c r="F105" s="84">
        <v>1564</v>
      </c>
      <c r="G105" s="84"/>
      <c r="H105" s="84">
        <v>709</v>
      </c>
      <c r="I105" s="85">
        <f t="shared" si="3"/>
        <v>172014</v>
      </c>
      <c r="J105" s="85">
        <f>SSL_DD[[#This Row],[Cumulative done story points]]</f>
        <v>151</v>
      </c>
      <c r="K105" s="85">
        <f>IF(SSL_DD[[#This Row],[Cumulative done story points]]=0,0,SSL_DD[[#This Row],[Defect Density]])</f>
        <v>6.7947020530700684</v>
      </c>
      <c r="L105" s="87">
        <f ca="1">IF(ISNUMBER(SSL_DD[[#This Row],[Ext Regression %]]),SSL_DD[[#This Row],[Ext Regression %]],IF(ISBLANK(SSL_DD[[#This Row],[Ext Regression %]]),OFFSET(SSL_DD[[#This Row],[Ext Reg]],-1,0),0))</f>
        <v>41.228069305419922</v>
      </c>
      <c r="M105" s="87">
        <f ca="1">IF(ISNUMBER(SSL_DD[[#This Row],[Core Regression %]]),SSL_DD[[#This Row],[Core Regression %]],IF(ISBLANK(SSL_DD[[#This Row],[Core Regression %]]),OFFSET(SSL_DD[[#This Row],[Core Reg]],-1,0),0))</f>
        <v>53.676467895507813</v>
      </c>
      <c r="N105" s="88">
        <f>SSL_DD[[#This Row],[Core]]/SUM(SSL_DD[[#This Row],[Ext]],SSL_DD[[#This Row],[Core]])</f>
        <v>0.31192256929168499</v>
      </c>
    </row>
    <row r="106" spans="1:14">
      <c r="A106" s="83">
        <v>41758.532207789351</v>
      </c>
      <c r="B106" s="84">
        <v>181</v>
      </c>
      <c r="C106" s="84">
        <v>5.9392266273498535</v>
      </c>
      <c r="D106" s="84">
        <v>43.069766998291016</v>
      </c>
      <c r="E106" s="84">
        <v>55.148338317871094</v>
      </c>
      <c r="F106" s="84">
        <v>1655</v>
      </c>
      <c r="G106" s="84"/>
      <c r="H106" s="84">
        <v>747</v>
      </c>
      <c r="I106" s="85">
        <f t="shared" si="3"/>
        <v>182014</v>
      </c>
      <c r="J106" s="85">
        <f>SSL_DD[[#This Row],[Cumulative done story points]]</f>
        <v>181</v>
      </c>
      <c r="K106" s="85">
        <f>IF(SSL_DD[[#This Row],[Cumulative done story points]]=0,0,SSL_DD[[#This Row],[Defect Density]])</f>
        <v>5.9392266273498535</v>
      </c>
      <c r="L106" s="87">
        <f ca="1">IF(ISNUMBER(SSL_DD[[#This Row],[Ext Regression %]]),SSL_DD[[#This Row],[Ext Regression %]],IF(ISBLANK(SSL_DD[[#This Row],[Ext Regression %]]),OFFSET(SSL_DD[[#This Row],[Ext Reg]],-1,0),0))</f>
        <v>43.069766998291016</v>
      </c>
      <c r="M106" s="87">
        <f ca="1">IF(ISNUMBER(SSL_DD[[#This Row],[Core Regression %]]),SSL_DD[[#This Row],[Core Regression %]],IF(ISBLANK(SSL_DD[[#This Row],[Core Regression %]]),OFFSET(SSL_DD[[#This Row],[Core Reg]],-1,0),0))</f>
        <v>55.148338317871094</v>
      </c>
      <c r="N106" s="88">
        <f>SSL_DD[[#This Row],[Core]]/SUM(SSL_DD[[#This Row],[Ext]],SSL_DD[[#This Row],[Core]])</f>
        <v>0.31099084096586177</v>
      </c>
    </row>
    <row r="107" spans="1:14">
      <c r="A107" s="83">
        <v>41765.532207789351</v>
      </c>
      <c r="B107" s="84">
        <v>198</v>
      </c>
      <c r="C107" s="84">
        <v>5.5757575035095215</v>
      </c>
      <c r="D107" s="84">
        <v>43.115940093994141</v>
      </c>
      <c r="E107" s="84">
        <v>54.974704742431641</v>
      </c>
      <c r="F107" s="84">
        <v>1691</v>
      </c>
      <c r="G107" s="84"/>
      <c r="H107" s="84">
        <v>769</v>
      </c>
      <c r="I107" s="85">
        <f t="shared" si="3"/>
        <v>192014</v>
      </c>
      <c r="J107" s="85">
        <f>SSL_DD[[#This Row],[Cumulative done story points]]</f>
        <v>198</v>
      </c>
      <c r="K107" s="85">
        <f>IF(SSL_DD[[#This Row],[Cumulative done story points]]=0,0,SSL_DD[[#This Row],[Defect Density]])</f>
        <v>5.5757575035095215</v>
      </c>
      <c r="L107" s="87">
        <f ca="1">IF(ISNUMBER(SSL_DD[[#This Row],[Ext Regression %]]),SSL_DD[[#This Row],[Ext Regression %]],IF(ISBLANK(SSL_DD[[#This Row],[Ext Regression %]]),OFFSET(SSL_DD[[#This Row],[Ext Reg]],-1,0),0))</f>
        <v>43.115940093994141</v>
      </c>
      <c r="M107" s="87">
        <f ca="1">IF(ISNUMBER(SSL_DD[[#This Row],[Core Regression %]]),SSL_DD[[#This Row],[Core Regression %]],IF(ISBLANK(SSL_DD[[#This Row],[Core Regression %]]),OFFSET(SSL_DD[[#This Row],[Core Reg]],-1,0),0))</f>
        <v>54.974704742431641</v>
      </c>
      <c r="N107" s="88">
        <f>SSL_DD[[#This Row],[Core]]/SUM(SSL_DD[[#This Row],[Ext]],SSL_DD[[#This Row],[Core]])</f>
        <v>0.31260162601626018</v>
      </c>
    </row>
    <row r="108" spans="1:14">
      <c r="A108" s="83">
        <v>41772.532207789351</v>
      </c>
      <c r="B108" s="84">
        <v>228</v>
      </c>
      <c r="C108" s="84">
        <v>4.8991227149963379</v>
      </c>
      <c r="D108" s="84">
        <v>42.972244262695312</v>
      </c>
      <c r="E108" s="84">
        <v>55.610561370849609</v>
      </c>
      <c r="F108" s="84">
        <v>1720</v>
      </c>
      <c r="G108" s="84"/>
      <c r="H108" s="84">
        <v>789</v>
      </c>
      <c r="I108" s="85">
        <f t="shared" si="3"/>
        <v>202014</v>
      </c>
      <c r="J108" s="85">
        <f>SSL_DD[[#This Row],[Cumulative done story points]]</f>
        <v>228</v>
      </c>
      <c r="K108" s="85">
        <f>IF(SSL_DD[[#This Row],[Cumulative done story points]]=0,0,SSL_DD[[#This Row],[Defect Density]])</f>
        <v>4.8991227149963379</v>
      </c>
      <c r="L108" s="87">
        <f ca="1">IF(ISNUMBER(SSL_DD[[#This Row],[Ext Regression %]]),SSL_DD[[#This Row],[Ext Regression %]],IF(ISBLANK(SSL_DD[[#This Row],[Ext Regression %]]),OFFSET(SSL_DD[[#This Row],[Ext Reg]],-1,0),0))</f>
        <v>42.972244262695312</v>
      </c>
      <c r="M108" s="87">
        <f ca="1">IF(ISNUMBER(SSL_DD[[#This Row],[Core Regression %]]),SSL_DD[[#This Row],[Core Regression %]],IF(ISBLANK(SSL_DD[[#This Row],[Core Regression %]]),OFFSET(SSL_DD[[#This Row],[Core Reg]],-1,0),0))</f>
        <v>55.610561370849609</v>
      </c>
      <c r="N108" s="88">
        <f>SSL_DD[[#This Row],[Core]]/SUM(SSL_DD[[#This Row],[Ext]],SSL_DD[[#This Row],[Core]])</f>
        <v>0.31446791550418496</v>
      </c>
    </row>
    <row r="109" spans="1:14">
      <c r="A109" s="83">
        <v>41779.532207789351</v>
      </c>
      <c r="B109" s="84">
        <v>233</v>
      </c>
      <c r="C109" s="84">
        <v>4.8540773391723633</v>
      </c>
      <c r="D109" s="84">
        <v>43.059238433837891</v>
      </c>
      <c r="E109" s="84">
        <v>56.038646697998047</v>
      </c>
      <c r="F109" s="84">
        <v>1743</v>
      </c>
      <c r="G109" s="84"/>
      <c r="H109" s="84">
        <v>804</v>
      </c>
      <c r="I109" s="85">
        <f t="shared" si="3"/>
        <v>212014</v>
      </c>
      <c r="J109" s="85">
        <f>SSL_DD[[#This Row],[Cumulative done story points]]</f>
        <v>233</v>
      </c>
      <c r="K109" s="85">
        <f>IF(SSL_DD[[#This Row],[Cumulative done story points]]=0,0,SSL_DD[[#This Row],[Defect Density]])</f>
        <v>4.8540773391723633</v>
      </c>
      <c r="L109" s="87">
        <f ca="1">IF(ISNUMBER(SSL_DD[[#This Row],[Ext Regression %]]),SSL_DD[[#This Row],[Ext Regression %]],IF(ISBLANK(SSL_DD[[#This Row],[Ext Regression %]]),OFFSET(SSL_DD[[#This Row],[Ext Reg]],-1,0),0))</f>
        <v>43.059238433837891</v>
      </c>
      <c r="M109" s="87">
        <f ca="1">IF(ISNUMBER(SSL_DD[[#This Row],[Core Regression %]]),SSL_DD[[#This Row],[Core Regression %]],IF(ISBLANK(SSL_DD[[#This Row],[Core Regression %]]),OFFSET(SSL_DD[[#This Row],[Core Reg]],-1,0),0))</f>
        <v>56.038646697998047</v>
      </c>
      <c r="N109" s="88">
        <f>SSL_DD[[#This Row],[Core]]/SUM(SSL_DD[[#This Row],[Ext]],SSL_DD[[#This Row],[Core]])</f>
        <v>0.31566548881036516</v>
      </c>
    </row>
    <row r="110" spans="1:14">
      <c r="A110" s="83">
        <v>41786.532207789351</v>
      </c>
      <c r="B110" s="84">
        <v>255</v>
      </c>
      <c r="C110" s="84">
        <v>4.6549019813537598</v>
      </c>
      <c r="D110" s="84">
        <v>43.555183410644531</v>
      </c>
      <c r="E110" s="84">
        <v>57.361961364746094</v>
      </c>
      <c r="F110" s="84">
        <v>1830</v>
      </c>
      <c r="G110" s="84"/>
      <c r="H110" s="84">
        <v>842</v>
      </c>
      <c r="I110" s="85">
        <f t="shared" si="3"/>
        <v>222014</v>
      </c>
      <c r="J110" s="85">
        <f>SSL_DD[[#This Row],[Cumulative done story points]]</f>
        <v>255</v>
      </c>
      <c r="K110" s="85">
        <f>IF(SSL_DD[[#This Row],[Cumulative done story points]]=0,0,SSL_DD[[#This Row],[Defect Density]])</f>
        <v>4.6549019813537598</v>
      </c>
      <c r="L110" s="87">
        <f ca="1">IF(ISNUMBER(SSL_DD[[#This Row],[Ext Regression %]]),SSL_DD[[#This Row],[Ext Regression %]],IF(ISBLANK(SSL_DD[[#This Row],[Ext Regression %]]),OFFSET(SSL_DD[[#This Row],[Ext Reg]],-1,0),0))</f>
        <v>43.555183410644531</v>
      </c>
      <c r="M110" s="87">
        <f ca="1">IF(ISNUMBER(SSL_DD[[#This Row],[Core Regression %]]),SSL_DD[[#This Row],[Core Regression %]],IF(ISBLANK(SSL_DD[[#This Row],[Core Regression %]]),OFFSET(SSL_DD[[#This Row],[Core Reg]],-1,0),0))</f>
        <v>57.361961364746094</v>
      </c>
      <c r="N110" s="88">
        <f>SSL_DD[[#This Row],[Core]]/SUM(SSL_DD[[#This Row],[Ext]],SSL_DD[[#This Row],[Core]])</f>
        <v>0.31511976047904194</v>
      </c>
    </row>
    <row r="111" spans="1:14">
      <c r="A111" s="83">
        <v>41793.532207789351</v>
      </c>
      <c r="B111" s="84">
        <v>296</v>
      </c>
      <c r="C111" s="84">
        <v>4.0709457397460937</v>
      </c>
      <c r="D111" s="84">
        <v>43.734439849853516</v>
      </c>
      <c r="E111" s="84">
        <v>58.050220489501953</v>
      </c>
      <c r="F111" s="84">
        <v>1864</v>
      </c>
      <c r="G111" s="84"/>
      <c r="H111" s="84">
        <v>872</v>
      </c>
      <c r="I111" s="85">
        <f t="shared" si="3"/>
        <v>232014</v>
      </c>
      <c r="J111" s="85">
        <f>SSL_DD[[#This Row],[Cumulative done story points]]</f>
        <v>296</v>
      </c>
      <c r="K111" s="85">
        <f>IF(SSL_DD[[#This Row],[Cumulative done story points]]=0,0,SSL_DD[[#This Row],[Defect Density]])</f>
        <v>4.0709457397460937</v>
      </c>
      <c r="L111" s="87">
        <f ca="1">IF(ISNUMBER(SSL_DD[[#This Row],[Ext Regression %]]),SSL_DD[[#This Row],[Ext Regression %]],IF(ISBLANK(SSL_DD[[#This Row],[Ext Regression %]]),OFFSET(SSL_DD[[#This Row],[Ext Reg]],-1,0),0))</f>
        <v>43.734439849853516</v>
      </c>
      <c r="M111" s="87">
        <f ca="1">IF(ISNUMBER(SSL_DD[[#This Row],[Core Regression %]]),SSL_DD[[#This Row],[Core Regression %]],IF(ISBLANK(SSL_DD[[#This Row],[Core Regression %]]),OFFSET(SSL_DD[[#This Row],[Core Reg]],-1,0),0))</f>
        <v>58.050220489501953</v>
      </c>
      <c r="N111" s="88">
        <f>SSL_DD[[#This Row],[Core]]/SUM(SSL_DD[[#This Row],[Ext]],SSL_DD[[#This Row],[Core]])</f>
        <v>0.31871345029239767</v>
      </c>
    </row>
    <row r="112" spans="1:14">
      <c r="A112" s="83">
        <v>41800.532207789351</v>
      </c>
      <c r="B112" s="84">
        <v>317</v>
      </c>
      <c r="C112" s="84">
        <v>3.873816967010498</v>
      </c>
      <c r="D112" s="84">
        <v>43.485343933105469</v>
      </c>
      <c r="E112" s="84">
        <v>57.764877319335938</v>
      </c>
      <c r="F112" s="84">
        <v>1897</v>
      </c>
      <c r="G112" s="84"/>
      <c r="H112" s="84">
        <v>888</v>
      </c>
      <c r="I112" s="85">
        <f t="shared" si="3"/>
        <v>242014</v>
      </c>
      <c r="J112" s="85">
        <f>SSL_DD[[#This Row],[Cumulative done story points]]</f>
        <v>317</v>
      </c>
      <c r="K112" s="85">
        <f>IF(SSL_DD[[#This Row],[Cumulative done story points]]=0,0,SSL_DD[[#This Row],[Defect Density]])</f>
        <v>3.873816967010498</v>
      </c>
      <c r="L112" s="87">
        <f ca="1">IF(ISNUMBER(SSL_DD[[#This Row],[Ext Regression %]]),SSL_DD[[#This Row],[Ext Regression %]],IF(ISBLANK(SSL_DD[[#This Row],[Ext Regression %]]),OFFSET(SSL_DD[[#This Row],[Ext Reg]],-1,0),0))</f>
        <v>43.485343933105469</v>
      </c>
      <c r="M112" s="87">
        <f ca="1">IF(ISNUMBER(SSL_DD[[#This Row],[Core Regression %]]),SSL_DD[[#This Row],[Core Regression %]],IF(ISBLANK(SSL_DD[[#This Row],[Core Regression %]]),OFFSET(SSL_DD[[#This Row],[Core Reg]],-1,0),0))</f>
        <v>57.764877319335938</v>
      </c>
      <c r="N112" s="88">
        <f>SSL_DD[[#This Row],[Core]]/SUM(SSL_DD[[#This Row],[Ext]],SSL_DD[[#This Row],[Core]])</f>
        <v>0.31885098743267504</v>
      </c>
    </row>
    <row r="113" spans="1:14">
      <c r="A113" s="83">
        <v>41807.532207789351</v>
      </c>
      <c r="B113" s="84">
        <v>356</v>
      </c>
      <c r="C113" s="84">
        <v>3.5505619049072266</v>
      </c>
      <c r="D113" s="84">
        <v>43.512657165527344</v>
      </c>
      <c r="E113" s="84">
        <v>57.122707366943359</v>
      </c>
      <c r="F113" s="84">
        <v>1957</v>
      </c>
      <c r="G113" s="84"/>
      <c r="H113" s="84">
        <v>915</v>
      </c>
      <c r="I113" s="85">
        <f t="shared" si="3"/>
        <v>252014</v>
      </c>
      <c r="J113" s="85">
        <f>SSL_DD[[#This Row],[Cumulative done story points]]</f>
        <v>356</v>
      </c>
      <c r="K113" s="85">
        <f>IF(SSL_DD[[#This Row],[Cumulative done story points]]=0,0,SSL_DD[[#This Row],[Defect Density]])</f>
        <v>3.5505619049072266</v>
      </c>
      <c r="L113" s="87">
        <f ca="1">IF(ISNUMBER(SSL_DD[[#This Row],[Ext Regression %]]),SSL_DD[[#This Row],[Ext Regression %]],IF(ISBLANK(SSL_DD[[#This Row],[Ext Regression %]]),OFFSET(SSL_DD[[#This Row],[Ext Reg]],-1,0),0))</f>
        <v>43.512657165527344</v>
      </c>
      <c r="M113" s="87">
        <f ca="1">IF(ISNUMBER(SSL_DD[[#This Row],[Core Regression %]]),SSL_DD[[#This Row],[Core Regression %]],IF(ISBLANK(SSL_DD[[#This Row],[Core Regression %]]),OFFSET(SSL_DD[[#This Row],[Core Reg]],-1,0),0))</f>
        <v>57.122707366943359</v>
      </c>
      <c r="N113" s="88">
        <f>SSL_DD[[#This Row],[Core]]/SUM(SSL_DD[[#This Row],[Ext]],SSL_DD[[#This Row],[Core]])</f>
        <v>0.31859331476323122</v>
      </c>
    </row>
    <row r="114" spans="1:14">
      <c r="A114" s="83">
        <v>41814.532207789351</v>
      </c>
      <c r="B114" s="84">
        <v>407</v>
      </c>
      <c r="C114" s="84">
        <v>3.3169534206390381</v>
      </c>
      <c r="D114" s="84">
        <v>43.629627227783203</v>
      </c>
      <c r="E114" s="84">
        <v>57.347202301025391</v>
      </c>
      <c r="F114" s="84">
        <v>2088</v>
      </c>
      <c r="G114" s="84"/>
      <c r="H114" s="84">
        <v>986</v>
      </c>
      <c r="I114" s="85">
        <f t="shared" si="3"/>
        <v>262014</v>
      </c>
      <c r="J114" s="85">
        <f>SSL_DD[[#This Row],[Cumulative done story points]]</f>
        <v>407</v>
      </c>
      <c r="K114" s="85">
        <f>IF(SSL_DD[[#This Row],[Cumulative done story points]]=0,0,SSL_DD[[#This Row],[Defect Density]])</f>
        <v>3.3169534206390381</v>
      </c>
      <c r="L114" s="87">
        <f ca="1">IF(ISNUMBER(SSL_DD[[#This Row],[Ext Regression %]]),SSL_DD[[#This Row],[Ext Regression %]],IF(ISBLANK(SSL_DD[[#This Row],[Ext Regression %]]),OFFSET(SSL_DD[[#This Row],[Ext Reg]],-1,0),0))</f>
        <v>43.629627227783203</v>
      </c>
      <c r="M114" s="87">
        <f ca="1">IF(ISNUMBER(SSL_DD[[#This Row],[Core Regression %]]),SSL_DD[[#This Row],[Core Regression %]],IF(ISBLANK(SSL_DD[[#This Row],[Core Regression %]]),OFFSET(SSL_DD[[#This Row],[Core Reg]],-1,0),0))</f>
        <v>57.347202301025391</v>
      </c>
      <c r="N114" s="88">
        <f>SSL_DD[[#This Row],[Core]]/SUM(SSL_DD[[#This Row],[Ext]],SSL_DD[[#This Row],[Core]])</f>
        <v>0.32075471698113206</v>
      </c>
    </row>
    <row r="115" spans="1:14">
      <c r="A115" s="83">
        <v>41821.532207789351</v>
      </c>
      <c r="B115" s="84">
        <v>407</v>
      </c>
      <c r="C115" s="84">
        <v>3.461916446685791</v>
      </c>
      <c r="D115" s="84">
        <v>42.938251495361328</v>
      </c>
      <c r="E115" s="84">
        <v>56.410259246826172</v>
      </c>
      <c r="F115" s="84">
        <v>2170</v>
      </c>
      <c r="G115" s="84"/>
      <c r="H115" s="84">
        <v>1039</v>
      </c>
      <c r="I115" s="85">
        <f t="shared" si="3"/>
        <v>272014</v>
      </c>
      <c r="J115" s="85">
        <f>SSL_DD[[#This Row],[Cumulative done story points]]</f>
        <v>407</v>
      </c>
      <c r="K115" s="85">
        <f>IF(SSL_DD[[#This Row],[Cumulative done story points]]=0,0,SSL_DD[[#This Row],[Defect Density]])</f>
        <v>3.461916446685791</v>
      </c>
      <c r="L115" s="87">
        <f ca="1">IF(ISNUMBER(SSL_DD[[#This Row],[Ext Regression %]]),SSL_DD[[#This Row],[Ext Regression %]],IF(ISBLANK(SSL_DD[[#This Row],[Ext Regression %]]),OFFSET(SSL_DD[[#This Row],[Ext Reg]],-1,0),0))</f>
        <v>42.938251495361328</v>
      </c>
      <c r="M115" s="87">
        <f ca="1">IF(ISNUMBER(SSL_DD[[#This Row],[Core Regression %]]),SSL_DD[[#This Row],[Core Regression %]],IF(ISBLANK(SSL_DD[[#This Row],[Core Regression %]]),OFFSET(SSL_DD[[#This Row],[Core Reg]],-1,0),0))</f>
        <v>56.410259246826172</v>
      </c>
      <c r="N115" s="88">
        <f>SSL_DD[[#This Row],[Core]]/SUM(SSL_DD[[#This Row],[Ext]],SSL_DD[[#This Row],[Core]])</f>
        <v>0.3237768775319414</v>
      </c>
    </row>
    <row r="116" spans="1:14">
      <c r="A116" s="83">
        <v>41828.532207789351</v>
      </c>
      <c r="B116" s="84">
        <v>410</v>
      </c>
      <c r="C116" s="84">
        <v>3.5170731544494629</v>
      </c>
      <c r="D116" s="84">
        <v>42.163661956787109</v>
      </c>
      <c r="E116" s="84">
        <v>55.369926452636719</v>
      </c>
      <c r="F116" s="84">
        <v>2210</v>
      </c>
      <c r="G116" s="84"/>
      <c r="H116" s="84">
        <v>1060</v>
      </c>
      <c r="I116" s="85">
        <f t="shared" si="3"/>
        <v>282014</v>
      </c>
      <c r="J116" s="85">
        <f>SSL_DD[[#This Row],[Cumulative done story points]]</f>
        <v>410</v>
      </c>
      <c r="K116" s="85">
        <f>IF(SSL_DD[[#This Row],[Cumulative done story points]]=0,0,SSL_DD[[#This Row],[Defect Density]])</f>
        <v>3.5170731544494629</v>
      </c>
      <c r="L116" s="87">
        <f ca="1">IF(ISNUMBER(SSL_DD[[#This Row],[Ext Regression %]]),SSL_DD[[#This Row],[Ext Regression %]],IF(ISBLANK(SSL_DD[[#This Row],[Ext Regression %]]),OFFSET(SSL_DD[[#This Row],[Ext Reg]],-1,0),0))</f>
        <v>42.163661956787109</v>
      </c>
      <c r="M116" s="87">
        <f ca="1">IF(ISNUMBER(SSL_DD[[#This Row],[Core Regression %]]),SSL_DD[[#This Row],[Core Regression %]],IF(ISBLANK(SSL_DD[[#This Row],[Core Regression %]]),OFFSET(SSL_DD[[#This Row],[Core Reg]],-1,0),0))</f>
        <v>55.369926452636719</v>
      </c>
      <c r="N116" s="88">
        <f>SSL_DD[[#This Row],[Core]]/SUM(SSL_DD[[#This Row],[Ext]],SSL_DD[[#This Row],[Core]])</f>
        <v>0.32415902140672781</v>
      </c>
    </row>
    <row r="125" spans="1:14">
      <c r="C125" t="e">
        <f>AVERAGE(C102:C116)</f>
        <v>#N/A</v>
      </c>
    </row>
    <row r="126" spans="1:14">
      <c r="C126" t="e">
        <f>_xlfn.STDEV.P(C102:C116)</f>
        <v>#N/A</v>
      </c>
    </row>
    <row r="127" spans="1:14">
      <c r="C127" t="e">
        <f>+C125+2*C126</f>
        <v>#N/A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50"/>
  <sheetViews>
    <sheetView zoomScale="80" zoomScaleNormal="80" workbookViewId="0">
      <selection activeCell="H2" sqref="H2:H25"/>
    </sheetView>
  </sheetViews>
  <sheetFormatPr defaultRowHeight="15"/>
  <cols>
    <col min="1" max="1" width="15.5703125" customWidth="1"/>
    <col min="2" max="2" width="29.42578125" customWidth="1"/>
    <col min="3" max="3" width="25.28515625" bestFit="1" customWidth="1"/>
    <col min="4" max="5" width="25.28515625" customWidth="1"/>
    <col min="9" max="9" width="13.28515625" bestFit="1" customWidth="1"/>
    <col min="10" max="10" width="10.7109375" bestFit="1" customWidth="1"/>
    <col min="12" max="12" width="10.7109375" bestFit="1" customWidth="1"/>
  </cols>
  <sheetData>
    <row r="1" spans="1:14">
      <c r="A1" s="49" t="s">
        <v>33</v>
      </c>
      <c r="B1" s="49" t="s">
        <v>32</v>
      </c>
      <c r="C1" s="49" t="s">
        <v>31</v>
      </c>
      <c r="D1" s="49" t="s">
        <v>48</v>
      </c>
      <c r="E1" s="49" t="s">
        <v>49</v>
      </c>
      <c r="F1" s="55" t="s">
        <v>78</v>
      </c>
      <c r="G1" s="52" t="s">
        <v>81</v>
      </c>
      <c r="H1" s="55" t="s">
        <v>79</v>
      </c>
      <c r="I1" s="52" t="s">
        <v>16</v>
      </c>
      <c r="J1" s="52" t="s">
        <v>30</v>
      </c>
      <c r="K1" s="52" t="s">
        <v>29</v>
      </c>
      <c r="L1" s="52" t="s">
        <v>50</v>
      </c>
      <c r="M1" s="52" t="s">
        <v>51</v>
      </c>
      <c r="N1" s="55" t="s">
        <v>80</v>
      </c>
    </row>
    <row r="2" spans="1:14">
      <c r="A2" s="50">
        <v>41667.404336724539</v>
      </c>
      <c r="B2" s="49">
        <v>0</v>
      </c>
      <c r="C2" s="49">
        <v>100</v>
      </c>
      <c r="D2" s="49">
        <v>25</v>
      </c>
      <c r="E2" s="49">
        <v>61.538463592529297</v>
      </c>
      <c r="F2" s="55">
        <v>8</v>
      </c>
      <c r="G2" s="55"/>
      <c r="H2" s="55">
        <v>17</v>
      </c>
      <c r="I2" s="48">
        <f t="shared" ref="I2:I25" si="0">VALUE(WEEKNUM(A2*1)&amp;YEAR(A2*1))</f>
        <v>52014</v>
      </c>
      <c r="J2" s="48">
        <f>WFM_DD[[#This Row],[Cumulative done story points]]</f>
        <v>0</v>
      </c>
      <c r="K2" s="48">
        <f>IF(WFM_DD[[#This Row],[Cumulative done story points]]=0,0,WFM_DD[[#This Row],[Defect Density]])</f>
        <v>0</v>
      </c>
      <c r="L2" s="56">
        <f ca="1">IF(ISNUMBER(WFM_DD[[#This Row],[Ext Regression %]]),WFM_DD[[#This Row],[Ext Regression %]],IF(ISBLANK(WFM_DD[[#This Row],[Ext Regression %]]),OFFSET(WFM_DD[[#This Row],[Ext Reg]],-1,0),0))</f>
        <v>25</v>
      </c>
      <c r="M2" s="56">
        <f ca="1">IF(ISNUMBER(WFM_DD[[#This Row],[Core Regression %]]),WFM_DD[[#This Row],[Core Regression %]],IF(ISBLANK(WFM_DD[[#This Row],[Core Regression %]]),OFFSET(WFM_DD[[#This Row],[Core Reg]],-1,0),0))</f>
        <v>61.538463592529297</v>
      </c>
      <c r="N2" s="65">
        <f>WFM_DD[[#This Row],[Core]]/SUM(WFM_DD[[#This Row],[Ext]],WFM_DD[[#This Row],[Core]])</f>
        <v>0.68</v>
      </c>
    </row>
    <row r="3" spans="1:14">
      <c r="A3" s="50">
        <v>41674.404336724539</v>
      </c>
      <c r="B3" s="49">
        <v>20</v>
      </c>
      <c r="C3" s="49">
        <v>0.34999999403953552</v>
      </c>
      <c r="D3" s="49">
        <v>14.285715103149414</v>
      </c>
      <c r="E3" s="49">
        <v>47.058822631835937</v>
      </c>
      <c r="F3" s="55">
        <v>11</v>
      </c>
      <c r="G3" s="55"/>
      <c r="H3" s="55">
        <v>22</v>
      </c>
      <c r="I3" s="48">
        <f t="shared" si="0"/>
        <v>62014</v>
      </c>
      <c r="J3" s="48">
        <f>WFM_DD[[#This Row],[Cumulative done story points]]</f>
        <v>20</v>
      </c>
      <c r="K3" s="48">
        <f>IF(WFM_DD[[#This Row],[Cumulative done story points]]=0,0,WFM_DD[[#This Row],[Defect Density]])</f>
        <v>0.34999999403953552</v>
      </c>
      <c r="L3" s="56">
        <f ca="1">IF(ISNUMBER(WFM_DD[[#This Row],[Ext Regression %]]),WFM_DD[[#This Row],[Ext Regression %]],IF(ISBLANK(WFM_DD[[#This Row],[Ext Regression %]]),OFFSET(WFM_DD[[#This Row],[Ext Reg]],-1,0),0))</f>
        <v>14.285715103149414</v>
      </c>
      <c r="M3" s="56">
        <f ca="1">IF(ISNUMBER(WFM_DD[[#This Row],[Core Regression %]]),WFM_DD[[#This Row],[Core Regression %]],IF(ISBLANK(WFM_DD[[#This Row],[Core Regression %]]),OFFSET(WFM_DD[[#This Row],[Core Reg]],-1,0),0))</f>
        <v>47.058822631835937</v>
      </c>
      <c r="N3" s="65">
        <f>WFM_DD[[#This Row],[Core]]/SUM(WFM_DD[[#This Row],[Ext]],WFM_DD[[#This Row],[Core]])</f>
        <v>0.66666666666666663</v>
      </c>
    </row>
    <row r="4" spans="1:14">
      <c r="A4" s="50">
        <v>41681.404336724539</v>
      </c>
      <c r="B4" s="49">
        <v>30</v>
      </c>
      <c r="C4" s="49">
        <v>0.46666666865348816</v>
      </c>
      <c r="D4" s="49">
        <v>7.142857551574707</v>
      </c>
      <c r="E4" s="49">
        <v>52.380954742431641</v>
      </c>
      <c r="F4" s="55">
        <v>22</v>
      </c>
      <c r="G4" s="55"/>
      <c r="H4" s="55">
        <v>28</v>
      </c>
      <c r="I4" s="48">
        <f t="shared" si="0"/>
        <v>72014</v>
      </c>
      <c r="J4" s="48">
        <f>WFM_DD[[#This Row],[Cumulative done story points]]</f>
        <v>30</v>
      </c>
      <c r="K4" s="48">
        <f>IF(WFM_DD[[#This Row],[Cumulative done story points]]=0,0,WFM_DD[[#This Row],[Defect Density]])</f>
        <v>0.46666666865348816</v>
      </c>
      <c r="L4" s="56">
        <f ca="1">IF(ISNUMBER(WFM_DD[[#This Row],[Ext Regression %]]),WFM_DD[[#This Row],[Ext Regression %]],IF(ISBLANK(WFM_DD[[#This Row],[Ext Regression %]]),OFFSET(WFM_DD[[#This Row],[Ext Reg]],-1,0),0))</f>
        <v>7.142857551574707</v>
      </c>
      <c r="M4" s="56">
        <f ca="1">IF(ISNUMBER(WFM_DD[[#This Row],[Core Regression %]]),WFM_DD[[#This Row],[Core Regression %]],IF(ISBLANK(WFM_DD[[#This Row],[Core Regression %]]),OFFSET(WFM_DD[[#This Row],[Core Reg]],-1,0),0))</f>
        <v>52.380954742431641</v>
      </c>
      <c r="N4" s="65">
        <f>WFM_DD[[#This Row],[Core]]/SUM(WFM_DD[[#This Row],[Ext]],WFM_DD[[#This Row],[Core]])</f>
        <v>0.56000000000000005</v>
      </c>
    </row>
    <row r="5" spans="1:14">
      <c r="A5" s="50">
        <v>41688.404336724539</v>
      </c>
      <c r="B5" s="49">
        <v>50</v>
      </c>
      <c r="C5" s="49">
        <v>0.41999998688697815</v>
      </c>
      <c r="D5" s="49">
        <v>9.5238094329833984</v>
      </c>
      <c r="E5" s="49">
        <v>46.153846740722656</v>
      </c>
      <c r="F5" s="55">
        <v>36</v>
      </c>
      <c r="G5" s="55"/>
      <c r="H5" s="55">
        <v>38</v>
      </c>
      <c r="I5" s="48">
        <f t="shared" si="0"/>
        <v>82014</v>
      </c>
      <c r="J5" s="48">
        <f>WFM_DD[[#This Row],[Cumulative done story points]]</f>
        <v>50</v>
      </c>
      <c r="K5" s="48">
        <f>IF(WFM_DD[[#This Row],[Cumulative done story points]]=0,0,WFM_DD[[#This Row],[Defect Density]])</f>
        <v>0.41999998688697815</v>
      </c>
      <c r="L5" s="56">
        <f ca="1">IF(ISNUMBER(WFM_DD[[#This Row],[Ext Regression %]]),WFM_DD[[#This Row],[Ext Regression %]],IF(ISBLANK(WFM_DD[[#This Row],[Ext Regression %]]),OFFSET(WFM_DD[[#This Row],[Ext Reg]],-1,0),0))</f>
        <v>9.5238094329833984</v>
      </c>
      <c r="M5" s="56">
        <f ca="1">IF(ISNUMBER(WFM_DD[[#This Row],[Core Regression %]]),WFM_DD[[#This Row],[Core Regression %]],IF(ISBLANK(WFM_DD[[#This Row],[Core Regression %]]),OFFSET(WFM_DD[[#This Row],[Core Reg]],-1,0),0))</f>
        <v>46.153846740722656</v>
      </c>
      <c r="N5" s="65">
        <f>WFM_DD[[#This Row],[Core]]/SUM(WFM_DD[[#This Row],[Ext]],WFM_DD[[#This Row],[Core]])</f>
        <v>0.51351351351351349</v>
      </c>
    </row>
    <row r="6" spans="1:14">
      <c r="A6" s="50">
        <v>41695.404336724539</v>
      </c>
      <c r="B6" s="49">
        <v>50</v>
      </c>
      <c r="C6" s="49">
        <v>0.46000000834465027</v>
      </c>
      <c r="D6" s="49">
        <v>8.6956520080566406</v>
      </c>
      <c r="E6" s="49">
        <v>42.857143402099609</v>
      </c>
      <c r="F6" s="55">
        <v>42</v>
      </c>
      <c r="G6" s="55"/>
      <c r="H6" s="55">
        <v>40</v>
      </c>
      <c r="I6" s="48">
        <f t="shared" si="0"/>
        <v>92014</v>
      </c>
      <c r="J6" s="48">
        <f>WFM_DD[[#This Row],[Cumulative done story points]]</f>
        <v>50</v>
      </c>
      <c r="K6" s="48">
        <f>IF(WFM_DD[[#This Row],[Cumulative done story points]]=0,0,WFM_DD[[#This Row],[Defect Density]])</f>
        <v>0.46000000834465027</v>
      </c>
      <c r="L6" s="56">
        <f ca="1">IF(ISNUMBER(WFM_DD[[#This Row],[Ext Regression %]]),WFM_DD[[#This Row],[Ext Regression %]],IF(ISBLANK(WFM_DD[[#This Row],[Ext Regression %]]),OFFSET(WFM_DD[[#This Row],[Ext Reg]],-1,0),0))</f>
        <v>8.6956520080566406</v>
      </c>
      <c r="M6" s="56">
        <f ca="1">IF(ISNUMBER(WFM_DD[[#This Row],[Core Regression %]]),WFM_DD[[#This Row],[Core Regression %]],IF(ISBLANK(WFM_DD[[#This Row],[Core Regression %]]),OFFSET(WFM_DD[[#This Row],[Core Reg]],-1,0),0))</f>
        <v>42.857143402099609</v>
      </c>
      <c r="N6" s="65">
        <f>WFM_DD[[#This Row],[Core]]/SUM(WFM_DD[[#This Row],[Ext]],WFM_DD[[#This Row],[Core]])</f>
        <v>0.48780487804878048</v>
      </c>
    </row>
    <row r="7" spans="1:14">
      <c r="A7" s="50">
        <v>41702.404336724539</v>
      </c>
      <c r="B7" s="49">
        <v>54</v>
      </c>
      <c r="C7" s="49">
        <v>0.6111111044883728</v>
      </c>
      <c r="D7" s="49">
        <v>6.0606060028076172</v>
      </c>
      <c r="E7" s="49">
        <v>40</v>
      </c>
      <c r="F7" s="55">
        <v>59</v>
      </c>
      <c r="G7" s="55"/>
      <c r="H7" s="55">
        <v>42</v>
      </c>
      <c r="I7" s="48">
        <f t="shared" si="0"/>
        <v>102014</v>
      </c>
      <c r="J7" s="48">
        <f>WFM_DD[[#This Row],[Cumulative done story points]]</f>
        <v>54</v>
      </c>
      <c r="K7" s="48">
        <f>IF(WFM_DD[[#This Row],[Cumulative done story points]]=0,0,WFM_DD[[#This Row],[Defect Density]])</f>
        <v>0.6111111044883728</v>
      </c>
      <c r="L7" s="56">
        <f ca="1">IF(ISNUMBER(WFM_DD[[#This Row],[Ext Regression %]]),WFM_DD[[#This Row],[Ext Regression %]],IF(ISBLANK(WFM_DD[[#This Row],[Ext Regression %]]),OFFSET(WFM_DD[[#This Row],[Ext Reg]],-1,0),0))</f>
        <v>6.0606060028076172</v>
      </c>
      <c r="M7" s="56">
        <f ca="1">IF(ISNUMBER(WFM_DD[[#This Row],[Core Regression %]]),WFM_DD[[#This Row],[Core Regression %]],IF(ISBLANK(WFM_DD[[#This Row],[Core Regression %]]),OFFSET(WFM_DD[[#This Row],[Core Reg]],-1,0),0))</f>
        <v>40</v>
      </c>
      <c r="N7" s="65">
        <f>WFM_DD[[#This Row],[Core]]/SUM(WFM_DD[[#This Row],[Ext]],WFM_DD[[#This Row],[Core]])</f>
        <v>0.41584158415841582</v>
      </c>
    </row>
    <row r="8" spans="1:14">
      <c r="A8" s="50">
        <v>41709.404336724539</v>
      </c>
      <c r="B8" s="49">
        <v>54</v>
      </c>
      <c r="C8" s="49">
        <v>0.77777779102325439</v>
      </c>
      <c r="D8" s="49">
        <v>4.7619047164916992</v>
      </c>
      <c r="E8" s="49">
        <v>38.709674835205078</v>
      </c>
      <c r="F8" s="55">
        <v>75</v>
      </c>
      <c r="G8" s="55"/>
      <c r="H8" s="55">
        <v>45</v>
      </c>
      <c r="I8" s="48">
        <f t="shared" si="0"/>
        <v>112014</v>
      </c>
      <c r="J8" s="48">
        <f>WFM_DD[[#This Row],[Cumulative done story points]]</f>
        <v>54</v>
      </c>
      <c r="K8" s="48">
        <f>IF(WFM_DD[[#This Row],[Cumulative done story points]]=0,0,WFM_DD[[#This Row],[Defect Density]])</f>
        <v>0.77777779102325439</v>
      </c>
      <c r="L8" s="56">
        <f ca="1">IF(ISNUMBER(WFM_DD[[#This Row],[Ext Regression %]]),WFM_DD[[#This Row],[Ext Regression %]],IF(ISBLANK(WFM_DD[[#This Row],[Ext Regression %]]),OFFSET(WFM_DD[[#This Row],[Ext Reg]],-1,0),0))</f>
        <v>4.7619047164916992</v>
      </c>
      <c r="M8" s="56">
        <f ca="1">IF(ISNUMBER(WFM_DD[[#This Row],[Core Regression %]]),WFM_DD[[#This Row],[Core Regression %]],IF(ISBLANK(WFM_DD[[#This Row],[Core Regression %]]),OFFSET(WFM_DD[[#This Row],[Core Reg]],-1,0),0))</f>
        <v>38.709674835205078</v>
      </c>
      <c r="N8" s="65">
        <f>WFM_DD[[#This Row],[Core]]/SUM(WFM_DD[[#This Row],[Ext]],WFM_DD[[#This Row],[Core]])</f>
        <v>0.375</v>
      </c>
    </row>
    <row r="9" spans="1:14">
      <c r="A9" s="50">
        <v>41716.404336724539</v>
      </c>
      <c r="B9" s="49">
        <v>62</v>
      </c>
      <c r="C9" s="49">
        <v>0.75806450843811035</v>
      </c>
      <c r="D9" s="49">
        <v>4.2553191184997559</v>
      </c>
      <c r="E9" s="49">
        <v>38.235294342041016</v>
      </c>
      <c r="F9" s="55">
        <v>83</v>
      </c>
      <c r="G9" s="55"/>
      <c r="H9" s="55">
        <v>49</v>
      </c>
      <c r="I9" s="48">
        <f t="shared" si="0"/>
        <v>122014</v>
      </c>
      <c r="J9" s="48">
        <f>WFM_DD[[#This Row],[Cumulative done story points]]</f>
        <v>62</v>
      </c>
      <c r="K9" s="48">
        <f>IF(WFM_DD[[#This Row],[Cumulative done story points]]=0,0,WFM_DD[[#This Row],[Defect Density]])</f>
        <v>0.75806450843811035</v>
      </c>
      <c r="L9" s="56">
        <f ca="1">IF(ISNUMBER(WFM_DD[[#This Row],[Ext Regression %]]),WFM_DD[[#This Row],[Ext Regression %]],IF(ISBLANK(WFM_DD[[#This Row],[Ext Regression %]]),OFFSET(WFM_DD[[#This Row],[Ext Reg]],-1,0),0))</f>
        <v>4.2553191184997559</v>
      </c>
      <c r="M9" s="56">
        <f ca="1">IF(ISNUMBER(WFM_DD[[#This Row],[Core Regression %]]),WFM_DD[[#This Row],[Core Regression %]],IF(ISBLANK(WFM_DD[[#This Row],[Core Regression %]]),OFFSET(WFM_DD[[#This Row],[Core Reg]],-1,0),0))</f>
        <v>38.235294342041016</v>
      </c>
      <c r="N9" s="65">
        <f>WFM_DD[[#This Row],[Core]]/SUM(WFM_DD[[#This Row],[Ext]],WFM_DD[[#This Row],[Core]])</f>
        <v>0.37121212121212122</v>
      </c>
    </row>
    <row r="10" spans="1:14">
      <c r="A10" s="50">
        <v>41723.404336724539</v>
      </c>
      <c r="B10" s="49">
        <v>88</v>
      </c>
      <c r="C10" s="49">
        <v>0.56818181276321411</v>
      </c>
      <c r="D10" s="49">
        <v>4</v>
      </c>
      <c r="E10" s="49">
        <v>38.235294342041016</v>
      </c>
      <c r="F10" s="55">
        <v>86</v>
      </c>
      <c r="G10" s="55"/>
      <c r="H10" s="55">
        <v>50</v>
      </c>
      <c r="I10" s="48">
        <f t="shared" si="0"/>
        <v>132014</v>
      </c>
      <c r="J10" s="48">
        <f>WFM_DD[[#This Row],[Cumulative done story points]]</f>
        <v>88</v>
      </c>
      <c r="K10" s="48">
        <f>IF(WFM_DD[[#This Row],[Cumulative done story points]]=0,0,WFM_DD[[#This Row],[Defect Density]])</f>
        <v>0.56818181276321411</v>
      </c>
      <c r="L10" s="56">
        <f ca="1">IF(ISNUMBER(WFM_DD[[#This Row],[Ext Regression %]]),WFM_DD[[#This Row],[Ext Regression %]],IF(ISBLANK(WFM_DD[[#This Row],[Ext Regression %]]),OFFSET(WFM_DD[[#This Row],[Ext Reg]],-1,0),0))</f>
        <v>4</v>
      </c>
      <c r="M10" s="56">
        <f ca="1">IF(ISNUMBER(WFM_DD[[#This Row],[Core Regression %]]),WFM_DD[[#This Row],[Core Regression %]],IF(ISBLANK(WFM_DD[[#This Row],[Core Regression %]]),OFFSET(WFM_DD[[#This Row],[Core Reg]],-1,0),0))</f>
        <v>38.235294342041016</v>
      </c>
      <c r="N10" s="65">
        <f>WFM_DD[[#This Row],[Core]]/SUM(WFM_DD[[#This Row],[Ext]],WFM_DD[[#This Row],[Core]])</f>
        <v>0.36764705882352944</v>
      </c>
    </row>
    <row r="11" spans="1:14">
      <c r="A11" s="50">
        <v>41730.404336724539</v>
      </c>
      <c r="B11" s="49">
        <v>93</v>
      </c>
      <c r="C11" s="49">
        <v>0.61290323734283447</v>
      </c>
      <c r="D11" s="49">
        <v>3.5087718963623047</v>
      </c>
      <c r="E11" s="49">
        <v>31.707317352294922</v>
      </c>
      <c r="F11" s="55">
        <v>94</v>
      </c>
      <c r="G11" s="55"/>
      <c r="H11" s="55">
        <v>60</v>
      </c>
      <c r="I11" s="48">
        <f t="shared" si="0"/>
        <v>142014</v>
      </c>
      <c r="J11" s="48">
        <f>WFM_DD[[#This Row],[Cumulative done story points]]</f>
        <v>93</v>
      </c>
      <c r="K11" s="48">
        <f>IF(WFM_DD[[#This Row],[Cumulative done story points]]=0,0,WFM_DD[[#This Row],[Defect Density]])</f>
        <v>0.61290323734283447</v>
      </c>
      <c r="L11" s="56">
        <f ca="1">IF(ISNUMBER(WFM_DD[[#This Row],[Ext Regression %]]),WFM_DD[[#This Row],[Ext Regression %]],IF(ISBLANK(WFM_DD[[#This Row],[Ext Regression %]]),OFFSET(WFM_DD[[#This Row],[Ext Reg]],-1,0),0))</f>
        <v>3.5087718963623047</v>
      </c>
      <c r="M11" s="56">
        <f ca="1">IF(ISNUMBER(WFM_DD[[#This Row],[Core Regression %]]),WFM_DD[[#This Row],[Core Regression %]],IF(ISBLANK(WFM_DD[[#This Row],[Core Regression %]]),OFFSET(WFM_DD[[#This Row],[Core Reg]],-1,0),0))</f>
        <v>31.707317352294922</v>
      </c>
      <c r="N11" s="65">
        <f>WFM_DD[[#This Row],[Core]]/SUM(WFM_DD[[#This Row],[Ext]],WFM_DD[[#This Row],[Core]])</f>
        <v>0.38961038961038963</v>
      </c>
    </row>
    <row r="12" spans="1:14">
      <c r="A12" s="50">
        <v>41737.404336724539</v>
      </c>
      <c r="B12" s="49">
        <v>97</v>
      </c>
      <c r="C12" s="49">
        <v>0.67010307312011719</v>
      </c>
      <c r="D12" s="49">
        <v>3.076923131942749</v>
      </c>
      <c r="E12" s="49">
        <v>31.818181991577148</v>
      </c>
      <c r="F12" s="55">
        <v>120</v>
      </c>
      <c r="G12" s="55"/>
      <c r="H12" s="55">
        <v>64</v>
      </c>
      <c r="I12" s="48">
        <f t="shared" si="0"/>
        <v>152014</v>
      </c>
      <c r="J12" s="48">
        <f>WFM_DD[[#This Row],[Cumulative done story points]]</f>
        <v>97</v>
      </c>
      <c r="K12" s="48">
        <f>IF(WFM_DD[[#This Row],[Cumulative done story points]]=0,0,WFM_DD[[#This Row],[Defect Density]])</f>
        <v>0.67010307312011719</v>
      </c>
      <c r="L12" s="56">
        <f ca="1">IF(ISNUMBER(WFM_DD[[#This Row],[Ext Regression %]]),WFM_DD[[#This Row],[Ext Regression %]],IF(ISBLANK(WFM_DD[[#This Row],[Ext Regression %]]),OFFSET(WFM_DD[[#This Row],[Ext Reg]],-1,0),0))</f>
        <v>3.076923131942749</v>
      </c>
      <c r="M12" s="56">
        <f ca="1">IF(ISNUMBER(WFM_DD[[#This Row],[Core Regression %]]),WFM_DD[[#This Row],[Core Regression %]],IF(ISBLANK(WFM_DD[[#This Row],[Core Regression %]]),OFFSET(WFM_DD[[#This Row],[Core Reg]],-1,0),0))</f>
        <v>31.818181991577148</v>
      </c>
      <c r="N12" s="65">
        <f>WFM_DD[[#This Row],[Core]]/SUM(WFM_DD[[#This Row],[Ext]],WFM_DD[[#This Row],[Core]])</f>
        <v>0.34782608695652173</v>
      </c>
    </row>
    <row r="13" spans="1:14">
      <c r="A13" s="50">
        <v>41744.404336724539</v>
      </c>
      <c r="B13" s="49">
        <v>102</v>
      </c>
      <c r="C13" s="49">
        <v>0.66666668653488159</v>
      </c>
      <c r="D13" s="49">
        <v>2.9411764144897461</v>
      </c>
      <c r="E13" s="49">
        <v>29.787233352661133</v>
      </c>
      <c r="F13" s="55">
        <v>128</v>
      </c>
      <c r="G13" s="55"/>
      <c r="H13" s="55">
        <v>68</v>
      </c>
      <c r="I13" s="48">
        <f t="shared" si="0"/>
        <v>162014</v>
      </c>
      <c r="J13" s="48">
        <f>WFM_DD[[#This Row],[Cumulative done story points]]</f>
        <v>102</v>
      </c>
      <c r="K13" s="48">
        <f>IF(WFM_DD[[#This Row],[Cumulative done story points]]=0,0,WFM_DD[[#This Row],[Defect Density]])</f>
        <v>0.66666668653488159</v>
      </c>
      <c r="L13" s="56">
        <f ca="1">IF(ISNUMBER(WFM_DD[[#This Row],[Ext Regression %]]),WFM_DD[[#This Row],[Ext Regression %]],IF(ISBLANK(WFM_DD[[#This Row],[Ext Regression %]]),OFFSET(WFM_DD[[#This Row],[Ext Reg]],-1,0),0))</f>
        <v>2.9411764144897461</v>
      </c>
      <c r="M13" s="56">
        <f ca="1">IF(ISNUMBER(WFM_DD[[#This Row],[Core Regression %]]),WFM_DD[[#This Row],[Core Regression %]],IF(ISBLANK(WFM_DD[[#This Row],[Core Regression %]]),OFFSET(WFM_DD[[#This Row],[Core Reg]],-1,0),0))</f>
        <v>29.787233352661133</v>
      </c>
      <c r="N13" s="65">
        <f>WFM_DD[[#This Row],[Core]]/SUM(WFM_DD[[#This Row],[Ext]],WFM_DD[[#This Row],[Core]])</f>
        <v>0.34693877551020408</v>
      </c>
    </row>
    <row r="14" spans="1:14">
      <c r="A14" s="50">
        <v>41751.404336724539</v>
      </c>
      <c r="B14" s="49">
        <v>102</v>
      </c>
      <c r="C14" s="49">
        <v>0.83333331346511841</v>
      </c>
      <c r="D14" s="49">
        <v>2.3529412746429443</v>
      </c>
      <c r="E14" s="49">
        <v>28</v>
      </c>
      <c r="F14" s="55">
        <v>152</v>
      </c>
      <c r="G14" s="55"/>
      <c r="H14" s="55">
        <v>71</v>
      </c>
      <c r="I14" s="48">
        <f t="shared" si="0"/>
        <v>172014</v>
      </c>
      <c r="J14" s="48">
        <f>WFM_DD[[#This Row],[Cumulative done story points]]</f>
        <v>102</v>
      </c>
      <c r="K14" s="48">
        <f>IF(WFM_DD[[#This Row],[Cumulative done story points]]=0,0,WFM_DD[[#This Row],[Defect Density]])</f>
        <v>0.83333331346511841</v>
      </c>
      <c r="L14" s="56">
        <f ca="1">IF(ISNUMBER(WFM_DD[[#This Row],[Ext Regression %]]),WFM_DD[[#This Row],[Ext Regression %]],IF(ISBLANK(WFM_DD[[#This Row],[Ext Regression %]]),OFFSET(WFM_DD[[#This Row],[Ext Reg]],-1,0),0))</f>
        <v>2.3529412746429443</v>
      </c>
      <c r="M14" s="56">
        <f ca="1">IF(ISNUMBER(WFM_DD[[#This Row],[Core Regression %]]),WFM_DD[[#This Row],[Core Regression %]],IF(ISBLANK(WFM_DD[[#This Row],[Core Regression %]]),OFFSET(WFM_DD[[#This Row],[Core Reg]],-1,0),0))</f>
        <v>28</v>
      </c>
      <c r="N14" s="65">
        <f>WFM_DD[[#This Row],[Core]]/SUM(WFM_DD[[#This Row],[Ext]],WFM_DD[[#This Row],[Core]])</f>
        <v>0.31838565022421522</v>
      </c>
    </row>
    <row r="15" spans="1:14">
      <c r="A15" s="50">
        <v>41758.404336724539</v>
      </c>
      <c r="B15" s="49">
        <v>108</v>
      </c>
      <c r="C15" s="49">
        <v>0.84259259700775146</v>
      </c>
      <c r="D15" s="49">
        <v>2.1978023052215576</v>
      </c>
      <c r="E15" s="49">
        <v>25.925926208496094</v>
      </c>
      <c r="F15" s="55">
        <v>161</v>
      </c>
      <c r="G15" s="55"/>
      <c r="H15" s="55">
        <v>75</v>
      </c>
      <c r="I15" s="48">
        <f t="shared" si="0"/>
        <v>182014</v>
      </c>
      <c r="J15" s="48">
        <f>WFM_DD[[#This Row],[Cumulative done story points]]</f>
        <v>108</v>
      </c>
      <c r="K15" s="48">
        <f>IF(WFM_DD[[#This Row],[Cumulative done story points]]=0,0,WFM_DD[[#This Row],[Defect Density]])</f>
        <v>0.84259259700775146</v>
      </c>
      <c r="L15" s="56">
        <f ca="1">IF(ISNUMBER(WFM_DD[[#This Row],[Ext Regression %]]),WFM_DD[[#This Row],[Ext Regression %]],IF(ISBLANK(WFM_DD[[#This Row],[Ext Regression %]]),OFFSET(WFM_DD[[#This Row],[Ext Reg]],-1,0),0))</f>
        <v>2.1978023052215576</v>
      </c>
      <c r="M15" s="56">
        <f ca="1">IF(ISNUMBER(WFM_DD[[#This Row],[Core Regression %]]),WFM_DD[[#This Row],[Core Regression %]],IF(ISBLANK(WFM_DD[[#This Row],[Core Regression %]]),OFFSET(WFM_DD[[#This Row],[Core Reg]],-1,0),0))</f>
        <v>25.925926208496094</v>
      </c>
      <c r="N15" s="65">
        <f>WFM_DD[[#This Row],[Core]]/SUM(WFM_DD[[#This Row],[Ext]],WFM_DD[[#This Row],[Core]])</f>
        <v>0.31779661016949151</v>
      </c>
    </row>
    <row r="16" spans="1:14">
      <c r="A16" s="50">
        <v>41765.404336724539</v>
      </c>
      <c r="B16" s="49">
        <v>119</v>
      </c>
      <c r="C16" s="49">
        <v>0.88235294818878174</v>
      </c>
      <c r="D16" s="49">
        <v>5.7142858505249023</v>
      </c>
      <c r="E16" s="49">
        <v>22.95081901550293</v>
      </c>
      <c r="F16" s="55">
        <v>183</v>
      </c>
      <c r="G16" s="55"/>
      <c r="H16" s="55">
        <v>83</v>
      </c>
      <c r="I16" s="48">
        <f t="shared" si="0"/>
        <v>192014</v>
      </c>
      <c r="J16" s="48">
        <f>WFM_DD[[#This Row],[Cumulative done story points]]</f>
        <v>119</v>
      </c>
      <c r="K16" s="48">
        <f>IF(WFM_DD[[#This Row],[Cumulative done story points]]=0,0,WFM_DD[[#This Row],[Defect Density]])</f>
        <v>0.88235294818878174</v>
      </c>
      <c r="L16" s="56">
        <f ca="1">IF(ISNUMBER(WFM_DD[[#This Row],[Ext Regression %]]),WFM_DD[[#This Row],[Ext Regression %]],IF(ISBLANK(WFM_DD[[#This Row],[Ext Regression %]]),OFFSET(WFM_DD[[#This Row],[Ext Reg]],-1,0),0))</f>
        <v>5.7142858505249023</v>
      </c>
      <c r="M16" s="56">
        <f ca="1">IF(ISNUMBER(WFM_DD[[#This Row],[Core Regression %]]),WFM_DD[[#This Row],[Core Regression %]],IF(ISBLANK(WFM_DD[[#This Row],[Core Regression %]]),OFFSET(WFM_DD[[#This Row],[Core Reg]],-1,0),0))</f>
        <v>22.95081901550293</v>
      </c>
      <c r="N16" s="65">
        <f>WFM_DD[[#This Row],[Core]]/SUM(WFM_DD[[#This Row],[Ext]],WFM_DD[[#This Row],[Core]])</f>
        <v>0.31203007518796994</v>
      </c>
    </row>
    <row r="17" spans="1:14">
      <c r="A17" s="50">
        <v>41772.404336724539</v>
      </c>
      <c r="B17" s="49">
        <v>126</v>
      </c>
      <c r="C17" s="49">
        <v>1.047619104385376</v>
      </c>
      <c r="D17" s="49">
        <v>7.5757579803466797</v>
      </c>
      <c r="E17" s="49">
        <v>24.242424011230469</v>
      </c>
      <c r="F17" s="55">
        <v>226</v>
      </c>
      <c r="G17" s="55"/>
      <c r="H17" s="55">
        <v>89</v>
      </c>
      <c r="I17" s="48">
        <f t="shared" si="0"/>
        <v>202014</v>
      </c>
      <c r="J17" s="48">
        <f>WFM_DD[[#This Row],[Cumulative done story points]]</f>
        <v>126</v>
      </c>
      <c r="K17" s="48">
        <f>IF(WFM_DD[[#This Row],[Cumulative done story points]]=0,0,WFM_DD[[#This Row],[Defect Density]])</f>
        <v>1.047619104385376</v>
      </c>
      <c r="L17" s="56">
        <f ca="1">IF(ISNUMBER(WFM_DD[[#This Row],[Ext Regression %]]),WFM_DD[[#This Row],[Ext Regression %]],IF(ISBLANK(WFM_DD[[#This Row],[Ext Regression %]]),OFFSET(WFM_DD[[#This Row],[Ext Reg]],-1,0),0))</f>
        <v>7.5757579803466797</v>
      </c>
      <c r="M17" s="56">
        <f ca="1">IF(ISNUMBER(WFM_DD[[#This Row],[Core Regression %]]),WFM_DD[[#This Row],[Core Regression %]],IF(ISBLANK(WFM_DD[[#This Row],[Core Regression %]]),OFFSET(WFM_DD[[#This Row],[Core Reg]],-1,0),0))</f>
        <v>24.242424011230469</v>
      </c>
      <c r="N17" s="65">
        <f>WFM_DD[[#This Row],[Core]]/SUM(WFM_DD[[#This Row],[Ext]],WFM_DD[[#This Row],[Core]])</f>
        <v>0.28253968253968254</v>
      </c>
    </row>
    <row r="18" spans="1:14">
      <c r="A18" s="50">
        <v>41779.404336724539</v>
      </c>
      <c r="B18" s="49">
        <v>151</v>
      </c>
      <c r="C18" s="49">
        <v>0.98675495386123657</v>
      </c>
      <c r="D18" s="49">
        <v>8.7248325347900391</v>
      </c>
      <c r="E18" s="49">
        <v>23.28767204284668</v>
      </c>
      <c r="F18" s="55">
        <v>253</v>
      </c>
      <c r="G18" s="55"/>
      <c r="H18" s="55">
        <v>99</v>
      </c>
      <c r="I18" s="48">
        <f t="shared" si="0"/>
        <v>212014</v>
      </c>
      <c r="J18" s="48">
        <f>WFM_DD[[#This Row],[Cumulative done story points]]</f>
        <v>151</v>
      </c>
      <c r="K18" s="48">
        <f>IF(WFM_DD[[#This Row],[Cumulative done story points]]=0,0,WFM_DD[[#This Row],[Defect Density]])</f>
        <v>0.98675495386123657</v>
      </c>
      <c r="L18" s="56">
        <f ca="1">IF(ISNUMBER(WFM_DD[[#This Row],[Ext Regression %]]),WFM_DD[[#This Row],[Ext Regression %]],IF(ISBLANK(WFM_DD[[#This Row],[Ext Regression %]]),OFFSET(WFM_DD[[#This Row],[Ext Reg]],-1,0),0))</f>
        <v>8.7248325347900391</v>
      </c>
      <c r="M18" s="56">
        <f ca="1">IF(ISNUMBER(WFM_DD[[#This Row],[Core Regression %]]),WFM_DD[[#This Row],[Core Regression %]],IF(ISBLANK(WFM_DD[[#This Row],[Core Regression %]]),OFFSET(WFM_DD[[#This Row],[Core Reg]],-1,0),0))</f>
        <v>23.28767204284668</v>
      </c>
      <c r="N18" s="65">
        <f>WFM_DD[[#This Row],[Core]]/SUM(WFM_DD[[#This Row],[Ext]],WFM_DD[[#This Row],[Core]])</f>
        <v>0.28125</v>
      </c>
    </row>
    <row r="19" spans="1:14">
      <c r="A19" s="50">
        <v>41786.404336724539</v>
      </c>
      <c r="B19" s="49">
        <v>151</v>
      </c>
      <c r="C19" s="49">
        <v>1.0132449865341187</v>
      </c>
      <c r="D19" s="49">
        <v>9.8039216995239258</v>
      </c>
      <c r="E19" s="49">
        <v>23.684211730957031</v>
      </c>
      <c r="F19" s="55">
        <v>261</v>
      </c>
      <c r="G19" s="55"/>
      <c r="H19" s="55">
        <v>102</v>
      </c>
      <c r="I19" s="48">
        <f t="shared" si="0"/>
        <v>222014</v>
      </c>
      <c r="J19" s="48">
        <f>WFM_DD[[#This Row],[Cumulative done story points]]</f>
        <v>151</v>
      </c>
      <c r="K19" s="48">
        <f>IF(WFM_DD[[#This Row],[Cumulative done story points]]=0,0,WFM_DD[[#This Row],[Defect Density]])</f>
        <v>1.0132449865341187</v>
      </c>
      <c r="L19" s="56">
        <f ca="1">IF(ISNUMBER(WFM_DD[[#This Row],[Ext Regression %]]),WFM_DD[[#This Row],[Ext Regression %]],IF(ISBLANK(WFM_DD[[#This Row],[Ext Regression %]]),OFFSET(WFM_DD[[#This Row],[Ext Reg]],-1,0),0))</f>
        <v>9.8039216995239258</v>
      </c>
      <c r="M19" s="56">
        <f ca="1">IF(ISNUMBER(WFM_DD[[#This Row],[Core Regression %]]),WFM_DD[[#This Row],[Core Regression %]],IF(ISBLANK(WFM_DD[[#This Row],[Core Regression %]]),OFFSET(WFM_DD[[#This Row],[Core Reg]],-1,0),0))</f>
        <v>23.684211730957031</v>
      </c>
      <c r="N19" s="65">
        <f>WFM_DD[[#This Row],[Core]]/SUM(WFM_DD[[#This Row],[Ext]],WFM_DD[[#This Row],[Core]])</f>
        <v>0.28099173553719009</v>
      </c>
    </row>
    <row r="20" spans="1:14">
      <c r="A20" s="50">
        <v>41793.404336724539</v>
      </c>
      <c r="B20" s="49">
        <v>154</v>
      </c>
      <c r="C20" s="49">
        <v>1.051948070526123</v>
      </c>
      <c r="D20" s="49">
        <v>10.493826866149902</v>
      </c>
      <c r="E20" s="49">
        <v>23.75</v>
      </c>
      <c r="F20" s="55">
        <v>272</v>
      </c>
      <c r="G20" s="55"/>
      <c r="H20" s="55">
        <v>107</v>
      </c>
      <c r="I20" s="48">
        <f t="shared" si="0"/>
        <v>232014</v>
      </c>
      <c r="J20" s="48">
        <f>WFM_DD[[#This Row],[Cumulative done story points]]</f>
        <v>154</v>
      </c>
      <c r="K20" s="48">
        <f>IF(WFM_DD[[#This Row],[Cumulative done story points]]=0,0,WFM_DD[[#This Row],[Defect Density]])</f>
        <v>1.051948070526123</v>
      </c>
      <c r="L20" s="56">
        <f ca="1">IF(ISNUMBER(WFM_DD[[#This Row],[Ext Regression %]]),WFM_DD[[#This Row],[Ext Regression %]],IF(ISBLANK(WFM_DD[[#This Row],[Ext Regression %]]),OFFSET(WFM_DD[[#This Row],[Ext Reg]],-1,0),0))</f>
        <v>10.493826866149902</v>
      </c>
      <c r="M20" s="56">
        <f ca="1">IF(ISNUMBER(WFM_DD[[#This Row],[Core Regression %]]),WFM_DD[[#This Row],[Core Regression %]],IF(ISBLANK(WFM_DD[[#This Row],[Core Regression %]]),OFFSET(WFM_DD[[#This Row],[Core Reg]],-1,0),0))</f>
        <v>23.75</v>
      </c>
      <c r="N20" s="65">
        <f>WFM_DD[[#This Row],[Core]]/SUM(WFM_DD[[#This Row],[Ext]],WFM_DD[[#This Row],[Core]])</f>
        <v>0.28232189973614774</v>
      </c>
    </row>
    <row r="21" spans="1:14">
      <c r="A21" s="50">
        <v>41800.404336724539</v>
      </c>
      <c r="B21" s="49">
        <v>156</v>
      </c>
      <c r="C21" s="49">
        <v>1.2051281929016113</v>
      </c>
      <c r="D21" s="49">
        <v>12.234042167663574</v>
      </c>
      <c r="E21" s="49">
        <v>26.744186401367188</v>
      </c>
      <c r="F21" s="55">
        <v>310</v>
      </c>
      <c r="G21" s="55"/>
      <c r="H21" s="55">
        <v>114</v>
      </c>
      <c r="I21" s="48">
        <f t="shared" si="0"/>
        <v>242014</v>
      </c>
      <c r="J21" s="48">
        <f>WFM_DD[[#This Row],[Cumulative done story points]]</f>
        <v>156</v>
      </c>
      <c r="K21" s="48">
        <f>IF(WFM_DD[[#This Row],[Cumulative done story points]]=0,0,WFM_DD[[#This Row],[Defect Density]])</f>
        <v>1.2051281929016113</v>
      </c>
      <c r="L21" s="56">
        <f ca="1">IF(ISNUMBER(WFM_DD[[#This Row],[Ext Regression %]]),WFM_DD[[#This Row],[Ext Regression %]],IF(ISBLANK(WFM_DD[[#This Row],[Ext Regression %]]),OFFSET(WFM_DD[[#This Row],[Ext Reg]],-1,0),0))</f>
        <v>12.234042167663574</v>
      </c>
      <c r="M21" s="56">
        <f ca="1">IF(ISNUMBER(WFM_DD[[#This Row],[Core Regression %]]),WFM_DD[[#This Row],[Core Regression %]],IF(ISBLANK(WFM_DD[[#This Row],[Core Regression %]]),OFFSET(WFM_DD[[#This Row],[Core Reg]],-1,0),0))</f>
        <v>26.744186401367188</v>
      </c>
      <c r="N21" s="65">
        <f>WFM_DD[[#This Row],[Core]]/SUM(WFM_DD[[#This Row],[Ext]],WFM_DD[[#This Row],[Core]])</f>
        <v>0.26886792452830188</v>
      </c>
    </row>
    <row r="22" spans="1:14">
      <c r="A22" s="50">
        <v>41807.404336724539</v>
      </c>
      <c r="B22" s="49">
        <v>171</v>
      </c>
      <c r="C22" s="49">
        <v>1.2514619827270508</v>
      </c>
      <c r="D22" s="49">
        <v>16.355140686035156</v>
      </c>
      <c r="E22" s="49">
        <v>25.555557250976563</v>
      </c>
      <c r="F22" s="55">
        <v>348</v>
      </c>
      <c r="G22" s="55"/>
      <c r="H22" s="55">
        <v>118</v>
      </c>
      <c r="I22" s="48">
        <f t="shared" si="0"/>
        <v>252014</v>
      </c>
      <c r="J22" s="48">
        <f>WFM_DD[[#This Row],[Cumulative done story points]]</f>
        <v>171</v>
      </c>
      <c r="K22" s="48">
        <f>IF(WFM_DD[[#This Row],[Cumulative done story points]]=0,0,WFM_DD[[#This Row],[Defect Density]])</f>
        <v>1.2514619827270508</v>
      </c>
      <c r="L22" s="56">
        <f ca="1">IF(ISNUMBER(WFM_DD[[#This Row],[Ext Regression %]]),WFM_DD[[#This Row],[Ext Regression %]],IF(ISBLANK(WFM_DD[[#This Row],[Ext Regression %]]),OFFSET(WFM_DD[[#This Row],[Ext Reg]],-1,0),0))</f>
        <v>16.355140686035156</v>
      </c>
      <c r="M22" s="56">
        <f ca="1">IF(ISNUMBER(WFM_DD[[#This Row],[Core Regression %]]),WFM_DD[[#This Row],[Core Regression %]],IF(ISBLANK(WFM_DD[[#This Row],[Core Regression %]]),OFFSET(WFM_DD[[#This Row],[Core Reg]],-1,0),0))</f>
        <v>25.555557250976563</v>
      </c>
      <c r="N22" s="65">
        <f>WFM_DD[[#This Row],[Core]]/SUM(WFM_DD[[#This Row],[Ext]],WFM_DD[[#This Row],[Core]])</f>
        <v>0.25321888412017168</v>
      </c>
    </row>
    <row r="23" spans="1:14">
      <c r="A23" s="50">
        <v>41814.404336724539</v>
      </c>
      <c r="B23" s="49">
        <v>171</v>
      </c>
      <c r="C23" s="49">
        <v>1.4093567132949829</v>
      </c>
      <c r="D23" s="49">
        <v>19.917013168334961</v>
      </c>
      <c r="E23" s="49">
        <v>25.263156890869141</v>
      </c>
      <c r="F23" s="55">
        <v>394</v>
      </c>
      <c r="G23" s="55"/>
      <c r="H23" s="55">
        <v>123</v>
      </c>
      <c r="I23" s="48">
        <f t="shared" si="0"/>
        <v>262014</v>
      </c>
      <c r="J23" s="48">
        <f>WFM_DD[[#This Row],[Cumulative done story points]]</f>
        <v>171</v>
      </c>
      <c r="K23" s="48">
        <f>IF(WFM_DD[[#This Row],[Cumulative done story points]]=0,0,WFM_DD[[#This Row],[Defect Density]])</f>
        <v>1.4093567132949829</v>
      </c>
      <c r="L23" s="56">
        <f ca="1">IF(ISNUMBER(WFM_DD[[#This Row],[Ext Regression %]]),WFM_DD[[#This Row],[Ext Regression %]],IF(ISBLANK(WFM_DD[[#This Row],[Ext Regression %]]),OFFSET(WFM_DD[[#This Row],[Ext Reg]],-1,0),0))</f>
        <v>19.917013168334961</v>
      </c>
      <c r="M23" s="56">
        <f ca="1">IF(ISNUMBER(WFM_DD[[#This Row],[Core Regression %]]),WFM_DD[[#This Row],[Core Regression %]],IF(ISBLANK(WFM_DD[[#This Row],[Core Regression %]]),OFFSET(WFM_DD[[#This Row],[Core Reg]],-1,0),0))</f>
        <v>25.263156890869141</v>
      </c>
      <c r="N23" s="65">
        <f>WFM_DD[[#This Row],[Core]]/SUM(WFM_DD[[#This Row],[Ext]],WFM_DD[[#This Row],[Core]])</f>
        <v>0.23791102514506771</v>
      </c>
    </row>
    <row r="24" spans="1:14">
      <c r="A24" s="50">
        <v>41821.404336724539</v>
      </c>
      <c r="B24" s="49">
        <v>171</v>
      </c>
      <c r="C24" s="49">
        <v>1.4678362607955933</v>
      </c>
      <c r="D24" s="49">
        <v>20.717132568359375</v>
      </c>
      <c r="E24" s="49">
        <v>24.242424011230469</v>
      </c>
      <c r="F24" s="55">
        <v>406</v>
      </c>
      <c r="G24" s="55"/>
      <c r="H24" s="55">
        <v>127</v>
      </c>
      <c r="I24" s="48">
        <f t="shared" si="0"/>
        <v>272014</v>
      </c>
      <c r="J24" s="48">
        <f>WFM_DD[[#This Row],[Cumulative done story points]]</f>
        <v>171</v>
      </c>
      <c r="K24" s="48">
        <f>IF(WFM_DD[[#This Row],[Cumulative done story points]]=0,0,WFM_DD[[#This Row],[Defect Density]])</f>
        <v>1.4678362607955933</v>
      </c>
      <c r="L24" s="56">
        <f ca="1">IF(ISNUMBER(WFM_DD[[#This Row],[Ext Regression %]]),WFM_DD[[#This Row],[Ext Regression %]],IF(ISBLANK(WFM_DD[[#This Row],[Ext Regression %]]),OFFSET(WFM_DD[[#This Row],[Ext Reg]],-1,0),0))</f>
        <v>20.717132568359375</v>
      </c>
      <c r="M24" s="56">
        <f ca="1">IF(ISNUMBER(WFM_DD[[#This Row],[Core Regression %]]),WFM_DD[[#This Row],[Core Regression %]],IF(ISBLANK(WFM_DD[[#This Row],[Core Regression %]]),OFFSET(WFM_DD[[#This Row],[Core Reg]],-1,0),0))</f>
        <v>24.242424011230469</v>
      </c>
      <c r="N24" s="65">
        <f>WFM_DD[[#This Row],[Core]]/SUM(WFM_DD[[#This Row],[Ext]],WFM_DD[[#This Row],[Core]])</f>
        <v>0.23827392120075047</v>
      </c>
    </row>
    <row r="25" spans="1:14">
      <c r="A25" s="50">
        <v>41828.404336724539</v>
      </c>
      <c r="B25" s="49">
        <v>171</v>
      </c>
      <c r="C25" s="49">
        <v>1.5497076511383057</v>
      </c>
      <c r="D25" s="49">
        <v>20.377359390258789</v>
      </c>
      <c r="E25" s="49">
        <v>24.242424011230469</v>
      </c>
      <c r="F25" s="55">
        <v>421</v>
      </c>
      <c r="G25" s="55"/>
      <c r="H25" s="55">
        <v>127</v>
      </c>
      <c r="I25" s="48">
        <f t="shared" si="0"/>
        <v>282014</v>
      </c>
      <c r="J25" s="48">
        <f>WFM_DD[[#This Row],[Cumulative done story points]]</f>
        <v>171</v>
      </c>
      <c r="K25" s="48">
        <f>IF(WFM_DD[[#This Row],[Cumulative done story points]]=0,0,WFM_DD[[#This Row],[Defect Density]])</f>
        <v>1.5497076511383057</v>
      </c>
      <c r="L25" s="56">
        <f ca="1">IF(ISNUMBER(WFM_DD[[#This Row],[Ext Regression %]]),WFM_DD[[#This Row],[Ext Regression %]],IF(ISBLANK(WFM_DD[[#This Row],[Ext Regression %]]),OFFSET(WFM_DD[[#This Row],[Ext Reg]],-1,0),0))</f>
        <v>20.377359390258789</v>
      </c>
      <c r="M25" s="56">
        <f ca="1">IF(ISNUMBER(WFM_DD[[#This Row],[Core Regression %]]),WFM_DD[[#This Row],[Core Regression %]],IF(ISBLANK(WFM_DD[[#This Row],[Core Regression %]]),OFFSET(WFM_DD[[#This Row],[Core Reg]],-1,0),0))</f>
        <v>24.242424011230469</v>
      </c>
      <c r="N25" s="65">
        <f>WFM_DD[[#This Row],[Core]]/SUM(WFM_DD[[#This Row],[Ext]],WFM_DD[[#This Row],[Core]])</f>
        <v>0.23175182481751824</v>
      </c>
    </row>
    <row r="26" spans="1:14">
      <c r="L26" s="56"/>
      <c r="M26" s="56"/>
      <c r="N26" s="65"/>
    </row>
    <row r="27" spans="1:14">
      <c r="L27" s="56"/>
      <c r="M27" s="56"/>
      <c r="N27" s="65"/>
    </row>
    <row r="28" spans="1:14">
      <c r="L28" s="56"/>
      <c r="M28" s="56"/>
      <c r="N28" s="65"/>
    </row>
    <row r="29" spans="1:14">
      <c r="L29" s="56"/>
      <c r="M29" s="56"/>
      <c r="N29" s="65"/>
    </row>
    <row r="30" spans="1:14">
      <c r="L30" s="56"/>
      <c r="M30" s="56"/>
      <c r="N30" s="65"/>
    </row>
    <row r="31" spans="1:14">
      <c r="L31" s="56"/>
      <c r="M31" s="56"/>
      <c r="N31" s="65"/>
    </row>
    <row r="32" spans="1:14">
      <c r="L32" s="56"/>
      <c r="M32" s="56"/>
      <c r="N32" s="65"/>
    </row>
    <row r="33" spans="12:14">
      <c r="L33" s="56"/>
      <c r="M33" s="56"/>
      <c r="N33" s="65"/>
    </row>
    <row r="34" spans="12:14">
      <c r="L34" s="56"/>
      <c r="M34" s="56"/>
      <c r="N34" s="65"/>
    </row>
    <row r="35" spans="12:14">
      <c r="L35" s="56"/>
      <c r="M35" s="56"/>
      <c r="N35" s="65"/>
    </row>
    <row r="36" spans="12:14">
      <c r="L36" s="56"/>
      <c r="M36" s="56"/>
      <c r="N36" s="65"/>
    </row>
    <row r="37" spans="12:14">
      <c r="L37" s="56"/>
      <c r="M37" s="56"/>
      <c r="N37" s="65"/>
    </row>
    <row r="38" spans="12:14">
      <c r="L38" s="56"/>
      <c r="M38" s="56"/>
      <c r="N38" s="65"/>
    </row>
    <row r="39" spans="12:14">
      <c r="L39" s="56"/>
      <c r="M39" s="56"/>
      <c r="N39" s="65"/>
    </row>
    <row r="40" spans="12:14">
      <c r="L40" s="56"/>
      <c r="M40" s="56"/>
      <c r="N40" s="65"/>
    </row>
    <row r="41" spans="12:14">
      <c r="L41" s="56"/>
      <c r="M41" s="56"/>
    </row>
    <row r="42" spans="12:14">
      <c r="L42" s="56"/>
      <c r="M42" s="56"/>
    </row>
    <row r="43" spans="12:14">
      <c r="L43" s="56"/>
      <c r="M43" s="56"/>
    </row>
    <row r="44" spans="12:14">
      <c r="L44" s="56"/>
      <c r="M44" s="56"/>
    </row>
    <row r="45" spans="12:14">
      <c r="L45" s="56"/>
      <c r="M45" s="56"/>
    </row>
    <row r="46" spans="12:14">
      <c r="L46" s="56"/>
      <c r="M46" s="56"/>
    </row>
    <row r="47" spans="12:14">
      <c r="L47" s="56"/>
      <c r="M47" s="56"/>
    </row>
    <row r="48" spans="12:14">
      <c r="L48" s="56"/>
      <c r="M48" s="56"/>
    </row>
    <row r="49" spans="12:13">
      <c r="L49" s="56"/>
      <c r="M49" s="56"/>
    </row>
    <row r="50" spans="12:13">
      <c r="L50" s="56"/>
      <c r="M50" s="5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65"/>
  <sheetViews>
    <sheetView zoomScale="80" zoomScaleNormal="80" workbookViewId="0">
      <selection activeCell="L3" sqref="L3"/>
    </sheetView>
  </sheetViews>
  <sheetFormatPr defaultRowHeight="15"/>
  <cols>
    <col min="1" max="1" width="15.5703125" customWidth="1"/>
    <col min="2" max="2" width="29.42578125" customWidth="1"/>
    <col min="3" max="3" width="25.28515625" bestFit="1" customWidth="1"/>
    <col min="4" max="6" width="25.28515625" customWidth="1"/>
    <col min="7" max="7" width="13.28515625" bestFit="1" customWidth="1"/>
    <col min="8" max="8" width="10.7109375" bestFit="1" customWidth="1"/>
    <col min="10" max="10" width="10.7109375" bestFit="1" customWidth="1"/>
    <col min="11" max="12" width="13.140625" bestFit="1" customWidth="1"/>
  </cols>
  <sheetData>
    <row r="1" spans="1:12">
      <c r="A1" s="49" t="s">
        <v>33</v>
      </c>
      <c r="B1" s="49" t="s">
        <v>32</v>
      </c>
      <c r="C1" s="49" t="s">
        <v>31</v>
      </c>
      <c r="D1" s="49" t="s">
        <v>48</v>
      </c>
      <c r="E1" s="49" t="s">
        <v>49</v>
      </c>
      <c r="F1" s="49" t="s">
        <v>151</v>
      </c>
      <c r="G1" s="52" t="s">
        <v>16</v>
      </c>
      <c r="H1" s="52" t="s">
        <v>30</v>
      </c>
      <c r="I1" s="52" t="s">
        <v>29</v>
      </c>
      <c r="J1" s="52" t="s">
        <v>50</v>
      </c>
      <c r="K1" s="52" t="s">
        <v>51</v>
      </c>
      <c r="L1" s="84" t="s">
        <v>153</v>
      </c>
    </row>
    <row r="2" spans="1:12">
      <c r="A2" s="50">
        <v>41387.64048321759</v>
      </c>
      <c r="B2" s="49">
        <v>96</v>
      </c>
      <c r="C2" s="49">
        <v>5.2083332091569901E-2</v>
      </c>
      <c r="D2" s="61" t="s">
        <v>56</v>
      </c>
      <c r="E2" s="49">
        <v>40</v>
      </c>
      <c r="F2" s="49">
        <v>0</v>
      </c>
      <c r="G2" s="51">
        <f t="shared" ref="G2:G33" si="0">VALUE(WEEKNUM(A2*1)&amp;YEAR(A2*1))</f>
        <v>172013</v>
      </c>
      <c r="H2" s="48">
        <f>RTen_DD[[#This Row],[Cumulative done story points]]</f>
        <v>96</v>
      </c>
      <c r="I2" s="48">
        <f>IF(RTen_DD[[#This Row],[Cumulative done story points]]=0,0,RTen_DD[[#This Row],[Defect Density]])</f>
        <v>5.2083332091569901E-2</v>
      </c>
      <c r="J2" s="56">
        <f ca="1">IF(ISNUMBER(RTen_DD[[#This Row],[Ext Regression %]]),RTen_DD[[#This Row],[Ext Regression %]],IF(ISBLANK(RTen_DD[[#This Row],[Ext Regression %]]),OFFSET(RTen_DD[[#This Row],[Ext Reg]],-1,0),0))</f>
        <v>0</v>
      </c>
      <c r="K2" s="56">
        <f ca="1">IF(ISNUMBER(RTen_DD[[#This Row],[Core Regression %]]),RTen_DD[[#This Row],[Core Regression %]],IF(ISBLANK(RTen_DD[[#This Row],[Core Regression %]]),OFFSET(RTen_DD[[#This Row],[Core Reg]],-1,0),0))</f>
        <v>40</v>
      </c>
      <c r="L2" s="100">
        <f>IF(ISBLANK(RTen_DD[[#This Row],[Escaping Defects]]),NA(),RTen_DD[[#This Row],[Escaping Defects]]/100)</f>
        <v>0</v>
      </c>
    </row>
    <row r="3" spans="1:12">
      <c r="A3" s="50">
        <v>41394.64048321759</v>
      </c>
      <c r="B3" s="49">
        <v>130</v>
      </c>
      <c r="C3" s="49">
        <v>0.25384616851806641</v>
      </c>
      <c r="D3" s="49"/>
      <c r="E3" s="49">
        <v>15.151515960693359</v>
      </c>
      <c r="F3" s="49">
        <v>3.0303030014038086</v>
      </c>
      <c r="G3" s="51">
        <f t="shared" si="0"/>
        <v>182013</v>
      </c>
      <c r="H3" s="48">
        <f>RTen_DD[[#This Row],[Cumulative done story points]]</f>
        <v>130</v>
      </c>
      <c r="I3" s="48">
        <f>IF(RTen_DD[[#This Row],[Cumulative done story points]]=0,0,RTen_DD[[#This Row],[Defect Density]])</f>
        <v>0.25384616851806641</v>
      </c>
      <c r="J3" s="56">
        <f ca="1">IF(ISNUMBER(RTen_DD[[#This Row],[Ext Regression %]]),RTen_DD[[#This Row],[Ext Regression %]],IF(ISBLANK(RTen_DD[[#This Row],[Ext Regression %]]),OFFSET(RTen_DD[[#This Row],[Ext Reg]],-1,0),0))</f>
        <v>0</v>
      </c>
      <c r="K3" s="56">
        <f ca="1">IF(ISNUMBER(RTen_DD[[#This Row],[Core Regression %]]),RTen_DD[[#This Row],[Core Regression %]],IF(ISBLANK(RTen_DD[[#This Row],[Core Regression %]]),OFFSET(RTen_DD[[#This Row],[Core Reg]],-1,0),0))</f>
        <v>15.151515960693359</v>
      </c>
      <c r="L3" s="100">
        <f>IF(ISBLANK(RTen_DD[[#This Row],[Escaping Defects]]),NA(),RTen_DD[[#This Row],[Escaping Defects]]/100)</f>
        <v>3.0303030014038085E-2</v>
      </c>
    </row>
    <row r="4" spans="1:12">
      <c r="A4" s="50">
        <v>41401.64048321759</v>
      </c>
      <c r="B4" s="49">
        <v>237</v>
      </c>
      <c r="C4" s="49">
        <v>0.24894514679908752</v>
      </c>
      <c r="D4" s="49"/>
      <c r="E4" s="49">
        <v>15.254237174987793</v>
      </c>
      <c r="F4" s="49">
        <v>1.6949152946472168</v>
      </c>
      <c r="G4" s="48">
        <f t="shared" si="0"/>
        <v>192013</v>
      </c>
      <c r="H4" s="48">
        <f>RTen_DD[[#This Row],[Cumulative done story points]]</f>
        <v>237</v>
      </c>
      <c r="I4" s="48">
        <f>IF(RTen_DD[[#This Row],[Cumulative done story points]]=0,0,RTen_DD[[#This Row],[Defect Density]])</f>
        <v>0.24894514679908752</v>
      </c>
      <c r="J4" s="56">
        <f ca="1">IF(ISNUMBER(RTen_DD[[#This Row],[Ext Regression %]]),RTen_DD[[#This Row],[Ext Regression %]],IF(ISBLANK(RTen_DD[[#This Row],[Ext Regression %]]),OFFSET(RTen_DD[[#This Row],[Ext Reg]],-1,0),0))</f>
        <v>0</v>
      </c>
      <c r="K4" s="56">
        <f ca="1">IF(ISNUMBER(RTen_DD[[#This Row],[Core Regression %]]),RTen_DD[[#This Row],[Core Regression %]],IF(ISBLANK(RTen_DD[[#This Row],[Core Regression %]]),OFFSET(RTen_DD[[#This Row],[Core Reg]],-1,0),0))</f>
        <v>15.254237174987793</v>
      </c>
      <c r="L4" s="100">
        <f>IF(ISBLANK(RTen_DD[[#This Row],[Escaping Defects]]),NA(),RTen_DD[[#This Row],[Escaping Defects]]/100)</f>
        <v>1.6949152946472167E-2</v>
      </c>
    </row>
    <row r="5" spans="1:12">
      <c r="A5" s="50">
        <v>41408.64048321759</v>
      </c>
      <c r="B5" s="49">
        <v>319</v>
      </c>
      <c r="C5" s="49">
        <v>0.30094042420387268</v>
      </c>
      <c r="D5" s="49"/>
      <c r="E5" s="49">
        <v>21.875</v>
      </c>
      <c r="F5" s="49">
        <v>1.0416667461395264</v>
      </c>
      <c r="G5" s="48">
        <f t="shared" si="0"/>
        <v>202013</v>
      </c>
      <c r="H5" s="48">
        <f>RTen_DD[[#This Row],[Cumulative done story points]]</f>
        <v>319</v>
      </c>
      <c r="I5" s="48">
        <f>IF(RTen_DD[[#This Row],[Cumulative done story points]]=0,0,RTen_DD[[#This Row],[Defect Density]])</f>
        <v>0.30094042420387268</v>
      </c>
      <c r="J5" s="56">
        <f ca="1">IF(ISNUMBER(RTen_DD[[#This Row],[Ext Regression %]]),RTen_DD[[#This Row],[Ext Regression %]],IF(ISBLANK(RTen_DD[[#This Row],[Ext Regression %]]),OFFSET(RTen_DD[[#This Row],[Ext Reg]],-1,0),0))</f>
        <v>0</v>
      </c>
      <c r="K5" s="56">
        <f ca="1">IF(ISNUMBER(RTen_DD[[#This Row],[Core Regression %]]),RTen_DD[[#This Row],[Core Regression %]],IF(ISBLANK(RTen_DD[[#This Row],[Core Regression %]]),OFFSET(RTen_DD[[#This Row],[Core Reg]],-1,0),0))</f>
        <v>21.875</v>
      </c>
      <c r="L5" s="100">
        <f>IF(ISBLANK(RTen_DD[[#This Row],[Escaping Defects]]),NA(),RTen_DD[[#This Row],[Escaping Defects]]/100)</f>
        <v>1.0416667461395263E-2</v>
      </c>
    </row>
    <row r="6" spans="1:12">
      <c r="A6" s="50">
        <v>41415.64048321759</v>
      </c>
      <c r="B6" s="49">
        <v>446</v>
      </c>
      <c r="C6" s="49">
        <v>0.34977579116821289</v>
      </c>
      <c r="D6" s="49"/>
      <c r="E6" s="49">
        <v>21.794872283935547</v>
      </c>
      <c r="F6" s="49">
        <v>1.2820513248443604</v>
      </c>
      <c r="G6" s="48">
        <f t="shared" si="0"/>
        <v>212013</v>
      </c>
      <c r="H6" s="48">
        <f>RTen_DD[[#This Row],[Cumulative done story points]]</f>
        <v>446</v>
      </c>
      <c r="I6" s="48">
        <f>IF(RTen_DD[[#This Row],[Cumulative done story points]]=0,0,RTen_DD[[#This Row],[Defect Density]])</f>
        <v>0.34977579116821289</v>
      </c>
      <c r="J6" s="56">
        <f ca="1">IF(ISNUMBER(RTen_DD[[#This Row],[Ext Regression %]]),RTen_DD[[#This Row],[Ext Regression %]],IF(ISBLANK(RTen_DD[[#This Row],[Ext Regression %]]),OFFSET(RTen_DD[[#This Row],[Ext Reg]],-1,0),0))</f>
        <v>0</v>
      </c>
      <c r="K6" s="56">
        <f ca="1">IF(ISNUMBER(RTen_DD[[#This Row],[Core Regression %]]),RTen_DD[[#This Row],[Core Regression %]],IF(ISBLANK(RTen_DD[[#This Row],[Core Regression %]]),OFFSET(RTen_DD[[#This Row],[Core Reg]],-1,0),0))</f>
        <v>21.794872283935547</v>
      </c>
      <c r="L6" s="100">
        <f>IF(ISBLANK(RTen_DD[[#This Row],[Escaping Defects]]),NA(),RTen_DD[[#This Row],[Escaping Defects]]/100)</f>
        <v>1.2820513248443603E-2</v>
      </c>
    </row>
    <row r="7" spans="1:12">
      <c r="A7" s="50">
        <v>41422.64048321759</v>
      </c>
      <c r="B7" s="49">
        <v>599</v>
      </c>
      <c r="C7" s="49">
        <v>0.38063439726829529</v>
      </c>
      <c r="D7" s="49"/>
      <c r="E7" s="49">
        <v>20.614034652709961</v>
      </c>
      <c r="F7" s="49">
        <v>0.87719297409057617</v>
      </c>
      <c r="G7" s="48">
        <f t="shared" si="0"/>
        <v>222013</v>
      </c>
      <c r="H7" s="48">
        <f>RTen_DD[[#This Row],[Cumulative done story points]]</f>
        <v>599</v>
      </c>
      <c r="I7" s="48">
        <f>IF(RTen_DD[[#This Row],[Cumulative done story points]]=0,0,RTen_DD[[#This Row],[Defect Density]])</f>
        <v>0.38063439726829529</v>
      </c>
      <c r="J7" s="56">
        <f ca="1">IF(ISNUMBER(RTen_DD[[#This Row],[Ext Regression %]]),RTen_DD[[#This Row],[Ext Regression %]],IF(ISBLANK(RTen_DD[[#This Row],[Ext Regression %]]),OFFSET(RTen_DD[[#This Row],[Ext Reg]],-1,0),0))</f>
        <v>0</v>
      </c>
      <c r="K7" s="56">
        <f ca="1">IF(ISNUMBER(RTen_DD[[#This Row],[Core Regression %]]),RTen_DD[[#This Row],[Core Regression %]],IF(ISBLANK(RTen_DD[[#This Row],[Core Regression %]]),OFFSET(RTen_DD[[#This Row],[Core Reg]],-1,0),0))</f>
        <v>20.614034652709961</v>
      </c>
      <c r="L7" s="100">
        <f>IF(ISBLANK(RTen_DD[[#This Row],[Escaping Defects]]),NA(),RTen_DD[[#This Row],[Escaping Defects]]/100)</f>
        <v>8.7719297409057616E-3</v>
      </c>
    </row>
    <row r="8" spans="1:12">
      <c r="A8" s="50">
        <v>41429.64048321759</v>
      </c>
      <c r="B8" s="49">
        <v>765</v>
      </c>
      <c r="C8" s="49">
        <v>0.37647059559822083</v>
      </c>
      <c r="D8" s="49"/>
      <c r="E8" s="49">
        <v>23.958332061767578</v>
      </c>
      <c r="F8" s="49">
        <v>1.0416667461395264</v>
      </c>
      <c r="G8" s="48">
        <f t="shared" si="0"/>
        <v>232013</v>
      </c>
      <c r="H8" s="48">
        <f>RTen_DD[[#This Row],[Cumulative done story points]]</f>
        <v>765</v>
      </c>
      <c r="I8" s="48">
        <f>IF(RTen_DD[[#This Row],[Cumulative done story points]]=0,0,RTen_DD[[#This Row],[Defect Density]])</f>
        <v>0.37647059559822083</v>
      </c>
      <c r="J8" s="56">
        <f ca="1">IF(ISNUMBER(RTen_DD[[#This Row],[Ext Regression %]]),RTen_DD[[#This Row],[Ext Regression %]],IF(ISBLANK(RTen_DD[[#This Row],[Ext Regression %]]),OFFSET(RTen_DD[[#This Row],[Ext Reg]],-1,0),0))</f>
        <v>0</v>
      </c>
      <c r="K8" s="56">
        <f ca="1">IF(ISNUMBER(RTen_DD[[#This Row],[Core Regression %]]),RTen_DD[[#This Row],[Core Regression %]],IF(ISBLANK(RTen_DD[[#This Row],[Core Regression %]]),OFFSET(RTen_DD[[#This Row],[Core Reg]],-1,0),0))</f>
        <v>23.958332061767578</v>
      </c>
      <c r="L8" s="100">
        <f>IF(ISBLANK(RTen_DD[[#This Row],[Escaping Defects]]),NA(),RTen_DD[[#This Row],[Escaping Defects]]/100)</f>
        <v>1.0416667461395263E-2</v>
      </c>
    </row>
    <row r="9" spans="1:12">
      <c r="A9" s="50">
        <v>41436.64048321759</v>
      </c>
      <c r="B9" s="49">
        <v>839</v>
      </c>
      <c r="C9" s="49">
        <v>0.40286055207252502</v>
      </c>
      <c r="D9" s="49"/>
      <c r="E9" s="49">
        <v>25.739646911621094</v>
      </c>
      <c r="F9" s="49">
        <v>2.6627218723297119</v>
      </c>
      <c r="G9" s="48">
        <f t="shared" si="0"/>
        <v>242013</v>
      </c>
      <c r="H9" s="48">
        <f>RTen_DD[[#This Row],[Cumulative done story points]]</f>
        <v>839</v>
      </c>
      <c r="I9" s="48">
        <f>IF(RTen_DD[[#This Row],[Cumulative done story points]]=0,0,RTen_DD[[#This Row],[Defect Density]])</f>
        <v>0.40286055207252502</v>
      </c>
      <c r="J9" s="56">
        <f ca="1">IF(ISNUMBER(RTen_DD[[#This Row],[Ext Regression %]]),RTen_DD[[#This Row],[Ext Regression %]],IF(ISBLANK(RTen_DD[[#This Row],[Ext Regression %]]),OFFSET(RTen_DD[[#This Row],[Ext Reg]],-1,0),0))</f>
        <v>0</v>
      </c>
      <c r="K9" s="56">
        <f ca="1">IF(ISNUMBER(RTen_DD[[#This Row],[Core Regression %]]),RTen_DD[[#This Row],[Core Regression %]],IF(ISBLANK(RTen_DD[[#This Row],[Core Regression %]]),OFFSET(RTen_DD[[#This Row],[Core Reg]],-1,0),0))</f>
        <v>25.739646911621094</v>
      </c>
      <c r="L9" s="100">
        <f>IF(ISBLANK(RTen_DD[[#This Row],[Escaping Defects]]),NA(),RTen_DD[[#This Row],[Escaping Defects]]/100)</f>
        <v>2.6627218723297118E-2</v>
      </c>
    </row>
    <row r="10" spans="1:12">
      <c r="A10" s="50">
        <v>41443.64048321759</v>
      </c>
      <c r="B10" s="49">
        <v>1142</v>
      </c>
      <c r="C10" s="49">
        <v>0.35551664233207703</v>
      </c>
      <c r="D10" s="49"/>
      <c r="E10" s="49">
        <v>31.527093887329102</v>
      </c>
      <c r="F10" s="49">
        <v>2.7093596458435059</v>
      </c>
      <c r="G10" s="48">
        <f t="shared" si="0"/>
        <v>252013</v>
      </c>
      <c r="H10" s="48">
        <f>RTen_DD[[#This Row],[Cumulative done story points]]</f>
        <v>1142</v>
      </c>
      <c r="I10" s="48">
        <f>IF(RTen_DD[[#This Row],[Cumulative done story points]]=0,0,RTen_DD[[#This Row],[Defect Density]])</f>
        <v>0.35551664233207703</v>
      </c>
      <c r="J10" s="56">
        <f ca="1">IF(ISNUMBER(RTen_DD[[#This Row],[Ext Regression %]]),RTen_DD[[#This Row],[Ext Regression %]],IF(ISBLANK(RTen_DD[[#This Row],[Ext Regression %]]),OFFSET(RTen_DD[[#This Row],[Ext Reg]],-1,0),0))</f>
        <v>0</v>
      </c>
      <c r="K10" s="56">
        <f ca="1">IF(ISNUMBER(RTen_DD[[#This Row],[Core Regression %]]),RTen_DD[[#This Row],[Core Regression %]],IF(ISBLANK(RTen_DD[[#This Row],[Core Regression %]]),OFFSET(RTen_DD[[#This Row],[Core Reg]],-1,0),0))</f>
        <v>31.527093887329102</v>
      </c>
      <c r="L10" s="100">
        <f>IF(ISBLANK(RTen_DD[[#This Row],[Escaping Defects]]),NA(),RTen_DD[[#This Row],[Escaping Defects]]/100)</f>
        <v>2.7093596458435058E-2</v>
      </c>
    </row>
    <row r="11" spans="1:12">
      <c r="A11" s="50">
        <v>41450.64048321759</v>
      </c>
      <c r="B11" s="49">
        <v>1278</v>
      </c>
      <c r="C11" s="49">
        <v>0.36541470885276794</v>
      </c>
      <c r="D11" s="49"/>
      <c r="E11" s="49">
        <v>32.976444244384766</v>
      </c>
      <c r="F11" s="49">
        <v>2.3554604053497314</v>
      </c>
      <c r="G11" s="48">
        <f t="shared" si="0"/>
        <v>262013</v>
      </c>
      <c r="H11" s="48">
        <f>RTen_DD[[#This Row],[Cumulative done story points]]</f>
        <v>1278</v>
      </c>
      <c r="I11" s="48">
        <f>IF(RTen_DD[[#This Row],[Cumulative done story points]]=0,0,RTen_DD[[#This Row],[Defect Density]])</f>
        <v>0.36541470885276794</v>
      </c>
      <c r="J11" s="56">
        <f ca="1">IF(ISNUMBER(RTen_DD[[#This Row],[Ext Regression %]]),RTen_DD[[#This Row],[Ext Regression %]],IF(ISBLANK(RTen_DD[[#This Row],[Ext Regression %]]),OFFSET(RTen_DD[[#This Row],[Ext Reg]],-1,0),0))</f>
        <v>0</v>
      </c>
      <c r="K11" s="56">
        <f ca="1">IF(ISNUMBER(RTen_DD[[#This Row],[Core Regression %]]),RTen_DD[[#This Row],[Core Regression %]],IF(ISBLANK(RTen_DD[[#This Row],[Core Regression %]]),OFFSET(RTen_DD[[#This Row],[Core Reg]],-1,0),0))</f>
        <v>32.976444244384766</v>
      </c>
      <c r="L11" s="100">
        <f>IF(ISBLANK(RTen_DD[[#This Row],[Escaping Defects]]),NA(),RTen_DD[[#This Row],[Escaping Defects]]/100)</f>
        <v>2.3554604053497314E-2</v>
      </c>
    </row>
    <row r="12" spans="1:12">
      <c r="A12" s="50">
        <v>41457.64048321759</v>
      </c>
      <c r="B12" s="49">
        <v>1563</v>
      </c>
      <c r="C12" s="49">
        <v>0.39155471324920654</v>
      </c>
      <c r="D12" s="49"/>
      <c r="E12" s="49">
        <v>31.86274528503418</v>
      </c>
      <c r="F12" s="49">
        <v>1.9607844352722168</v>
      </c>
      <c r="G12" s="48">
        <f t="shared" si="0"/>
        <v>272013</v>
      </c>
      <c r="H12" s="48">
        <f>RTen_DD[[#This Row],[Cumulative done story points]]</f>
        <v>1563</v>
      </c>
      <c r="I12" s="48">
        <f>IF(RTen_DD[[#This Row],[Cumulative done story points]]=0,0,RTen_DD[[#This Row],[Defect Density]])</f>
        <v>0.39155471324920654</v>
      </c>
      <c r="J12" s="56">
        <f ca="1">IF(ISNUMBER(RTen_DD[[#This Row],[Ext Regression %]]),RTen_DD[[#This Row],[Ext Regression %]],IF(ISBLANK(RTen_DD[[#This Row],[Ext Regression %]]),OFFSET(RTen_DD[[#This Row],[Ext Reg]],-1,0),0))</f>
        <v>0</v>
      </c>
      <c r="K12" s="56">
        <f ca="1">IF(ISNUMBER(RTen_DD[[#This Row],[Core Regression %]]),RTen_DD[[#This Row],[Core Regression %]],IF(ISBLANK(RTen_DD[[#This Row],[Core Regression %]]),OFFSET(RTen_DD[[#This Row],[Core Reg]],-1,0),0))</f>
        <v>31.86274528503418</v>
      </c>
      <c r="L12" s="100">
        <f>IF(ISBLANK(RTen_DD[[#This Row],[Escaping Defects]]),NA(),RTen_DD[[#This Row],[Escaping Defects]]/100)</f>
        <v>1.9607844352722167E-2</v>
      </c>
    </row>
    <row r="13" spans="1:12">
      <c r="A13" s="50">
        <v>41464.64048321759</v>
      </c>
      <c r="B13" s="49">
        <v>1675</v>
      </c>
      <c r="C13" s="49">
        <v>0.41432836651802063</v>
      </c>
      <c r="D13" s="49"/>
      <c r="E13" s="49">
        <v>32.708934783935547</v>
      </c>
      <c r="F13" s="49">
        <v>2.0172910690307617</v>
      </c>
      <c r="G13" s="48">
        <f t="shared" si="0"/>
        <v>282013</v>
      </c>
      <c r="H13" s="48">
        <f>RTen_DD[[#This Row],[Cumulative done story points]]</f>
        <v>1675</v>
      </c>
      <c r="I13" s="48">
        <f>IF(RTen_DD[[#This Row],[Cumulative done story points]]=0,0,RTen_DD[[#This Row],[Defect Density]])</f>
        <v>0.41432836651802063</v>
      </c>
      <c r="J13" s="56">
        <f ca="1">IF(ISNUMBER(RTen_DD[[#This Row],[Ext Regression %]]),RTen_DD[[#This Row],[Ext Regression %]],IF(ISBLANK(RTen_DD[[#This Row],[Ext Regression %]]),OFFSET(RTen_DD[[#This Row],[Ext Reg]],-1,0),0))</f>
        <v>0</v>
      </c>
      <c r="K13" s="56">
        <f ca="1">IF(ISNUMBER(RTen_DD[[#This Row],[Core Regression %]]),RTen_DD[[#This Row],[Core Regression %]],IF(ISBLANK(RTen_DD[[#This Row],[Core Regression %]]),OFFSET(RTen_DD[[#This Row],[Core Reg]],-1,0),0))</f>
        <v>32.708934783935547</v>
      </c>
      <c r="L13" s="100">
        <f>IF(ISBLANK(RTen_DD[[#This Row],[Escaping Defects]]),NA(),RTen_DD[[#This Row],[Escaping Defects]]/100)</f>
        <v>2.0172910690307619E-2</v>
      </c>
    </row>
    <row r="14" spans="1:12">
      <c r="A14" s="50">
        <v>41471.64048321759</v>
      </c>
      <c r="B14" s="49">
        <v>1897</v>
      </c>
      <c r="C14" s="49">
        <v>0.42646282911300659</v>
      </c>
      <c r="D14" s="49"/>
      <c r="E14" s="49">
        <v>34.363410949707031</v>
      </c>
      <c r="F14" s="49">
        <v>2.1013596057891846</v>
      </c>
      <c r="G14" s="48">
        <f t="shared" si="0"/>
        <v>292013</v>
      </c>
      <c r="H14" s="48">
        <f>RTen_DD[[#This Row],[Cumulative done story points]]</f>
        <v>1897</v>
      </c>
      <c r="I14" s="48">
        <f>IF(RTen_DD[[#This Row],[Cumulative done story points]]=0,0,RTen_DD[[#This Row],[Defect Density]])</f>
        <v>0.42646282911300659</v>
      </c>
      <c r="J14" s="56">
        <f ca="1">IF(ISNUMBER(RTen_DD[[#This Row],[Ext Regression %]]),RTen_DD[[#This Row],[Ext Regression %]],IF(ISBLANK(RTen_DD[[#This Row],[Ext Regression %]]),OFFSET(RTen_DD[[#This Row],[Ext Reg]],-1,0),0))</f>
        <v>0</v>
      </c>
      <c r="K14" s="56">
        <f ca="1">IF(ISNUMBER(RTen_DD[[#This Row],[Core Regression %]]),RTen_DD[[#This Row],[Core Regression %]],IF(ISBLANK(RTen_DD[[#This Row],[Core Regression %]]),OFFSET(RTen_DD[[#This Row],[Core Reg]],-1,0),0))</f>
        <v>34.363410949707031</v>
      </c>
      <c r="L14" s="100">
        <f>IF(ISBLANK(RTen_DD[[#This Row],[Escaping Defects]]),NA(),RTen_DD[[#This Row],[Escaping Defects]]/100)</f>
        <v>2.1013596057891847E-2</v>
      </c>
    </row>
    <row r="15" spans="1:12">
      <c r="A15" s="50">
        <v>41478.64048321759</v>
      </c>
      <c r="B15" s="49">
        <v>2045</v>
      </c>
      <c r="C15" s="49">
        <v>0.44205379486083984</v>
      </c>
      <c r="D15" s="49"/>
      <c r="E15" s="49">
        <v>33.849559783935547</v>
      </c>
      <c r="F15" s="49">
        <v>2.4336283206939697</v>
      </c>
      <c r="G15" s="48">
        <f t="shared" si="0"/>
        <v>302013</v>
      </c>
      <c r="H15" s="48">
        <f>RTen_DD[[#This Row],[Cumulative done story points]]</f>
        <v>2045</v>
      </c>
      <c r="I15" s="48">
        <f>IF(RTen_DD[[#This Row],[Cumulative done story points]]=0,0,RTen_DD[[#This Row],[Defect Density]])</f>
        <v>0.44205379486083984</v>
      </c>
      <c r="J15" s="56">
        <f ca="1">IF(ISNUMBER(RTen_DD[[#This Row],[Ext Regression %]]),RTen_DD[[#This Row],[Ext Regression %]],IF(ISBLANK(RTen_DD[[#This Row],[Ext Regression %]]),OFFSET(RTen_DD[[#This Row],[Ext Reg]],-1,0),0))</f>
        <v>0</v>
      </c>
      <c r="K15" s="56">
        <f ca="1">IF(ISNUMBER(RTen_DD[[#This Row],[Core Regression %]]),RTen_DD[[#This Row],[Core Regression %]],IF(ISBLANK(RTen_DD[[#This Row],[Core Regression %]]),OFFSET(RTen_DD[[#This Row],[Core Reg]],-1,0),0))</f>
        <v>33.849559783935547</v>
      </c>
      <c r="L15" s="100">
        <f>IF(ISBLANK(RTen_DD[[#This Row],[Escaping Defects]]),NA(),RTen_DD[[#This Row],[Escaping Defects]]/100)</f>
        <v>2.4336283206939698E-2</v>
      </c>
    </row>
    <row r="16" spans="1:12">
      <c r="A16" s="50">
        <v>41485.64048321759</v>
      </c>
      <c r="B16" s="49">
        <v>2215</v>
      </c>
      <c r="C16" s="49">
        <v>0.44966140389442444</v>
      </c>
      <c r="D16" s="49"/>
      <c r="E16" s="49">
        <v>34.93975830078125</v>
      </c>
      <c r="F16" s="49">
        <v>2.710843563079834</v>
      </c>
      <c r="G16" s="48">
        <f t="shared" si="0"/>
        <v>312013</v>
      </c>
      <c r="H16" s="48">
        <f>RTen_DD[[#This Row],[Cumulative done story points]]</f>
        <v>2215</v>
      </c>
      <c r="I16" s="48">
        <f>IF(RTen_DD[[#This Row],[Cumulative done story points]]=0,0,RTen_DD[[#This Row],[Defect Density]])</f>
        <v>0.44966140389442444</v>
      </c>
      <c r="J16" s="56">
        <f ca="1">IF(ISNUMBER(RTen_DD[[#This Row],[Ext Regression %]]),RTen_DD[[#This Row],[Ext Regression %]],IF(ISBLANK(RTen_DD[[#This Row],[Ext Regression %]]),OFFSET(RTen_DD[[#This Row],[Ext Reg]],-1,0),0))</f>
        <v>0</v>
      </c>
      <c r="K16" s="56">
        <f ca="1">IF(ISNUMBER(RTen_DD[[#This Row],[Core Regression %]]),RTen_DD[[#This Row],[Core Regression %]],IF(ISBLANK(RTen_DD[[#This Row],[Core Regression %]]),OFFSET(RTen_DD[[#This Row],[Core Reg]],-1,0),0))</f>
        <v>34.93975830078125</v>
      </c>
      <c r="L16" s="100">
        <f>IF(ISBLANK(RTen_DD[[#This Row],[Escaping Defects]]),NA(),RTen_DD[[#This Row],[Escaping Defects]]/100)</f>
        <v>2.7108435630798341E-2</v>
      </c>
    </row>
    <row r="17" spans="1:12">
      <c r="A17" s="50">
        <v>41492.64048321759</v>
      </c>
      <c r="B17" s="49">
        <v>2383</v>
      </c>
      <c r="C17" s="49">
        <v>0.46370121836662292</v>
      </c>
      <c r="D17" s="49"/>
      <c r="E17" s="49">
        <v>37.285068511962891</v>
      </c>
      <c r="F17" s="49">
        <v>2.4434390068054199</v>
      </c>
      <c r="G17" s="48">
        <f t="shared" si="0"/>
        <v>322013</v>
      </c>
      <c r="H17" s="48">
        <f>RTen_DD[[#This Row],[Cumulative done story points]]</f>
        <v>2383</v>
      </c>
      <c r="I17" s="48">
        <f>IF(RTen_DD[[#This Row],[Cumulative done story points]]=0,0,RTen_DD[[#This Row],[Defect Density]])</f>
        <v>0.46370121836662292</v>
      </c>
      <c r="J17" s="56">
        <f ca="1">IF(ISNUMBER(RTen_DD[[#This Row],[Ext Regression %]]),RTen_DD[[#This Row],[Ext Regression %]],IF(ISBLANK(RTen_DD[[#This Row],[Ext Regression %]]),OFFSET(RTen_DD[[#This Row],[Ext Reg]],-1,0),0))</f>
        <v>0</v>
      </c>
      <c r="K17" s="56">
        <f ca="1">IF(ISNUMBER(RTen_DD[[#This Row],[Core Regression %]]),RTen_DD[[#This Row],[Core Regression %]],IF(ISBLANK(RTen_DD[[#This Row],[Core Regression %]]),OFFSET(RTen_DD[[#This Row],[Core Reg]],-1,0),0))</f>
        <v>37.285068511962891</v>
      </c>
      <c r="L17" s="100">
        <f>IF(ISBLANK(RTen_DD[[#This Row],[Escaping Defects]]),NA(),RTen_DD[[#This Row],[Escaping Defects]]/100)</f>
        <v>2.4434390068054198E-2</v>
      </c>
    </row>
    <row r="18" spans="1:12">
      <c r="A18" s="50">
        <v>41499.64048321759</v>
      </c>
      <c r="B18" s="49">
        <v>2524</v>
      </c>
      <c r="C18" s="49">
        <v>0.48573693633079529</v>
      </c>
      <c r="D18" s="49"/>
      <c r="E18" s="49">
        <v>37.683521270751953</v>
      </c>
      <c r="F18" s="49">
        <v>2.528548002243042</v>
      </c>
      <c r="G18" s="48">
        <f t="shared" si="0"/>
        <v>332013</v>
      </c>
      <c r="H18" s="48">
        <f>RTen_DD[[#This Row],[Cumulative done story points]]</f>
        <v>2524</v>
      </c>
      <c r="I18" s="48">
        <f>IF(RTen_DD[[#This Row],[Cumulative done story points]]=0,0,RTen_DD[[#This Row],[Defect Density]])</f>
        <v>0.48573693633079529</v>
      </c>
      <c r="J18" s="56">
        <f ca="1">IF(ISNUMBER(RTen_DD[[#This Row],[Ext Regression %]]),RTen_DD[[#This Row],[Ext Regression %]],IF(ISBLANK(RTen_DD[[#This Row],[Ext Regression %]]),OFFSET(RTen_DD[[#This Row],[Ext Reg]],-1,0),0))</f>
        <v>0</v>
      </c>
      <c r="K18" s="56">
        <f ca="1">IF(ISNUMBER(RTen_DD[[#This Row],[Core Regression %]]),RTen_DD[[#This Row],[Core Regression %]],IF(ISBLANK(RTen_DD[[#This Row],[Core Regression %]]),OFFSET(RTen_DD[[#This Row],[Core Reg]],-1,0),0))</f>
        <v>37.683521270751953</v>
      </c>
      <c r="L18" s="100">
        <f>IF(ISBLANK(RTen_DD[[#This Row],[Escaping Defects]]),NA(),RTen_DD[[#This Row],[Escaping Defects]]/100)</f>
        <v>2.5285480022430421E-2</v>
      </c>
    </row>
    <row r="19" spans="1:12">
      <c r="A19" s="50">
        <v>41506.64048321759</v>
      </c>
      <c r="B19" s="49">
        <v>2728</v>
      </c>
      <c r="C19" s="49">
        <v>0.49780058860778809</v>
      </c>
      <c r="D19" s="49"/>
      <c r="E19" s="49">
        <v>38.070693969726563</v>
      </c>
      <c r="F19" s="49">
        <v>2.3564064502716064</v>
      </c>
      <c r="G19" s="48">
        <f t="shared" si="0"/>
        <v>342013</v>
      </c>
      <c r="H19" s="48">
        <f>RTen_DD[[#This Row],[Cumulative done story points]]</f>
        <v>2728</v>
      </c>
      <c r="I19" s="48">
        <f>IF(RTen_DD[[#This Row],[Cumulative done story points]]=0,0,RTen_DD[[#This Row],[Defect Density]])</f>
        <v>0.49780058860778809</v>
      </c>
      <c r="J19" s="56">
        <f ca="1">IF(ISNUMBER(RTen_DD[[#This Row],[Ext Regression %]]),RTen_DD[[#This Row],[Ext Regression %]],IF(ISBLANK(RTen_DD[[#This Row],[Ext Regression %]]),OFFSET(RTen_DD[[#This Row],[Ext Reg]],-1,0),0))</f>
        <v>0</v>
      </c>
      <c r="K19" s="56">
        <f ca="1">IF(ISNUMBER(RTen_DD[[#This Row],[Core Regression %]]),RTen_DD[[#This Row],[Core Regression %]],IF(ISBLANK(RTen_DD[[#This Row],[Core Regression %]]),OFFSET(RTen_DD[[#This Row],[Core Reg]],-1,0),0))</f>
        <v>38.070693969726563</v>
      </c>
      <c r="L19" s="100">
        <f>IF(ISBLANK(RTen_DD[[#This Row],[Escaping Defects]]),NA(),RTen_DD[[#This Row],[Escaping Defects]]/100)</f>
        <v>2.3564064502716066E-2</v>
      </c>
    </row>
    <row r="20" spans="1:12">
      <c r="A20" s="50">
        <v>41513.64048321759</v>
      </c>
      <c r="B20" s="49">
        <v>2963</v>
      </c>
      <c r="C20" s="49">
        <v>0.49375632405281067</v>
      </c>
      <c r="D20" s="49"/>
      <c r="E20" s="49">
        <v>37.935749053955078</v>
      </c>
      <c r="F20" s="49">
        <v>2.3923444747924805</v>
      </c>
      <c r="G20" s="48">
        <f t="shared" si="0"/>
        <v>352013</v>
      </c>
      <c r="H20" s="48">
        <f>RTen_DD[[#This Row],[Cumulative done story points]]</f>
        <v>2963</v>
      </c>
      <c r="I20" s="48">
        <f>IF(RTen_DD[[#This Row],[Cumulative done story points]]=0,0,RTen_DD[[#This Row],[Defect Density]])</f>
        <v>0.49375632405281067</v>
      </c>
      <c r="J20" s="56">
        <f ca="1">IF(ISNUMBER(RTen_DD[[#This Row],[Ext Regression %]]),RTen_DD[[#This Row],[Ext Regression %]],IF(ISBLANK(RTen_DD[[#This Row],[Ext Regression %]]),OFFSET(RTen_DD[[#This Row],[Ext Reg]],-1,0),0))</f>
        <v>0</v>
      </c>
      <c r="K20" s="56">
        <f ca="1">IF(ISNUMBER(RTen_DD[[#This Row],[Core Regression %]]),RTen_DD[[#This Row],[Core Regression %]],IF(ISBLANK(RTen_DD[[#This Row],[Core Regression %]]),OFFSET(RTen_DD[[#This Row],[Core Reg]],-1,0),0))</f>
        <v>37.935749053955078</v>
      </c>
      <c r="L20" s="100">
        <f>IF(ISBLANK(RTen_DD[[#This Row],[Escaping Defects]]),NA(),RTen_DD[[#This Row],[Escaping Defects]]/100)</f>
        <v>2.3923444747924804E-2</v>
      </c>
    </row>
    <row r="21" spans="1:12">
      <c r="A21" s="50">
        <v>41520.64048321759</v>
      </c>
      <c r="B21" s="49">
        <v>3114</v>
      </c>
      <c r="C21" s="49">
        <v>0.50995504856109619</v>
      </c>
      <c r="D21" s="49"/>
      <c r="E21" s="49">
        <v>38.916877746582031</v>
      </c>
      <c r="F21" s="49">
        <v>3.0226700305938721</v>
      </c>
      <c r="G21" s="48">
        <f t="shared" si="0"/>
        <v>362013</v>
      </c>
      <c r="H21" s="48">
        <f>RTen_DD[[#This Row],[Cumulative done story points]]</f>
        <v>3114</v>
      </c>
      <c r="I21" s="48">
        <f>IF(RTen_DD[[#This Row],[Cumulative done story points]]=0,0,RTen_DD[[#This Row],[Defect Density]])</f>
        <v>0.50995504856109619</v>
      </c>
      <c r="J21" s="56">
        <f ca="1">IF(ISNUMBER(RTen_DD[[#This Row],[Ext Regression %]]),RTen_DD[[#This Row],[Ext Regression %]],IF(ISBLANK(RTen_DD[[#This Row],[Ext Regression %]]),OFFSET(RTen_DD[[#This Row],[Ext Reg]],-1,0),0))</f>
        <v>0</v>
      </c>
      <c r="K21" s="56">
        <f ca="1">IF(ISNUMBER(RTen_DD[[#This Row],[Core Regression %]]),RTen_DD[[#This Row],[Core Regression %]],IF(ISBLANK(RTen_DD[[#This Row],[Core Regression %]]),OFFSET(RTen_DD[[#This Row],[Core Reg]],-1,0),0))</f>
        <v>38.916877746582031</v>
      </c>
      <c r="L21" s="100">
        <f>IF(ISBLANK(RTen_DD[[#This Row],[Escaping Defects]]),NA(),RTen_DD[[#This Row],[Escaping Defects]]/100)</f>
        <v>3.0226700305938721E-2</v>
      </c>
    </row>
    <row r="22" spans="1:12">
      <c r="A22" s="50">
        <v>41527.64048321759</v>
      </c>
      <c r="B22" s="49">
        <v>3379</v>
      </c>
      <c r="C22" s="49">
        <v>0.51879256963729858</v>
      </c>
      <c r="D22" s="49"/>
      <c r="E22" s="49">
        <v>38.562465667724609</v>
      </c>
      <c r="F22" s="49">
        <v>3.7649743556976318</v>
      </c>
      <c r="G22" s="48">
        <f t="shared" si="0"/>
        <v>372013</v>
      </c>
      <c r="H22" s="48">
        <f>RTen_DD[[#This Row],[Cumulative done story points]]</f>
        <v>3379</v>
      </c>
      <c r="I22" s="48">
        <f>IF(RTen_DD[[#This Row],[Cumulative done story points]]=0,0,RTen_DD[[#This Row],[Defect Density]])</f>
        <v>0.51879256963729858</v>
      </c>
      <c r="J22" s="56">
        <f ca="1">IF(ISNUMBER(RTen_DD[[#This Row],[Ext Regression %]]),RTen_DD[[#This Row],[Ext Regression %]],IF(ISBLANK(RTen_DD[[#This Row],[Ext Regression %]]),OFFSET(RTen_DD[[#This Row],[Ext Reg]],-1,0),0))</f>
        <v>0</v>
      </c>
      <c r="K22" s="56">
        <f ca="1">IF(ISNUMBER(RTen_DD[[#This Row],[Core Regression %]]),RTen_DD[[#This Row],[Core Regression %]],IF(ISBLANK(RTen_DD[[#This Row],[Core Regression %]]),OFFSET(RTen_DD[[#This Row],[Core Reg]],-1,0),0))</f>
        <v>38.562465667724609</v>
      </c>
      <c r="L22" s="100">
        <f>IF(ISBLANK(RTen_DD[[#This Row],[Escaping Defects]]),NA(),RTen_DD[[#This Row],[Escaping Defects]]/100)</f>
        <v>3.7649743556976319E-2</v>
      </c>
    </row>
    <row r="23" spans="1:12">
      <c r="A23" s="50">
        <v>41534.64048321759</v>
      </c>
      <c r="B23" s="49">
        <v>3631</v>
      </c>
      <c r="C23" s="49">
        <v>0.51721286773681641</v>
      </c>
      <c r="D23" s="49"/>
      <c r="E23" s="49">
        <v>38.338657379150391</v>
      </c>
      <c r="F23" s="49">
        <v>4.8988285064697266</v>
      </c>
      <c r="G23" s="48">
        <f t="shared" si="0"/>
        <v>382013</v>
      </c>
      <c r="H23" s="48">
        <f>RTen_DD[[#This Row],[Cumulative done story points]]</f>
        <v>3631</v>
      </c>
      <c r="I23" s="48">
        <f>IF(RTen_DD[[#This Row],[Cumulative done story points]]=0,0,RTen_DD[[#This Row],[Defect Density]])</f>
        <v>0.51721286773681641</v>
      </c>
      <c r="J23" s="56">
        <f ca="1">IF(ISNUMBER(RTen_DD[[#This Row],[Ext Regression %]]),RTen_DD[[#This Row],[Ext Regression %]],IF(ISBLANK(RTen_DD[[#This Row],[Ext Regression %]]),OFFSET(RTen_DD[[#This Row],[Ext Reg]],-1,0),0))</f>
        <v>0</v>
      </c>
      <c r="K23" s="56">
        <f ca="1">IF(ISNUMBER(RTen_DD[[#This Row],[Core Regression %]]),RTen_DD[[#This Row],[Core Regression %]],IF(ISBLANK(RTen_DD[[#This Row],[Core Regression %]]),OFFSET(RTen_DD[[#This Row],[Core Reg]],-1,0),0))</f>
        <v>38.338657379150391</v>
      </c>
      <c r="L23" s="100">
        <f>IF(ISBLANK(RTen_DD[[#This Row],[Escaping Defects]]),NA(),RTen_DD[[#This Row],[Escaping Defects]]/100)</f>
        <v>4.8988285064697268E-2</v>
      </c>
    </row>
    <row r="24" spans="1:12">
      <c r="A24" s="50">
        <v>41541.64048321759</v>
      </c>
      <c r="B24" s="49">
        <v>3881</v>
      </c>
      <c r="C24" s="49">
        <v>0.51584643125534058</v>
      </c>
      <c r="D24" s="49"/>
      <c r="E24" s="49">
        <v>38.011989593505859</v>
      </c>
      <c r="F24" s="49">
        <v>5.7942056655883789</v>
      </c>
      <c r="G24" s="48">
        <f t="shared" si="0"/>
        <v>392013</v>
      </c>
      <c r="H24" s="48">
        <f>RTen_DD[[#This Row],[Cumulative done story points]]</f>
        <v>3881</v>
      </c>
      <c r="I24" s="48">
        <f>IF(RTen_DD[[#This Row],[Cumulative done story points]]=0,0,RTen_DD[[#This Row],[Defect Density]])</f>
        <v>0.51584643125534058</v>
      </c>
      <c r="J24" s="56">
        <f ca="1">IF(ISNUMBER(RTen_DD[[#This Row],[Ext Regression %]]),RTen_DD[[#This Row],[Ext Regression %]],IF(ISBLANK(RTen_DD[[#This Row],[Ext Regression %]]),OFFSET(RTen_DD[[#This Row],[Ext Reg]],-1,0),0))</f>
        <v>0</v>
      </c>
      <c r="K24" s="56">
        <f ca="1">IF(ISNUMBER(RTen_DD[[#This Row],[Core Regression %]]),RTen_DD[[#This Row],[Core Regression %]],IF(ISBLANK(RTen_DD[[#This Row],[Core Regression %]]),OFFSET(RTen_DD[[#This Row],[Core Reg]],-1,0),0))</f>
        <v>38.011989593505859</v>
      </c>
      <c r="L24" s="100">
        <f>IF(ISBLANK(RTen_DD[[#This Row],[Escaping Defects]]),NA(),RTen_DD[[#This Row],[Escaping Defects]]/100)</f>
        <v>5.794205665588379E-2</v>
      </c>
    </row>
    <row r="25" spans="1:12">
      <c r="A25" s="50">
        <v>41548.64048321759</v>
      </c>
      <c r="B25" s="49">
        <v>4112</v>
      </c>
      <c r="C25" s="49">
        <v>0.53234434127807617</v>
      </c>
      <c r="D25" s="49"/>
      <c r="E25" s="49">
        <v>38.419368743896484</v>
      </c>
      <c r="F25" s="49">
        <v>7.0808591842651367</v>
      </c>
      <c r="G25" s="48">
        <f t="shared" si="0"/>
        <v>402013</v>
      </c>
      <c r="H25" s="48">
        <f>RTen_DD[[#This Row],[Cumulative done story points]]</f>
        <v>4112</v>
      </c>
      <c r="I25" s="48">
        <f>IF(RTen_DD[[#This Row],[Cumulative done story points]]=0,0,RTen_DD[[#This Row],[Defect Density]])</f>
        <v>0.53234434127807617</v>
      </c>
      <c r="J25" s="56">
        <f ca="1">IF(ISNUMBER(RTen_DD[[#This Row],[Ext Regression %]]),RTen_DD[[#This Row],[Ext Regression %]],IF(ISBLANK(RTen_DD[[#This Row],[Ext Regression %]]),OFFSET(RTen_DD[[#This Row],[Ext Reg]],-1,0),0))</f>
        <v>0</v>
      </c>
      <c r="K25" s="56">
        <f ca="1">IF(ISNUMBER(RTen_DD[[#This Row],[Core Regression %]]),RTen_DD[[#This Row],[Core Regression %]],IF(ISBLANK(RTen_DD[[#This Row],[Core Regression %]]),OFFSET(RTen_DD[[#This Row],[Core Reg]],-1,0),0))</f>
        <v>38.419368743896484</v>
      </c>
      <c r="L25" s="100">
        <f>IF(ISBLANK(RTen_DD[[#This Row],[Escaping Defects]]),NA(),RTen_DD[[#This Row],[Escaping Defects]]/100)</f>
        <v>7.0808591842651369E-2</v>
      </c>
    </row>
    <row r="26" spans="1:12">
      <c r="A26" s="50">
        <v>41555.64048321759</v>
      </c>
      <c r="B26" s="49">
        <v>4248</v>
      </c>
      <c r="C26" s="49">
        <v>0.56920903921127319</v>
      </c>
      <c r="D26" s="49"/>
      <c r="E26" s="49">
        <v>39.702232360839844</v>
      </c>
      <c r="F26" s="49">
        <v>8.7262201309204102</v>
      </c>
      <c r="G26" s="48">
        <f t="shared" si="0"/>
        <v>412013</v>
      </c>
      <c r="H26" s="48">
        <f>RTen_DD[[#This Row],[Cumulative done story points]]</f>
        <v>4248</v>
      </c>
      <c r="I26" s="48">
        <f>IF(RTen_DD[[#This Row],[Cumulative done story points]]=0,0,RTen_DD[[#This Row],[Defect Density]])</f>
        <v>0.56920903921127319</v>
      </c>
      <c r="J26" s="56">
        <f ca="1">IF(ISNUMBER(RTen_DD[[#This Row],[Ext Regression %]]),RTen_DD[[#This Row],[Ext Regression %]],IF(ISBLANK(RTen_DD[[#This Row],[Ext Regression %]]),OFFSET(RTen_DD[[#This Row],[Ext Reg]],-1,0),0))</f>
        <v>0</v>
      </c>
      <c r="K26" s="56">
        <f ca="1">IF(ISNUMBER(RTen_DD[[#This Row],[Core Regression %]]),RTen_DD[[#This Row],[Core Regression %]],IF(ISBLANK(RTen_DD[[#This Row],[Core Regression %]]),OFFSET(RTen_DD[[#This Row],[Core Reg]],-1,0),0))</f>
        <v>39.702232360839844</v>
      </c>
      <c r="L26" s="100">
        <f>IF(ISBLANK(RTen_DD[[#This Row],[Escaping Defects]]),NA(),RTen_DD[[#This Row],[Escaping Defects]]/100)</f>
        <v>8.7262201309204104E-2</v>
      </c>
    </row>
    <row r="27" spans="1:12">
      <c r="A27" s="50">
        <v>41562.64048321759</v>
      </c>
      <c r="B27" s="49">
        <v>4321</v>
      </c>
      <c r="C27" s="49">
        <v>0.60703539848327637</v>
      </c>
      <c r="D27" s="49"/>
      <c r="E27" s="49">
        <v>41.326725006103516</v>
      </c>
      <c r="F27" s="49">
        <v>9.3785743713378906</v>
      </c>
      <c r="G27" s="48">
        <f t="shared" si="0"/>
        <v>422013</v>
      </c>
      <c r="H27" s="48">
        <f>RTen_DD[[#This Row],[Cumulative done story points]]</f>
        <v>4321</v>
      </c>
      <c r="I27" s="48">
        <f>IF(RTen_DD[[#This Row],[Cumulative done story points]]=0,0,RTen_DD[[#This Row],[Defect Density]])</f>
        <v>0.60703539848327637</v>
      </c>
      <c r="J27" s="56">
        <f ca="1">IF(ISNUMBER(RTen_DD[[#This Row],[Ext Regression %]]),RTen_DD[[#This Row],[Ext Regression %]],IF(ISBLANK(RTen_DD[[#This Row],[Ext Regression %]]),OFFSET(RTen_DD[[#This Row],[Ext Reg]],-1,0),0))</f>
        <v>0</v>
      </c>
      <c r="K27" s="56">
        <f ca="1">IF(ISNUMBER(RTen_DD[[#This Row],[Core Regression %]]),RTen_DD[[#This Row],[Core Regression %]],IF(ISBLANK(RTen_DD[[#This Row],[Core Regression %]]),OFFSET(RTen_DD[[#This Row],[Core Reg]],-1,0),0))</f>
        <v>41.326725006103516</v>
      </c>
      <c r="L27" s="100">
        <f>IF(ISBLANK(RTen_DD[[#This Row],[Escaping Defects]]),NA(),RTen_DD[[#This Row],[Escaping Defects]]/100)</f>
        <v>9.3785743713378902E-2</v>
      </c>
    </row>
    <row r="28" spans="1:12">
      <c r="A28" s="50">
        <v>41569.64048321759</v>
      </c>
      <c r="B28" s="49">
        <v>4385</v>
      </c>
      <c r="C28" s="49">
        <v>0.63899660110473633</v>
      </c>
      <c r="D28" s="49"/>
      <c r="E28" s="49">
        <v>42.576728820800781</v>
      </c>
      <c r="F28" s="49">
        <v>9.7787294387817383</v>
      </c>
      <c r="G28" s="48">
        <f t="shared" si="0"/>
        <v>432013</v>
      </c>
      <c r="H28" s="48">
        <f>RTen_DD[[#This Row],[Cumulative done story points]]</f>
        <v>4385</v>
      </c>
      <c r="I28" s="48">
        <f>IF(RTen_DD[[#This Row],[Cumulative done story points]]=0,0,RTen_DD[[#This Row],[Defect Density]])</f>
        <v>0.63899660110473633</v>
      </c>
      <c r="J28" s="56">
        <f ca="1">IF(ISNUMBER(RTen_DD[[#This Row],[Ext Regression %]]),RTen_DD[[#This Row],[Ext Regression %]],IF(ISBLANK(RTen_DD[[#This Row],[Ext Regression %]]),OFFSET(RTen_DD[[#This Row],[Ext Reg]],-1,0),0))</f>
        <v>0</v>
      </c>
      <c r="K28" s="56">
        <f ca="1">IF(ISNUMBER(RTen_DD[[#This Row],[Core Regression %]]),RTen_DD[[#This Row],[Core Regression %]],IF(ISBLANK(RTen_DD[[#This Row],[Core Regression %]]),OFFSET(RTen_DD[[#This Row],[Core Reg]],-1,0),0))</f>
        <v>42.576728820800781</v>
      </c>
      <c r="L28" s="100">
        <f>IF(ISBLANK(RTen_DD[[#This Row],[Escaping Defects]]),NA(),RTen_DD[[#This Row],[Escaping Defects]]/100)</f>
        <v>9.7787294387817386E-2</v>
      </c>
    </row>
    <row r="29" spans="1:12">
      <c r="A29" s="50">
        <v>41576.64048321759</v>
      </c>
      <c r="B29" s="49">
        <v>4481</v>
      </c>
      <c r="C29" s="49">
        <v>0.67864316701889038</v>
      </c>
      <c r="D29" s="49"/>
      <c r="E29" s="49">
        <v>42.683326721191406</v>
      </c>
      <c r="F29" s="49">
        <v>11.01611328125</v>
      </c>
      <c r="G29" s="48">
        <f t="shared" si="0"/>
        <v>442013</v>
      </c>
      <c r="H29" s="48">
        <f>RTen_DD[[#This Row],[Cumulative done story points]]</f>
        <v>4481</v>
      </c>
      <c r="I29" s="48">
        <f>IF(RTen_DD[[#This Row],[Cumulative done story points]]=0,0,RTen_DD[[#This Row],[Defect Density]])</f>
        <v>0.67864316701889038</v>
      </c>
      <c r="J29" s="56">
        <f ca="1">IF(ISNUMBER(RTen_DD[[#This Row],[Ext Regression %]]),RTen_DD[[#This Row],[Ext Regression %]],IF(ISBLANK(RTen_DD[[#This Row],[Ext Regression %]]),OFFSET(RTen_DD[[#This Row],[Ext Reg]],-1,0),0))</f>
        <v>0</v>
      </c>
      <c r="K29" s="56">
        <f ca="1">IF(ISNUMBER(RTen_DD[[#This Row],[Core Regression %]]),RTen_DD[[#This Row],[Core Regression %]],IF(ISBLANK(RTen_DD[[#This Row],[Core Regression %]]),OFFSET(RTen_DD[[#This Row],[Core Reg]],-1,0),0))</f>
        <v>42.683326721191406</v>
      </c>
      <c r="L29" s="100">
        <f>IF(ISBLANK(RTen_DD[[#This Row],[Escaping Defects]]),NA(),RTen_DD[[#This Row],[Escaping Defects]]/100)</f>
        <v>0.11016113281250001</v>
      </c>
    </row>
    <row r="30" spans="1:12">
      <c r="A30" s="50">
        <v>41583.64048321759</v>
      </c>
      <c r="B30" s="49">
        <v>4500</v>
      </c>
      <c r="C30" s="49">
        <v>0.72066664695739746</v>
      </c>
      <c r="D30" s="49"/>
      <c r="E30" s="49">
        <v>42.799877166748047</v>
      </c>
      <c r="F30" s="49">
        <v>11.53253173828125</v>
      </c>
      <c r="G30" s="48">
        <f t="shared" si="0"/>
        <v>452013</v>
      </c>
      <c r="H30" s="48">
        <f>RTen_DD[[#This Row],[Cumulative done story points]]</f>
        <v>4500</v>
      </c>
      <c r="I30" s="48">
        <f>IF(RTen_DD[[#This Row],[Cumulative done story points]]=0,0,RTen_DD[[#This Row],[Defect Density]])</f>
        <v>0.72066664695739746</v>
      </c>
      <c r="J30" s="56">
        <f ca="1">IF(ISNUMBER(RTen_DD[[#This Row],[Ext Regression %]]),RTen_DD[[#This Row],[Ext Regression %]],IF(ISBLANK(RTen_DD[[#This Row],[Ext Regression %]]),OFFSET(RTen_DD[[#This Row],[Ext Reg]],-1,0),0))</f>
        <v>0</v>
      </c>
      <c r="K30" s="56">
        <f ca="1">IF(ISNUMBER(RTen_DD[[#This Row],[Core Regression %]]),RTen_DD[[#This Row],[Core Regression %]],IF(ISBLANK(RTen_DD[[#This Row],[Core Regression %]]),OFFSET(RTen_DD[[#This Row],[Core Reg]],-1,0),0))</f>
        <v>42.799877166748047</v>
      </c>
      <c r="L30" s="100">
        <f>IF(ISBLANK(RTen_DD[[#This Row],[Escaping Defects]]),NA(),RTen_DD[[#This Row],[Escaping Defects]]/100)</f>
        <v>0.1153253173828125</v>
      </c>
    </row>
    <row r="31" spans="1:12">
      <c r="A31" s="50">
        <v>41590.64048321759</v>
      </c>
      <c r="B31" s="49">
        <v>4524</v>
      </c>
      <c r="C31" s="49">
        <v>0.76746243238449097</v>
      </c>
      <c r="D31" s="49"/>
      <c r="E31" s="49">
        <v>43.577186584472656</v>
      </c>
      <c r="F31" s="49">
        <v>11.923962593078613</v>
      </c>
      <c r="G31" s="48">
        <f t="shared" si="0"/>
        <v>462013</v>
      </c>
      <c r="H31" s="48">
        <f>RTen_DD[[#This Row],[Cumulative done story points]]</f>
        <v>4524</v>
      </c>
      <c r="I31" s="48">
        <f>IF(RTen_DD[[#This Row],[Cumulative done story points]]=0,0,RTen_DD[[#This Row],[Defect Density]])</f>
        <v>0.76746243238449097</v>
      </c>
      <c r="J31" s="56">
        <f ca="1">IF(ISNUMBER(RTen_DD[[#This Row],[Ext Regression %]]),RTen_DD[[#This Row],[Ext Regression %]],IF(ISBLANK(RTen_DD[[#This Row],[Ext Regression %]]),OFFSET(RTen_DD[[#This Row],[Ext Reg]],-1,0),0))</f>
        <v>0</v>
      </c>
      <c r="K31" s="56">
        <f ca="1">IF(ISNUMBER(RTen_DD[[#This Row],[Core Regression %]]),RTen_DD[[#This Row],[Core Regression %]],IF(ISBLANK(RTen_DD[[#This Row],[Core Regression %]]),OFFSET(RTen_DD[[#This Row],[Core Reg]],-1,0),0))</f>
        <v>43.577186584472656</v>
      </c>
      <c r="L31" s="100">
        <f>IF(ISBLANK(RTen_DD[[#This Row],[Escaping Defects]]),NA(),RTen_DD[[#This Row],[Escaping Defects]]/100)</f>
        <v>0.11923962593078613</v>
      </c>
    </row>
    <row r="32" spans="1:12">
      <c r="A32" s="50">
        <v>41597.64048321759</v>
      </c>
      <c r="B32" s="49">
        <v>4632</v>
      </c>
      <c r="C32" s="49">
        <v>0.80699479579925537</v>
      </c>
      <c r="D32" s="49"/>
      <c r="E32" s="49">
        <v>44.408775329589844</v>
      </c>
      <c r="F32" s="49">
        <v>12.546816825866699</v>
      </c>
      <c r="G32" s="48">
        <f t="shared" si="0"/>
        <v>472013</v>
      </c>
      <c r="H32" s="48">
        <f>RTen_DD[[#This Row],[Cumulative done story points]]</f>
        <v>4632</v>
      </c>
      <c r="I32" s="48">
        <f>IF(RTen_DD[[#This Row],[Cumulative done story points]]=0,0,RTen_DD[[#This Row],[Defect Density]])</f>
        <v>0.80699479579925537</v>
      </c>
      <c r="J32" s="56">
        <f ca="1">IF(ISNUMBER(RTen_DD[[#This Row],[Ext Regression %]]),RTen_DD[[#This Row],[Ext Regression %]],IF(ISBLANK(RTen_DD[[#This Row],[Ext Regression %]]),OFFSET(RTen_DD[[#This Row],[Ext Reg]],-1,0),0))</f>
        <v>0</v>
      </c>
      <c r="K32" s="56">
        <f ca="1">IF(ISNUMBER(RTen_DD[[#This Row],[Core Regression %]]),RTen_DD[[#This Row],[Core Regression %]],IF(ISBLANK(RTen_DD[[#This Row],[Core Regression %]]),OFFSET(RTen_DD[[#This Row],[Core Reg]],-1,0),0))</f>
        <v>44.408775329589844</v>
      </c>
      <c r="L32" s="100">
        <f>IF(ISBLANK(RTen_DD[[#This Row],[Escaping Defects]]),NA(),RTen_DD[[#This Row],[Escaping Defects]]/100)</f>
        <v>0.125468168258667</v>
      </c>
    </row>
    <row r="33" spans="1:12">
      <c r="A33" s="50">
        <v>41604.64048321759</v>
      </c>
      <c r="B33" s="49">
        <v>4656</v>
      </c>
      <c r="C33" s="49">
        <v>0.84042096138000488</v>
      </c>
      <c r="D33" s="49"/>
      <c r="E33" s="49">
        <v>44.671607971191406</v>
      </c>
      <c r="F33" s="49">
        <v>12.931254386901855</v>
      </c>
      <c r="G33" s="48">
        <f t="shared" si="0"/>
        <v>482013</v>
      </c>
      <c r="H33" s="48">
        <f>RTen_DD[[#This Row],[Cumulative done story points]]</f>
        <v>4656</v>
      </c>
      <c r="I33" s="48">
        <f>IF(RTen_DD[[#This Row],[Cumulative done story points]]=0,0,RTen_DD[[#This Row],[Defect Density]])</f>
        <v>0.84042096138000488</v>
      </c>
      <c r="J33" s="56">
        <f ca="1">IF(ISNUMBER(RTen_DD[[#This Row],[Ext Regression %]]),RTen_DD[[#This Row],[Ext Regression %]],IF(ISBLANK(RTen_DD[[#This Row],[Ext Regression %]]),OFFSET(RTen_DD[[#This Row],[Ext Reg]],-1,0),0))</f>
        <v>0</v>
      </c>
      <c r="K33" s="56">
        <f ca="1">IF(ISNUMBER(RTen_DD[[#This Row],[Core Regression %]]),RTen_DD[[#This Row],[Core Regression %]],IF(ISBLANK(RTen_DD[[#This Row],[Core Regression %]]),OFFSET(RTen_DD[[#This Row],[Core Reg]],-1,0),0))</f>
        <v>44.671607971191406</v>
      </c>
      <c r="L33" s="100">
        <f>IF(ISBLANK(RTen_DD[[#This Row],[Escaping Defects]]),NA(),RTen_DD[[#This Row],[Escaping Defects]]/100)</f>
        <v>0.12931254386901855</v>
      </c>
    </row>
    <row r="34" spans="1:12">
      <c r="A34" s="50">
        <v>41611.64048321759</v>
      </c>
      <c r="B34" s="49">
        <v>4684</v>
      </c>
      <c r="C34" s="49">
        <v>0.88065755367279053</v>
      </c>
      <c r="D34" s="49"/>
      <c r="E34" s="49">
        <v>44.606060028076172</v>
      </c>
      <c r="F34" s="49">
        <v>13.309091567993164</v>
      </c>
      <c r="G34" s="48">
        <f t="shared" ref="G34:G50" si="1">VALUE(WEEKNUM(A34*1)&amp;YEAR(A34*1))</f>
        <v>492013</v>
      </c>
      <c r="H34" s="48">
        <f>RTen_DD[[#This Row],[Cumulative done story points]]</f>
        <v>4684</v>
      </c>
      <c r="I34" s="48">
        <f>IF(RTen_DD[[#This Row],[Cumulative done story points]]=0,0,RTen_DD[[#This Row],[Defect Density]])</f>
        <v>0.88065755367279053</v>
      </c>
      <c r="J34" s="56">
        <f ca="1">IF(ISNUMBER(RTen_DD[[#This Row],[Ext Regression %]]),RTen_DD[[#This Row],[Ext Regression %]],IF(ISBLANK(RTen_DD[[#This Row],[Ext Regression %]]),OFFSET(RTen_DD[[#This Row],[Ext Reg]],-1,0),0))</f>
        <v>0</v>
      </c>
      <c r="K34" s="56">
        <f ca="1">IF(ISNUMBER(RTen_DD[[#This Row],[Core Regression %]]),RTen_DD[[#This Row],[Core Regression %]],IF(ISBLANK(RTen_DD[[#This Row],[Core Regression %]]),OFFSET(RTen_DD[[#This Row],[Core Reg]],-1,0),0))</f>
        <v>44.606060028076172</v>
      </c>
      <c r="L34" s="100">
        <f>IF(ISBLANK(RTen_DD[[#This Row],[Escaping Defects]]),NA(),RTen_DD[[#This Row],[Escaping Defects]]/100)</f>
        <v>0.13309091567993164</v>
      </c>
    </row>
    <row r="35" spans="1:12">
      <c r="A35" s="50">
        <v>41618.64048321759</v>
      </c>
      <c r="B35" s="49">
        <v>4827</v>
      </c>
      <c r="C35" s="49">
        <v>0.88667911291122437</v>
      </c>
      <c r="D35" s="49"/>
      <c r="E35" s="49">
        <v>44.532711029052734</v>
      </c>
      <c r="F35" s="49">
        <v>13.738317489624023</v>
      </c>
      <c r="G35" s="48">
        <f t="shared" si="1"/>
        <v>502013</v>
      </c>
      <c r="H35" s="48">
        <f>RTen_DD[[#This Row],[Cumulative done story points]]</f>
        <v>4827</v>
      </c>
      <c r="I35" s="48">
        <f>IF(RTen_DD[[#This Row],[Cumulative done story points]]=0,0,RTen_DD[[#This Row],[Defect Density]])</f>
        <v>0.88667911291122437</v>
      </c>
      <c r="J35" s="56">
        <f ca="1">IF(ISNUMBER(RTen_DD[[#This Row],[Ext Regression %]]),RTen_DD[[#This Row],[Ext Regression %]],IF(ISBLANK(RTen_DD[[#This Row],[Ext Regression %]]),OFFSET(RTen_DD[[#This Row],[Ext Reg]],-1,0),0))</f>
        <v>0</v>
      </c>
      <c r="K35" s="56">
        <f ca="1">IF(ISNUMBER(RTen_DD[[#This Row],[Core Regression %]]),RTen_DD[[#This Row],[Core Regression %]],IF(ISBLANK(RTen_DD[[#This Row],[Core Regression %]]),OFFSET(RTen_DD[[#This Row],[Core Reg]],-1,0),0))</f>
        <v>44.532711029052734</v>
      </c>
      <c r="L35" s="100">
        <f>IF(ISBLANK(RTen_DD[[#This Row],[Escaping Defects]]),NA(),RTen_DD[[#This Row],[Escaping Defects]]/100)</f>
        <v>0.13738317489624025</v>
      </c>
    </row>
    <row r="36" spans="1:12">
      <c r="A36" s="50">
        <v>41625.64048321759</v>
      </c>
      <c r="B36" s="49">
        <v>4884</v>
      </c>
      <c r="C36" s="49">
        <v>0.91298115253448486</v>
      </c>
      <c r="D36" s="49"/>
      <c r="E36" s="49">
        <v>44.427001953125</v>
      </c>
      <c r="F36" s="49">
        <v>14.240860939025879</v>
      </c>
      <c r="G36" s="48">
        <f t="shared" si="1"/>
        <v>512013</v>
      </c>
      <c r="H36" s="48">
        <f>RTen_DD[[#This Row],[Cumulative done story points]]</f>
        <v>4884</v>
      </c>
      <c r="I36" s="48">
        <f>IF(RTen_DD[[#This Row],[Cumulative done story points]]=0,0,RTen_DD[[#This Row],[Defect Density]])</f>
        <v>0.91298115253448486</v>
      </c>
      <c r="J36" s="56">
        <f ca="1">IF(ISNUMBER(RTen_DD[[#This Row],[Ext Regression %]]),RTen_DD[[#This Row],[Ext Regression %]],IF(ISBLANK(RTen_DD[[#This Row],[Ext Regression %]]),OFFSET(RTen_DD[[#This Row],[Ext Reg]],-1,0),0))</f>
        <v>0</v>
      </c>
      <c r="K36" s="56">
        <f ca="1">IF(ISNUMBER(RTen_DD[[#This Row],[Core Regression %]]),RTen_DD[[#This Row],[Core Regression %]],IF(ISBLANK(RTen_DD[[#This Row],[Core Regression %]]),OFFSET(RTen_DD[[#This Row],[Core Reg]],-1,0),0))</f>
        <v>44.427001953125</v>
      </c>
      <c r="L36" s="100">
        <f>IF(ISBLANK(RTen_DD[[#This Row],[Escaping Defects]]),NA(),RTen_DD[[#This Row],[Escaping Defects]]/100)</f>
        <v>0.14240860939025879</v>
      </c>
    </row>
    <row r="37" spans="1:12">
      <c r="A37" s="50">
        <v>41632.64048321759</v>
      </c>
      <c r="B37" s="49">
        <v>4905</v>
      </c>
      <c r="C37" s="49">
        <v>0.94148826599121094</v>
      </c>
      <c r="D37" s="49"/>
      <c r="E37" s="49">
        <v>44.283237457275391</v>
      </c>
      <c r="F37" s="49">
        <v>14.660026550292969</v>
      </c>
      <c r="G37" s="48">
        <f t="shared" si="1"/>
        <v>522013</v>
      </c>
      <c r="H37" s="48">
        <f>RTen_DD[[#This Row],[Cumulative done story points]]</f>
        <v>4905</v>
      </c>
      <c r="I37" s="48">
        <f>IF(RTen_DD[[#This Row],[Cumulative done story points]]=0,0,RTen_DD[[#This Row],[Defect Density]])</f>
        <v>0.94148826599121094</v>
      </c>
      <c r="J37" s="56">
        <f ca="1">IF(ISNUMBER(RTen_DD[[#This Row],[Ext Regression %]]),RTen_DD[[#This Row],[Ext Regression %]],IF(ISBLANK(RTen_DD[[#This Row],[Ext Regression %]]),OFFSET(RTen_DD[[#This Row],[Ext Reg]],-1,0),0))</f>
        <v>0</v>
      </c>
      <c r="K37" s="56">
        <f ca="1">IF(ISNUMBER(RTen_DD[[#This Row],[Core Regression %]]),RTen_DD[[#This Row],[Core Regression %]],IF(ISBLANK(RTen_DD[[#This Row],[Core Regression %]]),OFFSET(RTen_DD[[#This Row],[Core Reg]],-1,0),0))</f>
        <v>44.283237457275391</v>
      </c>
      <c r="L37" s="100">
        <f>IF(ISBLANK(RTen_DD[[#This Row],[Escaping Defects]]),NA(),RTen_DD[[#This Row],[Escaping Defects]]/100)</f>
        <v>0.14660026550292968</v>
      </c>
    </row>
    <row r="38" spans="1:12">
      <c r="A38" s="50">
        <v>41639.64048321759</v>
      </c>
      <c r="B38" s="49">
        <v>5077</v>
      </c>
      <c r="C38" s="49">
        <v>0.94071304798126221</v>
      </c>
      <c r="D38" s="49"/>
      <c r="E38" s="49">
        <v>44.074539184570312</v>
      </c>
      <c r="F38" s="49">
        <v>15.221942901611328</v>
      </c>
      <c r="G38" s="48">
        <f t="shared" si="1"/>
        <v>532013</v>
      </c>
      <c r="H38" s="48">
        <f>RTen_DD[[#This Row],[Cumulative done story points]]</f>
        <v>5077</v>
      </c>
      <c r="I38" s="48">
        <f>IF(RTen_DD[[#This Row],[Cumulative done story points]]=0,0,RTen_DD[[#This Row],[Defect Density]])</f>
        <v>0.94071304798126221</v>
      </c>
      <c r="J38" s="56">
        <f ca="1">IF(ISNUMBER(RTen_DD[[#This Row],[Ext Regression %]]),RTen_DD[[#This Row],[Ext Regression %]],IF(ISBLANK(RTen_DD[[#This Row],[Ext Regression %]]),OFFSET(RTen_DD[[#This Row],[Ext Reg]],-1,0),0))</f>
        <v>0</v>
      </c>
      <c r="K38" s="56">
        <f ca="1">IF(ISNUMBER(RTen_DD[[#This Row],[Core Regression %]]),RTen_DD[[#This Row],[Core Regression %]],IF(ISBLANK(RTen_DD[[#This Row],[Core Regression %]]),OFFSET(RTen_DD[[#This Row],[Core Reg]],-1,0),0))</f>
        <v>44.074539184570312</v>
      </c>
      <c r="L38" s="100">
        <f>IF(ISBLANK(RTen_DD[[#This Row],[Escaping Defects]]),NA(),RTen_DD[[#This Row],[Escaping Defects]]/100)</f>
        <v>0.15221942901611329</v>
      </c>
    </row>
    <row r="39" spans="1:12">
      <c r="A39" s="50">
        <v>41646.64048321759</v>
      </c>
      <c r="B39" s="49">
        <v>5179</v>
      </c>
      <c r="C39" s="49">
        <v>0.95887237787246704</v>
      </c>
      <c r="D39" s="49"/>
      <c r="E39" s="49">
        <v>43.858234405517578</v>
      </c>
      <c r="F39" s="49">
        <v>15.445026397705078</v>
      </c>
      <c r="G39" s="48">
        <f t="shared" si="1"/>
        <v>22014</v>
      </c>
      <c r="H39" s="48">
        <f>RTen_DD[[#This Row],[Cumulative done story points]]</f>
        <v>5179</v>
      </c>
      <c r="I39" s="48">
        <f>IF(RTen_DD[[#This Row],[Cumulative done story points]]=0,0,RTen_DD[[#This Row],[Defect Density]])</f>
        <v>0.95887237787246704</v>
      </c>
      <c r="J39" s="56">
        <f ca="1">IF(ISNUMBER(RTen_DD[[#This Row],[Ext Regression %]]),RTen_DD[[#This Row],[Ext Regression %]],IF(ISBLANK(RTen_DD[[#This Row],[Ext Regression %]]),OFFSET(RTen_DD[[#This Row],[Ext Reg]],-1,0),0))</f>
        <v>0</v>
      </c>
      <c r="K39" s="56">
        <f ca="1">IF(ISNUMBER(RTen_DD[[#This Row],[Core Regression %]]),RTen_DD[[#This Row],[Core Regression %]],IF(ISBLANK(RTen_DD[[#This Row],[Core Regression %]]),OFFSET(RTen_DD[[#This Row],[Core Reg]],-1,0),0))</f>
        <v>43.858234405517578</v>
      </c>
      <c r="L39" s="100">
        <f>IF(ISBLANK(RTen_DD[[#This Row],[Escaping Defects]]),NA(),RTen_DD[[#This Row],[Escaping Defects]]/100)</f>
        <v>0.15445026397705078</v>
      </c>
    </row>
    <row r="40" spans="1:12">
      <c r="A40" s="50">
        <v>41653.64048321759</v>
      </c>
      <c r="B40" s="49">
        <v>5273</v>
      </c>
      <c r="C40" s="49">
        <v>0.96870851516723633</v>
      </c>
      <c r="D40" s="49"/>
      <c r="E40" s="49">
        <v>43.852779388427734</v>
      </c>
      <c r="F40" s="49">
        <v>15.583398818969727</v>
      </c>
      <c r="G40" s="48">
        <f t="shared" si="1"/>
        <v>32014</v>
      </c>
      <c r="H40" s="48">
        <f>RTen_DD[[#This Row],[Cumulative done story points]]</f>
        <v>5273</v>
      </c>
      <c r="I40" s="48">
        <f>IF(RTen_DD[[#This Row],[Cumulative done story points]]=0,0,RTen_DD[[#This Row],[Defect Density]])</f>
        <v>0.96870851516723633</v>
      </c>
      <c r="J40" s="56">
        <f ca="1">IF(ISNUMBER(RTen_DD[[#This Row],[Ext Regression %]]),RTen_DD[[#This Row],[Ext Regression %]],IF(ISBLANK(RTen_DD[[#This Row],[Ext Regression %]]),OFFSET(RTen_DD[[#This Row],[Ext Reg]],-1,0),0))</f>
        <v>0</v>
      </c>
      <c r="K40" s="56">
        <f ca="1">IF(ISNUMBER(RTen_DD[[#This Row],[Core Regression %]]),RTen_DD[[#This Row],[Core Regression %]],IF(ISBLANK(RTen_DD[[#This Row],[Core Regression %]]),OFFSET(RTen_DD[[#This Row],[Core Reg]],-1,0),0))</f>
        <v>43.852779388427734</v>
      </c>
      <c r="L40" s="100">
        <f>IF(ISBLANK(RTen_DD[[#This Row],[Escaping Defects]]),NA(),RTen_DD[[#This Row],[Escaping Defects]]/100)</f>
        <v>0.15583398818969726</v>
      </c>
    </row>
    <row r="41" spans="1:12">
      <c r="A41" s="50">
        <v>41660.64048321759</v>
      </c>
      <c r="B41" s="49">
        <v>5348</v>
      </c>
      <c r="C41" s="49">
        <v>1.0100972652435303</v>
      </c>
      <c r="D41" s="49"/>
      <c r="E41" s="49">
        <v>42.947055816650391</v>
      </c>
      <c r="F41" s="49">
        <v>15.623844146728516</v>
      </c>
      <c r="G41" s="48">
        <f t="shared" si="1"/>
        <v>42014</v>
      </c>
      <c r="H41" s="48">
        <f>RTen_DD[[#This Row],[Cumulative done story points]]</f>
        <v>5348</v>
      </c>
      <c r="I41" s="48">
        <f>IF(RTen_DD[[#This Row],[Cumulative done story points]]=0,0,RTen_DD[[#This Row],[Defect Density]])</f>
        <v>1.0100972652435303</v>
      </c>
      <c r="J41" s="56">
        <f ca="1">IF(ISNUMBER(RTen_DD[[#This Row],[Ext Regression %]]),RTen_DD[[#This Row],[Ext Regression %]],IF(ISBLANK(RTen_DD[[#This Row],[Ext Regression %]]),OFFSET(RTen_DD[[#This Row],[Ext Reg]],-1,0),0))</f>
        <v>0</v>
      </c>
      <c r="K41" s="56">
        <f ca="1">IF(ISNUMBER(RTen_DD[[#This Row],[Core Regression %]]),RTen_DD[[#This Row],[Core Regression %]],IF(ISBLANK(RTen_DD[[#This Row],[Core Regression %]]),OFFSET(RTen_DD[[#This Row],[Core Reg]],-1,0),0))</f>
        <v>42.947055816650391</v>
      </c>
      <c r="L41" s="100">
        <f>IF(ISBLANK(RTen_DD[[#This Row],[Escaping Defects]]),NA(),RTen_DD[[#This Row],[Escaping Defects]]/100)</f>
        <v>0.15623844146728516</v>
      </c>
    </row>
    <row r="42" spans="1:12">
      <c r="A42" s="50">
        <v>41667.64048321759</v>
      </c>
      <c r="B42" s="49">
        <v>5425</v>
      </c>
      <c r="C42" s="49">
        <v>1.024700403213501</v>
      </c>
      <c r="D42" s="49"/>
      <c r="E42" s="49">
        <v>42.471668243408203</v>
      </c>
      <c r="F42" s="49">
        <v>16.010074615478516</v>
      </c>
      <c r="G42" s="48">
        <f t="shared" si="1"/>
        <v>52014</v>
      </c>
      <c r="H42" s="48">
        <f>RTen_DD[[#This Row],[Cumulative done story points]]</f>
        <v>5425</v>
      </c>
      <c r="I42" s="48">
        <f>IF(RTen_DD[[#This Row],[Cumulative done story points]]=0,0,RTen_DD[[#This Row],[Defect Density]])</f>
        <v>1.024700403213501</v>
      </c>
      <c r="J42" s="56">
        <f ca="1">IF(ISNUMBER(RTen_DD[[#This Row],[Ext Regression %]]),RTen_DD[[#This Row],[Ext Regression %]],IF(ISBLANK(RTen_DD[[#This Row],[Ext Regression %]]),OFFSET(RTen_DD[[#This Row],[Ext Reg]],-1,0),0))</f>
        <v>0</v>
      </c>
      <c r="K42" s="56">
        <f ca="1">IF(ISNUMBER(RTen_DD[[#This Row],[Core Regression %]]),RTen_DD[[#This Row],[Core Regression %]],IF(ISBLANK(RTen_DD[[#This Row],[Core Regression %]]),OFFSET(RTen_DD[[#This Row],[Core Reg]],-1,0),0))</f>
        <v>42.471668243408203</v>
      </c>
      <c r="L42" s="100">
        <f>IF(ISBLANK(RTen_DD[[#This Row],[Escaping Defects]]),NA(),RTen_DD[[#This Row],[Escaping Defects]]/100)</f>
        <v>0.16010074615478515</v>
      </c>
    </row>
    <row r="43" spans="1:12">
      <c r="A43" s="50">
        <v>41674.64048321759</v>
      </c>
      <c r="B43" s="49">
        <v>5465</v>
      </c>
      <c r="C43" s="49">
        <v>1.0431839227676392</v>
      </c>
      <c r="D43" s="49"/>
      <c r="E43" s="49">
        <v>41.869846343994141</v>
      </c>
      <c r="F43" s="49">
        <v>16.260305404663086</v>
      </c>
      <c r="G43" s="48">
        <f t="shared" si="1"/>
        <v>62014</v>
      </c>
      <c r="H43" s="48">
        <f>RTen_DD[[#This Row],[Cumulative done story points]]</f>
        <v>5465</v>
      </c>
      <c r="I43" s="48">
        <f>IF(RTen_DD[[#This Row],[Cumulative done story points]]=0,0,RTen_DD[[#This Row],[Defect Density]])</f>
        <v>1.0431839227676392</v>
      </c>
      <c r="J43" s="56">
        <f ca="1">IF(ISNUMBER(RTen_DD[[#This Row],[Ext Regression %]]),RTen_DD[[#This Row],[Ext Regression %]],IF(ISBLANK(RTen_DD[[#This Row],[Ext Regression %]]),OFFSET(RTen_DD[[#This Row],[Ext Reg]],-1,0),0))</f>
        <v>0</v>
      </c>
      <c r="K43" s="56">
        <f ca="1">IF(ISNUMBER(RTen_DD[[#This Row],[Core Regression %]]),RTen_DD[[#This Row],[Core Regression %]],IF(ISBLANK(RTen_DD[[#This Row],[Core Regression %]]),OFFSET(RTen_DD[[#This Row],[Core Reg]],-1,0),0))</f>
        <v>41.869846343994141</v>
      </c>
      <c r="L43" s="100">
        <f>IF(ISBLANK(RTen_DD[[#This Row],[Escaping Defects]]),NA(),RTen_DD[[#This Row],[Escaping Defects]]/100)</f>
        <v>0.16260305404663086</v>
      </c>
    </row>
    <row r="44" spans="1:12">
      <c r="A44" s="50">
        <v>41681.64048321759</v>
      </c>
      <c r="B44" s="49">
        <v>5520</v>
      </c>
      <c r="C44" s="49">
        <v>1.064130425453186</v>
      </c>
      <c r="D44" s="49"/>
      <c r="E44" s="49">
        <v>41.215526580810547</v>
      </c>
      <c r="F44" s="49">
        <v>16.666667938232422</v>
      </c>
      <c r="G44" s="48">
        <f t="shared" si="1"/>
        <v>72014</v>
      </c>
      <c r="H44" s="48">
        <f>RTen_DD[[#This Row],[Cumulative done story points]]</f>
        <v>5520</v>
      </c>
      <c r="I44" s="48">
        <f>IF(RTen_DD[[#This Row],[Cumulative done story points]]=0,0,RTen_DD[[#This Row],[Defect Density]])</f>
        <v>1.064130425453186</v>
      </c>
      <c r="J44" s="56">
        <f ca="1">IF(ISNUMBER(RTen_DD[[#This Row],[Ext Regression %]]),RTen_DD[[#This Row],[Ext Regression %]],IF(ISBLANK(RTen_DD[[#This Row],[Ext Regression %]]),OFFSET(RTen_DD[[#This Row],[Ext Reg]],-1,0),0))</f>
        <v>0</v>
      </c>
      <c r="K44" s="56">
        <f ca="1">IF(ISNUMBER(RTen_DD[[#This Row],[Core Regression %]]),RTen_DD[[#This Row],[Core Regression %]],IF(ISBLANK(RTen_DD[[#This Row],[Core Regression %]]),OFFSET(RTen_DD[[#This Row],[Core Reg]],-1,0),0))</f>
        <v>41.215526580810547</v>
      </c>
      <c r="L44" s="100">
        <f>IF(ISBLANK(RTen_DD[[#This Row],[Escaping Defects]]),NA(),RTen_DD[[#This Row],[Escaping Defects]]/100)</f>
        <v>0.16666667938232421</v>
      </c>
    </row>
    <row r="45" spans="1:12">
      <c r="A45" s="50">
        <v>41688.64048321759</v>
      </c>
      <c r="B45" s="49">
        <v>5548</v>
      </c>
      <c r="C45" s="49">
        <v>1.0874189138412476</v>
      </c>
      <c r="D45" s="49"/>
      <c r="E45" s="49">
        <v>40.593402862548828</v>
      </c>
      <c r="F45" s="49">
        <v>17.221944808959961</v>
      </c>
      <c r="G45" s="48">
        <f t="shared" si="1"/>
        <v>82014</v>
      </c>
      <c r="H45" s="48">
        <f>RTen_DD[[#This Row],[Cumulative done story points]]</f>
        <v>5548</v>
      </c>
      <c r="I45" s="48">
        <f>IF(RTen_DD[[#This Row],[Cumulative done story points]]=0,0,RTen_DD[[#This Row],[Defect Density]])</f>
        <v>1.0874189138412476</v>
      </c>
      <c r="J45" s="56">
        <f ca="1">IF(ISNUMBER(RTen_DD[[#This Row],[Ext Regression %]]),RTen_DD[[#This Row],[Ext Regression %]],IF(ISBLANK(RTen_DD[[#This Row],[Ext Regression %]]),OFFSET(RTen_DD[[#This Row],[Ext Reg]],-1,0),0))</f>
        <v>0</v>
      </c>
      <c r="K45" s="56">
        <f ca="1">IF(ISNUMBER(RTen_DD[[#This Row],[Core Regression %]]),RTen_DD[[#This Row],[Core Regression %]],IF(ISBLANK(RTen_DD[[#This Row],[Core Regression %]]),OFFSET(RTen_DD[[#This Row],[Core Reg]],-1,0),0))</f>
        <v>40.593402862548828</v>
      </c>
      <c r="L45" s="100">
        <f>IF(ISBLANK(RTen_DD[[#This Row],[Escaping Defects]]),NA(),RTen_DD[[#This Row],[Escaping Defects]]/100)</f>
        <v>0.1722194480895996</v>
      </c>
    </row>
    <row r="46" spans="1:12">
      <c r="A46" s="50">
        <v>41695.64048321759</v>
      </c>
      <c r="B46" s="49">
        <v>5588</v>
      </c>
      <c r="C46" s="49">
        <v>1.1050465106964111</v>
      </c>
      <c r="D46" s="49"/>
      <c r="E46" s="49">
        <v>40.080970764160156</v>
      </c>
      <c r="F46" s="49">
        <v>17.587045669555664</v>
      </c>
      <c r="G46" s="48">
        <f t="shared" si="1"/>
        <v>92014</v>
      </c>
      <c r="H46" s="48">
        <f>RTen_DD[[#This Row],[Cumulative done story points]]</f>
        <v>5588</v>
      </c>
      <c r="I46" s="48">
        <f>IF(RTen_DD[[#This Row],[Cumulative done story points]]=0,0,RTen_DD[[#This Row],[Defect Density]])</f>
        <v>1.1050465106964111</v>
      </c>
      <c r="J46" s="56">
        <f ca="1">IF(ISNUMBER(RTen_DD[[#This Row],[Ext Regression %]]),RTen_DD[[#This Row],[Ext Regression %]],IF(ISBLANK(RTen_DD[[#This Row],[Ext Regression %]]),OFFSET(RTen_DD[[#This Row],[Ext Reg]],-1,0),0))</f>
        <v>0</v>
      </c>
      <c r="K46" s="56">
        <f ca="1">IF(ISNUMBER(RTen_DD[[#This Row],[Core Regression %]]),RTen_DD[[#This Row],[Core Regression %]],IF(ISBLANK(RTen_DD[[#This Row],[Core Regression %]]),OFFSET(RTen_DD[[#This Row],[Core Reg]],-1,0),0))</f>
        <v>40.080970764160156</v>
      </c>
      <c r="L46" s="100">
        <f>IF(ISBLANK(RTen_DD[[#This Row],[Escaping Defects]]),NA(),RTen_DD[[#This Row],[Escaping Defects]]/100)</f>
        <v>0.17587045669555665</v>
      </c>
    </row>
    <row r="47" spans="1:12">
      <c r="A47" s="50">
        <v>41702.64048321759</v>
      </c>
      <c r="B47" s="49">
        <v>5604</v>
      </c>
      <c r="C47" s="49">
        <v>1.131513237953186</v>
      </c>
      <c r="D47" s="49"/>
      <c r="E47" s="49">
        <v>39.772907257080078</v>
      </c>
      <c r="F47" s="49">
        <v>18.262104034423828</v>
      </c>
      <c r="G47" s="48">
        <f t="shared" si="1"/>
        <v>102014</v>
      </c>
      <c r="H47" s="48">
        <f>RTen_DD[[#This Row],[Cumulative done story points]]</f>
        <v>5604</v>
      </c>
      <c r="I47" s="48">
        <f>IF(RTen_DD[[#This Row],[Cumulative done story points]]=0,0,RTen_DD[[#This Row],[Defect Density]])</f>
        <v>1.131513237953186</v>
      </c>
      <c r="J47" s="56">
        <f ca="1">IF(ISNUMBER(RTen_DD[[#This Row],[Ext Regression %]]),RTen_DD[[#This Row],[Ext Regression %]],IF(ISBLANK(RTen_DD[[#This Row],[Ext Regression %]]),OFFSET(RTen_DD[[#This Row],[Ext Reg]],-1,0),0))</f>
        <v>0</v>
      </c>
      <c r="K47" s="56">
        <f ca="1">IF(ISNUMBER(RTen_DD[[#This Row],[Core Regression %]]),RTen_DD[[#This Row],[Core Regression %]],IF(ISBLANK(RTen_DD[[#This Row],[Core Regression %]]),OFFSET(RTen_DD[[#This Row],[Core Reg]],-1,0),0))</f>
        <v>39.772907257080078</v>
      </c>
      <c r="L47" s="100">
        <f>IF(ISBLANK(RTen_DD[[#This Row],[Escaping Defects]]),NA(),RTen_DD[[#This Row],[Escaping Defects]]/100)</f>
        <v>0.18262104034423829</v>
      </c>
    </row>
    <row r="48" spans="1:12">
      <c r="A48" s="50">
        <v>41709.64048321759</v>
      </c>
      <c r="B48" s="49">
        <v>5616</v>
      </c>
      <c r="C48" s="49">
        <v>1.1590099334716797</v>
      </c>
      <c r="D48" s="49"/>
      <c r="E48" s="49">
        <v>39.360885620117188</v>
      </c>
      <c r="F48" s="49">
        <v>18.512828826904297</v>
      </c>
      <c r="G48" s="48">
        <f t="shared" si="1"/>
        <v>112014</v>
      </c>
      <c r="H48" s="48">
        <f>RTen_DD[[#This Row],[Cumulative done story points]]</f>
        <v>5616</v>
      </c>
      <c r="I48" s="48">
        <f>IF(RTen_DD[[#This Row],[Cumulative done story points]]=0,0,RTen_DD[[#This Row],[Defect Density]])</f>
        <v>1.1590099334716797</v>
      </c>
      <c r="J48" s="56">
        <f ca="1">IF(ISNUMBER(RTen_DD[[#This Row],[Ext Regression %]]),RTen_DD[[#This Row],[Ext Regression %]],IF(ISBLANK(RTen_DD[[#This Row],[Ext Regression %]]),OFFSET(RTen_DD[[#This Row],[Ext Reg]],-1,0),0))</f>
        <v>0</v>
      </c>
      <c r="K48" s="56">
        <f ca="1">IF(ISNUMBER(RTen_DD[[#This Row],[Core Regression %]]),RTen_DD[[#This Row],[Core Regression %]],IF(ISBLANK(RTen_DD[[#This Row],[Core Regression %]]),OFFSET(RTen_DD[[#This Row],[Core Reg]],-1,0),0))</f>
        <v>39.360885620117188</v>
      </c>
      <c r="L48" s="100">
        <f>IF(ISBLANK(RTen_DD[[#This Row],[Escaping Defects]]),NA(),RTen_DD[[#This Row],[Escaping Defects]]/100)</f>
        <v>0.18512828826904296</v>
      </c>
    </row>
    <row r="49" spans="1:12">
      <c r="A49" s="50">
        <v>41716.64048321759</v>
      </c>
      <c r="B49" s="49">
        <v>5698</v>
      </c>
      <c r="C49" s="49">
        <v>1.1679536104202271</v>
      </c>
      <c r="D49" s="49"/>
      <c r="E49" s="49">
        <v>38.858001708984375</v>
      </c>
      <c r="F49" s="49">
        <v>18.67768669128418</v>
      </c>
      <c r="G49" s="48">
        <f t="shared" si="1"/>
        <v>122014</v>
      </c>
      <c r="H49" s="48">
        <f>RTen_DD[[#This Row],[Cumulative done story points]]</f>
        <v>5698</v>
      </c>
      <c r="I49" s="48">
        <f>IF(RTen_DD[[#This Row],[Cumulative done story points]]=0,0,RTen_DD[[#This Row],[Defect Density]])</f>
        <v>1.1679536104202271</v>
      </c>
      <c r="J49" s="56">
        <f ca="1">IF(ISNUMBER(RTen_DD[[#This Row],[Ext Regression %]]),RTen_DD[[#This Row],[Ext Regression %]],IF(ISBLANK(RTen_DD[[#This Row],[Ext Regression %]]),OFFSET(RTen_DD[[#This Row],[Ext Reg]],-1,0),0))</f>
        <v>0</v>
      </c>
      <c r="K49" s="56">
        <f ca="1">IF(ISNUMBER(RTen_DD[[#This Row],[Core Regression %]]),RTen_DD[[#This Row],[Core Regression %]],IF(ISBLANK(RTen_DD[[#This Row],[Core Regression %]]),OFFSET(RTen_DD[[#This Row],[Core Reg]],-1,0),0))</f>
        <v>38.858001708984375</v>
      </c>
      <c r="L49" s="100">
        <f>IF(ISBLANK(RTen_DD[[#This Row],[Escaping Defects]]),NA(),RTen_DD[[#This Row],[Escaping Defects]]/100)</f>
        <v>0.18677686691284179</v>
      </c>
    </row>
    <row r="50" spans="1:12">
      <c r="A50" s="50">
        <v>41723.64048321759</v>
      </c>
      <c r="B50" s="49">
        <v>5736</v>
      </c>
      <c r="C50" s="49">
        <v>1.188807487487793</v>
      </c>
      <c r="D50" s="49"/>
      <c r="E50" s="49">
        <v>38.524711608886719</v>
      </c>
      <c r="F50" s="49">
        <v>18.844404220581055</v>
      </c>
      <c r="G50" s="48">
        <f t="shared" si="1"/>
        <v>132014</v>
      </c>
      <c r="H50" s="48">
        <f>RTen_DD[[#This Row],[Cumulative done story points]]</f>
        <v>5736</v>
      </c>
      <c r="I50" s="48">
        <f>IF(RTen_DD[[#This Row],[Cumulative done story points]]=0,0,RTen_DD[[#This Row],[Defect Density]])</f>
        <v>1.188807487487793</v>
      </c>
      <c r="J50" s="56">
        <f ca="1">IF(ISNUMBER(RTen_DD[[#This Row],[Ext Regression %]]),RTen_DD[[#This Row],[Ext Regression %]],IF(ISBLANK(RTen_DD[[#This Row],[Ext Regression %]]),OFFSET(RTen_DD[[#This Row],[Ext Reg]],-1,0),0))</f>
        <v>0</v>
      </c>
      <c r="K50" s="56">
        <f ca="1">IF(ISNUMBER(RTen_DD[[#This Row],[Core Regression %]]),RTen_DD[[#This Row],[Core Regression %]],IF(ISBLANK(RTen_DD[[#This Row],[Core Regression %]]),OFFSET(RTen_DD[[#This Row],[Core Reg]],-1,0),0))</f>
        <v>38.524711608886719</v>
      </c>
      <c r="L50" s="100">
        <f>IF(ISBLANK(RTen_DD[[#This Row],[Escaping Defects]]),NA(),RTen_DD[[#This Row],[Escaping Defects]]/100)</f>
        <v>0.18844404220581054</v>
      </c>
    </row>
    <row r="51" spans="1:12">
      <c r="A51" s="83">
        <v>41730.64048321759</v>
      </c>
      <c r="B51" s="84">
        <v>5862</v>
      </c>
      <c r="C51" s="84">
        <v>1.192596435546875</v>
      </c>
      <c r="D51" s="84"/>
      <c r="E51" s="84">
        <v>38.249176025390625</v>
      </c>
      <c r="F51" s="84">
        <v>19.138893127441406</v>
      </c>
      <c r="G51" s="85">
        <f t="shared" ref="G51:G65" si="2">VALUE(WEEKNUM(A51*1)&amp;YEAR(A51*1))</f>
        <v>142014</v>
      </c>
      <c r="H51" s="85">
        <f>RTen_DD[[#This Row],[Cumulative done story points]]</f>
        <v>5862</v>
      </c>
      <c r="I51" s="85">
        <f>IF(RTen_DD[[#This Row],[Cumulative done story points]]=0,0,RTen_DD[[#This Row],[Defect Density]])</f>
        <v>1.192596435546875</v>
      </c>
      <c r="J51" s="87">
        <f ca="1">IF(ISNUMBER(RTen_DD[[#This Row],[Ext Regression %]]),RTen_DD[[#This Row],[Ext Regression %]],IF(ISBLANK(RTen_DD[[#This Row],[Ext Regression %]]),OFFSET(RTen_DD[[#This Row],[Ext Reg]],-1,0),0))</f>
        <v>0</v>
      </c>
      <c r="K51" s="87">
        <f ca="1">IF(ISNUMBER(RTen_DD[[#This Row],[Core Regression %]]),RTen_DD[[#This Row],[Core Regression %]],IF(ISBLANK(RTen_DD[[#This Row],[Core Regression %]]),OFFSET(RTen_DD[[#This Row],[Core Reg]],-1,0),0))</f>
        <v>38.249176025390625</v>
      </c>
      <c r="L51" s="100">
        <f>IF(ISBLANK(RTen_DD[[#This Row],[Escaping Defects]]),NA(),RTen_DD[[#This Row],[Escaping Defects]]/100)</f>
        <v>0.19138893127441406</v>
      </c>
    </row>
    <row r="52" spans="1:12">
      <c r="A52" s="83">
        <v>41737.64048321759</v>
      </c>
      <c r="B52" s="84">
        <v>5871</v>
      </c>
      <c r="C52" s="84">
        <v>1.2083120346069336</v>
      </c>
      <c r="D52" s="84"/>
      <c r="E52" s="84">
        <v>38.130813598632812</v>
      </c>
      <c r="F52" s="84">
        <v>19.509445190429688</v>
      </c>
      <c r="G52" s="85">
        <f t="shared" si="2"/>
        <v>152014</v>
      </c>
      <c r="H52" s="85">
        <f>RTen_DD[[#This Row],[Cumulative done story points]]</f>
        <v>5871</v>
      </c>
      <c r="I52" s="85">
        <f>IF(RTen_DD[[#This Row],[Cumulative done story points]]=0,0,RTen_DD[[#This Row],[Defect Density]])</f>
        <v>1.2083120346069336</v>
      </c>
      <c r="J52" s="87">
        <f ca="1">IF(ISNUMBER(RTen_DD[[#This Row],[Ext Regression %]]),RTen_DD[[#This Row],[Ext Regression %]],IF(ISBLANK(RTen_DD[[#This Row],[Ext Regression %]]),OFFSET(RTen_DD[[#This Row],[Ext Reg]],-1,0),0))</f>
        <v>0</v>
      </c>
      <c r="K52" s="87">
        <f ca="1">IF(ISNUMBER(RTen_DD[[#This Row],[Core Regression %]]),RTen_DD[[#This Row],[Core Regression %]],IF(ISBLANK(RTen_DD[[#This Row],[Core Regression %]]),OFFSET(RTen_DD[[#This Row],[Core Reg]],-1,0),0))</f>
        <v>38.130813598632812</v>
      </c>
      <c r="L52" s="100">
        <f>IF(ISBLANK(RTen_DD[[#This Row],[Escaping Defects]]),NA(),RTen_DD[[#This Row],[Escaping Defects]]/100)</f>
        <v>0.19509445190429686</v>
      </c>
    </row>
    <row r="53" spans="1:12">
      <c r="A53" s="83">
        <v>41744.64048321759</v>
      </c>
      <c r="B53" s="84">
        <v>5892</v>
      </c>
      <c r="C53" s="84">
        <v>1.2196198701858521</v>
      </c>
      <c r="D53" s="84"/>
      <c r="E53" s="84">
        <v>38.060115814208984</v>
      </c>
      <c r="F53" s="84">
        <v>19.691066741943359</v>
      </c>
      <c r="G53" s="85">
        <f t="shared" si="2"/>
        <v>162014</v>
      </c>
      <c r="H53" s="85">
        <f>RTen_DD[[#This Row],[Cumulative done story points]]</f>
        <v>5892</v>
      </c>
      <c r="I53" s="85">
        <f>IF(RTen_DD[[#This Row],[Cumulative done story points]]=0,0,RTen_DD[[#This Row],[Defect Density]])</f>
        <v>1.2196198701858521</v>
      </c>
      <c r="J53" s="87">
        <f ca="1">IF(ISNUMBER(RTen_DD[[#This Row],[Ext Regression %]]),RTen_DD[[#This Row],[Ext Regression %]],IF(ISBLANK(RTen_DD[[#This Row],[Ext Regression %]]),OFFSET(RTen_DD[[#This Row],[Ext Reg]],-1,0),0))</f>
        <v>0</v>
      </c>
      <c r="K53" s="87">
        <f ca="1">IF(ISNUMBER(RTen_DD[[#This Row],[Core Regression %]]),RTen_DD[[#This Row],[Core Regression %]],IF(ISBLANK(RTen_DD[[#This Row],[Core Regression %]]),OFFSET(RTen_DD[[#This Row],[Core Reg]],-1,0),0))</f>
        <v>38.060115814208984</v>
      </c>
      <c r="L53" s="100">
        <f>IF(ISBLANK(RTen_DD[[#This Row],[Escaping Defects]]),NA(),RTen_DD[[#This Row],[Escaping Defects]]/100)</f>
        <v>0.19691066741943358</v>
      </c>
    </row>
    <row r="54" spans="1:12">
      <c r="A54" s="83">
        <v>41751.64048321759</v>
      </c>
      <c r="B54" s="84">
        <v>5954</v>
      </c>
      <c r="C54" s="84">
        <v>1.2405105829238892</v>
      </c>
      <c r="D54" s="84"/>
      <c r="E54" s="84">
        <v>37.882480621337891</v>
      </c>
      <c r="F54" s="84">
        <v>19.861900329589844</v>
      </c>
      <c r="G54" s="85">
        <f t="shared" si="2"/>
        <v>172014</v>
      </c>
      <c r="H54" s="85">
        <f>RTen_DD[[#This Row],[Cumulative done story points]]</f>
        <v>5954</v>
      </c>
      <c r="I54" s="85">
        <f>IF(RTen_DD[[#This Row],[Cumulative done story points]]=0,0,RTen_DD[[#This Row],[Defect Density]])</f>
        <v>1.2405105829238892</v>
      </c>
      <c r="J54" s="87">
        <f ca="1">IF(ISNUMBER(RTen_DD[[#This Row],[Ext Regression %]]),RTen_DD[[#This Row],[Ext Regression %]],IF(ISBLANK(RTen_DD[[#This Row],[Ext Regression %]]),OFFSET(RTen_DD[[#This Row],[Ext Reg]],-1,0),0))</f>
        <v>0</v>
      </c>
      <c r="K54" s="87">
        <f ca="1">IF(ISNUMBER(RTen_DD[[#This Row],[Core Regression %]]),RTen_DD[[#This Row],[Core Regression %]],IF(ISBLANK(RTen_DD[[#This Row],[Core Regression %]]),OFFSET(RTen_DD[[#This Row],[Core Reg]],-1,0),0))</f>
        <v>37.882480621337891</v>
      </c>
      <c r="L54" s="100">
        <f>IF(ISBLANK(RTen_DD[[#This Row],[Escaping Defects]]),NA(),RTen_DD[[#This Row],[Escaping Defects]]/100)</f>
        <v>0.19861900329589843</v>
      </c>
    </row>
    <row r="55" spans="1:12">
      <c r="A55" s="83">
        <v>41758.64048321759</v>
      </c>
      <c r="B55" s="84">
        <v>5973</v>
      </c>
      <c r="C55" s="84">
        <v>1.251967191696167</v>
      </c>
      <c r="D55" s="84"/>
      <c r="E55" s="84">
        <v>37.790851593017578</v>
      </c>
      <c r="F55" s="84">
        <v>20.098957061767578</v>
      </c>
      <c r="G55" s="85">
        <f t="shared" si="2"/>
        <v>182014</v>
      </c>
      <c r="H55" s="85">
        <f>RTen_DD[[#This Row],[Cumulative done story points]]</f>
        <v>5973</v>
      </c>
      <c r="I55" s="85">
        <f>IF(RTen_DD[[#This Row],[Cumulative done story points]]=0,0,RTen_DD[[#This Row],[Defect Density]])</f>
        <v>1.251967191696167</v>
      </c>
      <c r="J55" s="87">
        <f ca="1">IF(ISNUMBER(RTen_DD[[#This Row],[Ext Regression %]]),RTen_DD[[#This Row],[Ext Regression %]],IF(ISBLANK(RTen_DD[[#This Row],[Ext Regression %]]),OFFSET(RTen_DD[[#This Row],[Ext Reg]],-1,0),0))</f>
        <v>0</v>
      </c>
      <c r="K55" s="87">
        <f ca="1">IF(ISNUMBER(RTen_DD[[#This Row],[Core Regression %]]),RTen_DD[[#This Row],[Core Regression %]],IF(ISBLANK(RTen_DD[[#This Row],[Core Regression %]]),OFFSET(RTen_DD[[#This Row],[Core Reg]],-1,0),0))</f>
        <v>37.790851593017578</v>
      </c>
      <c r="L55" s="100">
        <f>IF(ISBLANK(RTen_DD[[#This Row],[Escaping Defects]]),NA(),RTen_DD[[#This Row],[Escaping Defects]]/100)</f>
        <v>0.20098957061767578</v>
      </c>
    </row>
    <row r="56" spans="1:12">
      <c r="A56" s="83">
        <v>41765.64048321759</v>
      </c>
      <c r="B56" s="84">
        <v>5997</v>
      </c>
      <c r="C56" s="84">
        <v>1.2831416130065918</v>
      </c>
      <c r="D56" s="84"/>
      <c r="E56" s="84">
        <v>37.296943664550781</v>
      </c>
      <c r="F56" s="84">
        <v>20.948667526245117</v>
      </c>
      <c r="G56" s="85">
        <f t="shared" si="2"/>
        <v>192014</v>
      </c>
      <c r="H56" s="85">
        <f>RTen_DD[[#This Row],[Cumulative done story points]]</f>
        <v>5997</v>
      </c>
      <c r="I56" s="85">
        <f>IF(RTen_DD[[#This Row],[Cumulative done story points]]=0,0,RTen_DD[[#This Row],[Defect Density]])</f>
        <v>1.2831416130065918</v>
      </c>
      <c r="J56" s="87">
        <f ca="1">IF(ISNUMBER(RTen_DD[[#This Row],[Ext Regression %]]),RTen_DD[[#This Row],[Ext Regression %]],IF(ISBLANK(RTen_DD[[#This Row],[Ext Regression %]]),OFFSET(RTen_DD[[#This Row],[Ext Reg]],-1,0),0))</f>
        <v>0</v>
      </c>
      <c r="K56" s="87">
        <f ca="1">IF(ISNUMBER(RTen_DD[[#This Row],[Core Regression %]]),RTen_DD[[#This Row],[Core Regression %]],IF(ISBLANK(RTen_DD[[#This Row],[Core Regression %]]),OFFSET(RTen_DD[[#This Row],[Core Reg]],-1,0),0))</f>
        <v>37.296943664550781</v>
      </c>
      <c r="L56" s="100">
        <f>IF(ISBLANK(RTen_DD[[#This Row],[Escaping Defects]]),NA(),RTen_DD[[#This Row],[Escaping Defects]]/100)</f>
        <v>0.20948667526245118</v>
      </c>
    </row>
    <row r="57" spans="1:12">
      <c r="A57" s="83">
        <v>41772.64048321759</v>
      </c>
      <c r="B57" s="84">
        <v>6005</v>
      </c>
      <c r="C57" s="84">
        <v>1.2940882444381714</v>
      </c>
      <c r="D57" s="84"/>
      <c r="E57" s="84">
        <v>37.099472045898437</v>
      </c>
      <c r="F57" s="84">
        <v>21.541629791259766</v>
      </c>
      <c r="G57" s="85">
        <f t="shared" si="2"/>
        <v>202014</v>
      </c>
      <c r="H57" s="85">
        <f>RTen_DD[[#This Row],[Cumulative done story points]]</f>
        <v>6005</v>
      </c>
      <c r="I57" s="85">
        <f>IF(RTen_DD[[#This Row],[Cumulative done story points]]=0,0,RTen_DD[[#This Row],[Defect Density]])</f>
        <v>1.2940882444381714</v>
      </c>
      <c r="J57" s="87">
        <f ca="1">IF(ISNUMBER(RTen_DD[[#This Row],[Ext Regression %]]),RTen_DD[[#This Row],[Ext Regression %]],IF(ISBLANK(RTen_DD[[#This Row],[Ext Regression %]]),OFFSET(RTen_DD[[#This Row],[Ext Reg]],-1,0),0))</f>
        <v>0</v>
      </c>
      <c r="K57" s="87">
        <f ca="1">IF(ISNUMBER(RTen_DD[[#This Row],[Core Regression %]]),RTen_DD[[#This Row],[Core Regression %]],IF(ISBLANK(RTen_DD[[#This Row],[Core Regression %]]),OFFSET(RTen_DD[[#This Row],[Core Reg]],-1,0),0))</f>
        <v>37.099472045898437</v>
      </c>
      <c r="L57" s="100">
        <f>IF(ISBLANK(RTen_DD[[#This Row],[Escaping Defects]]),NA(),RTen_DD[[#This Row],[Escaping Defects]]/100)</f>
        <v>0.21541629791259764</v>
      </c>
    </row>
    <row r="58" spans="1:12">
      <c r="A58" s="83">
        <v>41779.64048321759</v>
      </c>
      <c r="B58" s="84">
        <v>6009</v>
      </c>
      <c r="C58" s="84">
        <v>1.2983857393264771</v>
      </c>
      <c r="D58" s="84"/>
      <c r="E58" s="84">
        <v>36.977699279785156</v>
      </c>
      <c r="F58" s="84">
        <v>21.712381362915039</v>
      </c>
      <c r="G58" s="85">
        <f t="shared" si="2"/>
        <v>212014</v>
      </c>
      <c r="H58" s="85">
        <f>RTen_DD[[#This Row],[Cumulative done story points]]</f>
        <v>6009</v>
      </c>
      <c r="I58" s="85">
        <f>IF(RTen_DD[[#This Row],[Cumulative done story points]]=0,0,RTen_DD[[#This Row],[Defect Density]])</f>
        <v>1.2983857393264771</v>
      </c>
      <c r="J58" s="87">
        <f ca="1">IF(ISNUMBER(RTen_DD[[#This Row],[Ext Regression %]]),RTen_DD[[#This Row],[Ext Regression %]],IF(ISBLANK(RTen_DD[[#This Row],[Ext Regression %]]),OFFSET(RTen_DD[[#This Row],[Ext Reg]],-1,0),0))</f>
        <v>0</v>
      </c>
      <c r="K58" s="87">
        <f ca="1">IF(ISNUMBER(RTen_DD[[#This Row],[Core Regression %]]),RTen_DD[[#This Row],[Core Regression %]],IF(ISBLANK(RTen_DD[[#This Row],[Core Regression %]]),OFFSET(RTen_DD[[#This Row],[Core Reg]],-1,0),0))</f>
        <v>36.977699279785156</v>
      </c>
      <c r="L58" s="100">
        <f>IF(ISBLANK(RTen_DD[[#This Row],[Escaping Defects]]),NA(),RTen_DD[[#This Row],[Escaping Defects]]/100)</f>
        <v>0.2171238136291504</v>
      </c>
    </row>
    <row r="59" spans="1:12">
      <c r="A59" s="83">
        <v>41786.64048321759</v>
      </c>
      <c r="B59" s="84">
        <v>6009</v>
      </c>
      <c r="C59" s="84">
        <v>1.3038774728775024</v>
      </c>
      <c r="D59" s="84"/>
      <c r="E59" s="84">
        <v>36.860240936279297</v>
      </c>
      <c r="F59" s="84">
        <v>21.901723861694336</v>
      </c>
      <c r="G59" s="85">
        <f t="shared" si="2"/>
        <v>222014</v>
      </c>
      <c r="H59" s="85">
        <f>RTen_DD[[#This Row],[Cumulative done story points]]</f>
        <v>6009</v>
      </c>
      <c r="I59" s="85">
        <f>IF(RTen_DD[[#This Row],[Cumulative done story points]]=0,0,RTen_DD[[#This Row],[Defect Density]])</f>
        <v>1.3038774728775024</v>
      </c>
      <c r="J59" s="87">
        <f ca="1">IF(ISNUMBER(RTen_DD[[#This Row],[Ext Regression %]]),RTen_DD[[#This Row],[Ext Regression %]],IF(ISBLANK(RTen_DD[[#This Row],[Ext Regression %]]),OFFSET(RTen_DD[[#This Row],[Ext Reg]],-1,0),0))</f>
        <v>0</v>
      </c>
      <c r="K59" s="87">
        <f ca="1">IF(ISNUMBER(RTen_DD[[#This Row],[Core Regression %]]),RTen_DD[[#This Row],[Core Regression %]],IF(ISBLANK(RTen_DD[[#This Row],[Core Regression %]]),OFFSET(RTen_DD[[#This Row],[Core Reg]],-1,0),0))</f>
        <v>36.860240936279297</v>
      </c>
      <c r="L59" s="100">
        <f>IF(ISBLANK(RTen_DD[[#This Row],[Escaping Defects]]),NA(),RTen_DD[[#This Row],[Escaping Defects]]/100)</f>
        <v>0.21901723861694336</v>
      </c>
    </row>
    <row r="60" spans="1:12">
      <c r="A60" s="83">
        <v>41793.64048321759</v>
      </c>
      <c r="B60" s="84">
        <v>6009</v>
      </c>
      <c r="C60" s="84">
        <v>1.3077051639556885</v>
      </c>
      <c r="D60" s="84"/>
      <c r="E60" s="84">
        <v>36.815982818603516</v>
      </c>
      <c r="F60" s="84">
        <v>22.092134475708008</v>
      </c>
      <c r="G60" s="85">
        <f t="shared" si="2"/>
        <v>232014</v>
      </c>
      <c r="H60" s="85">
        <f>RTen_DD[[#This Row],[Cumulative done story points]]</f>
        <v>6009</v>
      </c>
      <c r="I60" s="85">
        <f>IF(RTen_DD[[#This Row],[Cumulative done story points]]=0,0,RTen_DD[[#This Row],[Defect Density]])</f>
        <v>1.3077051639556885</v>
      </c>
      <c r="J60" s="87">
        <f ca="1">IF(ISNUMBER(RTen_DD[[#This Row],[Ext Regression %]]),RTen_DD[[#This Row],[Ext Regression %]],IF(ISBLANK(RTen_DD[[#This Row],[Ext Regression %]]),OFFSET(RTen_DD[[#This Row],[Ext Reg]],-1,0),0))</f>
        <v>0</v>
      </c>
      <c r="K60" s="87">
        <f ca="1">IF(ISNUMBER(RTen_DD[[#This Row],[Core Regression %]]),RTen_DD[[#This Row],[Core Regression %]],IF(ISBLANK(RTen_DD[[#This Row],[Core Regression %]]),OFFSET(RTen_DD[[#This Row],[Core Reg]],-1,0),0))</f>
        <v>36.815982818603516</v>
      </c>
      <c r="L60" s="100">
        <f>IF(ISBLANK(RTen_DD[[#This Row],[Escaping Defects]]),NA(),RTen_DD[[#This Row],[Escaping Defects]]/100)</f>
        <v>0.22092134475708008</v>
      </c>
    </row>
    <row r="61" spans="1:12">
      <c r="A61" s="83">
        <v>41800.64048321759</v>
      </c>
      <c r="B61" s="84">
        <v>6009</v>
      </c>
      <c r="C61" s="84">
        <v>1.3120319843292236</v>
      </c>
      <c r="D61" s="84"/>
      <c r="E61" s="84">
        <v>36.745307922363281</v>
      </c>
      <c r="F61" s="84">
        <v>22.272958755493164</v>
      </c>
      <c r="G61" s="85">
        <f t="shared" si="2"/>
        <v>242014</v>
      </c>
      <c r="H61" s="85">
        <f>RTen_DD[[#This Row],[Cumulative done story points]]</f>
        <v>6009</v>
      </c>
      <c r="I61" s="85">
        <f>IF(RTen_DD[[#This Row],[Cumulative done story points]]=0,0,RTen_DD[[#This Row],[Defect Density]])</f>
        <v>1.3120319843292236</v>
      </c>
      <c r="J61" s="87">
        <f ca="1">IF(ISNUMBER(RTen_DD[[#This Row],[Ext Regression %]]),RTen_DD[[#This Row],[Ext Regression %]],IF(ISBLANK(RTen_DD[[#This Row],[Ext Regression %]]),OFFSET(RTen_DD[[#This Row],[Ext Reg]],-1,0),0))</f>
        <v>0</v>
      </c>
      <c r="K61" s="87">
        <f ca="1">IF(ISNUMBER(RTen_DD[[#This Row],[Core Regression %]]),RTen_DD[[#This Row],[Core Regression %]],IF(ISBLANK(RTen_DD[[#This Row],[Core Regression %]]),OFFSET(RTen_DD[[#This Row],[Core Reg]],-1,0),0))</f>
        <v>36.745307922363281</v>
      </c>
      <c r="L61" s="100">
        <f>IF(ISBLANK(RTen_DD[[#This Row],[Escaping Defects]]),NA(),RTen_DD[[#This Row],[Escaping Defects]]/100)</f>
        <v>0.22272958755493164</v>
      </c>
    </row>
    <row r="62" spans="1:12">
      <c r="A62" s="83">
        <v>41807.64048321759</v>
      </c>
      <c r="B62" s="84">
        <v>6009</v>
      </c>
      <c r="C62" s="84">
        <v>1.3150274753570557</v>
      </c>
      <c r="D62" s="84"/>
      <c r="E62" s="84">
        <v>36.661605834960938</v>
      </c>
      <c r="F62" s="84">
        <v>22.399393081665039</v>
      </c>
      <c r="G62" s="85">
        <f t="shared" si="2"/>
        <v>252014</v>
      </c>
      <c r="H62" s="85">
        <f>RTen_DD[[#This Row],[Cumulative done story points]]</f>
        <v>6009</v>
      </c>
      <c r="I62" s="85">
        <f>IF(RTen_DD[[#This Row],[Cumulative done story points]]=0,0,RTen_DD[[#This Row],[Defect Density]])</f>
        <v>1.3150274753570557</v>
      </c>
      <c r="J62" s="87">
        <f ca="1">IF(ISNUMBER(RTen_DD[[#This Row],[Ext Regression %]]),RTen_DD[[#This Row],[Ext Regression %]],IF(ISBLANK(RTen_DD[[#This Row],[Ext Regression %]]),OFFSET(RTen_DD[[#This Row],[Ext Reg]],-1,0),0))</f>
        <v>0</v>
      </c>
      <c r="K62" s="87">
        <f ca="1">IF(ISNUMBER(RTen_DD[[#This Row],[Core Regression %]]),RTen_DD[[#This Row],[Core Regression %]],IF(ISBLANK(RTen_DD[[#This Row],[Core Regression %]]),OFFSET(RTen_DD[[#This Row],[Core Reg]],-1,0),0))</f>
        <v>36.661605834960938</v>
      </c>
      <c r="L62" s="100">
        <f>IF(ISBLANK(RTen_DD[[#This Row],[Escaping Defects]]),NA(),RTen_DD[[#This Row],[Escaping Defects]]/100)</f>
        <v>0.22399393081665039</v>
      </c>
    </row>
    <row r="63" spans="1:12">
      <c r="A63" s="83">
        <v>41814.64048321759</v>
      </c>
      <c r="B63" s="84">
        <v>6009</v>
      </c>
      <c r="C63" s="84">
        <v>1.3173573017120361</v>
      </c>
      <c r="D63" s="84"/>
      <c r="E63" s="84">
        <v>36.609397888183594</v>
      </c>
      <c r="F63" s="84">
        <v>22.473470687866211</v>
      </c>
      <c r="G63" s="85">
        <f t="shared" si="2"/>
        <v>262014</v>
      </c>
      <c r="H63" s="85">
        <f>RTen_DD[[#This Row],[Cumulative done story points]]</f>
        <v>6009</v>
      </c>
      <c r="I63" s="85">
        <f>IF(RTen_DD[[#This Row],[Cumulative done story points]]=0,0,RTen_DD[[#This Row],[Defect Density]])</f>
        <v>1.3173573017120361</v>
      </c>
      <c r="J63" s="87">
        <f ca="1">IF(ISNUMBER(RTen_DD[[#This Row],[Ext Regression %]]),RTen_DD[[#This Row],[Ext Regression %]],IF(ISBLANK(RTen_DD[[#This Row],[Ext Regression %]]),OFFSET(RTen_DD[[#This Row],[Ext Reg]],-1,0),0))</f>
        <v>0</v>
      </c>
      <c r="K63" s="87">
        <f ca="1">IF(ISNUMBER(RTen_DD[[#This Row],[Core Regression %]]),RTen_DD[[#This Row],[Core Regression %]],IF(ISBLANK(RTen_DD[[#This Row],[Core Regression %]]),OFFSET(RTen_DD[[#This Row],[Core Reg]],-1,0),0))</f>
        <v>36.609397888183594</v>
      </c>
      <c r="L63" s="100">
        <f>IF(ISBLANK(RTen_DD[[#This Row],[Escaping Defects]]),NA(),RTen_DD[[#This Row],[Escaping Defects]]/100)</f>
        <v>0.22473470687866212</v>
      </c>
    </row>
    <row r="64" spans="1:12">
      <c r="A64" s="83">
        <v>41821.64048321759</v>
      </c>
      <c r="B64" s="84">
        <v>6009</v>
      </c>
      <c r="C64" s="84">
        <v>1.3211848735809326</v>
      </c>
      <c r="D64" s="84"/>
      <c r="E64" s="84">
        <v>36.503337860107422</v>
      </c>
      <c r="F64" s="84">
        <v>22.496536254882812</v>
      </c>
      <c r="G64" s="85">
        <f t="shared" si="2"/>
        <v>272014</v>
      </c>
      <c r="H64" s="85">
        <f>RTen_DD[[#This Row],[Cumulative done story points]]</f>
        <v>6009</v>
      </c>
      <c r="I64" s="85">
        <f>IF(RTen_DD[[#This Row],[Cumulative done story points]]=0,0,RTen_DD[[#This Row],[Defect Density]])</f>
        <v>1.3211848735809326</v>
      </c>
      <c r="J64" s="87">
        <f ca="1">IF(ISNUMBER(RTen_DD[[#This Row],[Ext Regression %]]),RTen_DD[[#This Row],[Ext Regression %]],IF(ISBLANK(RTen_DD[[#This Row],[Ext Regression %]]),OFFSET(RTen_DD[[#This Row],[Ext Reg]],-1,0),0))</f>
        <v>0</v>
      </c>
      <c r="K64" s="87">
        <f ca="1">IF(ISNUMBER(RTen_DD[[#This Row],[Core Regression %]]),RTen_DD[[#This Row],[Core Regression %]],IF(ISBLANK(RTen_DD[[#This Row],[Core Regression %]]),OFFSET(RTen_DD[[#This Row],[Core Reg]],-1,0),0))</f>
        <v>36.503337860107422</v>
      </c>
      <c r="L64" s="100">
        <f>IF(ISBLANK(RTen_DD[[#This Row],[Escaping Defects]]),NA(),RTen_DD[[#This Row],[Escaping Defects]]/100)</f>
        <v>0.22496536254882812</v>
      </c>
    </row>
    <row r="65" spans="1:12">
      <c r="A65" s="83">
        <v>41828.64048321759</v>
      </c>
      <c r="B65" s="84">
        <v>6009</v>
      </c>
      <c r="C65" s="84">
        <v>1.3211848735809326</v>
      </c>
      <c r="D65" s="84"/>
      <c r="E65" s="84">
        <v>36.503337860107422</v>
      </c>
      <c r="F65" s="84"/>
      <c r="G65" s="85">
        <f t="shared" si="2"/>
        <v>282014</v>
      </c>
      <c r="H65" s="85">
        <f>RTen_DD[[#This Row],[Cumulative done story points]]</f>
        <v>6009</v>
      </c>
      <c r="I65" s="85">
        <f>IF(RTen_DD[[#This Row],[Cumulative done story points]]=0,0,RTen_DD[[#This Row],[Defect Density]])</f>
        <v>1.3211848735809326</v>
      </c>
      <c r="J65" s="87">
        <f ca="1">IF(ISNUMBER(RTen_DD[[#This Row],[Ext Regression %]]),RTen_DD[[#This Row],[Ext Regression %]],IF(ISBLANK(RTen_DD[[#This Row],[Ext Regression %]]),OFFSET(RTen_DD[[#This Row],[Ext Reg]],-1,0),0))</f>
        <v>0</v>
      </c>
      <c r="K65" s="87">
        <f ca="1">IF(ISNUMBER(RTen_DD[[#This Row],[Core Regression %]]),RTen_DD[[#This Row],[Core Regression %]],IF(ISBLANK(RTen_DD[[#This Row],[Core Regression %]]),OFFSET(RTen_DD[[#This Row],[Core Reg]],-1,0),0))</f>
        <v>36.503337860107422</v>
      </c>
      <c r="L65" s="100" t="e">
        <f>IF(ISBLANK(RTen_DD[[#This Row],[Escaping Defects]]),NA(),RTen_DD[[#This Row],[Escaping Defects]]/100)</f>
        <v>#N/A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R10"/>
  <sheetViews>
    <sheetView zoomScale="80" zoomScaleNormal="80" workbookViewId="0">
      <selection activeCell="H1" sqref="H1"/>
    </sheetView>
  </sheetViews>
  <sheetFormatPr defaultRowHeight="15"/>
  <sheetData>
    <row r="1" spans="1:18">
      <c r="A1" t="s">
        <v>34</v>
      </c>
      <c r="B1" s="46">
        <f ca="1">INDEX(DD_Table[TDM_DD],COUNT(DD_Table[Date]))</f>
        <v>5.736842155456543</v>
      </c>
      <c r="C1" s="45"/>
      <c r="D1" s="45"/>
      <c r="E1" s="45"/>
      <c r="F1" s="45"/>
      <c r="G1">
        <f ca="1">INT(SUM(B1:F1)*100)</f>
        <v>573</v>
      </c>
      <c r="I1" t="s">
        <v>34</v>
      </c>
      <c r="J1" s="44">
        <v>-0.3</v>
      </c>
      <c r="K1" s="44"/>
      <c r="L1" s="44"/>
      <c r="M1" s="44"/>
      <c r="N1" s="44"/>
      <c r="O1" s="30">
        <f ca="1">G1/100</f>
        <v>5.73</v>
      </c>
      <c r="P1" s="30">
        <v>-1</v>
      </c>
      <c r="Q1" s="45">
        <f ca="1">AVERAGE($B$1:$F$5)</f>
        <v>2.3849732995033266</v>
      </c>
      <c r="R1" s="45">
        <f ca="1">MAX($B$1:$F$5)</f>
        <v>5.736842155456543</v>
      </c>
    </row>
    <row r="2" spans="1:18">
      <c r="A2" t="s">
        <v>0</v>
      </c>
      <c r="B2" s="45"/>
      <c r="C2" s="46">
        <f ca="1">INDEX(DD_Table[Coles_DD],COUNT(DD_Table[Date]))</f>
        <v>0.52698415517807007</v>
      </c>
      <c r="D2" s="45"/>
      <c r="E2" s="45"/>
      <c r="F2" s="45"/>
      <c r="G2">
        <f ca="1">INT(SUM(B2:F2)*100)</f>
        <v>52</v>
      </c>
      <c r="I2" t="s">
        <v>0</v>
      </c>
      <c r="J2" s="44"/>
      <c r="K2" s="44">
        <v>-0.3</v>
      </c>
      <c r="L2" s="44"/>
      <c r="M2" s="44"/>
      <c r="N2" s="44"/>
      <c r="O2" s="30">
        <f ca="1">G2/100</f>
        <v>0.52</v>
      </c>
      <c r="P2" s="30">
        <v>-1</v>
      </c>
      <c r="Q2" s="45">
        <f t="shared" ref="Q2:Q6" ca="1" si="0">AVERAGE($B$1:$F$5)</f>
        <v>2.3849732995033266</v>
      </c>
      <c r="R2" s="45">
        <f t="shared" ref="R2:R6" ca="1" si="1">MAX($B$1:$F$5)</f>
        <v>5.736842155456543</v>
      </c>
    </row>
    <row r="3" spans="1:18">
      <c r="A3" t="s">
        <v>35</v>
      </c>
      <c r="B3" s="45"/>
      <c r="C3" s="45"/>
      <c r="D3" s="46">
        <f ca="1">INDEX(DD_Table[WOW_DD],COUNT(DD_Table[Date]))</f>
        <v>0.59425938129425049</v>
      </c>
      <c r="E3" s="45"/>
      <c r="F3" s="45"/>
      <c r="G3">
        <f ca="1">INT(SUM(B3:F3)*100)</f>
        <v>59</v>
      </c>
      <c r="I3" t="s">
        <v>35</v>
      </c>
      <c r="J3" s="44"/>
      <c r="K3" s="44"/>
      <c r="L3" s="44">
        <v>-0.3</v>
      </c>
      <c r="M3" s="44"/>
      <c r="N3" s="44"/>
      <c r="O3" s="30">
        <f ca="1">G3/100</f>
        <v>0.59</v>
      </c>
      <c r="P3" s="30">
        <v>-1</v>
      </c>
      <c r="Q3" s="45">
        <f t="shared" ca="1" si="0"/>
        <v>2.3849732995033266</v>
      </c>
      <c r="R3" s="45">
        <f t="shared" ca="1" si="1"/>
        <v>5.736842155456543</v>
      </c>
    </row>
    <row r="4" spans="1:18">
      <c r="A4" t="s">
        <v>14</v>
      </c>
      <c r="B4" s="45"/>
      <c r="C4" s="45"/>
      <c r="D4" s="45"/>
      <c r="E4" s="46">
        <f ca="1">INDEX(DD_Table[SSL_DD],COUNT(DD_Table[Date]))</f>
        <v>3.5170731544494629</v>
      </c>
      <c r="F4" s="45"/>
      <c r="G4">
        <f ca="1">INT(SUM(B4:F4)*100)</f>
        <v>351</v>
      </c>
      <c r="I4" t="s">
        <v>14</v>
      </c>
      <c r="J4" s="44"/>
      <c r="K4" s="44"/>
      <c r="L4" s="44"/>
      <c r="M4" s="44">
        <v>-0.3</v>
      </c>
      <c r="N4" s="44"/>
      <c r="O4" s="30">
        <f ca="1">G4/100</f>
        <v>3.51</v>
      </c>
      <c r="P4" s="30">
        <v>-1</v>
      </c>
      <c r="Q4" s="45">
        <f t="shared" ca="1" si="0"/>
        <v>2.3849732995033266</v>
      </c>
      <c r="R4" s="45">
        <f t="shared" ca="1" si="1"/>
        <v>5.736842155456543</v>
      </c>
    </row>
    <row r="5" spans="1:18">
      <c r="A5" t="s">
        <v>36</v>
      </c>
      <c r="B5" s="45"/>
      <c r="C5" s="45"/>
      <c r="D5" s="45"/>
      <c r="E5" s="45"/>
      <c r="F5" s="46">
        <f ca="1">INDEX(DD_Table[WFM_DD],COUNT(DD_Table[Date]))</f>
        <v>1.5497076511383057</v>
      </c>
      <c r="G5">
        <f ca="1">INT(SUM(B5:F5)*100)</f>
        <v>154</v>
      </c>
      <c r="I5" t="s">
        <v>36</v>
      </c>
      <c r="J5" s="44"/>
      <c r="K5" s="44"/>
      <c r="L5" s="44"/>
      <c r="M5" s="44"/>
      <c r="N5" s="44">
        <v>-0.3</v>
      </c>
      <c r="O5" s="30">
        <f ca="1">G5/100</f>
        <v>1.54</v>
      </c>
      <c r="P5" s="30">
        <v>-1</v>
      </c>
      <c r="Q5" s="45">
        <f t="shared" ca="1" si="0"/>
        <v>2.3849732995033266</v>
      </c>
      <c r="R5" s="45">
        <f t="shared" ca="1" si="1"/>
        <v>5.736842155456543</v>
      </c>
    </row>
    <row r="6" spans="1:18">
      <c r="A6" t="s">
        <v>37</v>
      </c>
      <c r="I6" t="s">
        <v>37</v>
      </c>
      <c r="J6">
        <f>J1</f>
        <v>-0.3</v>
      </c>
      <c r="K6">
        <f>K1</f>
        <v>0</v>
      </c>
      <c r="L6">
        <f>L1</f>
        <v>0</v>
      </c>
      <c r="M6">
        <f>M1</f>
        <v>0</v>
      </c>
      <c r="N6">
        <f>N1</f>
        <v>0</v>
      </c>
      <c r="O6" s="45">
        <f ca="1">INDEX(DD_Table[R10_DD],COUNT(DD_Table[Date]))</f>
        <v>1.3211848735809326</v>
      </c>
      <c r="P6">
        <f>P1</f>
        <v>-1</v>
      </c>
      <c r="Q6" s="45">
        <f t="shared" ca="1" si="0"/>
        <v>2.3849732995033266</v>
      </c>
      <c r="R6" s="45">
        <f t="shared" ca="1" si="1"/>
        <v>5.736842155456543</v>
      </c>
    </row>
    <row r="8" spans="1:18">
      <c r="A8" s="45">
        <f ca="1">AVERAGE($B$1:$F$5)</f>
        <v>2.3849732995033266</v>
      </c>
    </row>
    <row r="9" spans="1:18">
      <c r="A9" s="1"/>
    </row>
    <row r="10" spans="1:18">
      <c r="A10" t="s">
        <v>45</v>
      </c>
      <c r="B10">
        <f ca="1">INDEX(DD_Table[TDM_US],COUNT(DD_Table[Date]))</f>
        <v>19</v>
      </c>
      <c r="C10">
        <f ca="1">INDEX(DD_Table[Coles_US],COUNT(DD_Table[Date]))*5</f>
        <v>11025</v>
      </c>
      <c r="D10">
        <f ca="1">INDEX(DD_Table[WOW_US],COUNT(DD_Table[Date]))*5</f>
        <v>14110</v>
      </c>
      <c r="E10">
        <f ca="1">INDEX(DD_Table[SSL_US],COUNT(DD_Table[Date]))*5</f>
        <v>2050</v>
      </c>
      <c r="F10">
        <f ca="1">INDEX(DD_Table[WFM_US],COUNT(DD_Table[Date]))*5</f>
        <v>855</v>
      </c>
      <c r="O10">
        <f ca="1">INDEX(DD_Table[R10_US],COUNT(DD_Table[Date]))*5</f>
        <v>30045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R9"/>
  <sheetViews>
    <sheetView zoomScale="80" zoomScaleNormal="80" workbookViewId="0">
      <selection activeCell="R6" sqref="R6"/>
    </sheetView>
  </sheetViews>
  <sheetFormatPr defaultRowHeight="15"/>
  <sheetData>
    <row r="1" spans="1:18">
      <c r="A1" t="s">
        <v>34</v>
      </c>
      <c r="B1" s="46">
        <f>Data!CT2</f>
        <v>0.22093023255813954</v>
      </c>
      <c r="C1" s="45"/>
      <c r="D1" s="45"/>
      <c r="E1" s="45"/>
      <c r="F1" s="45"/>
      <c r="G1">
        <f>INT(SUM(B1:F1)*100)</f>
        <v>22</v>
      </c>
      <c r="I1" t="s">
        <v>34</v>
      </c>
      <c r="J1" s="1">
        <v>-0.2</v>
      </c>
      <c r="O1" s="30">
        <f>G1/100</f>
        <v>0.22</v>
      </c>
      <c r="P1" s="1">
        <v>-0.05</v>
      </c>
      <c r="Q1" s="1">
        <f>$A$8</f>
        <v>0.23950667418618332</v>
      </c>
      <c r="R1" s="1">
        <f>MAX($B$1:$F$5,$O$6)-Q1</f>
        <v>0.14117343414965777</v>
      </c>
    </row>
    <row r="2" spans="1:18">
      <c r="A2" t="s">
        <v>0</v>
      </c>
      <c r="B2" s="45"/>
      <c r="C2" s="46">
        <f>Table1[[#This Row],[Coels_E]]</f>
        <v>0.17287630402384502</v>
      </c>
      <c r="D2" s="45"/>
      <c r="E2" s="45"/>
      <c r="F2" s="45"/>
      <c r="G2">
        <f>INT(SUM(B2:F2)*100)</f>
        <v>17</v>
      </c>
      <c r="I2" t="s">
        <v>0</v>
      </c>
      <c r="J2" s="1"/>
      <c r="K2" s="1">
        <v>-0.2</v>
      </c>
      <c r="O2" s="30">
        <f>G2/100</f>
        <v>0.17</v>
      </c>
      <c r="P2" s="1">
        <v>-0.05</v>
      </c>
      <c r="Q2" s="1">
        <f t="shared" ref="Q2:Q5" si="0">$A$8</f>
        <v>0.23950667418618332</v>
      </c>
      <c r="R2" s="1">
        <f t="shared" ref="R2:R5" si="1">MAX($B$1:$F$5,$O$6)-Q2</f>
        <v>0.14117343414965777</v>
      </c>
    </row>
    <row r="3" spans="1:18">
      <c r="A3" t="s">
        <v>35</v>
      </c>
      <c r="B3" s="45"/>
      <c r="C3" s="45"/>
      <c r="D3" s="46">
        <f>Data!CX2</f>
        <v>0.38068010833584109</v>
      </c>
      <c r="E3" s="45"/>
      <c r="F3" s="45"/>
      <c r="G3">
        <f>INT(SUM(B3:F3)*100)</f>
        <v>38</v>
      </c>
      <c r="I3" t="s">
        <v>35</v>
      </c>
      <c r="L3" s="1">
        <v>-0.2</v>
      </c>
      <c r="O3" s="30">
        <f>G3/100</f>
        <v>0.38</v>
      </c>
      <c r="P3" s="1">
        <v>-0.05</v>
      </c>
      <c r="Q3" s="1">
        <f t="shared" si="0"/>
        <v>0.23950667418618332</v>
      </c>
      <c r="R3" s="1">
        <f t="shared" si="1"/>
        <v>0.14117343414965777</v>
      </c>
    </row>
    <row r="4" spans="1:18">
      <c r="A4" t="s">
        <v>14</v>
      </c>
      <c r="B4" s="45"/>
      <c r="C4" s="45"/>
      <c r="D4" s="45"/>
      <c r="E4" s="46">
        <f>Data!CZ2</f>
        <v>0.15943641082684465</v>
      </c>
      <c r="F4" s="45"/>
      <c r="G4">
        <f>INT(SUM(B4:F4)*100)</f>
        <v>15</v>
      </c>
      <c r="I4" t="s">
        <v>14</v>
      </c>
      <c r="M4" s="1">
        <v>-0.2</v>
      </c>
      <c r="O4" s="30">
        <f>G4/100</f>
        <v>0.15</v>
      </c>
      <c r="P4" s="1">
        <v>-0.05</v>
      </c>
      <c r="Q4" s="1">
        <f t="shared" si="0"/>
        <v>0.23950667418618332</v>
      </c>
      <c r="R4" s="1">
        <f t="shared" si="1"/>
        <v>0.14117343414965777</v>
      </c>
    </row>
    <row r="5" spans="1:18">
      <c r="A5" t="s">
        <v>36</v>
      </c>
      <c r="B5" s="45"/>
      <c r="C5" s="45"/>
      <c r="D5" s="45"/>
      <c r="E5" s="45"/>
      <c r="F5" s="46">
        <f>Data!DB2</f>
        <v>0.26361031518624639</v>
      </c>
      <c r="G5">
        <f>INT(SUM(B5:F5)*100)</f>
        <v>26</v>
      </c>
      <c r="I5" t="s">
        <v>36</v>
      </c>
      <c r="N5" s="1">
        <v>-0.2</v>
      </c>
      <c r="O5" s="30">
        <f>G5/100</f>
        <v>0.26</v>
      </c>
      <c r="P5" s="1">
        <v>-0.05</v>
      </c>
      <c r="Q5" s="1">
        <f t="shared" si="0"/>
        <v>0.23950667418618332</v>
      </c>
      <c r="R5" s="1">
        <f t="shared" si="1"/>
        <v>0.14117343414965777</v>
      </c>
    </row>
    <row r="6" spans="1:18">
      <c r="A6" t="s">
        <v>37</v>
      </c>
      <c r="O6" s="45">
        <f>Data!DG2</f>
        <v>0.26889863951736531</v>
      </c>
      <c r="Q6" s="45"/>
      <c r="R6" s="1"/>
    </row>
    <row r="8" spans="1:18">
      <c r="A8" s="1">
        <f>IFERROR(AVERAGE(B1:F5),"")</f>
        <v>0.23950667418618332</v>
      </c>
    </row>
    <row r="9" spans="1:18">
      <c r="A9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R9"/>
  <sheetViews>
    <sheetView zoomScale="80" zoomScaleNormal="80" workbookViewId="0">
      <selection activeCell="R1" sqref="R1"/>
    </sheetView>
  </sheetViews>
  <sheetFormatPr defaultRowHeight="15"/>
  <sheetData>
    <row r="1" spans="1:18">
      <c r="A1" t="s">
        <v>34</v>
      </c>
      <c r="B1" s="46">
        <f ca="1">INDEX(DD_Table[TDM_Ext_Reg],COUNT(DD_Table[Date]))</f>
        <v>18.348623275756836</v>
      </c>
      <c r="G1" s="45">
        <f ca="1">INT(SUM(B1:F1))</f>
        <v>18</v>
      </c>
      <c r="I1" t="s">
        <v>34</v>
      </c>
      <c r="J1" s="1">
        <v>-0.2</v>
      </c>
      <c r="O1" s="30">
        <f ca="1">G1/100</f>
        <v>0.18</v>
      </c>
      <c r="P1" s="1">
        <v>-0.05</v>
      </c>
      <c r="Q1" s="45">
        <f t="array" aca="1" ref="Q1:Q5" ca="1">AVERAGE($B$1:$F$5)/100</f>
        <v>0.19472784805297852</v>
      </c>
      <c r="R1" s="30">
        <f ca="1">MAX($B$1:$F$5,$O$6*100)/100-Q1</f>
        <v>0.22690877151489255</v>
      </c>
    </row>
    <row r="2" spans="1:18">
      <c r="A2" t="s">
        <v>0</v>
      </c>
      <c r="C2" s="46">
        <f ca="1">INDEX(DD_Table[Coles_Ext_Reg],COUNT(DD_Table[Date]))</f>
        <v>4.1308088302612305</v>
      </c>
      <c r="G2" s="45">
        <f t="shared" ref="G2:G5" ca="1" si="0">INT(SUM(B2:F2))</f>
        <v>4</v>
      </c>
      <c r="I2" t="s">
        <v>0</v>
      </c>
      <c r="J2" s="1"/>
      <c r="K2" s="1">
        <v>-0.2</v>
      </c>
      <c r="O2" s="30">
        <f ca="1">G2/100</f>
        <v>0.04</v>
      </c>
      <c r="P2" s="1">
        <v>-0.05</v>
      </c>
      <c r="Q2" s="45">
        <f ca="1"/>
        <v>0.19472784805297852</v>
      </c>
      <c r="R2" s="30">
        <f t="shared" ref="R2:R6" ca="1" si="1">MAX($B$1:$F$5,$O$6*100)/100-Q2</f>
        <v>0.22690877151489255</v>
      </c>
    </row>
    <row r="3" spans="1:18">
      <c r="A3" t="s">
        <v>35</v>
      </c>
      <c r="D3" s="46">
        <f ca="1">INDEX(DD_Table[WOW_Ext_Reg],COUNT(DD_Table[Date]))</f>
        <v>12.343470573425293</v>
      </c>
      <c r="G3" s="45">
        <f t="shared" ca="1" si="0"/>
        <v>12</v>
      </c>
      <c r="I3" t="s">
        <v>35</v>
      </c>
      <c r="L3" s="1">
        <v>-0.2</v>
      </c>
      <c r="O3" s="30">
        <f ca="1">G3/100</f>
        <v>0.12</v>
      </c>
      <c r="P3" s="1">
        <v>-0.05</v>
      </c>
      <c r="Q3" s="45">
        <f ca="1"/>
        <v>0.19472784805297852</v>
      </c>
      <c r="R3" s="30">
        <f t="shared" ca="1" si="1"/>
        <v>0.22690877151489255</v>
      </c>
    </row>
    <row r="4" spans="1:18">
      <c r="A4" t="s">
        <v>14</v>
      </c>
      <c r="E4" s="46">
        <f ca="1">INDEX(DD_Table[SSL_Ext_Reg],COUNT(DD_Table[Date]))</f>
        <v>42.163661956787109</v>
      </c>
      <c r="G4" s="45">
        <f t="shared" ca="1" si="0"/>
        <v>42</v>
      </c>
      <c r="I4" t="s">
        <v>14</v>
      </c>
      <c r="M4" s="1">
        <v>-0.2</v>
      </c>
      <c r="O4" s="30">
        <f ca="1">G4/100</f>
        <v>0.42</v>
      </c>
      <c r="P4" s="1">
        <v>-0.05</v>
      </c>
      <c r="Q4" s="45">
        <f ca="1"/>
        <v>0.19472784805297852</v>
      </c>
      <c r="R4" s="30">
        <f t="shared" ca="1" si="1"/>
        <v>0.22690877151489255</v>
      </c>
    </row>
    <row r="5" spans="1:18">
      <c r="A5" t="s">
        <v>36</v>
      </c>
      <c r="F5" s="46">
        <f ca="1">INDEX(DD_Table[WFM_Ext_Reg],COUNT(DD_Table[Date]))</f>
        <v>20.377359390258789</v>
      </c>
      <c r="G5" s="45">
        <f t="shared" ca="1" si="0"/>
        <v>20</v>
      </c>
      <c r="I5" t="s">
        <v>36</v>
      </c>
      <c r="N5" s="1">
        <v>-0.2</v>
      </c>
      <c r="O5" s="30">
        <f ca="1">G5/100</f>
        <v>0.2</v>
      </c>
      <c r="P5" s="1">
        <v>-0.05</v>
      </c>
      <c r="Q5" s="45">
        <f ca="1"/>
        <v>0.19472784805297852</v>
      </c>
      <c r="R5" s="30">
        <f t="shared" ca="1" si="1"/>
        <v>0.22690877151489255</v>
      </c>
    </row>
    <row r="6" spans="1:18">
      <c r="A6" t="s">
        <v>37</v>
      </c>
      <c r="I6" t="s">
        <v>37</v>
      </c>
      <c r="J6">
        <f>J1</f>
        <v>-0.2</v>
      </c>
      <c r="K6">
        <f>K1</f>
        <v>0</v>
      </c>
      <c r="L6">
        <f>L1</f>
        <v>0</v>
      </c>
      <c r="M6">
        <f>M1</f>
        <v>0</v>
      </c>
      <c r="N6">
        <f>N1</f>
        <v>0</v>
      </c>
      <c r="O6">
        <f ca="1">INDEX(DD_Table[R10_Core_Reg],COUNT(DD_Table[Date]))</f>
        <v>0.36503337860107421</v>
      </c>
      <c r="P6">
        <f>P1</f>
        <v>-0.05</v>
      </c>
      <c r="Q6" s="45">
        <f t="array" aca="1" ref="Q6" ca="1">AVERAGE($B$1:$F$5)/100</f>
        <v>0.19472784805297852</v>
      </c>
      <c r="R6" s="30">
        <f t="shared" ca="1" si="1"/>
        <v>0.22690877151489255</v>
      </c>
    </row>
    <row r="8" spans="1:18">
      <c r="A8" s="60">
        <f ca="1">AVERAGE(B1:F5)/100</f>
        <v>0.19472784805297852</v>
      </c>
    </row>
    <row r="9" spans="1:18">
      <c r="A9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R9"/>
  <sheetViews>
    <sheetView zoomScale="80" zoomScaleNormal="80" workbookViewId="0">
      <selection activeCell="R1" sqref="R1:R6"/>
    </sheetView>
  </sheetViews>
  <sheetFormatPr defaultRowHeight="15"/>
  <sheetData>
    <row r="1" spans="1:18">
      <c r="A1" t="s">
        <v>34</v>
      </c>
      <c r="B1" s="46">
        <f>Data!BJ2</f>
        <v>3.8</v>
      </c>
      <c r="C1" s="45"/>
      <c r="D1" s="45"/>
      <c r="E1" s="45"/>
      <c r="F1" s="45"/>
      <c r="G1">
        <f>INT(SUM(B1:F1)*100)</f>
        <v>380</v>
      </c>
      <c r="I1" t="s">
        <v>34</v>
      </c>
      <c r="J1" s="44">
        <v>-1.5</v>
      </c>
      <c r="K1" s="44"/>
      <c r="L1" s="44"/>
      <c r="M1" s="44"/>
      <c r="N1" s="44"/>
      <c r="O1" s="30">
        <f>G1/100</f>
        <v>3.8</v>
      </c>
      <c r="P1" s="30">
        <v>-0.5</v>
      </c>
      <c r="Q1" s="45">
        <f>AVERAGE($B$1:$F$5)</f>
        <v>3.705977011494253</v>
      </c>
      <c r="R1" s="45">
        <f>MAX($B$1:$F$5,$O$6)-Q1</f>
        <v>11.794022988505747</v>
      </c>
    </row>
    <row r="2" spans="1:18">
      <c r="A2" t="s">
        <v>0</v>
      </c>
      <c r="B2" s="45"/>
      <c r="C2" s="46">
        <f>Med_Table[[#This Row],[Coles_Med]]</f>
        <v>7.333333333333333</v>
      </c>
      <c r="D2" s="45"/>
      <c r="E2" s="45"/>
      <c r="F2" s="45"/>
      <c r="G2">
        <f>INT(SUM(B2:F2)*100)</f>
        <v>733</v>
      </c>
      <c r="I2" t="s">
        <v>0</v>
      </c>
      <c r="J2" s="44"/>
      <c r="K2" s="44">
        <f>J1</f>
        <v>-1.5</v>
      </c>
      <c r="L2" s="44"/>
      <c r="M2" s="44"/>
      <c r="N2" s="44"/>
      <c r="O2" s="30">
        <f>G2/100</f>
        <v>7.33</v>
      </c>
      <c r="P2" s="30">
        <v>-0.5</v>
      </c>
      <c r="Q2" s="45">
        <f t="shared" ref="Q2:Q6" si="0">AVERAGE($B$1:$F$5)</f>
        <v>3.705977011494253</v>
      </c>
      <c r="R2" s="45">
        <f t="shared" ref="R2:R6" si="1">MAX($B$1:$F$5,$O$6)-Q2</f>
        <v>11.794022988505747</v>
      </c>
    </row>
    <row r="3" spans="1:18">
      <c r="A3" t="s">
        <v>35</v>
      </c>
      <c r="B3" s="45"/>
      <c r="C3" s="45"/>
      <c r="D3" s="46">
        <f>Data!BL2</f>
        <v>4.5</v>
      </c>
      <c r="E3" s="45"/>
      <c r="F3" s="45"/>
      <c r="G3">
        <f>INT(SUM(B3:F3)*100)</f>
        <v>450</v>
      </c>
      <c r="I3" t="s">
        <v>35</v>
      </c>
      <c r="J3" s="44"/>
      <c r="K3" s="44"/>
      <c r="L3" s="44">
        <f>J1</f>
        <v>-1.5</v>
      </c>
      <c r="M3" s="44"/>
      <c r="N3" s="44"/>
      <c r="O3" s="30">
        <f>G3/100</f>
        <v>4.5</v>
      </c>
      <c r="P3" s="30">
        <v>-0.5</v>
      </c>
      <c r="Q3" s="45">
        <f t="shared" si="0"/>
        <v>3.705977011494253</v>
      </c>
      <c r="R3" s="45">
        <f t="shared" si="1"/>
        <v>11.794022988505747</v>
      </c>
    </row>
    <row r="4" spans="1:18">
      <c r="A4" t="s">
        <v>14</v>
      </c>
      <c r="B4" s="45"/>
      <c r="C4" s="45"/>
      <c r="D4" s="45"/>
      <c r="E4" s="46">
        <f>Data!BM2</f>
        <v>1.896551724137931</v>
      </c>
      <c r="F4" s="45"/>
      <c r="G4">
        <f>INT(SUM(B4:F4)*100)</f>
        <v>189</v>
      </c>
      <c r="I4" t="s">
        <v>14</v>
      </c>
      <c r="J4" s="44"/>
      <c r="K4" s="44"/>
      <c r="L4" s="44"/>
      <c r="M4" s="44">
        <f>J1</f>
        <v>-1.5</v>
      </c>
      <c r="N4" s="44"/>
      <c r="O4" s="30">
        <f>G4/100</f>
        <v>1.89</v>
      </c>
      <c r="P4" s="30">
        <v>-0.5</v>
      </c>
      <c r="Q4" s="45">
        <f t="shared" si="0"/>
        <v>3.705977011494253</v>
      </c>
      <c r="R4" s="45">
        <f t="shared" si="1"/>
        <v>11.794022988505747</v>
      </c>
    </row>
    <row r="5" spans="1:18">
      <c r="A5" t="s">
        <v>36</v>
      </c>
      <c r="B5" s="45"/>
      <c r="C5" s="45"/>
      <c r="D5" s="45"/>
      <c r="E5" s="45"/>
      <c r="F5" s="46">
        <f>Data!BN2</f>
        <v>1</v>
      </c>
      <c r="G5">
        <f>INT(SUM(B5:F5)*100)</f>
        <v>100</v>
      </c>
      <c r="I5" t="s">
        <v>36</v>
      </c>
      <c r="J5" s="44"/>
      <c r="K5" s="44"/>
      <c r="L5" s="44"/>
      <c r="M5" s="44"/>
      <c r="N5" s="44">
        <f>J1</f>
        <v>-1.5</v>
      </c>
      <c r="O5" s="30">
        <f>G5/100</f>
        <v>1</v>
      </c>
      <c r="P5" s="30">
        <v>-0.5</v>
      </c>
      <c r="Q5" s="45">
        <f t="shared" si="0"/>
        <v>3.705977011494253</v>
      </c>
      <c r="R5" s="45">
        <f t="shared" si="1"/>
        <v>11.794022988505747</v>
      </c>
    </row>
    <row r="6" spans="1:18">
      <c r="A6" t="s">
        <v>37</v>
      </c>
      <c r="J6">
        <f>J1</f>
        <v>-1.5</v>
      </c>
      <c r="K6">
        <f>K1</f>
        <v>0</v>
      </c>
      <c r="L6">
        <f>L1</f>
        <v>0</v>
      </c>
      <c r="M6">
        <f>M1</f>
        <v>0</v>
      </c>
      <c r="N6">
        <f>N1</f>
        <v>0</v>
      </c>
      <c r="O6" s="45">
        <f>Data!BQ2</f>
        <v>15.5</v>
      </c>
      <c r="P6">
        <f>P1</f>
        <v>-0.5</v>
      </c>
      <c r="Q6" s="45">
        <f t="shared" si="0"/>
        <v>3.705977011494253</v>
      </c>
      <c r="R6" s="45">
        <f t="shared" si="1"/>
        <v>11.794022988505747</v>
      </c>
    </row>
    <row r="8" spans="1:18">
      <c r="A8" s="45">
        <f>AVERAGE($B$1:$F$5)</f>
        <v>3.705977011494253</v>
      </c>
    </row>
    <row r="9" spans="1:18">
      <c r="A9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9"/>
  <sheetViews>
    <sheetView zoomScale="80" zoomScaleNormal="80" workbookViewId="0">
      <selection activeCell="B9" sqref="B9"/>
    </sheetView>
  </sheetViews>
  <sheetFormatPr defaultRowHeight="15"/>
  <sheetData>
    <row r="1" spans="1:18">
      <c r="A1" t="s">
        <v>34</v>
      </c>
      <c r="B1" s="43">
        <f ca="1">INDEX(DD_Table[TDM_DDP],COUNT(DD_Table[Date]))</f>
        <v>0.24516129032258063</v>
      </c>
      <c r="G1">
        <f ca="1">INT(SUM(B1:F1)*100)</f>
        <v>24</v>
      </c>
      <c r="I1" t="s">
        <v>34</v>
      </c>
      <c r="J1" s="1">
        <v>-0.2</v>
      </c>
      <c r="O1" s="30">
        <f ca="1">G1/100</f>
        <v>0.24</v>
      </c>
      <c r="P1" s="1">
        <v>-0.05</v>
      </c>
      <c r="Q1" s="1">
        <f ca="1">$A$8</f>
        <v>0.22496536254882812</v>
      </c>
      <c r="R1" s="1"/>
    </row>
    <row r="2" spans="1:18">
      <c r="A2" t="s">
        <v>0</v>
      </c>
      <c r="C2" s="43">
        <f ca="1">INDEX(DD_Table[Coles_DDP],COUNT(DD_Table[Date]))</f>
        <v>0.18516674962667995</v>
      </c>
      <c r="G2">
        <f ca="1">INT(SUM(B2:F2)*100)</f>
        <v>18</v>
      </c>
      <c r="I2" t="s">
        <v>0</v>
      </c>
      <c r="J2" s="1"/>
      <c r="K2" s="1">
        <v>-0.2</v>
      </c>
      <c r="O2" s="30">
        <f ca="1">G2/100</f>
        <v>0.18</v>
      </c>
      <c r="P2" s="1">
        <v>-0.05</v>
      </c>
      <c r="Q2" s="1">
        <f t="shared" ref="Q2:Q5" ca="1" si="0">$A$8</f>
        <v>0.22496536254882812</v>
      </c>
      <c r="R2" s="1"/>
    </row>
    <row r="3" spans="1:18">
      <c r="A3" t="s">
        <v>35</v>
      </c>
      <c r="D3" s="43">
        <f ca="1">INDEX(DD_Table[WOW_DDP],COUNT(DD_Table[Date]))</f>
        <v>0.35086181711948583</v>
      </c>
      <c r="G3">
        <f ca="1">INT(SUM(B3:F3)*100)</f>
        <v>35</v>
      </c>
      <c r="I3" t="s">
        <v>35</v>
      </c>
      <c r="L3" s="1">
        <v>-0.2</v>
      </c>
      <c r="O3" s="30">
        <f ca="1">G3/100</f>
        <v>0.35</v>
      </c>
      <c r="P3" s="1">
        <v>-0.05</v>
      </c>
      <c r="Q3" s="1">
        <f t="shared" ca="1" si="0"/>
        <v>0.22496536254882812</v>
      </c>
      <c r="R3" s="1"/>
    </row>
    <row r="4" spans="1:18">
      <c r="A4" t="s">
        <v>14</v>
      </c>
      <c r="E4" s="43">
        <f ca="1">INDEX(DD_Table[SSL_DDP],COUNT(DD_Table[Date]))</f>
        <v>0.32415902140672781</v>
      </c>
      <c r="G4">
        <f ca="1">INT(SUM(B4:F4)*100)</f>
        <v>32</v>
      </c>
      <c r="I4" t="s">
        <v>14</v>
      </c>
      <c r="M4" s="1">
        <v>-0.2</v>
      </c>
      <c r="O4" s="30">
        <f ca="1">G4/100</f>
        <v>0.32</v>
      </c>
      <c r="P4" s="1">
        <v>-0.05</v>
      </c>
      <c r="Q4" s="1">
        <f t="shared" ca="1" si="0"/>
        <v>0.22496536254882812</v>
      </c>
      <c r="R4" s="1"/>
    </row>
    <row r="5" spans="1:18">
      <c r="A5" t="s">
        <v>36</v>
      </c>
      <c r="F5" s="43">
        <f ca="1">INDEX(DD_Table[WFM_DDP],COUNT(DD_Table[Date]))</f>
        <v>0.23175182481751824</v>
      </c>
      <c r="G5">
        <f ca="1">INT(SUM(B5:F5)*100)</f>
        <v>23</v>
      </c>
      <c r="I5" t="s">
        <v>36</v>
      </c>
      <c r="N5" s="1">
        <v>-0.2</v>
      </c>
      <c r="O5" s="30">
        <f ca="1">G5/100</f>
        <v>0.23</v>
      </c>
      <c r="P5" s="1">
        <v>-0.05</v>
      </c>
      <c r="Q5" s="1">
        <f t="shared" ca="1" si="0"/>
        <v>0.22496536254882812</v>
      </c>
      <c r="R5" s="1"/>
    </row>
    <row r="6" spans="1:18">
      <c r="A6" t="s">
        <v>37</v>
      </c>
      <c r="I6" t="s">
        <v>37</v>
      </c>
    </row>
    <row r="8" spans="1:18">
      <c r="A8" s="1">
        <f ca="1">B8</f>
        <v>0.22496536254882812</v>
      </c>
      <c r="B8">
        <f ca="1">INDEX(DD_Table[Core_DDP],COUNT(DD_Table[Date]))</f>
        <v>0.22496536254882812</v>
      </c>
    </row>
    <row r="9" spans="1:18">
      <c r="A9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B1:AT74"/>
  <sheetViews>
    <sheetView showGridLines="0" showRowColHeaders="0" tabSelected="1" topLeftCell="A7" zoomScale="85" zoomScaleNormal="85" zoomScaleSheetLayoutView="70" workbookViewId="0"/>
  </sheetViews>
  <sheetFormatPr defaultRowHeight="15"/>
  <cols>
    <col min="1" max="1" width="1.42578125" customWidth="1"/>
    <col min="2" max="2" width="9.7109375" customWidth="1"/>
    <col min="3" max="3" width="1.42578125" customWidth="1"/>
    <col min="4" max="4" width="9.7109375" customWidth="1"/>
    <col min="5" max="5" width="1.42578125" customWidth="1"/>
    <col min="6" max="6" width="9.7109375" customWidth="1"/>
    <col min="7" max="7" width="1.42578125" customWidth="1"/>
    <col min="8" max="8" width="9.7109375" customWidth="1"/>
    <col min="9" max="9" width="1.42578125" customWidth="1"/>
    <col min="10" max="10" width="9.7109375" customWidth="1"/>
    <col min="11" max="11" width="1.42578125" customWidth="1"/>
    <col min="12" max="12" width="9.7109375" customWidth="1"/>
    <col min="13" max="13" width="1.42578125" customWidth="1"/>
    <col min="14" max="14" width="9.7109375" customWidth="1"/>
    <col min="15" max="15" width="1.42578125" customWidth="1"/>
    <col min="16" max="16" width="9.7109375" customWidth="1"/>
    <col min="17" max="17" width="1.42578125" customWidth="1"/>
    <col min="18" max="18" width="9.7109375" customWidth="1"/>
    <col min="19" max="19" width="1.42578125" customWidth="1"/>
    <col min="20" max="20" width="9.7109375" customWidth="1"/>
    <col min="21" max="21" width="1.42578125" customWidth="1"/>
    <col min="22" max="22" width="9.7109375" customWidth="1"/>
    <col min="23" max="23" width="1.42578125" customWidth="1"/>
    <col min="24" max="24" width="9.7109375" customWidth="1"/>
    <col min="25" max="25" width="1.42578125" customWidth="1"/>
    <col min="26" max="26" width="9.7109375" customWidth="1"/>
    <col min="27" max="27" width="1.42578125" customWidth="1"/>
    <col min="28" max="28" width="9.7109375" customWidth="1"/>
    <col min="29" max="29" width="1.42578125" customWidth="1"/>
    <col min="30" max="30" width="9.7109375" customWidth="1"/>
    <col min="31" max="31" width="1.42578125" customWidth="1"/>
    <col min="32" max="32" width="9.7109375" customWidth="1"/>
    <col min="33" max="33" width="1.42578125" customWidth="1"/>
    <col min="34" max="34" width="9.7109375" customWidth="1"/>
    <col min="35" max="35" width="1.42578125" customWidth="1"/>
    <col min="36" max="36" width="9.7109375" customWidth="1"/>
    <col min="37" max="37" width="1.42578125" customWidth="1"/>
    <col min="38" max="38" width="9.7109375" customWidth="1"/>
    <col min="39" max="39" width="1.42578125" customWidth="1"/>
    <col min="40" max="40" width="9.7109375" customWidth="1"/>
    <col min="41" max="41" width="1.42578125" customWidth="1"/>
    <col min="42" max="42" width="9.7109375" customWidth="1"/>
    <col min="43" max="43" width="1.42578125" customWidth="1"/>
    <col min="44" max="44" width="9.7109375" customWidth="1"/>
    <col min="45" max="45" width="1.42578125" customWidth="1"/>
  </cols>
  <sheetData>
    <row r="1" spans="2:46" s="5" customFormat="1" ht="15.75">
      <c r="B1" s="2"/>
      <c r="C1" s="3"/>
      <c r="D1" s="2"/>
      <c r="E1" s="3"/>
      <c r="F1" s="2"/>
      <c r="G1" s="3"/>
      <c r="H1" s="2"/>
      <c r="I1" s="3"/>
      <c r="J1" s="2"/>
      <c r="K1" s="3"/>
      <c r="L1" s="2"/>
      <c r="M1" s="3"/>
      <c r="N1" s="2"/>
      <c r="O1" s="3"/>
      <c r="P1" s="2"/>
      <c r="Q1" s="3"/>
      <c r="R1" s="2"/>
      <c r="S1" s="3"/>
      <c r="T1" s="2"/>
      <c r="U1" s="3"/>
      <c r="V1" s="2"/>
      <c r="W1" s="3"/>
      <c r="X1" s="2"/>
      <c r="Y1" s="3"/>
      <c r="Z1" s="2"/>
      <c r="AA1" s="3"/>
      <c r="AB1" s="2"/>
      <c r="AC1" s="3"/>
      <c r="AD1" s="2"/>
      <c r="AE1" s="3"/>
      <c r="AF1" s="2"/>
      <c r="AG1" s="3"/>
      <c r="AH1" s="2"/>
      <c r="AI1" s="3"/>
      <c r="AJ1" s="2"/>
      <c r="AK1" s="3"/>
      <c r="AL1" s="2"/>
      <c r="AM1" s="3"/>
      <c r="AN1" s="2"/>
      <c r="AO1" s="3"/>
      <c r="AP1" s="101">
        <f ca="1">TODAY()</f>
        <v>41837</v>
      </c>
      <c r="AQ1" s="101"/>
      <c r="AR1" s="101"/>
      <c r="AS1" s="101"/>
      <c r="AT1" s="4"/>
    </row>
    <row r="2" spans="2:46" s="5" customFormat="1" ht="35.25">
      <c r="B2" s="6" t="s">
        <v>7</v>
      </c>
      <c r="C2" s="3"/>
      <c r="D2" s="6"/>
      <c r="E2" s="3"/>
      <c r="F2" s="6"/>
      <c r="G2" s="3"/>
      <c r="H2" s="6"/>
      <c r="I2" s="3"/>
      <c r="J2" s="6"/>
      <c r="K2" s="3"/>
      <c r="L2" s="6"/>
      <c r="M2" s="3"/>
      <c r="N2" s="6"/>
      <c r="O2" s="3"/>
      <c r="P2" s="6"/>
      <c r="Q2" s="3"/>
      <c r="R2" s="6"/>
      <c r="S2" s="3"/>
      <c r="T2" s="6"/>
      <c r="U2" s="3"/>
      <c r="V2" s="6"/>
      <c r="W2" s="3"/>
      <c r="X2" s="6"/>
      <c r="Y2" s="3"/>
      <c r="Z2" s="6"/>
      <c r="AA2" s="3"/>
      <c r="AB2" s="6"/>
      <c r="AC2" s="3"/>
      <c r="AD2" s="6"/>
      <c r="AE2" s="3"/>
      <c r="AF2" s="6"/>
      <c r="AG2" s="3"/>
      <c r="AH2" s="6"/>
      <c r="AI2" s="3"/>
      <c r="AJ2" s="6"/>
      <c r="AK2" s="3"/>
      <c r="AL2" s="6"/>
      <c r="AM2" s="3"/>
      <c r="AN2" s="6"/>
      <c r="AO2" s="3"/>
      <c r="AP2" s="6"/>
      <c r="AQ2" s="3"/>
      <c r="AR2" s="3"/>
      <c r="AS2" s="3"/>
      <c r="AT2" s="4"/>
    </row>
    <row r="3" spans="2:46" s="5" customFormat="1" ht="17.25" customHeight="1" thickBot="1">
      <c r="B3" s="7"/>
      <c r="C3" s="8"/>
      <c r="D3" s="7"/>
      <c r="E3" s="8"/>
      <c r="F3" s="7"/>
      <c r="G3" s="8"/>
      <c r="H3" s="7"/>
      <c r="I3" s="8"/>
      <c r="J3" s="7"/>
      <c r="K3" s="8"/>
      <c r="L3" s="7"/>
      <c r="M3" s="8"/>
      <c r="N3" s="7"/>
      <c r="O3" s="8"/>
      <c r="P3" s="7"/>
      <c r="Q3" s="8"/>
      <c r="R3" s="7"/>
      <c r="S3" s="8"/>
      <c r="T3" s="7"/>
      <c r="U3" s="8"/>
      <c r="V3" s="7"/>
      <c r="W3" s="8"/>
      <c r="X3" s="7"/>
      <c r="Y3" s="8"/>
      <c r="Z3" s="7"/>
      <c r="AA3" s="8"/>
      <c r="AB3" s="7"/>
      <c r="AC3" s="8"/>
      <c r="AD3" s="7"/>
      <c r="AE3" s="8"/>
      <c r="AF3" s="7"/>
      <c r="AG3" s="8"/>
      <c r="AH3" s="7"/>
      <c r="AI3" s="8"/>
      <c r="AJ3" s="7"/>
      <c r="AK3" s="8"/>
      <c r="AL3" s="7"/>
      <c r="AM3" s="8"/>
      <c r="AN3" s="7"/>
      <c r="AO3" s="8"/>
      <c r="AP3" s="7"/>
      <c r="AQ3" s="8"/>
      <c r="AR3" s="8"/>
      <c r="AS3" s="8"/>
      <c r="AT3" s="4"/>
    </row>
    <row r="4" spans="2:46" s="11" customFormat="1" ht="7.5" customHeight="1">
      <c r="B4" s="9"/>
      <c r="C4" s="10"/>
      <c r="D4" s="9"/>
      <c r="E4" s="10"/>
      <c r="F4" s="9"/>
      <c r="G4" s="10"/>
      <c r="H4" s="9"/>
      <c r="I4" s="10"/>
      <c r="J4" s="9"/>
      <c r="K4" s="10"/>
      <c r="L4" s="9"/>
      <c r="M4" s="10"/>
      <c r="N4" s="9"/>
      <c r="O4" s="10"/>
      <c r="P4" s="9"/>
      <c r="Q4" s="10"/>
      <c r="R4" s="9"/>
      <c r="S4" s="10"/>
      <c r="T4" s="9"/>
      <c r="U4" s="10"/>
      <c r="V4" s="9"/>
      <c r="W4" s="10"/>
      <c r="X4" s="9"/>
      <c r="Y4" s="10"/>
      <c r="Z4" s="9"/>
      <c r="AA4" s="10"/>
      <c r="AB4" s="9"/>
      <c r="AC4" s="10"/>
      <c r="AD4" s="9"/>
      <c r="AE4" s="10"/>
      <c r="AF4" s="9"/>
      <c r="AG4" s="10"/>
      <c r="AH4" s="9"/>
      <c r="AI4" s="10"/>
      <c r="AJ4" s="9"/>
      <c r="AK4" s="10"/>
      <c r="AL4" s="9"/>
      <c r="AM4" s="10"/>
      <c r="AN4" s="9"/>
      <c r="AO4" s="10"/>
      <c r="AP4" s="9"/>
      <c r="AQ4" s="10"/>
      <c r="AR4" s="10"/>
      <c r="AS4" s="10"/>
      <c r="AT4" s="9"/>
    </row>
    <row r="5" spans="2:46">
      <c r="B5" s="1"/>
    </row>
    <row r="6" spans="2:46" ht="20.25">
      <c r="B6" s="17" t="s">
        <v>2</v>
      </c>
      <c r="D6" s="17"/>
      <c r="F6" s="17"/>
      <c r="H6" s="17"/>
      <c r="J6" s="17"/>
      <c r="L6" s="17"/>
      <c r="N6" s="17"/>
      <c r="P6" s="17"/>
      <c r="R6" s="17"/>
      <c r="T6" s="17"/>
      <c r="V6" s="17"/>
      <c r="X6" s="17"/>
      <c r="Z6" s="17"/>
      <c r="AB6" s="17"/>
      <c r="AD6" s="17"/>
      <c r="AF6" s="17"/>
      <c r="AH6" s="17"/>
      <c r="AJ6" s="17"/>
      <c r="AL6" s="17"/>
      <c r="AN6" s="17"/>
      <c r="AP6" s="17"/>
    </row>
    <row r="7" spans="2:46" ht="7.5" customHeight="1">
      <c r="B7" s="17"/>
      <c r="D7" s="17"/>
      <c r="F7" s="17"/>
      <c r="H7" s="17"/>
      <c r="J7" s="17"/>
      <c r="L7" s="17"/>
      <c r="N7" s="17"/>
      <c r="P7" s="17"/>
      <c r="R7" s="17"/>
      <c r="T7" s="17"/>
      <c r="V7" s="17"/>
      <c r="X7" s="17"/>
      <c r="Z7" s="17"/>
      <c r="AB7" s="17"/>
      <c r="AD7" s="17"/>
      <c r="AF7" s="17"/>
      <c r="AH7" s="17"/>
      <c r="AJ7" s="17"/>
      <c r="AL7" s="17"/>
      <c r="AN7" s="17"/>
      <c r="AP7" s="17"/>
    </row>
    <row r="8" spans="2:46" ht="16.5" thickBot="1">
      <c r="B8" s="18" t="s">
        <v>148</v>
      </c>
      <c r="C8" s="22"/>
      <c r="D8" s="23"/>
      <c r="F8" s="18" t="s">
        <v>6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3"/>
      <c r="T8" s="18" t="s">
        <v>13</v>
      </c>
      <c r="U8" s="22"/>
      <c r="V8" s="23"/>
      <c r="X8" s="18" t="s">
        <v>9</v>
      </c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3"/>
    </row>
    <row r="9" spans="2:46">
      <c r="B9" s="20"/>
      <c r="C9" s="24"/>
      <c r="D9" s="25"/>
      <c r="F9" s="20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5"/>
      <c r="T9" s="20"/>
      <c r="U9" s="24"/>
      <c r="V9" s="25"/>
      <c r="X9" s="20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5"/>
    </row>
    <row r="10" spans="2:46">
      <c r="B10" s="21"/>
      <c r="C10" s="26"/>
      <c r="D10" s="27"/>
      <c r="F10" s="21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7"/>
      <c r="T10" s="21"/>
      <c r="U10" s="26"/>
      <c r="V10" s="27"/>
      <c r="X10" s="21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7"/>
    </row>
    <row r="11" spans="2:46">
      <c r="B11" s="21"/>
      <c r="C11" s="26"/>
      <c r="D11" s="27"/>
      <c r="F11" s="21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7"/>
      <c r="T11" s="21"/>
      <c r="U11" s="26"/>
      <c r="V11" s="27"/>
      <c r="X11" s="21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7"/>
    </row>
    <row r="12" spans="2:46">
      <c r="B12" s="21"/>
      <c r="C12" s="26"/>
      <c r="D12" s="27"/>
      <c r="F12" s="2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7"/>
      <c r="T12" s="21"/>
      <c r="U12" s="26"/>
      <c r="V12" s="27"/>
      <c r="X12" s="21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7"/>
    </row>
    <row r="13" spans="2:46">
      <c r="B13" s="21"/>
      <c r="C13" s="26"/>
      <c r="D13" s="27"/>
      <c r="F13" s="2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7"/>
      <c r="T13" s="21"/>
      <c r="U13" s="26"/>
      <c r="V13" s="27"/>
      <c r="X13" s="21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7"/>
    </row>
    <row r="14" spans="2:46">
      <c r="B14" s="21"/>
      <c r="C14" s="26"/>
      <c r="D14" s="27"/>
      <c r="F14" s="21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7"/>
      <c r="T14" s="21"/>
      <c r="U14" s="26"/>
      <c r="V14" s="27"/>
      <c r="X14" s="21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7"/>
    </row>
    <row r="15" spans="2:46" ht="12" customHeight="1">
      <c r="B15" s="21"/>
      <c r="C15" s="26"/>
      <c r="D15" s="75" t="s">
        <v>131</v>
      </c>
      <c r="F15" s="21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T15" s="21"/>
      <c r="U15" s="26"/>
      <c r="V15" s="27"/>
      <c r="X15" s="21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7"/>
    </row>
    <row r="16" spans="2:46" ht="12" customHeight="1">
      <c r="B16" s="21"/>
      <c r="C16" s="26"/>
      <c r="D16" s="75" t="s">
        <v>132</v>
      </c>
      <c r="F16" s="2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7"/>
      <c r="T16" s="21"/>
      <c r="U16" s="26"/>
      <c r="V16" s="27"/>
      <c r="X16" s="21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7"/>
    </row>
    <row r="17" spans="2:44" ht="12" customHeight="1">
      <c r="B17" s="19"/>
      <c r="C17" s="28"/>
      <c r="D17" s="76" t="s">
        <v>133</v>
      </c>
      <c r="F17" s="19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9"/>
      <c r="T17" s="19"/>
      <c r="U17" s="28"/>
      <c r="V17" s="29"/>
      <c r="X17" s="19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9"/>
    </row>
    <row r="19" spans="2:44" ht="20.25">
      <c r="B19" s="17" t="s">
        <v>3</v>
      </c>
      <c r="D19" s="17"/>
      <c r="F19" s="17"/>
      <c r="H19" s="17"/>
      <c r="J19" s="17"/>
      <c r="L19" s="17"/>
      <c r="N19" s="17"/>
      <c r="P19" s="17"/>
      <c r="R19" s="17"/>
      <c r="T19" s="17"/>
      <c r="V19" s="17"/>
      <c r="X19" s="17"/>
      <c r="Z19" s="17"/>
      <c r="AB19" s="17"/>
      <c r="AD19" s="17"/>
      <c r="AF19" s="17"/>
      <c r="AH19" s="17"/>
      <c r="AJ19" s="17"/>
      <c r="AL19" s="17"/>
      <c r="AN19" s="17"/>
      <c r="AP19" s="17"/>
    </row>
    <row r="20" spans="2:44" ht="7.5" customHeight="1">
      <c r="B20" s="17"/>
      <c r="D20" s="17"/>
      <c r="F20" s="17"/>
      <c r="H20" s="17"/>
      <c r="J20" s="17"/>
      <c r="L20" s="17"/>
      <c r="N20" s="17"/>
      <c r="P20" s="17"/>
      <c r="R20" s="17"/>
      <c r="T20" s="17"/>
      <c r="V20" s="17"/>
      <c r="X20" s="17"/>
      <c r="Z20" s="17"/>
      <c r="AB20" s="17"/>
      <c r="AD20" s="17"/>
      <c r="AF20" s="17"/>
      <c r="AH20" s="17"/>
      <c r="AJ20" s="17"/>
      <c r="AL20" s="17"/>
      <c r="AN20" s="17"/>
      <c r="AP20" s="17"/>
    </row>
    <row r="21" spans="2:44" ht="16.5" thickBot="1">
      <c r="B21" s="18" t="s">
        <v>148</v>
      </c>
      <c r="C21" s="22"/>
      <c r="D21" s="23"/>
      <c r="F21" s="18" t="s">
        <v>6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3"/>
      <c r="T21" s="18" t="s">
        <v>13</v>
      </c>
      <c r="U21" s="22"/>
      <c r="V21" s="23"/>
      <c r="X21" s="18" t="s">
        <v>9</v>
      </c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3"/>
    </row>
    <row r="22" spans="2:44">
      <c r="B22" s="20"/>
      <c r="C22" s="24"/>
      <c r="D22" s="25"/>
      <c r="F22" s="20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5"/>
      <c r="T22" s="20"/>
      <c r="U22" s="24"/>
      <c r="V22" s="25"/>
      <c r="X22" s="20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5"/>
    </row>
    <row r="23" spans="2:44">
      <c r="B23" s="21"/>
      <c r="C23" s="26"/>
      <c r="D23" s="27"/>
      <c r="F23" s="21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7"/>
      <c r="T23" s="21"/>
      <c r="U23" s="26"/>
      <c r="V23" s="27"/>
      <c r="X23" s="21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7"/>
    </row>
    <row r="24" spans="2:44">
      <c r="B24" s="21"/>
      <c r="C24" s="26"/>
      <c r="D24" s="27"/>
      <c r="F24" s="21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T24" s="21"/>
      <c r="U24" s="26"/>
      <c r="V24" s="27"/>
      <c r="X24" s="21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7"/>
    </row>
    <row r="25" spans="2:44">
      <c r="B25" s="21"/>
      <c r="C25" s="26"/>
      <c r="D25" s="27"/>
      <c r="F25" s="21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7"/>
      <c r="T25" s="21"/>
      <c r="U25" s="26"/>
      <c r="V25" s="27"/>
      <c r="X25" s="21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7"/>
    </row>
    <row r="26" spans="2:44">
      <c r="B26" s="21"/>
      <c r="C26" s="26"/>
      <c r="D26" s="27"/>
      <c r="F26" s="21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7"/>
      <c r="T26" s="21"/>
      <c r="U26" s="26"/>
      <c r="V26" s="27"/>
      <c r="X26" s="21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7"/>
    </row>
    <row r="27" spans="2:44">
      <c r="B27" s="21"/>
      <c r="C27" s="26"/>
      <c r="D27" s="27"/>
      <c r="F27" s="21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T27" s="21"/>
      <c r="U27" s="26"/>
      <c r="V27" s="27"/>
      <c r="X27" s="21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7"/>
    </row>
    <row r="28" spans="2:44" ht="12" customHeight="1">
      <c r="B28" s="21"/>
      <c r="C28" s="26"/>
      <c r="D28" s="75" t="s">
        <v>128</v>
      </c>
      <c r="F28" s="21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7"/>
      <c r="T28" s="21"/>
      <c r="U28" s="26"/>
      <c r="V28" s="27"/>
      <c r="X28" s="21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7"/>
    </row>
    <row r="29" spans="2:44" ht="12" customHeight="1">
      <c r="B29" s="21"/>
      <c r="C29" s="26"/>
      <c r="D29" s="75" t="s">
        <v>129</v>
      </c>
      <c r="F29" s="21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7"/>
      <c r="T29" s="21"/>
      <c r="U29" s="26"/>
      <c r="V29" s="27"/>
      <c r="X29" s="21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7"/>
    </row>
    <row r="30" spans="2:44" ht="12" customHeight="1">
      <c r="B30" s="19"/>
      <c r="C30" s="28"/>
      <c r="D30" s="76" t="s">
        <v>130</v>
      </c>
      <c r="F30" s="1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9"/>
      <c r="T30" s="19"/>
      <c r="U30" s="28"/>
      <c r="V30" s="29"/>
      <c r="X30" s="19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9"/>
    </row>
    <row r="32" spans="2:44" ht="20.25">
      <c r="B32" s="17" t="s">
        <v>4</v>
      </c>
      <c r="D32" s="17"/>
      <c r="F32" s="17"/>
      <c r="H32" s="17"/>
      <c r="J32" s="17"/>
      <c r="L32" s="17"/>
      <c r="N32" s="17"/>
      <c r="P32" s="17"/>
      <c r="R32" s="17"/>
      <c r="T32" s="17"/>
      <c r="V32" s="17"/>
      <c r="X32" s="17"/>
      <c r="Z32" s="17"/>
      <c r="AB32" s="17"/>
      <c r="AD32" s="17"/>
      <c r="AF32" s="17"/>
      <c r="AH32" s="17"/>
      <c r="AJ32" s="17"/>
      <c r="AL32" s="17"/>
      <c r="AN32" s="17"/>
      <c r="AP32" s="17"/>
    </row>
    <row r="33" spans="2:44" ht="7.5" customHeight="1">
      <c r="B33" s="17"/>
      <c r="D33" s="17"/>
      <c r="F33" s="17"/>
      <c r="H33" s="17"/>
      <c r="J33" s="17"/>
      <c r="L33" s="17"/>
      <c r="N33" s="17"/>
      <c r="P33" s="17"/>
      <c r="R33" s="17"/>
      <c r="T33" s="17"/>
      <c r="V33" s="17"/>
      <c r="X33" s="17"/>
      <c r="Z33" s="17"/>
      <c r="AB33" s="17"/>
      <c r="AD33" s="17"/>
      <c r="AF33" s="17"/>
      <c r="AH33" s="17"/>
      <c r="AJ33" s="17"/>
      <c r="AL33" s="17"/>
      <c r="AN33" s="17"/>
      <c r="AP33" s="17"/>
    </row>
    <row r="34" spans="2:44" ht="16.5" thickBot="1">
      <c r="B34" s="18" t="s">
        <v>148</v>
      </c>
      <c r="C34" s="22"/>
      <c r="D34" s="23"/>
      <c r="F34" s="18" t="s">
        <v>6</v>
      </c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3"/>
      <c r="T34" s="18" t="s">
        <v>13</v>
      </c>
      <c r="U34" s="22"/>
      <c r="V34" s="23"/>
      <c r="X34" s="18" t="s">
        <v>9</v>
      </c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3"/>
    </row>
    <row r="35" spans="2:44">
      <c r="B35" s="20"/>
      <c r="C35" s="24"/>
      <c r="D35" s="25"/>
      <c r="F35" s="20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5"/>
      <c r="T35" s="20"/>
      <c r="U35" s="24"/>
      <c r="V35" s="25"/>
      <c r="X35" s="20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5"/>
    </row>
    <row r="36" spans="2:44">
      <c r="B36" s="21"/>
      <c r="C36" s="26"/>
      <c r="D36" s="27"/>
      <c r="F36" s="21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7"/>
      <c r="T36" s="21"/>
      <c r="U36" s="26"/>
      <c r="V36" s="27"/>
      <c r="X36" s="21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7"/>
    </row>
    <row r="37" spans="2:44">
      <c r="B37" s="21"/>
      <c r="C37" s="26"/>
      <c r="D37" s="27"/>
      <c r="F37" s="21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7"/>
      <c r="T37" s="21"/>
      <c r="U37" s="26"/>
      <c r="V37" s="27"/>
      <c r="X37" s="21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7"/>
    </row>
    <row r="38" spans="2:44">
      <c r="B38" s="21"/>
      <c r="C38" s="26"/>
      <c r="D38" s="27"/>
      <c r="F38" s="21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7"/>
      <c r="T38" s="21"/>
      <c r="U38" s="26"/>
      <c r="V38" s="27"/>
      <c r="X38" s="21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7"/>
    </row>
    <row r="39" spans="2:44">
      <c r="B39" s="21"/>
      <c r="C39" s="26"/>
      <c r="D39" s="27"/>
      <c r="F39" s="21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7"/>
      <c r="T39" s="21"/>
      <c r="U39" s="26"/>
      <c r="V39" s="27"/>
      <c r="X39" s="21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7"/>
    </row>
    <row r="40" spans="2:44">
      <c r="B40" s="21"/>
      <c r="C40" s="26"/>
      <c r="D40" s="27"/>
      <c r="F40" s="21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7"/>
      <c r="T40" s="21"/>
      <c r="U40" s="26"/>
      <c r="V40" s="27"/>
      <c r="X40" s="21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7"/>
    </row>
    <row r="41" spans="2:44" ht="12" customHeight="1">
      <c r="B41" s="21"/>
      <c r="C41" s="26"/>
      <c r="D41" s="75" t="s">
        <v>134</v>
      </c>
      <c r="F41" s="21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7"/>
      <c r="T41" s="21"/>
      <c r="U41" s="26"/>
      <c r="V41" s="27"/>
      <c r="X41" s="21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7"/>
    </row>
    <row r="42" spans="2:44" ht="12" customHeight="1">
      <c r="B42" s="21"/>
      <c r="C42" s="26"/>
      <c r="D42" s="75" t="s">
        <v>135</v>
      </c>
      <c r="F42" s="21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7"/>
      <c r="T42" s="21"/>
      <c r="U42" s="26"/>
      <c r="V42" s="27"/>
      <c r="X42" s="21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7"/>
    </row>
    <row r="43" spans="2:44" ht="12" customHeight="1">
      <c r="B43" s="19"/>
      <c r="C43" s="28"/>
      <c r="D43" s="76" t="s">
        <v>137</v>
      </c>
      <c r="F43" s="19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9"/>
      <c r="T43" s="19"/>
      <c r="U43" s="28"/>
      <c r="V43" s="29"/>
      <c r="X43" s="19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9"/>
    </row>
    <row r="45" spans="2:44" ht="20.25">
      <c r="B45" s="17" t="s">
        <v>8</v>
      </c>
      <c r="D45" s="17"/>
      <c r="F45" s="17"/>
      <c r="H45" s="17"/>
      <c r="J45" s="17"/>
      <c r="L45" s="17"/>
      <c r="N45" s="17"/>
      <c r="P45" s="17"/>
      <c r="R45" s="17"/>
      <c r="T45" s="17"/>
      <c r="V45" s="17"/>
      <c r="X45" s="17"/>
      <c r="Z45" s="17"/>
      <c r="AB45" s="17"/>
      <c r="AD45" s="17"/>
      <c r="AF45" s="17"/>
      <c r="AH45" s="17"/>
      <c r="AJ45" s="17"/>
      <c r="AL45" s="17"/>
      <c r="AN45" s="17"/>
      <c r="AP45" s="17"/>
    </row>
    <row r="46" spans="2:44" ht="7.5" customHeight="1">
      <c r="B46" s="17"/>
      <c r="D46" s="17"/>
      <c r="F46" s="17"/>
      <c r="H46" s="17"/>
      <c r="J46" s="17"/>
      <c r="L46" s="17"/>
      <c r="N46" s="17"/>
      <c r="P46" s="17"/>
      <c r="R46" s="17"/>
      <c r="T46" s="17"/>
      <c r="V46" s="17"/>
      <c r="X46" s="17"/>
      <c r="Z46" s="17"/>
      <c r="AB46" s="17"/>
      <c r="AD46" s="17"/>
      <c r="AF46" s="17"/>
      <c r="AH46" s="17"/>
      <c r="AJ46" s="17"/>
      <c r="AL46" s="17"/>
      <c r="AN46" s="17"/>
      <c r="AP46" s="17"/>
    </row>
    <row r="47" spans="2:44" ht="16.5" thickBot="1">
      <c r="B47" s="18" t="s">
        <v>148</v>
      </c>
      <c r="C47" s="22"/>
      <c r="D47" s="23"/>
      <c r="F47" s="18" t="s">
        <v>6</v>
      </c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3"/>
      <c r="T47" s="18" t="s">
        <v>13</v>
      </c>
      <c r="U47" s="22"/>
      <c r="V47" s="23"/>
      <c r="X47" s="18" t="s">
        <v>9</v>
      </c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3"/>
    </row>
    <row r="48" spans="2:44">
      <c r="B48" s="20"/>
      <c r="C48" s="24"/>
      <c r="D48" s="25"/>
      <c r="F48" s="20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5"/>
      <c r="T48" s="20"/>
      <c r="U48" s="24"/>
      <c r="V48" s="25"/>
      <c r="X48" s="20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5"/>
    </row>
    <row r="49" spans="2:46">
      <c r="B49" s="21"/>
      <c r="C49" s="26"/>
      <c r="D49" s="27"/>
      <c r="F49" s="21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7"/>
      <c r="T49" s="21"/>
      <c r="U49" s="26"/>
      <c r="V49" s="27"/>
      <c r="X49" s="21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7"/>
    </row>
    <row r="50" spans="2:46">
      <c r="B50" s="21"/>
      <c r="C50" s="26"/>
      <c r="D50" s="27"/>
      <c r="F50" s="21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7"/>
      <c r="T50" s="21"/>
      <c r="U50" s="26"/>
      <c r="V50" s="27"/>
      <c r="X50" s="21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7"/>
    </row>
    <row r="51" spans="2:46">
      <c r="B51" s="21"/>
      <c r="C51" s="26"/>
      <c r="D51" s="27"/>
      <c r="F51" s="21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7"/>
      <c r="T51" s="21"/>
      <c r="U51" s="26"/>
      <c r="V51" s="27"/>
      <c r="X51" s="21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7"/>
    </row>
    <row r="52" spans="2:46">
      <c r="B52" s="21"/>
      <c r="C52" s="26"/>
      <c r="D52" s="27"/>
      <c r="F52" s="21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7"/>
      <c r="T52" s="21"/>
      <c r="U52" s="26"/>
      <c r="V52" s="27"/>
      <c r="X52" s="21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7"/>
    </row>
    <row r="53" spans="2:46">
      <c r="B53" s="21"/>
      <c r="C53" s="26"/>
      <c r="D53" s="27"/>
      <c r="F53" s="21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7"/>
      <c r="T53" s="21"/>
      <c r="U53" s="26"/>
      <c r="V53" s="27"/>
      <c r="X53" s="21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7"/>
    </row>
    <row r="54" spans="2:46" ht="12" customHeight="1">
      <c r="B54" s="21"/>
      <c r="C54" s="26"/>
      <c r="D54" s="75" t="s">
        <v>138</v>
      </c>
      <c r="F54" s="21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7"/>
      <c r="T54" s="21"/>
      <c r="U54" s="26"/>
      <c r="V54" s="27"/>
      <c r="X54" s="21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7"/>
    </row>
    <row r="55" spans="2:46" ht="12" customHeight="1">
      <c r="B55" s="21"/>
      <c r="C55" s="26"/>
      <c r="D55" s="75" t="s">
        <v>139</v>
      </c>
      <c r="F55" s="21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7"/>
      <c r="T55" s="21"/>
      <c r="U55" s="26"/>
      <c r="V55" s="27"/>
      <c r="X55" s="21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7"/>
    </row>
    <row r="56" spans="2:46" ht="12" customHeight="1">
      <c r="B56" s="19"/>
      <c r="C56" s="28"/>
      <c r="D56" s="76" t="s">
        <v>140</v>
      </c>
      <c r="F56" s="19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9"/>
      <c r="T56" s="19"/>
      <c r="U56" s="28"/>
      <c r="V56" s="29"/>
      <c r="X56" s="19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9"/>
    </row>
    <row r="57" spans="2:46" ht="15.75">
      <c r="B57" s="16"/>
      <c r="D57" s="16"/>
      <c r="F57" s="16"/>
      <c r="H57" s="16"/>
      <c r="J57" s="16"/>
      <c r="L57" s="16"/>
      <c r="N57" s="16"/>
      <c r="P57" s="16"/>
      <c r="R57" s="16"/>
      <c r="T57" s="16"/>
      <c r="V57" s="16"/>
      <c r="X57" s="16"/>
      <c r="Z57" s="16"/>
      <c r="AB57" s="16"/>
      <c r="AD57" s="16"/>
      <c r="AF57" s="16"/>
      <c r="AH57" s="16"/>
      <c r="AJ57" s="16"/>
      <c r="AL57" s="16"/>
      <c r="AN57" s="16"/>
      <c r="AP57" s="16"/>
    </row>
    <row r="58" spans="2:46" ht="20.25">
      <c r="B58" s="17" t="s">
        <v>5</v>
      </c>
      <c r="D58" s="17"/>
      <c r="F58" s="17"/>
      <c r="H58" s="17"/>
      <c r="J58" s="17"/>
      <c r="L58" s="17"/>
      <c r="N58" s="17"/>
      <c r="P58" s="17"/>
      <c r="R58" s="17"/>
      <c r="T58" s="17"/>
      <c r="V58" s="17"/>
      <c r="X58" s="17"/>
      <c r="Z58" s="17"/>
      <c r="AB58" s="17"/>
      <c r="AD58" s="17"/>
      <c r="AF58" s="17"/>
      <c r="AH58" s="17"/>
      <c r="AJ58" s="17"/>
      <c r="AL58" s="17"/>
      <c r="AN58" s="17"/>
      <c r="AP58" s="17"/>
    </row>
    <row r="59" spans="2:46" ht="7.5" customHeight="1">
      <c r="B59" s="17"/>
      <c r="D59" s="17"/>
      <c r="F59" s="17"/>
      <c r="H59" s="17"/>
      <c r="J59" s="17"/>
      <c r="L59" s="17"/>
      <c r="N59" s="17"/>
      <c r="P59" s="17"/>
      <c r="R59" s="17"/>
      <c r="T59" s="17"/>
      <c r="V59" s="17"/>
      <c r="X59" s="17"/>
      <c r="Z59" s="17"/>
      <c r="AB59" s="17"/>
      <c r="AD59" s="17"/>
      <c r="AF59" s="17"/>
      <c r="AH59" s="17"/>
      <c r="AJ59" s="17"/>
      <c r="AL59" s="17"/>
      <c r="AN59" s="17"/>
      <c r="AP59" s="17"/>
    </row>
    <row r="60" spans="2:46" ht="16.5" thickBot="1">
      <c r="B60" s="18" t="s">
        <v>150</v>
      </c>
      <c r="C60" s="22"/>
      <c r="D60" s="23"/>
      <c r="F60" s="18" t="s">
        <v>9</v>
      </c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3"/>
      <c r="X60" s="32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2"/>
      <c r="AS60" s="32"/>
      <c r="AT60" s="32"/>
    </row>
    <row r="61" spans="2:46">
      <c r="B61" s="20"/>
      <c r="C61" s="24"/>
      <c r="D61" s="25"/>
      <c r="F61" s="20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5"/>
      <c r="X61" s="32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2"/>
      <c r="AS61" s="32"/>
      <c r="AT61" s="32"/>
    </row>
    <row r="62" spans="2:46">
      <c r="B62" s="21"/>
      <c r="C62" s="26"/>
      <c r="D62" s="27"/>
      <c r="F62" s="21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7"/>
      <c r="X62" s="32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2"/>
      <c r="AS62" s="32"/>
      <c r="AT62" s="32"/>
    </row>
    <row r="63" spans="2:46">
      <c r="B63" s="21"/>
      <c r="C63" s="26"/>
      <c r="D63" s="27"/>
      <c r="F63" s="21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7"/>
      <c r="X63" s="32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2"/>
      <c r="AS63" s="32"/>
      <c r="AT63" s="32"/>
    </row>
    <row r="64" spans="2:46">
      <c r="B64" s="21"/>
      <c r="C64" s="26"/>
      <c r="D64" s="27"/>
      <c r="F64" s="21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7"/>
      <c r="X64" s="32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2"/>
      <c r="AS64" s="32"/>
      <c r="AT64" s="32"/>
    </row>
    <row r="65" spans="2:46">
      <c r="B65" s="21"/>
      <c r="C65" s="26"/>
      <c r="D65" s="27"/>
      <c r="F65" s="21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7"/>
      <c r="X65" s="32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2"/>
      <c r="AS65" s="32"/>
      <c r="AT65" s="32"/>
    </row>
    <row r="66" spans="2:46">
      <c r="B66" s="21"/>
      <c r="C66" s="26"/>
      <c r="D66" s="27"/>
      <c r="F66" s="21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7"/>
      <c r="X66" s="32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2"/>
      <c r="AS66" s="32"/>
      <c r="AT66" s="32"/>
    </row>
    <row r="67" spans="2:46" ht="12" customHeight="1">
      <c r="B67" s="21"/>
      <c r="C67" s="26"/>
      <c r="D67" s="75" t="s">
        <v>134</v>
      </c>
      <c r="F67" s="21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7"/>
      <c r="X67" s="32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2"/>
      <c r="AS67" s="32"/>
      <c r="AT67" s="32"/>
    </row>
    <row r="68" spans="2:46" ht="12" customHeight="1">
      <c r="B68" s="21"/>
      <c r="C68" s="26"/>
      <c r="D68" s="75" t="s">
        <v>135</v>
      </c>
      <c r="F68" s="21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7"/>
      <c r="X68" s="32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2"/>
      <c r="AS68" s="32"/>
      <c r="AT68" s="32"/>
    </row>
    <row r="69" spans="2:46" ht="12" customHeight="1">
      <c r="B69" s="19"/>
      <c r="C69" s="28"/>
      <c r="D69" s="76" t="s">
        <v>136</v>
      </c>
      <c r="F69" s="19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9"/>
      <c r="X69" s="32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2"/>
      <c r="AS69" s="32"/>
      <c r="AT69" s="32"/>
    </row>
    <row r="70" spans="2:46"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</row>
    <row r="71" spans="2:46" s="11" customFormat="1" ht="7.5" customHeight="1">
      <c r="B71" s="9"/>
      <c r="C71" s="10"/>
      <c r="D71" s="9"/>
      <c r="E71" s="10"/>
      <c r="F71" s="9"/>
      <c r="G71" s="10"/>
      <c r="H71" s="9"/>
      <c r="I71" s="10"/>
      <c r="J71" s="9"/>
      <c r="K71" s="10"/>
      <c r="L71" s="9"/>
      <c r="M71" s="10"/>
      <c r="N71" s="9"/>
      <c r="O71" s="10"/>
      <c r="P71" s="9"/>
      <c r="Q71" s="10"/>
      <c r="R71" s="9"/>
      <c r="S71" s="10"/>
      <c r="T71" s="9"/>
      <c r="U71" s="10"/>
      <c r="V71" s="9"/>
      <c r="W71" s="10"/>
      <c r="X71" s="9"/>
      <c r="Y71" s="10"/>
      <c r="Z71" s="9"/>
      <c r="AA71" s="10"/>
      <c r="AB71" s="9"/>
      <c r="AC71" s="10"/>
      <c r="AD71" s="9"/>
      <c r="AE71" s="10"/>
      <c r="AF71" s="9"/>
      <c r="AG71" s="10"/>
      <c r="AH71" s="9"/>
      <c r="AI71" s="10"/>
      <c r="AJ71" s="9"/>
      <c r="AK71" s="10"/>
      <c r="AL71" s="9"/>
      <c r="AM71" s="10"/>
      <c r="AN71" s="9"/>
      <c r="AO71" s="10"/>
      <c r="AP71" s="9"/>
      <c r="AQ71" s="10"/>
      <c r="AR71" s="10"/>
      <c r="AS71" s="10"/>
      <c r="AT71" s="9"/>
    </row>
    <row r="72" spans="2:46" s="11" customFormat="1" ht="7.5" customHeight="1">
      <c r="B72" s="9"/>
      <c r="C72" s="10"/>
      <c r="D72" s="9"/>
      <c r="E72" s="10"/>
      <c r="F72" s="9"/>
      <c r="G72" s="10"/>
      <c r="H72" s="9"/>
      <c r="I72" s="10"/>
      <c r="J72" s="9"/>
      <c r="K72" s="10"/>
      <c r="L72" s="9"/>
      <c r="M72" s="10"/>
      <c r="N72" s="9"/>
      <c r="O72" s="10"/>
      <c r="P72" s="9"/>
      <c r="Q72" s="10"/>
      <c r="R72" s="9"/>
      <c r="S72" s="10"/>
      <c r="T72" s="9"/>
      <c r="U72" s="10"/>
      <c r="V72" s="9"/>
      <c r="W72" s="10"/>
      <c r="X72" s="9"/>
      <c r="Y72" s="10"/>
      <c r="Z72" s="9"/>
      <c r="AA72" s="10"/>
      <c r="AB72" s="9"/>
      <c r="AC72" s="10"/>
      <c r="AD72" s="9"/>
      <c r="AE72" s="10"/>
      <c r="AF72" s="9"/>
      <c r="AG72" s="10"/>
      <c r="AH72" s="9"/>
      <c r="AI72" s="10"/>
      <c r="AJ72" s="9"/>
      <c r="AK72" s="10"/>
      <c r="AL72" s="9"/>
      <c r="AM72" s="10"/>
      <c r="AN72" s="9"/>
      <c r="AO72" s="10"/>
      <c r="AP72" s="9"/>
      <c r="AQ72" s="10"/>
      <c r="AR72" s="10"/>
      <c r="AS72" s="10"/>
      <c r="AT72" s="9"/>
    </row>
    <row r="73" spans="2:46" s="15" customFormat="1" ht="39.75" customHeight="1">
      <c r="B73" s="12"/>
      <c r="C73" s="13"/>
      <c r="D73" s="12"/>
      <c r="E73" s="13"/>
      <c r="F73" s="12"/>
      <c r="G73" s="13"/>
      <c r="H73" s="12"/>
      <c r="I73" s="13"/>
      <c r="J73" s="12"/>
      <c r="K73" s="13"/>
      <c r="L73" s="12"/>
      <c r="M73" s="13"/>
      <c r="N73" s="12"/>
      <c r="O73" s="13"/>
      <c r="P73" s="12"/>
      <c r="Q73" s="13"/>
      <c r="R73" s="12"/>
      <c r="S73" s="13"/>
      <c r="T73" s="12"/>
      <c r="U73" s="13"/>
      <c r="V73" s="12"/>
      <c r="W73" s="13"/>
      <c r="X73" s="12"/>
      <c r="Y73" s="13"/>
      <c r="Z73" s="12"/>
      <c r="AA73" s="13"/>
      <c r="AB73" s="12"/>
      <c r="AC73" s="13"/>
      <c r="AD73" s="12"/>
      <c r="AE73" s="13"/>
      <c r="AF73" s="12"/>
      <c r="AG73" s="13"/>
      <c r="AH73" s="12"/>
      <c r="AI73" s="13"/>
      <c r="AJ73" s="12"/>
      <c r="AK73" s="13"/>
      <c r="AL73" s="12"/>
      <c r="AM73" s="13"/>
      <c r="AN73" s="12"/>
      <c r="AO73" s="13"/>
      <c r="AP73" s="12"/>
      <c r="AQ73" s="13"/>
      <c r="AR73" s="14" t="s">
        <v>1</v>
      </c>
      <c r="AS73" s="13"/>
      <c r="AT73" s="4"/>
    </row>
    <row r="74" spans="2:46" s="11" customFormat="1" ht="12.75"/>
  </sheetData>
  <sheetProtection password="D80D" sheet="1" objects="1" scenarios="1"/>
  <mergeCells count="1">
    <mergeCell ref="AP1:AS1"/>
  </mergeCells>
  <pageMargins left="0.31496062992125984" right="0.31496062992125984" top="0.35433070866141736" bottom="0.35433070866141736" header="0.31496062992125984" footer="0.31496062992125984"/>
  <pageSetup paperSize="9" scale="52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Q108"/>
  <sheetViews>
    <sheetView showGridLines="0" showRowColHeaders="0" zoomScale="80" zoomScaleNormal="80" zoomScaleSheetLayoutView="70" workbookViewId="0">
      <pane ySplit="6" topLeftCell="A7" activePane="bottomLeft" state="frozen"/>
      <selection pane="bottomLeft" activeCell="A7" sqref="A7"/>
    </sheetView>
  </sheetViews>
  <sheetFormatPr defaultRowHeight="15"/>
  <cols>
    <col min="1" max="2" width="1.42578125" customWidth="1"/>
    <col min="3" max="3" width="9.7109375" customWidth="1"/>
    <col min="4" max="4" width="1.42578125" customWidth="1"/>
    <col min="5" max="5" width="9.7109375" customWidth="1"/>
    <col min="6" max="6" width="1.42578125" customWidth="1"/>
    <col min="7" max="7" width="9.7109375" customWidth="1"/>
    <col min="8" max="8" width="1.42578125" customWidth="1"/>
    <col min="9" max="9" width="9.7109375" customWidth="1"/>
    <col min="10" max="10" width="1.42578125" customWidth="1"/>
    <col min="11" max="11" width="9.7109375" customWidth="1"/>
    <col min="12" max="12" width="1.42578125" customWidth="1"/>
    <col min="13" max="13" width="9.7109375" customWidth="1"/>
    <col min="14" max="14" width="1.42578125" customWidth="1"/>
    <col min="15" max="15" width="9.7109375" customWidth="1"/>
    <col min="16" max="16" width="1.42578125" customWidth="1"/>
    <col min="17" max="17" width="9.7109375" customWidth="1"/>
    <col min="18" max="18" width="1.42578125" customWidth="1"/>
    <col min="19" max="19" width="9.7109375" customWidth="1"/>
    <col min="20" max="20" width="1.42578125" customWidth="1"/>
    <col min="21" max="21" width="9.7109375" customWidth="1"/>
    <col min="22" max="22" width="1.42578125" customWidth="1"/>
    <col min="23" max="23" width="9.7109375" customWidth="1"/>
    <col min="24" max="24" width="1.42578125" customWidth="1"/>
    <col min="25" max="25" width="9.7109375" customWidth="1"/>
    <col min="26" max="26" width="1.42578125" customWidth="1"/>
    <col min="27" max="27" width="9.7109375" customWidth="1"/>
    <col min="28" max="28" width="1.42578125" customWidth="1"/>
    <col min="29" max="29" width="9.7109375" customWidth="1"/>
    <col min="30" max="30" width="1.42578125" customWidth="1"/>
    <col min="31" max="31" width="9.7109375" customWidth="1"/>
    <col min="32" max="33" width="1.42578125" customWidth="1"/>
  </cols>
  <sheetData>
    <row r="1" spans="1:43" s="5" customFormat="1" ht="15.75">
      <c r="A1" s="2"/>
      <c r="B1" s="2"/>
      <c r="C1" s="2"/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101">
        <v>41830</v>
      </c>
      <c r="AD1" s="101"/>
      <c r="AE1" s="101"/>
      <c r="AF1" s="101"/>
      <c r="AG1" s="3"/>
    </row>
    <row r="2" spans="1:43" s="5" customFormat="1" ht="35.25">
      <c r="A2" s="6"/>
      <c r="B2" s="6" t="s">
        <v>7</v>
      </c>
      <c r="C2" s="6"/>
      <c r="D2" s="3"/>
      <c r="E2" s="6"/>
      <c r="F2" s="3"/>
      <c r="G2" s="6"/>
      <c r="H2" s="3"/>
      <c r="I2" s="6"/>
      <c r="J2" s="3"/>
      <c r="K2" s="6"/>
      <c r="L2" s="3"/>
      <c r="M2" s="6"/>
      <c r="N2" s="3"/>
      <c r="O2" s="6"/>
      <c r="P2" s="3"/>
      <c r="Q2" s="6"/>
      <c r="R2" s="3"/>
      <c r="S2" s="6"/>
      <c r="T2" s="3"/>
      <c r="U2" s="6"/>
      <c r="V2" s="3"/>
      <c r="W2" s="6"/>
      <c r="X2" s="3"/>
      <c r="Y2" s="6"/>
      <c r="Z2" s="3"/>
      <c r="AA2" s="6"/>
      <c r="AB2" s="3"/>
      <c r="AC2" s="6"/>
      <c r="AD2" s="3"/>
      <c r="AE2" s="6"/>
      <c r="AF2" s="3"/>
      <c r="AG2" s="3"/>
    </row>
    <row r="3" spans="1:43" s="5" customFormat="1" ht="17.25" customHeight="1" thickBot="1">
      <c r="A3" s="7"/>
      <c r="B3" s="7"/>
      <c r="C3" s="7"/>
      <c r="D3" s="8"/>
      <c r="E3" s="7"/>
      <c r="F3" s="8"/>
      <c r="G3" s="7"/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  <c r="U3" s="7"/>
      <c r="V3" s="8"/>
      <c r="W3" s="7"/>
      <c r="X3" s="8"/>
      <c r="Y3" s="7"/>
      <c r="Z3" s="8"/>
      <c r="AA3" s="7"/>
      <c r="AB3" s="8"/>
      <c r="AC3" s="7"/>
      <c r="AD3" s="8"/>
      <c r="AE3" s="7"/>
      <c r="AF3" s="8"/>
      <c r="AG3" s="8"/>
    </row>
    <row r="4" spans="1:43" s="11" customFormat="1" ht="7.5" customHeight="1">
      <c r="A4" s="9"/>
      <c r="C4" s="9"/>
      <c r="D4" s="10"/>
      <c r="E4" s="9"/>
      <c r="F4" s="10"/>
      <c r="G4" s="9"/>
      <c r="H4" s="10"/>
      <c r="I4" s="9"/>
      <c r="J4" s="10"/>
      <c r="K4" s="9"/>
      <c r="L4" s="10"/>
      <c r="M4" s="9"/>
      <c r="N4" s="10"/>
      <c r="O4" s="9"/>
      <c r="P4" s="10"/>
      <c r="Q4" s="9"/>
      <c r="R4" s="10"/>
      <c r="S4" s="9"/>
      <c r="T4" s="10"/>
      <c r="U4" s="9"/>
      <c r="V4" s="10"/>
      <c r="W4" s="9"/>
      <c r="X4" s="10"/>
      <c r="Y4" s="9"/>
      <c r="Z4" s="10"/>
      <c r="AA4" s="9"/>
      <c r="AB4" s="10"/>
      <c r="AC4" s="9"/>
      <c r="AD4" s="10"/>
      <c r="AE4" s="9"/>
      <c r="AF4" s="10"/>
      <c r="AG4" s="10"/>
    </row>
    <row r="5" spans="1:43" ht="9.75" customHeight="1">
      <c r="A5" s="17"/>
      <c r="C5" s="17"/>
      <c r="D5" s="17"/>
      <c r="F5" s="17"/>
      <c r="H5" s="17"/>
      <c r="J5" s="17"/>
      <c r="K5" s="17"/>
      <c r="M5" s="17"/>
      <c r="O5" s="17"/>
      <c r="Q5" s="17"/>
      <c r="S5" s="17"/>
      <c r="U5" s="17"/>
      <c r="W5" s="17"/>
      <c r="Y5" s="17"/>
      <c r="AA5" s="17"/>
      <c r="AC5" s="17"/>
      <c r="AE5" s="17"/>
      <c r="AI5" s="17"/>
      <c r="AK5" s="17"/>
      <c r="AM5" s="17"/>
      <c r="AO5" s="17"/>
      <c r="AQ5" s="17"/>
    </row>
    <row r="6" spans="1:43" ht="90" customHeight="1">
      <c r="A6" s="31"/>
      <c r="B6" s="32"/>
      <c r="C6" s="31"/>
      <c r="D6" s="31"/>
      <c r="E6" s="31"/>
      <c r="F6" s="32"/>
      <c r="G6" s="31"/>
      <c r="H6" s="32"/>
      <c r="I6" s="31"/>
      <c r="J6" s="102"/>
      <c r="K6" s="102"/>
      <c r="L6" s="102"/>
      <c r="M6" s="102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K6" s="78"/>
    </row>
    <row r="7" spans="1:43" ht="7.5" customHeight="1">
      <c r="A7" s="33"/>
      <c r="B7" s="32"/>
      <c r="C7" s="33"/>
      <c r="D7" s="33"/>
      <c r="E7" s="33"/>
      <c r="F7" s="32"/>
      <c r="G7" s="33"/>
      <c r="H7" s="32"/>
      <c r="I7" s="33"/>
      <c r="J7" s="102"/>
      <c r="K7" s="102"/>
      <c r="L7" s="102"/>
      <c r="M7" s="102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33"/>
      <c r="AG7" s="33"/>
      <c r="AH7" s="33"/>
    </row>
    <row r="8" spans="1:43" ht="15.75" customHeight="1">
      <c r="A8" s="33"/>
      <c r="B8" s="32"/>
      <c r="C8" s="102" t="s">
        <v>93</v>
      </c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31"/>
      <c r="AG8" s="31"/>
      <c r="AH8" s="31"/>
      <c r="AI8" s="31"/>
      <c r="AJ8" s="31"/>
      <c r="AK8" s="31"/>
    </row>
    <row r="9" spans="1:43" ht="7.5" customHeight="1">
      <c r="A9" s="33"/>
      <c r="B9" s="3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33"/>
      <c r="AG9" s="33"/>
      <c r="AH9" s="33"/>
      <c r="AI9" s="33"/>
      <c r="AJ9" s="33"/>
      <c r="AK9" s="33"/>
    </row>
    <row r="10" spans="1:43" ht="16.5" thickBot="1">
      <c r="A10" s="33"/>
      <c r="B10" s="32"/>
      <c r="C10" s="18" t="s">
        <v>141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3"/>
      <c r="AF10" s="31"/>
      <c r="AG10" s="31"/>
      <c r="AH10" s="31"/>
      <c r="AI10" s="31"/>
      <c r="AJ10" s="31"/>
      <c r="AK10" s="31"/>
    </row>
    <row r="11" spans="1:43" ht="7.5" customHeight="1">
      <c r="A11" s="33"/>
      <c r="B11" s="32"/>
      <c r="C11" s="20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5"/>
      <c r="AF11" s="33"/>
      <c r="AG11" s="33"/>
      <c r="AH11" s="33"/>
      <c r="AI11" s="33"/>
      <c r="AJ11" s="33"/>
      <c r="AK11" s="33"/>
    </row>
    <row r="12" spans="1:43" ht="15.75">
      <c r="A12" s="33"/>
      <c r="B12" s="32"/>
      <c r="C12" s="21"/>
      <c r="D12" s="79"/>
      <c r="E12" s="79"/>
      <c r="F12" s="79"/>
      <c r="G12" s="7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7"/>
      <c r="AF12" s="33"/>
      <c r="AG12" s="33"/>
      <c r="AH12" s="33"/>
      <c r="AI12" s="33"/>
      <c r="AJ12" s="33"/>
      <c r="AK12" s="33"/>
    </row>
    <row r="13" spans="1:43" ht="7.5" customHeight="1">
      <c r="A13" s="33"/>
      <c r="B13" s="32"/>
      <c r="C13" s="21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7"/>
      <c r="AF13" s="33"/>
      <c r="AG13" s="33"/>
      <c r="AH13" s="33"/>
      <c r="AI13" s="33"/>
      <c r="AJ13" s="33"/>
      <c r="AK13" s="33"/>
    </row>
    <row r="14" spans="1:43">
      <c r="A14" s="33"/>
      <c r="B14" s="32"/>
      <c r="C14" s="21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7"/>
      <c r="AF14" s="33"/>
      <c r="AG14" s="33"/>
      <c r="AH14" s="33"/>
      <c r="AI14" s="33"/>
      <c r="AJ14" s="33"/>
      <c r="AK14" s="33"/>
    </row>
    <row r="15" spans="1:43" ht="7.5" customHeight="1">
      <c r="A15" s="33"/>
      <c r="B15" s="32"/>
      <c r="C15" s="21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7"/>
      <c r="AF15" s="33"/>
      <c r="AG15" s="33"/>
      <c r="AH15" s="33"/>
      <c r="AI15" s="33"/>
      <c r="AJ15" s="33"/>
      <c r="AK15" s="33"/>
    </row>
    <row r="16" spans="1:43">
      <c r="A16" s="33"/>
      <c r="B16" s="32"/>
      <c r="C16" s="21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6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7"/>
      <c r="AF16" s="33"/>
      <c r="AG16" s="33"/>
      <c r="AH16" s="33"/>
      <c r="AI16" s="33"/>
      <c r="AJ16" s="33"/>
      <c r="AK16" s="33"/>
    </row>
    <row r="17" spans="1:37" ht="7.5" customHeight="1">
      <c r="A17" s="33"/>
      <c r="B17" s="32"/>
      <c r="C17" s="21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7"/>
      <c r="AF17" s="33"/>
      <c r="AG17" s="33"/>
      <c r="AH17" s="33"/>
      <c r="AI17" s="33"/>
      <c r="AJ17" s="33"/>
      <c r="AK17" s="33"/>
    </row>
    <row r="18" spans="1:37">
      <c r="A18" s="33"/>
      <c r="B18" s="32"/>
      <c r="C18" s="21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6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7"/>
      <c r="AF18" s="33"/>
      <c r="AG18" s="33"/>
      <c r="AH18" s="33"/>
      <c r="AI18" s="33"/>
      <c r="AJ18" s="33"/>
      <c r="AK18" s="33"/>
    </row>
    <row r="19" spans="1:37" ht="7.5" customHeight="1">
      <c r="A19" s="33"/>
      <c r="B19" s="32"/>
      <c r="C19" s="21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7"/>
      <c r="AF19" s="33"/>
      <c r="AG19" s="33"/>
      <c r="AH19" s="33"/>
      <c r="AI19" s="33"/>
      <c r="AJ19" s="33"/>
      <c r="AK19" s="33"/>
    </row>
    <row r="20" spans="1:37" ht="15.75">
      <c r="A20" s="31"/>
      <c r="B20" s="32"/>
      <c r="C20" s="21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7"/>
      <c r="AF20" s="33"/>
      <c r="AG20" s="33"/>
      <c r="AH20" s="33"/>
      <c r="AI20" s="33"/>
      <c r="AJ20" s="33"/>
      <c r="AK20" s="33"/>
    </row>
    <row r="21" spans="1:37" ht="7.5" customHeight="1">
      <c r="A21" s="33"/>
      <c r="B21" s="32"/>
      <c r="C21" s="21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7"/>
      <c r="AF21" s="33"/>
      <c r="AG21" s="33"/>
      <c r="AH21" s="33"/>
      <c r="AI21" s="33"/>
      <c r="AJ21" s="33"/>
      <c r="AK21" s="33"/>
    </row>
    <row r="22" spans="1:37">
      <c r="A22" s="33"/>
      <c r="B22" s="32"/>
      <c r="C22" s="21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7"/>
      <c r="AF22" s="33"/>
      <c r="AG22" s="33"/>
      <c r="AH22" s="33"/>
      <c r="AI22" s="33"/>
      <c r="AJ22" s="33"/>
      <c r="AK22" s="33"/>
    </row>
    <row r="23" spans="1:37" ht="7.5" customHeight="1">
      <c r="A23" s="33"/>
      <c r="B23" s="32"/>
      <c r="C23" s="21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7"/>
      <c r="AF23" s="33"/>
      <c r="AG23" s="33"/>
      <c r="AH23" s="33"/>
      <c r="AI23" s="33"/>
      <c r="AJ23" s="33"/>
      <c r="AK23" s="33"/>
    </row>
    <row r="24" spans="1:37">
      <c r="A24" s="33"/>
      <c r="B24" s="32"/>
      <c r="C24" s="1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9"/>
      <c r="AF24" s="33"/>
      <c r="AG24" s="33"/>
      <c r="AH24" s="33"/>
      <c r="AI24" s="33"/>
      <c r="AJ24" s="33"/>
      <c r="AK24" s="33"/>
    </row>
    <row r="25" spans="1:37" ht="7.5" customHeight="1">
      <c r="A25" s="33"/>
      <c r="B25" s="32"/>
      <c r="C25" s="33"/>
      <c r="D25" s="33"/>
      <c r="E25" s="33"/>
      <c r="F25" s="32"/>
      <c r="G25" s="33"/>
      <c r="H25" s="32"/>
      <c r="I25" s="33"/>
      <c r="J25" s="35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33"/>
      <c r="AG25" s="33"/>
      <c r="AH25" s="33"/>
    </row>
    <row r="26" spans="1:37" ht="15.75" customHeight="1">
      <c r="A26" s="33"/>
      <c r="B26" s="32"/>
      <c r="C26" s="33"/>
      <c r="D26" s="32"/>
      <c r="E26" s="33"/>
      <c r="J26" s="31"/>
      <c r="K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3"/>
      <c r="AG26" s="33"/>
      <c r="AH26" s="33"/>
    </row>
    <row r="27" spans="1:37" ht="7.5" customHeight="1">
      <c r="A27" s="33"/>
      <c r="B27" s="32"/>
      <c r="C27" s="33"/>
      <c r="D27" s="32"/>
      <c r="E27" s="33"/>
      <c r="J27" s="26"/>
      <c r="K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7"/>
      <c r="AG27" s="17"/>
      <c r="AH27" s="17"/>
    </row>
    <row r="28" spans="1:37" ht="16.5" thickBot="1">
      <c r="A28" s="33"/>
      <c r="B28" s="32"/>
      <c r="C28" s="18" t="s">
        <v>0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31"/>
      <c r="AG28" s="31"/>
      <c r="AH28" s="31"/>
    </row>
    <row r="29" spans="1:37" ht="7.5" customHeight="1">
      <c r="A29" s="33"/>
      <c r="B29" s="32"/>
      <c r="C29" s="20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33"/>
      <c r="AG29" s="33"/>
      <c r="AH29" s="33"/>
    </row>
    <row r="30" spans="1:37" ht="15.75">
      <c r="A30" s="33"/>
      <c r="B30" s="32"/>
      <c r="C30" s="21"/>
      <c r="D30" s="79"/>
      <c r="E30" s="79"/>
      <c r="F30" s="79"/>
      <c r="G30" s="79"/>
      <c r="H30" s="79"/>
      <c r="I30" s="79"/>
      <c r="J30" s="79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7"/>
      <c r="AF30" s="33"/>
      <c r="AG30" s="33"/>
      <c r="AH30" s="33"/>
    </row>
    <row r="31" spans="1:37" ht="7.5" customHeight="1">
      <c r="A31" s="33"/>
      <c r="B31" s="32"/>
      <c r="C31" s="21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7"/>
      <c r="AF31" s="33"/>
      <c r="AG31" s="33"/>
      <c r="AH31" s="33"/>
    </row>
    <row r="32" spans="1:37" ht="15.75">
      <c r="A32" s="31"/>
      <c r="B32" s="32"/>
      <c r="C32" s="21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7"/>
      <c r="AF32" s="33"/>
      <c r="AG32" s="33"/>
      <c r="AH32" s="33"/>
    </row>
    <row r="33" spans="1:34" ht="7.5" customHeight="1">
      <c r="A33" s="33"/>
      <c r="B33" s="32"/>
      <c r="C33" s="21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7"/>
      <c r="AF33" s="33"/>
      <c r="AG33" s="33"/>
      <c r="AH33" s="33"/>
    </row>
    <row r="34" spans="1:34">
      <c r="A34" s="33"/>
      <c r="B34" s="32"/>
      <c r="C34" s="21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6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7"/>
      <c r="AF34" s="33"/>
      <c r="AG34" s="33"/>
      <c r="AH34" s="33"/>
    </row>
    <row r="35" spans="1:34" ht="7.5" customHeight="1">
      <c r="A35" s="33"/>
      <c r="B35" s="32"/>
      <c r="C35" s="21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7"/>
      <c r="AF35" s="33"/>
      <c r="AG35" s="33"/>
      <c r="AH35" s="33"/>
    </row>
    <row r="36" spans="1:34">
      <c r="A36" s="33"/>
      <c r="B36" s="32"/>
      <c r="C36" s="21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6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7"/>
      <c r="AF36" s="33"/>
      <c r="AG36" s="33"/>
      <c r="AH36" s="33"/>
    </row>
    <row r="37" spans="1:34" ht="7.5" customHeight="1">
      <c r="A37" s="33"/>
      <c r="B37" s="32"/>
      <c r="C37" s="21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33"/>
      <c r="AG37" s="33"/>
      <c r="AH37" s="33"/>
    </row>
    <row r="38" spans="1:34">
      <c r="A38" s="33"/>
      <c r="B38" s="32"/>
      <c r="C38" s="21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7"/>
      <c r="AF38" s="33"/>
      <c r="AG38" s="33"/>
      <c r="AH38" s="33"/>
    </row>
    <row r="39" spans="1:34" ht="7.5" customHeight="1">
      <c r="A39" s="33"/>
      <c r="B39" s="32"/>
      <c r="C39" s="21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7"/>
      <c r="AF39" s="33"/>
      <c r="AG39" s="33"/>
      <c r="AH39" s="33"/>
    </row>
    <row r="40" spans="1:34">
      <c r="A40" s="33"/>
      <c r="B40" s="32"/>
      <c r="C40" s="21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7"/>
      <c r="AF40" s="33"/>
      <c r="AG40" s="33"/>
      <c r="AH40" s="33"/>
    </row>
    <row r="41" spans="1:34" ht="7.5" customHeight="1">
      <c r="A41" s="33"/>
      <c r="B41" s="32"/>
      <c r="C41" s="21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7"/>
      <c r="AF41" s="33"/>
      <c r="AG41" s="33"/>
      <c r="AH41" s="33"/>
    </row>
    <row r="42" spans="1:34">
      <c r="A42" s="33"/>
      <c r="B42" s="32"/>
      <c r="C42" s="19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9"/>
      <c r="AF42" s="33"/>
      <c r="AG42" s="33"/>
      <c r="AH42" s="33"/>
    </row>
    <row r="43" spans="1:34" ht="7.5" customHeight="1">
      <c r="A43" s="33"/>
      <c r="B43" s="32"/>
      <c r="C43" s="33"/>
      <c r="D43" s="33"/>
      <c r="E43" s="33"/>
      <c r="F43" s="32"/>
      <c r="G43" s="33"/>
      <c r="H43" s="32"/>
      <c r="I43" s="33"/>
      <c r="J43" s="35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33"/>
      <c r="AG43" s="33"/>
      <c r="AH43" s="33"/>
    </row>
    <row r="44" spans="1:34" ht="15.75" customHeight="1">
      <c r="A44" s="31"/>
      <c r="B44" s="32"/>
      <c r="C44" s="33"/>
      <c r="D44" s="32"/>
      <c r="E44" s="33"/>
      <c r="J44" s="31"/>
      <c r="K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3"/>
      <c r="AG44" s="33"/>
      <c r="AH44" s="33"/>
    </row>
    <row r="45" spans="1:34" ht="7.5" customHeight="1">
      <c r="A45" s="33"/>
      <c r="B45" s="32"/>
      <c r="C45" s="33"/>
      <c r="D45" s="32"/>
      <c r="E45" s="33"/>
      <c r="J45" s="26"/>
      <c r="K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17"/>
      <c r="AG45" s="33"/>
      <c r="AH45" s="33"/>
    </row>
    <row r="46" spans="1:34" ht="16.5" thickBot="1">
      <c r="A46" s="33"/>
      <c r="B46" s="32"/>
      <c r="C46" s="18" t="s">
        <v>142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3"/>
      <c r="AF46" s="31"/>
      <c r="AG46" s="33"/>
      <c r="AH46" s="33"/>
    </row>
    <row r="47" spans="1:34" ht="7.5" customHeight="1">
      <c r="A47" s="33"/>
      <c r="B47" s="32"/>
      <c r="C47" s="20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5"/>
      <c r="AF47" s="33"/>
      <c r="AG47" s="17"/>
      <c r="AH47" s="17"/>
    </row>
    <row r="48" spans="1:34" ht="15.75">
      <c r="A48" s="33"/>
      <c r="B48" s="32"/>
      <c r="C48" s="21"/>
      <c r="D48" s="79"/>
      <c r="E48" s="79"/>
      <c r="F48" s="79"/>
      <c r="G48" s="79"/>
      <c r="H48" s="79"/>
      <c r="I48" s="79"/>
      <c r="J48" s="79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33"/>
      <c r="AG48" s="31"/>
      <c r="AH48" s="31"/>
    </row>
    <row r="49" spans="1:34" ht="7.5" customHeight="1">
      <c r="A49" s="33"/>
      <c r="B49" s="32"/>
      <c r="C49" s="21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33"/>
      <c r="AG49" s="33"/>
      <c r="AH49" s="33"/>
    </row>
    <row r="50" spans="1:34">
      <c r="A50" s="33"/>
      <c r="B50" s="32"/>
      <c r="C50" s="21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33"/>
      <c r="AG50" s="33"/>
      <c r="AH50" s="33"/>
    </row>
    <row r="51" spans="1:34" ht="7.5" customHeight="1">
      <c r="A51" s="33"/>
      <c r="B51" s="32"/>
      <c r="C51" s="21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33"/>
      <c r="AG51" s="33"/>
      <c r="AH51" s="33"/>
    </row>
    <row r="52" spans="1:34">
      <c r="A52" s="33"/>
      <c r="B52" s="32"/>
      <c r="C52" s="21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6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33"/>
      <c r="AG52" s="33"/>
      <c r="AH52" s="33"/>
    </row>
    <row r="53" spans="1:34" ht="7.5" customHeight="1">
      <c r="A53" s="33"/>
      <c r="B53" s="32"/>
      <c r="C53" s="21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33"/>
      <c r="AG53" s="33"/>
      <c r="AH53" s="33"/>
    </row>
    <row r="54" spans="1:34">
      <c r="A54" s="33"/>
      <c r="B54" s="32"/>
      <c r="C54" s="21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6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33"/>
      <c r="AG54" s="33"/>
      <c r="AH54" s="33"/>
    </row>
    <row r="55" spans="1:34" ht="7.5" customHeight="1">
      <c r="A55" s="33"/>
      <c r="B55" s="32"/>
      <c r="C55" s="21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33"/>
      <c r="AG55" s="33"/>
      <c r="AH55" s="33"/>
    </row>
    <row r="56" spans="1:34" ht="15.75">
      <c r="A56" s="31"/>
      <c r="B56" s="32"/>
      <c r="C56" s="21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33"/>
      <c r="AG56" s="33"/>
      <c r="AH56" s="33"/>
    </row>
    <row r="57" spans="1:34" ht="7.5" customHeight="1">
      <c r="A57" s="33"/>
      <c r="B57" s="32"/>
      <c r="C57" s="21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33"/>
      <c r="AG57" s="33"/>
      <c r="AH57" s="33"/>
    </row>
    <row r="58" spans="1:34">
      <c r="A58" s="33"/>
      <c r="B58" s="32"/>
      <c r="C58" s="21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33"/>
      <c r="AG58" s="33"/>
      <c r="AH58" s="33"/>
    </row>
    <row r="59" spans="1:34" ht="7.5" customHeight="1">
      <c r="A59" s="33"/>
      <c r="B59" s="32"/>
      <c r="C59" s="21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33"/>
      <c r="AG59" s="33"/>
      <c r="AH59" s="33"/>
    </row>
    <row r="60" spans="1:34">
      <c r="A60" s="33"/>
      <c r="B60" s="32"/>
      <c r="C60" s="19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9"/>
      <c r="AF60" s="33"/>
      <c r="AG60" s="33"/>
      <c r="AH60" s="33"/>
    </row>
    <row r="61" spans="1:34" ht="7.5" customHeight="1">
      <c r="A61" s="33"/>
      <c r="B61" s="32"/>
      <c r="C61" s="33"/>
      <c r="D61" s="33"/>
      <c r="E61" s="33"/>
      <c r="F61" s="32"/>
      <c r="G61" s="33"/>
      <c r="H61" s="32"/>
      <c r="I61" s="33"/>
      <c r="J61" s="35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33"/>
      <c r="AG61" s="33"/>
      <c r="AH61" s="33"/>
    </row>
    <row r="62" spans="1:34" ht="15.75" customHeight="1">
      <c r="A62" s="33"/>
      <c r="C62" s="33"/>
      <c r="D62" s="32"/>
      <c r="E62" s="33"/>
      <c r="J62" s="31"/>
      <c r="K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3"/>
      <c r="AG62" s="33"/>
      <c r="AH62" s="33"/>
    </row>
    <row r="63" spans="1:34" ht="7.5" customHeight="1">
      <c r="A63" s="33"/>
      <c r="C63" s="33"/>
      <c r="D63" s="32"/>
      <c r="E63" s="33"/>
      <c r="J63" s="26"/>
      <c r="K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17"/>
      <c r="AG63" s="33"/>
      <c r="AH63" s="33"/>
    </row>
    <row r="64" spans="1:34" ht="16.5" thickBot="1">
      <c r="A64" s="33"/>
      <c r="C64" s="18" t="s">
        <v>143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3"/>
      <c r="AF64" s="31"/>
      <c r="AG64" s="33"/>
      <c r="AH64" s="33"/>
    </row>
    <row r="65" spans="1:34" ht="7.5" customHeight="1">
      <c r="A65" s="33"/>
      <c r="C65" s="20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5"/>
      <c r="AF65" s="33"/>
      <c r="AG65" s="33"/>
      <c r="AH65" s="33"/>
    </row>
    <row r="66" spans="1:34" ht="15.75">
      <c r="A66" s="33"/>
      <c r="C66" s="21"/>
      <c r="D66" s="79"/>
      <c r="E66" s="79"/>
      <c r="F66" s="79"/>
      <c r="G66" s="79"/>
      <c r="H66" s="79"/>
      <c r="I66" s="79"/>
      <c r="J66" s="79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7"/>
      <c r="AF66" s="33"/>
      <c r="AG66" s="33"/>
      <c r="AH66" s="33"/>
    </row>
    <row r="67" spans="1:34" ht="7.5" customHeight="1">
      <c r="A67" s="33"/>
      <c r="C67" s="21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7"/>
      <c r="AF67" s="33"/>
      <c r="AG67" s="17"/>
      <c r="AH67" s="17"/>
    </row>
    <row r="68" spans="1:34" ht="15.75">
      <c r="A68" s="33"/>
      <c r="C68" s="21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7"/>
      <c r="AF68" s="33"/>
      <c r="AG68" s="31"/>
      <c r="AH68" s="31"/>
    </row>
    <row r="69" spans="1:34" ht="7.5" customHeight="1">
      <c r="A69" s="33"/>
      <c r="C69" s="21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7"/>
      <c r="AF69" s="33"/>
      <c r="AG69" s="33"/>
      <c r="AH69" s="33"/>
    </row>
    <row r="70" spans="1:34">
      <c r="A70" s="33"/>
      <c r="C70" s="21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6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7"/>
      <c r="AF70" s="33"/>
      <c r="AG70" s="33"/>
      <c r="AH70" s="33"/>
    </row>
    <row r="71" spans="1:34" ht="7.5" customHeight="1">
      <c r="A71" s="33"/>
      <c r="C71" s="21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7"/>
      <c r="AF71" s="33"/>
      <c r="AG71" s="33"/>
      <c r="AH71" s="33"/>
    </row>
    <row r="72" spans="1:34">
      <c r="A72" s="33"/>
      <c r="C72" s="21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6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7"/>
      <c r="AF72" s="33"/>
      <c r="AG72" s="33"/>
      <c r="AH72" s="33"/>
    </row>
    <row r="73" spans="1:34" ht="7.5" customHeight="1">
      <c r="A73" s="33"/>
      <c r="C73" s="21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7"/>
      <c r="AF73" s="33"/>
      <c r="AG73" s="33"/>
      <c r="AH73" s="33"/>
    </row>
    <row r="74" spans="1:34">
      <c r="A74" s="33"/>
      <c r="C74" s="21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7"/>
      <c r="AF74" s="33"/>
      <c r="AG74" s="33"/>
      <c r="AH74" s="33"/>
    </row>
    <row r="75" spans="1:34" ht="7.5" customHeight="1">
      <c r="A75" s="33"/>
      <c r="C75" s="21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7"/>
      <c r="AF75" s="33"/>
      <c r="AG75" s="33"/>
      <c r="AH75" s="33"/>
    </row>
    <row r="76" spans="1:34">
      <c r="A76" s="33"/>
      <c r="C76" s="21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7"/>
      <c r="AF76" s="33"/>
      <c r="AG76" s="33"/>
      <c r="AH76" s="33"/>
    </row>
    <row r="77" spans="1:34" ht="7.5" customHeight="1">
      <c r="A77" s="33"/>
      <c r="C77" s="21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7"/>
      <c r="AF77" s="33"/>
      <c r="AG77" s="33"/>
      <c r="AH77" s="33"/>
    </row>
    <row r="78" spans="1:34">
      <c r="A78" s="33"/>
      <c r="C78" s="19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9"/>
      <c r="AF78" s="33"/>
      <c r="AG78" s="33"/>
      <c r="AH78" s="33"/>
    </row>
    <row r="79" spans="1:34" ht="7.5" customHeight="1">
      <c r="A79" s="33"/>
      <c r="C79" s="33"/>
      <c r="D79" s="33"/>
      <c r="E79" s="33"/>
      <c r="F79" s="32"/>
      <c r="G79" s="33"/>
      <c r="H79" s="32"/>
      <c r="I79" s="33"/>
      <c r="J79" s="35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33"/>
      <c r="AG79" s="33"/>
      <c r="AH79" s="33"/>
    </row>
    <row r="80" spans="1:34" ht="15.75" customHeight="1">
      <c r="A80" s="33"/>
      <c r="C80" s="33"/>
      <c r="D80" s="32"/>
      <c r="E80" s="33"/>
      <c r="J80" s="31"/>
      <c r="K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3"/>
      <c r="AG80" s="33"/>
      <c r="AH80" s="33"/>
    </row>
    <row r="81" spans="1:34" ht="7.5" customHeight="1">
      <c r="A81" s="33"/>
      <c r="C81" s="33"/>
      <c r="D81" s="32"/>
      <c r="E81" s="33"/>
      <c r="J81" s="26"/>
      <c r="K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17"/>
      <c r="AG81" s="33"/>
      <c r="AH81" s="33"/>
    </row>
    <row r="82" spans="1:34" ht="16.5" thickBot="1">
      <c r="A82" s="33"/>
      <c r="C82" s="18" t="s">
        <v>144</v>
      </c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3"/>
      <c r="AF82" s="31"/>
      <c r="AG82" s="33"/>
      <c r="AH82" s="33"/>
    </row>
    <row r="83" spans="1:34" ht="7.5" customHeight="1">
      <c r="A83" s="33"/>
      <c r="C83" s="20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5"/>
      <c r="AF83" s="33"/>
      <c r="AG83" s="33"/>
      <c r="AH83" s="33"/>
    </row>
    <row r="84" spans="1:34" ht="15.75">
      <c r="A84" s="33"/>
      <c r="C84" s="21"/>
      <c r="D84" s="79"/>
      <c r="E84" s="79"/>
      <c r="F84" s="79"/>
      <c r="G84" s="79"/>
      <c r="H84" s="79"/>
      <c r="I84" s="79"/>
      <c r="J84" s="79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7"/>
      <c r="AF84" s="33"/>
      <c r="AG84" s="33"/>
      <c r="AH84" s="33"/>
    </row>
    <row r="85" spans="1:34" ht="7.5" customHeight="1">
      <c r="A85" s="33"/>
      <c r="C85" s="21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7"/>
      <c r="AF85" s="33"/>
      <c r="AG85" s="33"/>
      <c r="AH85" s="33"/>
    </row>
    <row r="86" spans="1:34">
      <c r="A86" s="33"/>
      <c r="C86" s="21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7"/>
      <c r="AF86" s="33"/>
      <c r="AG86" s="33"/>
      <c r="AH86" s="33"/>
    </row>
    <row r="87" spans="1:34" ht="7.5" customHeight="1">
      <c r="A87" s="33"/>
      <c r="C87" s="21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7"/>
      <c r="AF87" s="33"/>
      <c r="AG87" s="17"/>
      <c r="AH87" s="17"/>
    </row>
    <row r="88" spans="1:34" ht="15.75">
      <c r="A88" s="33"/>
      <c r="C88" s="2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6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7"/>
      <c r="AF88" s="33"/>
      <c r="AG88" s="31"/>
      <c r="AH88" s="31"/>
    </row>
    <row r="89" spans="1:34" ht="7.5" customHeight="1">
      <c r="A89" s="33"/>
      <c r="C89" s="2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7"/>
      <c r="AF89" s="33"/>
      <c r="AG89" s="33"/>
      <c r="AH89" s="33"/>
    </row>
    <row r="90" spans="1:34">
      <c r="A90" s="33"/>
      <c r="C90" s="2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6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7"/>
      <c r="AF90" s="33"/>
      <c r="AG90" s="33"/>
      <c r="AH90" s="33"/>
    </row>
    <row r="91" spans="1:34" ht="7.5" customHeight="1">
      <c r="A91" s="33"/>
      <c r="C91" s="2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7"/>
      <c r="AF91" s="33"/>
      <c r="AG91" s="33"/>
      <c r="AH91" s="33"/>
    </row>
    <row r="92" spans="1:34">
      <c r="A92" s="33"/>
      <c r="C92" s="2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7"/>
      <c r="AF92" s="33"/>
      <c r="AG92" s="33"/>
      <c r="AH92" s="33"/>
    </row>
    <row r="93" spans="1:34" ht="7.5" customHeight="1">
      <c r="A93" s="33"/>
      <c r="C93" s="2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7"/>
      <c r="AF93" s="33"/>
      <c r="AG93" s="33"/>
      <c r="AH93" s="33"/>
    </row>
    <row r="94" spans="1:34">
      <c r="A94" s="33"/>
      <c r="C94" s="2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7"/>
      <c r="AF94" s="33"/>
      <c r="AG94" s="33"/>
      <c r="AH94" s="33"/>
    </row>
    <row r="95" spans="1:34" ht="7.5" customHeight="1">
      <c r="A95" s="33"/>
      <c r="C95" s="21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7"/>
      <c r="AF95" s="33"/>
      <c r="AG95" s="33"/>
      <c r="AH95" s="33"/>
    </row>
    <row r="96" spans="1:34">
      <c r="A96" s="33"/>
      <c r="C96" s="19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9"/>
      <c r="AF96" s="33"/>
      <c r="AG96" s="33"/>
      <c r="AH96" s="33"/>
    </row>
    <row r="97" spans="1:34" ht="7.5" customHeight="1">
      <c r="A97" s="33"/>
      <c r="B97" s="35"/>
      <c r="C97" s="33"/>
      <c r="D97" s="33"/>
      <c r="E97" s="33"/>
      <c r="F97" s="32"/>
      <c r="G97" s="33"/>
      <c r="H97" s="32"/>
      <c r="I97" s="33"/>
      <c r="J97" s="35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33"/>
      <c r="AG97" s="33"/>
      <c r="AH97" s="33"/>
    </row>
    <row r="98" spans="1:34">
      <c r="A98" s="33"/>
      <c r="B98" s="35"/>
      <c r="C98" s="33"/>
      <c r="D98" s="33"/>
      <c r="E98" s="33"/>
      <c r="F98" s="35"/>
      <c r="G98" s="33"/>
      <c r="H98" s="35"/>
      <c r="I98" s="33"/>
      <c r="J98" s="35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33"/>
      <c r="AG98" s="33"/>
      <c r="AH98" s="33"/>
    </row>
    <row r="99" spans="1:34" ht="7.5" customHeight="1">
      <c r="A99" s="33"/>
      <c r="B99" s="35"/>
      <c r="C99" s="33"/>
      <c r="D99" s="33"/>
      <c r="E99" s="33"/>
      <c r="F99" s="35"/>
      <c r="G99" s="33"/>
      <c r="H99" s="35"/>
      <c r="I99" s="33"/>
      <c r="J99" s="35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33"/>
      <c r="AG99" s="33"/>
      <c r="AH99" s="33"/>
    </row>
    <row r="100" spans="1:34" s="36" customFormat="1" ht="7.5" customHeight="1">
      <c r="A100" s="33"/>
      <c r="B100" s="32"/>
      <c r="C100" s="33"/>
      <c r="D100" s="33"/>
      <c r="E100" s="33"/>
      <c r="F100" s="32"/>
      <c r="G100" s="33"/>
      <c r="H100" s="32"/>
      <c r="I100" s="33"/>
      <c r="J100" s="32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33"/>
      <c r="AE100" s="33"/>
      <c r="AF100" s="33"/>
      <c r="AG100" s="33"/>
    </row>
    <row r="101" spans="1:34">
      <c r="A101" s="33"/>
      <c r="B101" s="35"/>
      <c r="C101" s="33"/>
      <c r="D101" s="33"/>
      <c r="E101" s="33"/>
      <c r="F101" s="35"/>
      <c r="G101" s="33"/>
      <c r="H101" s="35"/>
      <c r="I101" s="33"/>
      <c r="J101" s="35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33"/>
      <c r="AE101" s="33"/>
      <c r="AF101" s="33"/>
      <c r="AG101" s="33"/>
    </row>
    <row r="102" spans="1:34" s="36" customFormat="1" ht="7.5" customHeight="1">
      <c r="A102" s="33"/>
      <c r="B102" s="32"/>
      <c r="C102" s="33"/>
      <c r="D102" s="33"/>
      <c r="E102" s="33"/>
      <c r="F102" s="32"/>
      <c r="G102" s="33"/>
      <c r="H102" s="32"/>
      <c r="I102" s="33"/>
      <c r="J102" s="32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33"/>
      <c r="AE102" s="33"/>
      <c r="AF102" s="33"/>
      <c r="AG102" s="33"/>
    </row>
    <row r="103" spans="1:34">
      <c r="A103" s="33"/>
      <c r="B103" s="35"/>
      <c r="C103" s="33"/>
      <c r="D103" s="33"/>
      <c r="E103" s="33"/>
      <c r="F103" s="35"/>
      <c r="G103" s="33"/>
      <c r="H103" s="35"/>
      <c r="I103" s="33"/>
      <c r="J103" s="35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33"/>
      <c r="AE103" s="33"/>
      <c r="AF103" s="33"/>
      <c r="AG103" s="33"/>
    </row>
    <row r="104" spans="1:34" s="36" customFormat="1" ht="7.5" customHeight="1">
      <c r="A104" s="33"/>
      <c r="B104" s="32"/>
      <c r="C104" s="33"/>
      <c r="D104" s="33"/>
      <c r="E104" s="33"/>
      <c r="F104" s="32"/>
      <c r="G104" s="33"/>
      <c r="H104" s="32"/>
      <c r="I104" s="33"/>
      <c r="J104" s="32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33"/>
      <c r="AE104" s="33"/>
      <c r="AF104" s="33"/>
      <c r="AG104" s="33"/>
    </row>
    <row r="105" spans="1:34">
      <c r="A105" s="33"/>
      <c r="B105" s="35"/>
      <c r="C105" s="33"/>
      <c r="D105" s="33"/>
      <c r="E105" s="33"/>
      <c r="F105" s="35"/>
      <c r="G105" s="33"/>
      <c r="H105" s="35"/>
      <c r="I105" s="33"/>
      <c r="J105" s="35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33"/>
      <c r="AE105" s="33"/>
      <c r="AF105" s="33"/>
      <c r="AG105" s="33"/>
    </row>
    <row r="106" spans="1:34" s="11" customFormat="1" ht="7.5" customHeight="1">
      <c r="A106" s="9"/>
      <c r="C106" s="9"/>
      <c r="D106" s="10"/>
      <c r="E106" s="9"/>
      <c r="F106" s="10"/>
      <c r="G106" s="34"/>
      <c r="H106" s="10"/>
      <c r="I106" s="34"/>
      <c r="J106" s="10"/>
      <c r="K106" s="9"/>
      <c r="L106" s="10"/>
      <c r="M106" s="9"/>
      <c r="N106" s="10"/>
      <c r="O106" s="9"/>
      <c r="P106" s="10"/>
      <c r="Q106" s="9"/>
      <c r="R106" s="10"/>
      <c r="S106" s="9"/>
      <c r="T106" s="10"/>
      <c r="U106" s="9"/>
      <c r="V106" s="10"/>
      <c r="W106" s="9"/>
      <c r="X106" s="10"/>
      <c r="Y106" s="9"/>
      <c r="Z106" s="10"/>
      <c r="AA106" s="9"/>
      <c r="AB106" s="10"/>
      <c r="AC106" s="9"/>
      <c r="AD106" s="34"/>
      <c r="AE106" s="34"/>
      <c r="AF106" s="34"/>
      <c r="AG106" s="34"/>
    </row>
    <row r="107" spans="1:34" s="15" customFormat="1" ht="39.75" customHeight="1">
      <c r="A107" s="12"/>
      <c r="B107" s="12"/>
      <c r="C107" s="12"/>
      <c r="D107" s="13"/>
      <c r="E107" s="12"/>
      <c r="F107" s="13"/>
      <c r="G107" s="12"/>
      <c r="H107" s="13"/>
      <c r="I107" s="12"/>
      <c r="J107" s="13"/>
      <c r="K107" s="12"/>
      <c r="L107" s="13"/>
      <c r="M107" s="12"/>
      <c r="N107" s="13"/>
      <c r="O107" s="12"/>
      <c r="P107" s="13"/>
      <c r="Q107" s="12"/>
      <c r="R107" s="13"/>
      <c r="S107" s="12"/>
      <c r="T107" s="13"/>
      <c r="U107" s="12"/>
      <c r="V107" s="13"/>
      <c r="W107" s="12"/>
      <c r="X107" s="13"/>
      <c r="Y107" s="12"/>
      <c r="Z107" s="13"/>
      <c r="AA107" s="12"/>
      <c r="AB107" s="13"/>
      <c r="AC107" s="12"/>
      <c r="AD107" s="12"/>
      <c r="AE107" s="12"/>
      <c r="AF107" s="12"/>
      <c r="AG107" s="12"/>
    </row>
    <row r="108" spans="1:34" s="11" customFormat="1" ht="12.75"/>
  </sheetData>
  <sheetProtection password="D80D" sheet="1" objects="1" scenarios="1"/>
  <mergeCells count="3">
    <mergeCell ref="C8:AE9"/>
    <mergeCell ref="AC1:AF1"/>
    <mergeCell ref="J6:M7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6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Q108"/>
  <sheetViews>
    <sheetView showGridLines="0" showRowColHeaders="0" zoomScale="80" zoomScaleNormal="80" zoomScaleSheetLayoutView="70" workbookViewId="0">
      <pane ySplit="6" topLeftCell="A7" activePane="bottomLeft" state="frozen"/>
      <selection pane="bottomLeft" activeCell="A7" sqref="A7"/>
    </sheetView>
  </sheetViews>
  <sheetFormatPr defaultRowHeight="15"/>
  <cols>
    <col min="1" max="2" width="1.42578125" customWidth="1"/>
    <col min="3" max="3" width="9.7109375" customWidth="1"/>
    <col min="4" max="4" width="1.42578125" customWidth="1"/>
    <col min="5" max="5" width="9.7109375" customWidth="1"/>
    <col min="6" max="6" width="1.42578125" customWidth="1"/>
    <col min="7" max="7" width="9.7109375" customWidth="1"/>
    <col min="8" max="8" width="1.42578125" customWidth="1"/>
    <col min="9" max="9" width="9.7109375" customWidth="1"/>
    <col min="10" max="10" width="1.42578125" customWidth="1"/>
    <col min="11" max="11" width="9.7109375" customWidth="1"/>
    <col min="12" max="12" width="1.42578125" customWidth="1"/>
    <col min="13" max="13" width="9.7109375" customWidth="1"/>
    <col min="14" max="14" width="1.42578125" customWidth="1"/>
    <col min="15" max="15" width="9.7109375" customWidth="1"/>
    <col min="16" max="16" width="1.42578125" customWidth="1"/>
    <col min="17" max="17" width="9.7109375" customWidth="1"/>
    <col min="18" max="18" width="1.42578125" customWidth="1"/>
    <col min="19" max="19" width="9.7109375" customWidth="1"/>
    <col min="20" max="20" width="1.42578125" customWidth="1"/>
    <col min="21" max="21" width="9.7109375" customWidth="1"/>
    <col min="22" max="22" width="1.42578125" customWidth="1"/>
    <col min="23" max="23" width="9.7109375" customWidth="1"/>
    <col min="24" max="24" width="1.42578125" customWidth="1"/>
    <col min="25" max="25" width="9.7109375" customWidth="1"/>
    <col min="26" max="26" width="1.42578125" customWidth="1"/>
    <col min="27" max="27" width="9.7109375" customWidth="1"/>
    <col min="28" max="28" width="1.42578125" customWidth="1"/>
    <col min="29" max="29" width="9.7109375" customWidth="1"/>
    <col min="30" max="30" width="1.42578125" customWidth="1"/>
    <col min="31" max="31" width="9.7109375" customWidth="1"/>
    <col min="32" max="33" width="1.42578125" customWidth="1"/>
  </cols>
  <sheetData>
    <row r="1" spans="1:43" s="5" customFormat="1" ht="15.75">
      <c r="A1" s="2"/>
      <c r="B1" s="2"/>
      <c r="C1" s="2"/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101">
        <f ca="1">TODAY()</f>
        <v>41837</v>
      </c>
      <c r="AD1" s="101"/>
      <c r="AE1" s="101"/>
      <c r="AF1" s="101"/>
      <c r="AG1" s="3"/>
    </row>
    <row r="2" spans="1:43" s="5" customFormat="1" ht="35.25">
      <c r="A2" s="6"/>
      <c r="B2" s="6" t="s">
        <v>7</v>
      </c>
      <c r="C2" s="6"/>
      <c r="D2" s="3"/>
      <c r="E2" s="6"/>
      <c r="F2" s="3"/>
      <c r="G2" s="6"/>
      <c r="H2" s="3"/>
      <c r="I2" s="6"/>
      <c r="J2" s="3"/>
      <c r="K2" s="6"/>
      <c r="L2" s="3"/>
      <c r="M2" s="6"/>
      <c r="N2" s="3"/>
      <c r="O2" s="6"/>
      <c r="P2" s="3"/>
      <c r="Q2" s="6"/>
      <c r="R2" s="3"/>
      <c r="S2" s="6"/>
      <c r="T2" s="3"/>
      <c r="U2" s="6"/>
      <c r="V2" s="3"/>
      <c r="W2" s="6"/>
      <c r="X2" s="3"/>
      <c r="Y2" s="6"/>
      <c r="Z2" s="3"/>
      <c r="AA2" s="6"/>
      <c r="AB2" s="3"/>
      <c r="AC2" s="6"/>
      <c r="AD2" s="3"/>
      <c r="AE2" s="6"/>
      <c r="AF2" s="3"/>
      <c r="AG2" s="3"/>
    </row>
    <row r="3" spans="1:43" s="5" customFormat="1" ht="17.25" customHeight="1" thickBot="1">
      <c r="A3" s="7"/>
      <c r="B3" s="7"/>
      <c r="C3" s="7"/>
      <c r="D3" s="8"/>
      <c r="E3" s="7"/>
      <c r="F3" s="8"/>
      <c r="G3" s="7"/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  <c r="U3" s="7"/>
      <c r="V3" s="8"/>
      <c r="W3" s="7"/>
      <c r="X3" s="8"/>
      <c r="Y3" s="7"/>
      <c r="Z3" s="8"/>
      <c r="AA3" s="7"/>
      <c r="AB3" s="8"/>
      <c r="AC3" s="7"/>
      <c r="AD3" s="8"/>
      <c r="AE3" s="7"/>
      <c r="AF3" s="8"/>
      <c r="AG3" s="8"/>
    </row>
    <row r="4" spans="1:43" s="11" customFormat="1" ht="7.5" customHeight="1">
      <c r="A4" s="9"/>
      <c r="C4" s="9"/>
      <c r="D4" s="10"/>
      <c r="E4" s="9"/>
      <c r="F4" s="10"/>
      <c r="G4" s="9"/>
      <c r="H4" s="10"/>
      <c r="I4" s="9"/>
      <c r="J4" s="10"/>
      <c r="K4" s="9"/>
      <c r="L4" s="10"/>
      <c r="M4" s="9"/>
      <c r="N4" s="10"/>
      <c r="O4" s="9"/>
      <c r="P4" s="10"/>
      <c r="Q4" s="9"/>
      <c r="R4" s="10"/>
      <c r="S4" s="9"/>
      <c r="T4" s="10"/>
      <c r="U4" s="9"/>
      <c r="V4" s="10"/>
      <c r="W4" s="9"/>
      <c r="X4" s="10"/>
      <c r="Y4" s="9"/>
      <c r="Z4" s="10"/>
      <c r="AA4" s="9"/>
      <c r="AB4" s="10"/>
      <c r="AC4" s="9"/>
      <c r="AD4" s="10"/>
      <c r="AE4" s="9"/>
      <c r="AF4" s="10"/>
      <c r="AG4" s="10"/>
    </row>
    <row r="5" spans="1:43" ht="9.75" customHeight="1">
      <c r="A5" s="17"/>
      <c r="C5" s="17"/>
      <c r="D5" s="17"/>
      <c r="F5" s="17"/>
      <c r="H5" s="17"/>
      <c r="J5" s="17"/>
      <c r="K5" s="17"/>
      <c r="M5" s="17"/>
      <c r="O5" s="17"/>
      <c r="Q5" s="17"/>
      <c r="S5" s="17"/>
      <c r="U5" s="17"/>
      <c r="W5" s="17"/>
      <c r="Y5" s="17"/>
      <c r="AA5" s="17"/>
      <c r="AC5" s="17"/>
      <c r="AE5" s="17"/>
      <c r="AI5" s="17"/>
      <c r="AK5" s="17"/>
      <c r="AM5" s="17"/>
      <c r="AO5" s="17"/>
      <c r="AQ5" s="17"/>
    </row>
    <row r="6" spans="1:43" ht="90" customHeight="1">
      <c r="A6" s="31"/>
      <c r="B6" s="32"/>
      <c r="C6" s="31"/>
      <c r="D6" s="31"/>
      <c r="E6" s="31"/>
      <c r="F6" s="32"/>
      <c r="G6" s="31"/>
      <c r="H6" s="32"/>
      <c r="I6" s="31"/>
      <c r="J6" s="102"/>
      <c r="K6" s="102"/>
      <c r="L6" s="102"/>
      <c r="M6" s="102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K6" s="78"/>
    </row>
    <row r="7" spans="1:43" ht="7.5" customHeight="1">
      <c r="A7" s="33"/>
      <c r="B7" s="32"/>
      <c r="C7" s="33"/>
      <c r="D7" s="33"/>
      <c r="E7" s="33"/>
      <c r="F7" s="32"/>
      <c r="G7" s="33"/>
      <c r="H7" s="32"/>
      <c r="I7" s="33"/>
      <c r="J7" s="102"/>
      <c r="K7" s="102"/>
      <c r="L7" s="102"/>
      <c r="M7" s="102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33"/>
      <c r="AG7" s="33"/>
      <c r="AH7" s="33"/>
    </row>
    <row r="8" spans="1:43" ht="15.75" customHeight="1">
      <c r="A8" s="33"/>
      <c r="B8" s="32"/>
      <c r="C8" s="102" t="s">
        <v>145</v>
      </c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31"/>
      <c r="AG8" s="31"/>
      <c r="AH8" s="31"/>
      <c r="AI8" s="31"/>
      <c r="AJ8" s="31"/>
      <c r="AK8" s="31"/>
    </row>
    <row r="9" spans="1:43" ht="7.5" customHeight="1">
      <c r="A9" s="33"/>
      <c r="B9" s="3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33"/>
      <c r="AG9" s="33"/>
      <c r="AH9" s="33"/>
      <c r="AI9" s="33"/>
      <c r="AJ9" s="33"/>
      <c r="AK9" s="33"/>
    </row>
    <row r="10" spans="1:43" ht="16.5" thickBot="1">
      <c r="A10" s="33"/>
      <c r="B10" s="32"/>
      <c r="C10" s="18" t="s">
        <v>141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3"/>
      <c r="AF10" s="31"/>
      <c r="AG10" s="31"/>
      <c r="AH10" s="31"/>
      <c r="AI10" s="31"/>
      <c r="AJ10" s="31"/>
      <c r="AK10" s="31"/>
    </row>
    <row r="11" spans="1:43" ht="7.5" customHeight="1">
      <c r="A11" s="33"/>
      <c r="B11" s="32"/>
      <c r="C11" s="20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5"/>
      <c r="AF11" s="33"/>
      <c r="AG11" s="33"/>
      <c r="AH11" s="33"/>
      <c r="AI11" s="33"/>
      <c r="AJ11" s="33"/>
      <c r="AK11" s="33"/>
    </row>
    <row r="12" spans="1:43" ht="15.75">
      <c r="A12" s="33"/>
      <c r="B12" s="32"/>
      <c r="C12" s="21"/>
      <c r="D12" s="79"/>
      <c r="E12" s="79"/>
      <c r="F12" s="79"/>
      <c r="G12" s="7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7"/>
      <c r="AF12" s="33"/>
      <c r="AG12" s="33"/>
      <c r="AH12" s="33"/>
      <c r="AI12" s="33"/>
      <c r="AJ12" s="33"/>
      <c r="AK12" s="33"/>
    </row>
    <row r="13" spans="1:43" ht="7.5" customHeight="1">
      <c r="A13" s="33"/>
      <c r="B13" s="32"/>
      <c r="C13" s="21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7"/>
      <c r="AF13" s="33"/>
      <c r="AG13" s="33"/>
      <c r="AH13" s="33"/>
      <c r="AI13" s="33"/>
      <c r="AJ13" s="33"/>
      <c r="AK13" s="33"/>
    </row>
    <row r="14" spans="1:43">
      <c r="A14" s="33"/>
      <c r="B14" s="32"/>
      <c r="C14" s="21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7"/>
      <c r="AF14" s="33"/>
      <c r="AG14" s="33"/>
      <c r="AH14" s="33"/>
      <c r="AI14" s="33"/>
      <c r="AJ14" s="33"/>
      <c r="AK14" s="33"/>
    </row>
    <row r="15" spans="1:43" ht="7.5" customHeight="1">
      <c r="A15" s="33"/>
      <c r="B15" s="32"/>
      <c r="C15" s="21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7"/>
      <c r="AF15" s="33"/>
      <c r="AG15" s="33"/>
      <c r="AH15" s="33"/>
      <c r="AI15" s="33"/>
      <c r="AJ15" s="33"/>
      <c r="AK15" s="33"/>
    </row>
    <row r="16" spans="1:43">
      <c r="A16" s="33"/>
      <c r="B16" s="32"/>
      <c r="C16" s="21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6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7"/>
      <c r="AF16" s="33"/>
      <c r="AG16" s="33"/>
      <c r="AH16" s="33"/>
      <c r="AI16" s="33"/>
      <c r="AJ16" s="33"/>
      <c r="AK16" s="33"/>
    </row>
    <row r="17" spans="1:37" ht="7.5" customHeight="1">
      <c r="A17" s="33"/>
      <c r="B17" s="32"/>
      <c r="C17" s="21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7"/>
      <c r="AF17" s="33"/>
      <c r="AG17" s="33"/>
      <c r="AH17" s="33"/>
      <c r="AI17" s="33"/>
      <c r="AJ17" s="33"/>
      <c r="AK17" s="33"/>
    </row>
    <row r="18" spans="1:37">
      <c r="A18" s="33"/>
      <c r="B18" s="32"/>
      <c r="C18" s="21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6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7"/>
      <c r="AF18" s="33"/>
      <c r="AG18" s="33"/>
      <c r="AH18" s="33"/>
      <c r="AI18" s="33"/>
      <c r="AJ18" s="33"/>
      <c r="AK18" s="33"/>
    </row>
    <row r="19" spans="1:37" ht="7.5" customHeight="1">
      <c r="A19" s="33"/>
      <c r="B19" s="32"/>
      <c r="C19" s="21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7"/>
      <c r="AF19" s="33"/>
      <c r="AG19" s="33"/>
      <c r="AH19" s="33"/>
      <c r="AI19" s="33"/>
      <c r="AJ19" s="33"/>
      <c r="AK19" s="33"/>
    </row>
    <row r="20" spans="1:37" ht="15.75">
      <c r="A20" s="31"/>
      <c r="B20" s="32"/>
      <c r="C20" s="21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7"/>
      <c r="AF20" s="33"/>
      <c r="AG20" s="33"/>
      <c r="AH20" s="33"/>
      <c r="AI20" s="33"/>
      <c r="AJ20" s="33"/>
      <c r="AK20" s="33"/>
    </row>
    <row r="21" spans="1:37" ht="7.5" customHeight="1">
      <c r="A21" s="33"/>
      <c r="B21" s="32"/>
      <c r="C21" s="21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7"/>
      <c r="AF21" s="33"/>
      <c r="AG21" s="33"/>
      <c r="AH21" s="33"/>
      <c r="AI21" s="33"/>
      <c r="AJ21" s="33"/>
      <c r="AK21" s="33"/>
    </row>
    <row r="22" spans="1:37">
      <c r="A22" s="33"/>
      <c r="B22" s="32"/>
      <c r="C22" s="21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7"/>
      <c r="AF22" s="33"/>
      <c r="AG22" s="33"/>
      <c r="AH22" s="33"/>
      <c r="AI22" s="33"/>
      <c r="AJ22" s="33"/>
      <c r="AK22" s="33"/>
    </row>
    <row r="23" spans="1:37" ht="7.5" customHeight="1">
      <c r="A23" s="33"/>
      <c r="B23" s="32"/>
      <c r="C23" s="21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7"/>
      <c r="AF23" s="33"/>
      <c r="AG23" s="33"/>
      <c r="AH23" s="33"/>
      <c r="AI23" s="33"/>
      <c r="AJ23" s="33"/>
      <c r="AK23" s="33"/>
    </row>
    <row r="24" spans="1:37">
      <c r="A24" s="33"/>
      <c r="B24" s="32"/>
      <c r="C24" s="1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9"/>
      <c r="AF24" s="33"/>
      <c r="AG24" s="33"/>
      <c r="AH24" s="33"/>
      <c r="AI24" s="33"/>
      <c r="AJ24" s="33"/>
      <c r="AK24" s="33"/>
    </row>
    <row r="25" spans="1:37" ht="7.5" customHeight="1">
      <c r="A25" s="33"/>
      <c r="B25" s="32"/>
      <c r="C25" s="33"/>
      <c r="D25" s="33"/>
      <c r="E25" s="33"/>
      <c r="F25" s="32"/>
      <c r="G25" s="33"/>
      <c r="H25" s="32"/>
      <c r="I25" s="33"/>
      <c r="J25" s="35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33"/>
      <c r="AG25" s="33"/>
      <c r="AH25" s="33"/>
    </row>
    <row r="26" spans="1:37" ht="15.75" customHeight="1">
      <c r="A26" s="33"/>
      <c r="B26" s="32"/>
      <c r="C26" s="33"/>
      <c r="D26" s="32"/>
      <c r="E26" s="33"/>
      <c r="J26" s="31"/>
      <c r="K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3"/>
      <c r="AG26" s="33"/>
      <c r="AH26" s="33"/>
    </row>
    <row r="27" spans="1:37" ht="7.5" customHeight="1">
      <c r="A27" s="33"/>
      <c r="B27" s="32"/>
      <c r="C27" s="33"/>
      <c r="D27" s="32"/>
      <c r="E27" s="33"/>
      <c r="J27" s="26"/>
      <c r="K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7"/>
      <c r="AG27" s="17"/>
      <c r="AH27" s="17"/>
    </row>
    <row r="28" spans="1:37" ht="16.5" thickBot="1">
      <c r="A28" s="33"/>
      <c r="B28" s="32"/>
      <c r="C28" s="18" t="s">
        <v>0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31"/>
      <c r="AG28" s="31"/>
      <c r="AH28" s="31"/>
    </row>
    <row r="29" spans="1:37" ht="7.5" customHeight="1">
      <c r="A29" s="33"/>
      <c r="B29" s="32"/>
      <c r="C29" s="20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33"/>
      <c r="AG29" s="33"/>
      <c r="AH29" s="33"/>
    </row>
    <row r="30" spans="1:37" ht="15.75">
      <c r="A30" s="33"/>
      <c r="B30" s="32"/>
      <c r="C30" s="21"/>
      <c r="D30" s="79"/>
      <c r="E30" s="79"/>
      <c r="F30" s="79"/>
      <c r="G30" s="79"/>
      <c r="H30" s="79"/>
      <c r="I30" s="79"/>
      <c r="J30" s="79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7"/>
      <c r="AF30" s="33"/>
      <c r="AG30" s="33"/>
      <c r="AH30" s="33"/>
    </row>
    <row r="31" spans="1:37" ht="7.5" customHeight="1">
      <c r="A31" s="33"/>
      <c r="B31" s="32"/>
      <c r="C31" s="21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7"/>
      <c r="AF31" s="33"/>
      <c r="AG31" s="33"/>
      <c r="AH31" s="33"/>
    </row>
    <row r="32" spans="1:37" ht="15.75">
      <c r="A32" s="31"/>
      <c r="B32" s="32"/>
      <c r="C32" s="21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7"/>
      <c r="AF32" s="33"/>
      <c r="AG32" s="33"/>
      <c r="AH32" s="33"/>
    </row>
    <row r="33" spans="1:34" ht="7.5" customHeight="1">
      <c r="A33" s="33"/>
      <c r="B33" s="32"/>
      <c r="C33" s="21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7"/>
      <c r="AF33" s="33"/>
      <c r="AG33" s="33"/>
      <c r="AH33" s="33"/>
    </row>
    <row r="34" spans="1:34">
      <c r="A34" s="33"/>
      <c r="B34" s="32"/>
      <c r="C34" s="21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6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7"/>
      <c r="AF34" s="33"/>
      <c r="AG34" s="33"/>
      <c r="AH34" s="33"/>
    </row>
    <row r="35" spans="1:34" ht="7.5" customHeight="1">
      <c r="A35" s="33"/>
      <c r="B35" s="32"/>
      <c r="C35" s="21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7"/>
      <c r="AF35" s="33"/>
      <c r="AG35" s="33"/>
      <c r="AH35" s="33"/>
    </row>
    <row r="36" spans="1:34">
      <c r="A36" s="33"/>
      <c r="B36" s="32"/>
      <c r="C36" s="21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6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7"/>
      <c r="AF36" s="33"/>
      <c r="AG36" s="33"/>
      <c r="AH36" s="33"/>
    </row>
    <row r="37" spans="1:34" ht="7.5" customHeight="1">
      <c r="A37" s="33"/>
      <c r="B37" s="32"/>
      <c r="C37" s="21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33"/>
      <c r="AG37" s="33"/>
      <c r="AH37" s="33"/>
    </row>
    <row r="38" spans="1:34">
      <c r="A38" s="33"/>
      <c r="B38" s="32"/>
      <c r="C38" s="21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7"/>
      <c r="AF38" s="33"/>
      <c r="AG38" s="33"/>
      <c r="AH38" s="33"/>
    </row>
    <row r="39" spans="1:34" ht="7.5" customHeight="1">
      <c r="A39" s="33"/>
      <c r="B39" s="32"/>
      <c r="C39" s="21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7"/>
      <c r="AF39" s="33"/>
      <c r="AG39" s="33"/>
      <c r="AH39" s="33"/>
    </row>
    <row r="40" spans="1:34">
      <c r="A40" s="33"/>
      <c r="B40" s="32"/>
      <c r="C40" s="21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7"/>
      <c r="AF40" s="33"/>
      <c r="AG40" s="33"/>
      <c r="AH40" s="33"/>
    </row>
    <row r="41" spans="1:34" ht="7.5" customHeight="1">
      <c r="A41" s="33"/>
      <c r="B41" s="32"/>
      <c r="C41" s="21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7"/>
      <c r="AF41" s="33"/>
      <c r="AG41" s="33"/>
      <c r="AH41" s="33"/>
    </row>
    <row r="42" spans="1:34">
      <c r="A42" s="33"/>
      <c r="B42" s="32"/>
      <c r="C42" s="19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9"/>
      <c r="AF42" s="33"/>
      <c r="AG42" s="33"/>
      <c r="AH42" s="33"/>
    </row>
    <row r="43" spans="1:34" ht="7.5" customHeight="1">
      <c r="A43" s="33"/>
      <c r="B43" s="32"/>
      <c r="C43" s="33"/>
      <c r="D43" s="33"/>
      <c r="E43" s="33"/>
      <c r="F43" s="32"/>
      <c r="G43" s="33"/>
      <c r="H43" s="32"/>
      <c r="I43" s="33"/>
      <c r="J43" s="35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33"/>
      <c r="AG43" s="33"/>
      <c r="AH43" s="33"/>
    </row>
    <row r="44" spans="1:34" ht="15.75" customHeight="1">
      <c r="A44" s="31"/>
      <c r="B44" s="32"/>
      <c r="C44" s="33"/>
      <c r="D44" s="32"/>
      <c r="E44" s="33"/>
      <c r="J44" s="31"/>
      <c r="K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3"/>
      <c r="AG44" s="33"/>
      <c r="AH44" s="33"/>
    </row>
    <row r="45" spans="1:34" ht="7.5" customHeight="1">
      <c r="A45" s="33"/>
      <c r="B45" s="32"/>
      <c r="C45" s="33"/>
      <c r="D45" s="32"/>
      <c r="E45" s="33"/>
      <c r="J45" s="26"/>
      <c r="K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17"/>
      <c r="AG45" s="33"/>
      <c r="AH45" s="33"/>
    </row>
    <row r="46" spans="1:34" ht="16.5" thickBot="1">
      <c r="A46" s="33"/>
      <c r="B46" s="32"/>
      <c r="C46" s="18" t="s">
        <v>142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3"/>
      <c r="AF46" s="31"/>
      <c r="AG46" s="33"/>
      <c r="AH46" s="33"/>
    </row>
    <row r="47" spans="1:34" ht="7.5" customHeight="1">
      <c r="A47" s="33"/>
      <c r="B47" s="32"/>
      <c r="C47" s="20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5"/>
      <c r="AF47" s="33"/>
      <c r="AG47" s="17"/>
      <c r="AH47" s="17"/>
    </row>
    <row r="48" spans="1:34" ht="15.75">
      <c r="A48" s="33"/>
      <c r="B48" s="32"/>
      <c r="C48" s="21"/>
      <c r="D48" s="79"/>
      <c r="E48" s="79"/>
      <c r="F48" s="79"/>
      <c r="G48" s="79"/>
      <c r="H48" s="79"/>
      <c r="I48" s="79"/>
      <c r="J48" s="79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33"/>
      <c r="AG48" s="31"/>
      <c r="AH48" s="31"/>
    </row>
    <row r="49" spans="1:34" ht="7.5" customHeight="1">
      <c r="A49" s="33"/>
      <c r="B49" s="32"/>
      <c r="C49" s="21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33"/>
      <c r="AG49" s="33"/>
      <c r="AH49" s="33"/>
    </row>
    <row r="50" spans="1:34">
      <c r="A50" s="33"/>
      <c r="B50" s="32"/>
      <c r="C50" s="21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33"/>
      <c r="AG50" s="33"/>
      <c r="AH50" s="33"/>
    </row>
    <row r="51" spans="1:34" ht="7.5" customHeight="1">
      <c r="A51" s="33"/>
      <c r="B51" s="32"/>
      <c r="C51" s="21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33"/>
      <c r="AG51" s="33"/>
      <c r="AH51" s="33"/>
    </row>
    <row r="52" spans="1:34">
      <c r="A52" s="33"/>
      <c r="B52" s="32"/>
      <c r="C52" s="21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6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33"/>
      <c r="AG52" s="33"/>
      <c r="AH52" s="33"/>
    </row>
    <row r="53" spans="1:34" ht="7.5" customHeight="1">
      <c r="A53" s="33"/>
      <c r="B53" s="32"/>
      <c r="C53" s="21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33"/>
      <c r="AG53" s="33"/>
      <c r="AH53" s="33"/>
    </row>
    <row r="54" spans="1:34">
      <c r="A54" s="33"/>
      <c r="B54" s="32"/>
      <c r="C54" s="21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6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33"/>
      <c r="AG54" s="33"/>
      <c r="AH54" s="33"/>
    </row>
    <row r="55" spans="1:34" ht="7.5" customHeight="1">
      <c r="A55" s="33"/>
      <c r="B55" s="32"/>
      <c r="C55" s="21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33"/>
      <c r="AG55" s="33"/>
      <c r="AH55" s="33"/>
    </row>
    <row r="56" spans="1:34" ht="15.75">
      <c r="A56" s="31"/>
      <c r="B56" s="32"/>
      <c r="C56" s="21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33"/>
      <c r="AG56" s="33"/>
      <c r="AH56" s="33"/>
    </row>
    <row r="57" spans="1:34" ht="7.5" customHeight="1">
      <c r="A57" s="33"/>
      <c r="B57" s="32"/>
      <c r="C57" s="21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33"/>
      <c r="AG57" s="33"/>
      <c r="AH57" s="33"/>
    </row>
    <row r="58" spans="1:34">
      <c r="A58" s="33"/>
      <c r="B58" s="32"/>
      <c r="C58" s="21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33"/>
      <c r="AG58" s="33"/>
      <c r="AH58" s="33"/>
    </row>
    <row r="59" spans="1:34" ht="7.5" customHeight="1">
      <c r="A59" s="33"/>
      <c r="B59" s="32"/>
      <c r="C59" s="21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33"/>
      <c r="AG59" s="33"/>
      <c r="AH59" s="33"/>
    </row>
    <row r="60" spans="1:34">
      <c r="A60" s="33"/>
      <c r="B60" s="32"/>
      <c r="C60" s="19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9"/>
      <c r="AF60" s="33"/>
      <c r="AG60" s="33"/>
      <c r="AH60" s="33"/>
    </row>
    <row r="61" spans="1:34" ht="7.5" customHeight="1">
      <c r="A61" s="33"/>
      <c r="B61" s="32"/>
      <c r="C61" s="33"/>
      <c r="D61" s="33"/>
      <c r="E61" s="33"/>
      <c r="F61" s="32"/>
      <c r="G61" s="33"/>
      <c r="H61" s="32"/>
      <c r="I61" s="33"/>
      <c r="J61" s="35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33"/>
      <c r="AG61" s="33"/>
      <c r="AH61" s="33"/>
    </row>
    <row r="62" spans="1:34" ht="15.75" customHeight="1">
      <c r="A62" s="33"/>
      <c r="C62" s="33"/>
      <c r="D62" s="32"/>
      <c r="E62" s="33"/>
      <c r="J62" s="31"/>
      <c r="K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3"/>
      <c r="AG62" s="33"/>
      <c r="AH62" s="33"/>
    </row>
    <row r="63" spans="1:34" ht="7.5" customHeight="1">
      <c r="A63" s="33"/>
      <c r="C63" s="33"/>
      <c r="D63" s="32"/>
      <c r="E63" s="33"/>
      <c r="J63" s="26"/>
      <c r="K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17"/>
      <c r="AG63" s="33"/>
      <c r="AH63" s="33"/>
    </row>
    <row r="64" spans="1:34" ht="16.5" thickBot="1">
      <c r="A64" s="33"/>
      <c r="C64" s="18" t="s">
        <v>143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3"/>
      <c r="AF64" s="31"/>
      <c r="AG64" s="33"/>
      <c r="AH64" s="33"/>
    </row>
    <row r="65" spans="1:34" ht="7.5" customHeight="1">
      <c r="A65" s="33"/>
      <c r="C65" s="20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5"/>
      <c r="AF65" s="33"/>
      <c r="AG65" s="33"/>
      <c r="AH65" s="33"/>
    </row>
    <row r="66" spans="1:34" ht="15.75">
      <c r="A66" s="33"/>
      <c r="C66" s="21"/>
      <c r="D66" s="79"/>
      <c r="E66" s="79"/>
      <c r="F66" s="79"/>
      <c r="G66" s="79"/>
      <c r="H66" s="79"/>
      <c r="I66" s="79"/>
      <c r="J66" s="79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7"/>
      <c r="AF66" s="33"/>
      <c r="AG66" s="33"/>
      <c r="AH66" s="33"/>
    </row>
    <row r="67" spans="1:34" ht="7.5" customHeight="1">
      <c r="A67" s="33"/>
      <c r="C67" s="21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7"/>
      <c r="AF67" s="33"/>
      <c r="AG67" s="17"/>
      <c r="AH67" s="17"/>
    </row>
    <row r="68" spans="1:34" ht="15.75">
      <c r="A68" s="33"/>
      <c r="C68" s="21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7"/>
      <c r="AF68" s="33"/>
      <c r="AG68" s="31"/>
      <c r="AH68" s="31"/>
    </row>
    <row r="69" spans="1:34" ht="7.5" customHeight="1">
      <c r="A69" s="33"/>
      <c r="C69" s="21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7"/>
      <c r="AF69" s="33"/>
      <c r="AG69" s="33"/>
      <c r="AH69" s="33"/>
    </row>
    <row r="70" spans="1:34">
      <c r="A70" s="33"/>
      <c r="C70" s="21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6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7"/>
      <c r="AF70" s="33"/>
      <c r="AG70" s="33"/>
      <c r="AH70" s="33"/>
    </row>
    <row r="71" spans="1:34" ht="7.5" customHeight="1">
      <c r="A71" s="33"/>
      <c r="C71" s="21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7"/>
      <c r="AF71" s="33"/>
      <c r="AG71" s="33"/>
      <c r="AH71" s="33"/>
    </row>
    <row r="72" spans="1:34">
      <c r="A72" s="33"/>
      <c r="C72" s="21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6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7"/>
      <c r="AF72" s="33"/>
      <c r="AG72" s="33"/>
      <c r="AH72" s="33"/>
    </row>
    <row r="73" spans="1:34" ht="7.5" customHeight="1">
      <c r="A73" s="33"/>
      <c r="C73" s="21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7"/>
      <c r="AF73" s="33"/>
      <c r="AG73" s="33"/>
      <c r="AH73" s="33"/>
    </row>
    <row r="74" spans="1:34">
      <c r="A74" s="33"/>
      <c r="C74" s="21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7"/>
      <c r="AF74" s="33"/>
      <c r="AG74" s="33"/>
      <c r="AH74" s="33"/>
    </row>
    <row r="75" spans="1:34" ht="7.5" customHeight="1">
      <c r="A75" s="33"/>
      <c r="C75" s="21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7"/>
      <c r="AF75" s="33"/>
      <c r="AG75" s="33"/>
      <c r="AH75" s="33"/>
    </row>
    <row r="76" spans="1:34">
      <c r="A76" s="33"/>
      <c r="C76" s="21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7"/>
      <c r="AF76" s="33"/>
      <c r="AG76" s="33"/>
      <c r="AH76" s="33"/>
    </row>
    <row r="77" spans="1:34" ht="7.5" customHeight="1">
      <c r="A77" s="33"/>
      <c r="C77" s="21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7"/>
      <c r="AF77" s="33"/>
      <c r="AG77" s="33"/>
      <c r="AH77" s="33"/>
    </row>
    <row r="78" spans="1:34">
      <c r="A78" s="33"/>
      <c r="C78" s="19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9"/>
      <c r="AF78" s="33"/>
      <c r="AG78" s="33"/>
      <c r="AH78" s="33"/>
    </row>
    <row r="79" spans="1:34" ht="7.5" customHeight="1">
      <c r="A79" s="33"/>
      <c r="C79" s="33"/>
      <c r="D79" s="33"/>
      <c r="E79" s="33"/>
      <c r="F79" s="32"/>
      <c r="G79" s="33"/>
      <c r="H79" s="32"/>
      <c r="I79" s="33"/>
      <c r="J79" s="35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33"/>
      <c r="AG79" s="33"/>
      <c r="AH79" s="33"/>
    </row>
    <row r="80" spans="1:34" ht="15.75" customHeight="1">
      <c r="A80" s="33"/>
      <c r="C80" s="33"/>
      <c r="D80" s="32"/>
      <c r="E80" s="33"/>
      <c r="J80" s="31"/>
      <c r="K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3"/>
      <c r="AG80" s="33"/>
      <c r="AH80" s="33"/>
    </row>
    <row r="81" spans="1:34" ht="7.5" customHeight="1">
      <c r="A81" s="33"/>
      <c r="C81" s="33"/>
      <c r="D81" s="32"/>
      <c r="E81" s="33"/>
      <c r="J81" s="26"/>
      <c r="K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17"/>
      <c r="AG81" s="33"/>
      <c r="AH81" s="33"/>
    </row>
    <row r="82" spans="1:34" ht="16.5" thickBot="1">
      <c r="A82" s="33"/>
      <c r="C82" s="18" t="s">
        <v>144</v>
      </c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3"/>
      <c r="AF82" s="31"/>
      <c r="AG82" s="33"/>
      <c r="AH82" s="33"/>
    </row>
    <row r="83" spans="1:34" ht="7.5" customHeight="1">
      <c r="A83" s="33"/>
      <c r="C83" s="20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5"/>
      <c r="AF83" s="33"/>
      <c r="AG83" s="33"/>
      <c r="AH83" s="33"/>
    </row>
    <row r="84" spans="1:34" ht="15.75">
      <c r="A84" s="33"/>
      <c r="C84" s="21"/>
      <c r="D84" s="79"/>
      <c r="E84" s="79"/>
      <c r="F84" s="79"/>
      <c r="G84" s="79"/>
      <c r="H84" s="79"/>
      <c r="I84" s="79"/>
      <c r="J84" s="79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7"/>
      <c r="AF84" s="33"/>
      <c r="AG84" s="33"/>
      <c r="AH84" s="33"/>
    </row>
    <row r="85" spans="1:34" ht="7.5" customHeight="1">
      <c r="A85" s="33"/>
      <c r="C85" s="21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7"/>
      <c r="AF85" s="33"/>
      <c r="AG85" s="33"/>
      <c r="AH85" s="33"/>
    </row>
    <row r="86" spans="1:34">
      <c r="A86" s="33"/>
      <c r="C86" s="21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7"/>
      <c r="AF86" s="33"/>
      <c r="AG86" s="33"/>
      <c r="AH86" s="33"/>
    </row>
    <row r="87" spans="1:34" ht="7.5" customHeight="1">
      <c r="A87" s="33"/>
      <c r="C87" s="21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7"/>
      <c r="AF87" s="33"/>
      <c r="AG87" s="17"/>
      <c r="AH87" s="17"/>
    </row>
    <row r="88" spans="1:34" ht="15.75">
      <c r="A88" s="33"/>
      <c r="C88" s="2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6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7"/>
      <c r="AF88" s="33"/>
      <c r="AG88" s="31"/>
      <c r="AH88" s="31"/>
    </row>
    <row r="89" spans="1:34" ht="7.5" customHeight="1">
      <c r="A89" s="33"/>
      <c r="C89" s="2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7"/>
      <c r="AF89" s="33"/>
      <c r="AG89" s="33"/>
      <c r="AH89" s="33"/>
    </row>
    <row r="90" spans="1:34">
      <c r="A90" s="33"/>
      <c r="C90" s="2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6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7"/>
      <c r="AF90" s="33"/>
      <c r="AG90" s="33"/>
      <c r="AH90" s="33"/>
    </row>
    <row r="91" spans="1:34" ht="7.5" customHeight="1">
      <c r="A91" s="33"/>
      <c r="C91" s="2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7"/>
      <c r="AF91" s="33"/>
      <c r="AG91" s="33"/>
      <c r="AH91" s="33"/>
    </row>
    <row r="92" spans="1:34">
      <c r="A92" s="33"/>
      <c r="C92" s="2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7"/>
      <c r="AF92" s="33"/>
      <c r="AG92" s="33"/>
      <c r="AH92" s="33"/>
    </row>
    <row r="93" spans="1:34" ht="7.5" customHeight="1">
      <c r="A93" s="33"/>
      <c r="C93" s="2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7"/>
      <c r="AF93" s="33"/>
      <c r="AG93" s="33"/>
      <c r="AH93" s="33"/>
    </row>
    <row r="94" spans="1:34">
      <c r="A94" s="33"/>
      <c r="C94" s="2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7"/>
      <c r="AF94" s="33"/>
      <c r="AG94" s="33"/>
      <c r="AH94" s="33"/>
    </row>
    <row r="95" spans="1:34" ht="7.5" customHeight="1">
      <c r="A95" s="33"/>
      <c r="C95" s="21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7"/>
      <c r="AF95" s="33"/>
      <c r="AG95" s="33"/>
      <c r="AH95" s="33"/>
    </row>
    <row r="96" spans="1:34">
      <c r="A96" s="33"/>
      <c r="C96" s="19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9"/>
      <c r="AF96" s="33"/>
      <c r="AG96" s="33"/>
      <c r="AH96" s="33"/>
    </row>
    <row r="97" spans="1:34" ht="7.5" customHeight="1">
      <c r="A97" s="33"/>
      <c r="B97" s="35"/>
      <c r="C97" s="33"/>
      <c r="D97" s="33"/>
      <c r="E97" s="33"/>
      <c r="F97" s="32"/>
      <c r="G97" s="33"/>
      <c r="H97" s="32"/>
      <c r="I97" s="33"/>
      <c r="J97" s="35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33"/>
      <c r="AG97" s="33"/>
      <c r="AH97" s="33"/>
    </row>
    <row r="98" spans="1:34">
      <c r="A98" s="33"/>
      <c r="B98" s="35"/>
      <c r="C98" s="33"/>
      <c r="D98" s="33"/>
      <c r="E98" s="33"/>
      <c r="F98" s="35"/>
      <c r="G98" s="33"/>
      <c r="H98" s="35"/>
      <c r="I98" s="33"/>
      <c r="J98" s="35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33"/>
      <c r="AG98" s="33"/>
      <c r="AH98" s="33"/>
    </row>
    <row r="99" spans="1:34" ht="7.5" customHeight="1">
      <c r="A99" s="33"/>
      <c r="B99" s="35"/>
      <c r="C99" s="33"/>
      <c r="D99" s="33"/>
      <c r="E99" s="33"/>
      <c r="F99" s="35"/>
      <c r="G99" s="33"/>
      <c r="H99" s="35"/>
      <c r="I99" s="33"/>
      <c r="J99" s="35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33"/>
      <c r="AG99" s="33"/>
      <c r="AH99" s="33"/>
    </row>
    <row r="100" spans="1:34" s="36" customFormat="1" ht="7.5" customHeight="1">
      <c r="A100" s="33"/>
      <c r="B100" s="32"/>
      <c r="C100" s="33"/>
      <c r="D100" s="33"/>
      <c r="E100" s="33"/>
      <c r="F100" s="32"/>
      <c r="G100" s="33"/>
      <c r="H100" s="32"/>
      <c r="I100" s="33"/>
      <c r="J100" s="32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33"/>
      <c r="AE100" s="33"/>
      <c r="AF100" s="33"/>
      <c r="AG100" s="33"/>
    </row>
    <row r="101" spans="1:34">
      <c r="A101" s="33"/>
      <c r="B101" s="35"/>
      <c r="C101" s="33"/>
      <c r="D101" s="33"/>
      <c r="E101" s="33"/>
      <c r="F101" s="35"/>
      <c r="G101" s="33"/>
      <c r="H101" s="35"/>
      <c r="I101" s="33"/>
      <c r="J101" s="35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33"/>
      <c r="AE101" s="33"/>
      <c r="AF101" s="33"/>
      <c r="AG101" s="33"/>
    </row>
    <row r="102" spans="1:34" s="36" customFormat="1" ht="7.5" customHeight="1">
      <c r="A102" s="33"/>
      <c r="B102" s="32"/>
      <c r="C102" s="33"/>
      <c r="D102" s="33"/>
      <c r="E102" s="33"/>
      <c r="F102" s="32"/>
      <c r="G102" s="33"/>
      <c r="H102" s="32"/>
      <c r="I102" s="33"/>
      <c r="J102" s="32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33"/>
      <c r="AE102" s="33"/>
      <c r="AF102" s="33"/>
      <c r="AG102" s="33"/>
    </row>
    <row r="103" spans="1:34">
      <c r="A103" s="33"/>
      <c r="B103" s="35"/>
      <c r="C103" s="33"/>
      <c r="D103" s="33"/>
      <c r="E103" s="33"/>
      <c r="F103" s="35"/>
      <c r="G103" s="33"/>
      <c r="H103" s="35"/>
      <c r="I103" s="33"/>
      <c r="J103" s="35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33"/>
      <c r="AE103" s="33"/>
      <c r="AF103" s="33"/>
      <c r="AG103" s="33"/>
    </row>
    <row r="104" spans="1:34" s="36" customFormat="1" ht="7.5" customHeight="1">
      <c r="A104" s="33"/>
      <c r="B104" s="32"/>
      <c r="C104" s="33"/>
      <c r="D104" s="33"/>
      <c r="E104" s="33"/>
      <c r="F104" s="32"/>
      <c r="G104" s="33"/>
      <c r="H104" s="32"/>
      <c r="I104" s="33"/>
      <c r="J104" s="32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33"/>
      <c r="AE104" s="33"/>
      <c r="AF104" s="33"/>
      <c r="AG104" s="33"/>
    </row>
    <row r="105" spans="1:34">
      <c r="A105" s="33"/>
      <c r="B105" s="35"/>
      <c r="C105" s="33"/>
      <c r="D105" s="33"/>
      <c r="E105" s="33"/>
      <c r="F105" s="35"/>
      <c r="G105" s="33"/>
      <c r="H105" s="35"/>
      <c r="I105" s="33"/>
      <c r="J105" s="35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33"/>
      <c r="AE105" s="33"/>
      <c r="AF105" s="33"/>
      <c r="AG105" s="33"/>
    </row>
    <row r="106" spans="1:34" s="11" customFormat="1" ht="7.5" customHeight="1">
      <c r="A106" s="9"/>
      <c r="C106" s="9"/>
      <c r="D106" s="10"/>
      <c r="E106" s="9"/>
      <c r="F106" s="10"/>
      <c r="G106" s="34"/>
      <c r="H106" s="10"/>
      <c r="I106" s="34"/>
      <c r="J106" s="10"/>
      <c r="K106" s="9"/>
      <c r="L106" s="10"/>
      <c r="M106" s="9"/>
      <c r="N106" s="10"/>
      <c r="O106" s="9"/>
      <c r="P106" s="10"/>
      <c r="Q106" s="9"/>
      <c r="R106" s="10"/>
      <c r="S106" s="9"/>
      <c r="T106" s="10"/>
      <c r="U106" s="9"/>
      <c r="V106" s="10"/>
      <c r="W106" s="9"/>
      <c r="X106" s="10"/>
      <c r="Y106" s="9"/>
      <c r="Z106" s="10"/>
      <c r="AA106" s="9"/>
      <c r="AB106" s="10"/>
      <c r="AC106" s="9"/>
      <c r="AD106" s="34"/>
      <c r="AE106" s="34"/>
      <c r="AF106" s="34"/>
      <c r="AG106" s="34"/>
    </row>
    <row r="107" spans="1:34" s="15" customFormat="1" ht="39.75" customHeight="1">
      <c r="A107" s="12"/>
      <c r="B107" s="12"/>
      <c r="C107" s="12"/>
      <c r="D107" s="13"/>
      <c r="E107" s="12"/>
      <c r="F107" s="13"/>
      <c r="G107" s="12"/>
      <c r="H107" s="13"/>
      <c r="I107" s="12"/>
      <c r="J107" s="13"/>
      <c r="K107" s="12"/>
      <c r="L107" s="13"/>
      <c r="M107" s="12"/>
      <c r="N107" s="13"/>
      <c r="O107" s="12"/>
      <c r="P107" s="13"/>
      <c r="Q107" s="12"/>
      <c r="R107" s="13"/>
      <c r="S107" s="12"/>
      <c r="T107" s="13"/>
      <c r="U107" s="12"/>
      <c r="V107" s="13"/>
      <c r="W107" s="12"/>
      <c r="X107" s="13"/>
      <c r="Y107" s="12"/>
      <c r="Z107" s="13"/>
      <c r="AA107" s="12"/>
      <c r="AB107" s="13"/>
      <c r="AC107" s="12"/>
      <c r="AD107" s="12"/>
      <c r="AE107" s="12"/>
      <c r="AF107" s="12"/>
      <c r="AG107" s="12"/>
    </row>
    <row r="108" spans="1:34" s="11" customFormat="1" ht="12.75"/>
  </sheetData>
  <sheetProtection password="D80D" sheet="1" objects="1" scenarios="1"/>
  <mergeCells count="3">
    <mergeCell ref="AC1:AF1"/>
    <mergeCell ref="J6:M7"/>
    <mergeCell ref="C8:AE9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6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Q108"/>
  <sheetViews>
    <sheetView showGridLines="0" showRowColHeaders="0" zoomScale="80" zoomScaleNormal="80" zoomScaleSheetLayoutView="70" workbookViewId="0">
      <pane ySplit="6" topLeftCell="A7" activePane="bottomLeft" state="frozen"/>
      <selection pane="bottomLeft" activeCell="A7" sqref="A7"/>
    </sheetView>
  </sheetViews>
  <sheetFormatPr defaultRowHeight="15"/>
  <cols>
    <col min="1" max="2" width="1.42578125" customWidth="1"/>
    <col min="3" max="3" width="9.7109375" customWidth="1"/>
    <col min="4" max="4" width="1.42578125" customWidth="1"/>
    <col min="5" max="5" width="9.7109375" customWidth="1"/>
    <col min="6" max="6" width="1.42578125" customWidth="1"/>
    <col min="7" max="7" width="9.7109375" customWidth="1"/>
    <col min="8" max="8" width="1.42578125" customWidth="1"/>
    <col min="9" max="9" width="9.7109375" customWidth="1"/>
    <col min="10" max="10" width="1.42578125" customWidth="1"/>
    <col min="11" max="11" width="9.7109375" customWidth="1"/>
    <col min="12" max="12" width="1.42578125" customWidth="1"/>
    <col min="13" max="13" width="9.7109375" customWidth="1"/>
    <col min="14" max="14" width="1.42578125" customWidth="1"/>
    <col min="15" max="15" width="9.7109375" customWidth="1"/>
    <col min="16" max="16" width="1.42578125" customWidth="1"/>
    <col min="17" max="17" width="9.7109375" customWidth="1"/>
    <col min="18" max="18" width="1.42578125" customWidth="1"/>
    <col min="19" max="19" width="9.7109375" customWidth="1"/>
    <col min="20" max="20" width="1.42578125" customWidth="1"/>
    <col min="21" max="21" width="9.7109375" customWidth="1"/>
    <col min="22" max="22" width="1.42578125" customWidth="1"/>
    <col min="23" max="23" width="9.7109375" customWidth="1"/>
    <col min="24" max="24" width="1.42578125" customWidth="1"/>
    <col min="25" max="25" width="9.7109375" customWidth="1"/>
    <col min="26" max="26" width="1.42578125" customWidth="1"/>
    <col min="27" max="27" width="9.7109375" customWidth="1"/>
    <col min="28" max="28" width="1.42578125" customWidth="1"/>
    <col min="29" max="29" width="9.7109375" customWidth="1"/>
    <col min="30" max="30" width="1.42578125" customWidth="1"/>
    <col min="31" max="31" width="9.7109375" customWidth="1"/>
    <col min="32" max="33" width="1.42578125" customWidth="1"/>
  </cols>
  <sheetData>
    <row r="1" spans="1:43" s="5" customFormat="1" ht="15.75">
      <c r="A1" s="2"/>
      <c r="B1" s="2"/>
      <c r="C1" s="2"/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101">
        <f ca="1">TODAY()</f>
        <v>41837</v>
      </c>
      <c r="AD1" s="101"/>
      <c r="AE1" s="101"/>
      <c r="AF1" s="101"/>
      <c r="AG1" s="3"/>
    </row>
    <row r="2" spans="1:43" s="5" customFormat="1" ht="35.25">
      <c r="A2" s="6"/>
      <c r="B2" s="6" t="s">
        <v>7</v>
      </c>
      <c r="C2" s="6"/>
      <c r="D2" s="3"/>
      <c r="E2" s="6"/>
      <c r="F2" s="3"/>
      <c r="G2" s="6"/>
      <c r="H2" s="3"/>
      <c r="I2" s="6"/>
      <c r="J2" s="3"/>
      <c r="K2" s="6"/>
      <c r="L2" s="3"/>
      <c r="M2" s="6"/>
      <c r="N2" s="3"/>
      <c r="O2" s="6"/>
      <c r="P2" s="3"/>
      <c r="Q2" s="6"/>
      <c r="R2" s="3"/>
      <c r="S2" s="6"/>
      <c r="T2" s="3"/>
      <c r="U2" s="6"/>
      <c r="V2" s="3"/>
      <c r="W2" s="6"/>
      <c r="X2" s="3"/>
      <c r="Y2" s="6"/>
      <c r="Z2" s="3"/>
      <c r="AA2" s="6"/>
      <c r="AB2" s="3"/>
      <c r="AC2" s="6"/>
      <c r="AD2" s="3"/>
      <c r="AE2" s="6"/>
      <c r="AF2" s="3"/>
      <c r="AG2" s="3"/>
    </row>
    <row r="3" spans="1:43" s="5" customFormat="1" ht="17.25" customHeight="1" thickBot="1">
      <c r="A3" s="7"/>
      <c r="B3" s="7"/>
      <c r="C3" s="7"/>
      <c r="D3" s="8"/>
      <c r="E3" s="7"/>
      <c r="F3" s="8"/>
      <c r="G3" s="7"/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  <c r="U3" s="7"/>
      <c r="V3" s="8"/>
      <c r="W3" s="7"/>
      <c r="X3" s="8"/>
      <c r="Y3" s="7"/>
      <c r="Z3" s="8"/>
      <c r="AA3" s="7"/>
      <c r="AB3" s="8"/>
      <c r="AC3" s="7"/>
      <c r="AD3" s="8"/>
      <c r="AE3" s="7"/>
      <c r="AF3" s="8"/>
      <c r="AG3" s="8"/>
    </row>
    <row r="4" spans="1:43" s="11" customFormat="1" ht="7.5" customHeight="1">
      <c r="A4" s="9"/>
      <c r="C4" s="9"/>
      <c r="D4" s="10"/>
      <c r="E4" s="9"/>
      <c r="F4" s="10"/>
      <c r="G4" s="9"/>
      <c r="H4" s="10"/>
      <c r="I4" s="9"/>
      <c r="J4" s="10"/>
      <c r="K4" s="9"/>
      <c r="L4" s="10"/>
      <c r="M4" s="9"/>
      <c r="N4" s="10"/>
      <c r="O4" s="9"/>
      <c r="P4" s="10"/>
      <c r="Q4" s="9"/>
      <c r="R4" s="10"/>
      <c r="S4" s="9"/>
      <c r="T4" s="10"/>
      <c r="U4" s="9"/>
      <c r="V4" s="10"/>
      <c r="W4" s="9"/>
      <c r="X4" s="10"/>
      <c r="Y4" s="9"/>
      <c r="Z4" s="10"/>
      <c r="AA4" s="9"/>
      <c r="AB4" s="10"/>
      <c r="AC4" s="9"/>
      <c r="AD4" s="10"/>
      <c r="AE4" s="9"/>
      <c r="AF4" s="10"/>
      <c r="AG4" s="10"/>
    </row>
    <row r="5" spans="1:43" ht="9.75" customHeight="1">
      <c r="A5" s="17"/>
      <c r="C5" s="17"/>
      <c r="D5" s="17"/>
      <c r="F5" s="17"/>
      <c r="H5" s="17"/>
      <c r="J5" s="17"/>
      <c r="K5" s="17"/>
      <c r="M5" s="17"/>
      <c r="O5" s="17"/>
      <c r="Q5" s="17"/>
      <c r="S5" s="17"/>
      <c r="U5" s="17"/>
      <c r="W5" s="17"/>
      <c r="Y5" s="17"/>
      <c r="AA5" s="17"/>
      <c r="AC5" s="17"/>
      <c r="AE5" s="17"/>
      <c r="AI5" s="17"/>
      <c r="AK5" s="17"/>
      <c r="AM5" s="17"/>
      <c r="AO5" s="17"/>
      <c r="AQ5" s="17"/>
    </row>
    <row r="6" spans="1:43" ht="90" customHeight="1">
      <c r="A6" s="31"/>
      <c r="B6" s="32"/>
      <c r="C6" s="31"/>
      <c r="D6" s="31"/>
      <c r="E6" s="31"/>
      <c r="F6" s="32"/>
      <c r="G6" s="31"/>
      <c r="H6" s="32"/>
      <c r="I6" s="31"/>
      <c r="J6" s="102"/>
      <c r="K6" s="102"/>
      <c r="L6" s="102"/>
      <c r="M6" s="102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K6" s="78"/>
    </row>
    <row r="7" spans="1:43" ht="7.5" customHeight="1">
      <c r="A7" s="33"/>
      <c r="B7" s="32"/>
      <c r="C7" s="33"/>
      <c r="D7" s="33"/>
      <c r="E7" s="33"/>
      <c r="F7" s="32"/>
      <c r="G7" s="33"/>
      <c r="H7" s="32"/>
      <c r="I7" s="33"/>
      <c r="J7" s="102"/>
      <c r="K7" s="102"/>
      <c r="L7" s="102"/>
      <c r="M7" s="102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33"/>
      <c r="AG7" s="33"/>
      <c r="AH7" s="33"/>
    </row>
    <row r="8" spans="1:43" ht="15.75" customHeight="1">
      <c r="A8" s="33"/>
      <c r="B8" s="32"/>
      <c r="C8" s="102" t="s">
        <v>146</v>
      </c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31"/>
      <c r="AG8" s="31"/>
      <c r="AH8" s="31"/>
      <c r="AI8" s="31"/>
      <c r="AJ8" s="31"/>
      <c r="AK8" s="31"/>
    </row>
    <row r="9" spans="1:43" ht="7.5" customHeight="1">
      <c r="A9" s="33"/>
      <c r="B9" s="3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33"/>
      <c r="AG9" s="33"/>
      <c r="AH9" s="33"/>
      <c r="AI9" s="33"/>
      <c r="AJ9" s="33"/>
      <c r="AK9" s="33"/>
    </row>
    <row r="10" spans="1:43" ht="16.5" thickBot="1">
      <c r="A10" s="33"/>
      <c r="B10" s="32"/>
      <c r="C10" s="18" t="s">
        <v>141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3"/>
      <c r="AF10" s="31"/>
      <c r="AG10" s="31"/>
      <c r="AH10" s="31"/>
      <c r="AI10" s="31"/>
      <c r="AJ10" s="31"/>
      <c r="AK10" s="31"/>
    </row>
    <row r="11" spans="1:43" ht="7.5" customHeight="1">
      <c r="A11" s="33"/>
      <c r="B11" s="32"/>
      <c r="C11" s="20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5"/>
      <c r="AF11" s="33"/>
      <c r="AG11" s="33"/>
      <c r="AH11" s="33"/>
      <c r="AI11" s="33"/>
      <c r="AJ11" s="33"/>
      <c r="AK11" s="33"/>
    </row>
    <row r="12" spans="1:43" ht="15.75">
      <c r="A12" s="33"/>
      <c r="B12" s="32"/>
      <c r="C12" s="21"/>
      <c r="D12" s="82"/>
      <c r="E12" s="82"/>
      <c r="F12" s="82"/>
      <c r="G12" s="82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7"/>
      <c r="AF12" s="33"/>
      <c r="AG12" s="33"/>
      <c r="AH12" s="33"/>
      <c r="AI12" s="33"/>
      <c r="AJ12" s="33"/>
      <c r="AK12" s="33"/>
    </row>
    <row r="13" spans="1:43" ht="7.5" customHeight="1">
      <c r="A13" s="33"/>
      <c r="B13" s="32"/>
      <c r="C13" s="21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7"/>
      <c r="AF13" s="33"/>
      <c r="AG13" s="33"/>
      <c r="AH13" s="33"/>
      <c r="AI13" s="33"/>
      <c r="AJ13" s="33"/>
      <c r="AK13" s="33"/>
    </row>
    <row r="14" spans="1:43">
      <c r="A14" s="33"/>
      <c r="B14" s="32"/>
      <c r="C14" s="21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7"/>
      <c r="AF14" s="33"/>
      <c r="AG14" s="33"/>
      <c r="AH14" s="33"/>
      <c r="AI14" s="33"/>
      <c r="AJ14" s="33"/>
      <c r="AK14" s="33"/>
    </row>
    <row r="15" spans="1:43" ht="7.5" customHeight="1">
      <c r="A15" s="33"/>
      <c r="B15" s="32"/>
      <c r="C15" s="21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7"/>
      <c r="AF15" s="33"/>
      <c r="AG15" s="33"/>
      <c r="AH15" s="33"/>
      <c r="AI15" s="33"/>
      <c r="AJ15" s="33"/>
      <c r="AK15" s="33"/>
    </row>
    <row r="16" spans="1:43">
      <c r="A16" s="33"/>
      <c r="B16" s="32"/>
      <c r="C16" s="21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6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7"/>
      <c r="AF16" s="33"/>
      <c r="AG16" s="33"/>
      <c r="AH16" s="33"/>
      <c r="AI16" s="33"/>
      <c r="AJ16" s="33"/>
      <c r="AK16" s="33"/>
    </row>
    <row r="17" spans="1:37" ht="7.5" customHeight="1">
      <c r="A17" s="33"/>
      <c r="B17" s="32"/>
      <c r="C17" s="21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7"/>
      <c r="AF17" s="33"/>
      <c r="AG17" s="33"/>
      <c r="AH17" s="33"/>
      <c r="AI17" s="33"/>
      <c r="AJ17" s="33"/>
      <c r="AK17" s="33"/>
    </row>
    <row r="18" spans="1:37">
      <c r="A18" s="33"/>
      <c r="B18" s="32"/>
      <c r="C18" s="21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6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7"/>
      <c r="AF18" s="33"/>
      <c r="AG18" s="33"/>
      <c r="AH18" s="33"/>
      <c r="AI18" s="33"/>
      <c r="AJ18" s="33"/>
      <c r="AK18" s="33"/>
    </row>
    <row r="19" spans="1:37" ht="7.5" customHeight="1">
      <c r="A19" s="33"/>
      <c r="B19" s="32"/>
      <c r="C19" s="21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7"/>
      <c r="AF19" s="33"/>
      <c r="AG19" s="33"/>
      <c r="AH19" s="33"/>
      <c r="AI19" s="33"/>
      <c r="AJ19" s="33"/>
      <c r="AK19" s="33"/>
    </row>
    <row r="20" spans="1:37" ht="15.75">
      <c r="A20" s="31"/>
      <c r="B20" s="32"/>
      <c r="C20" s="21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7"/>
      <c r="AF20" s="33"/>
      <c r="AG20" s="33"/>
      <c r="AH20" s="33"/>
      <c r="AI20" s="33"/>
      <c r="AJ20" s="33"/>
      <c r="AK20" s="33"/>
    </row>
    <row r="21" spans="1:37" ht="7.5" customHeight="1">
      <c r="A21" s="33"/>
      <c r="B21" s="32"/>
      <c r="C21" s="21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7"/>
      <c r="AF21" s="33"/>
      <c r="AG21" s="33"/>
      <c r="AH21" s="33"/>
      <c r="AI21" s="33"/>
      <c r="AJ21" s="33"/>
      <c r="AK21" s="33"/>
    </row>
    <row r="22" spans="1:37">
      <c r="A22" s="33"/>
      <c r="B22" s="32"/>
      <c r="C22" s="21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7"/>
      <c r="AF22" s="33"/>
      <c r="AG22" s="33"/>
      <c r="AH22" s="33"/>
      <c r="AI22" s="33"/>
      <c r="AJ22" s="33"/>
      <c r="AK22" s="33"/>
    </row>
    <row r="23" spans="1:37" ht="7.5" customHeight="1">
      <c r="A23" s="33"/>
      <c r="B23" s="32"/>
      <c r="C23" s="21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7"/>
      <c r="AF23" s="33"/>
      <c r="AG23" s="33"/>
      <c r="AH23" s="33"/>
      <c r="AI23" s="33"/>
      <c r="AJ23" s="33"/>
      <c r="AK23" s="33"/>
    </row>
    <row r="24" spans="1:37">
      <c r="A24" s="33"/>
      <c r="B24" s="32"/>
      <c r="C24" s="1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9"/>
      <c r="AF24" s="33"/>
      <c r="AG24" s="33"/>
      <c r="AH24" s="33"/>
      <c r="AI24" s="33"/>
      <c r="AJ24" s="33"/>
      <c r="AK24" s="33"/>
    </row>
    <row r="25" spans="1:37" ht="7.5" customHeight="1">
      <c r="A25" s="33"/>
      <c r="B25" s="32"/>
      <c r="C25" s="33"/>
      <c r="D25" s="33"/>
      <c r="E25" s="33"/>
      <c r="F25" s="32"/>
      <c r="G25" s="33"/>
      <c r="H25" s="32"/>
      <c r="I25" s="33"/>
      <c r="J25" s="35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33"/>
      <c r="AG25" s="33"/>
      <c r="AH25" s="33"/>
    </row>
    <row r="26" spans="1:37" ht="15.75" customHeight="1">
      <c r="A26" s="33"/>
      <c r="B26" s="32"/>
      <c r="C26" s="33"/>
      <c r="D26" s="32"/>
      <c r="E26" s="33"/>
      <c r="J26" s="31"/>
      <c r="K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3"/>
      <c r="AG26" s="33"/>
      <c r="AH26" s="33"/>
    </row>
    <row r="27" spans="1:37" ht="7.5" customHeight="1">
      <c r="A27" s="33"/>
      <c r="B27" s="32"/>
      <c r="C27" s="33"/>
      <c r="D27" s="32"/>
      <c r="E27" s="33"/>
      <c r="J27" s="26"/>
      <c r="K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7"/>
      <c r="AG27" s="17"/>
      <c r="AH27" s="17"/>
    </row>
    <row r="28" spans="1:37" ht="16.5" thickBot="1">
      <c r="A28" s="33"/>
      <c r="B28" s="32"/>
      <c r="C28" s="18" t="s">
        <v>0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31"/>
      <c r="AG28" s="31"/>
      <c r="AH28" s="31"/>
    </row>
    <row r="29" spans="1:37" ht="7.5" customHeight="1">
      <c r="A29" s="33"/>
      <c r="B29" s="32"/>
      <c r="C29" s="20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33"/>
      <c r="AG29" s="33"/>
      <c r="AH29" s="33"/>
    </row>
    <row r="30" spans="1:37" ht="15.75">
      <c r="A30" s="33"/>
      <c r="B30" s="32"/>
      <c r="C30" s="21"/>
      <c r="D30" s="82"/>
      <c r="E30" s="82"/>
      <c r="F30" s="82"/>
      <c r="G30" s="82"/>
      <c r="H30" s="82"/>
      <c r="I30" s="82"/>
      <c r="J30" s="82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7"/>
      <c r="AF30" s="33"/>
      <c r="AG30" s="33"/>
      <c r="AH30" s="33"/>
    </row>
    <row r="31" spans="1:37" ht="7.5" customHeight="1">
      <c r="A31" s="33"/>
      <c r="B31" s="32"/>
      <c r="C31" s="21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7"/>
      <c r="AF31" s="33"/>
      <c r="AG31" s="33"/>
      <c r="AH31" s="33"/>
    </row>
    <row r="32" spans="1:37" ht="15.75">
      <c r="A32" s="31"/>
      <c r="B32" s="32"/>
      <c r="C32" s="21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7"/>
      <c r="AF32" s="33"/>
      <c r="AG32" s="33"/>
      <c r="AH32" s="33"/>
    </row>
    <row r="33" spans="1:34" ht="7.5" customHeight="1">
      <c r="A33" s="33"/>
      <c r="B33" s="32"/>
      <c r="C33" s="21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7"/>
      <c r="AF33" s="33"/>
      <c r="AG33" s="33"/>
      <c r="AH33" s="33"/>
    </row>
    <row r="34" spans="1:34">
      <c r="A34" s="33"/>
      <c r="B34" s="32"/>
      <c r="C34" s="21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6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7"/>
      <c r="AF34" s="33"/>
      <c r="AG34" s="33"/>
      <c r="AH34" s="33"/>
    </row>
    <row r="35" spans="1:34" ht="7.5" customHeight="1">
      <c r="A35" s="33"/>
      <c r="B35" s="32"/>
      <c r="C35" s="21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7"/>
      <c r="AF35" s="33"/>
      <c r="AG35" s="33"/>
      <c r="AH35" s="33"/>
    </row>
    <row r="36" spans="1:34">
      <c r="A36" s="33"/>
      <c r="B36" s="32"/>
      <c r="C36" s="21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6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7"/>
      <c r="AF36" s="33"/>
      <c r="AG36" s="33"/>
      <c r="AH36" s="33"/>
    </row>
    <row r="37" spans="1:34" ht="7.5" customHeight="1">
      <c r="A37" s="33"/>
      <c r="B37" s="32"/>
      <c r="C37" s="21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33"/>
      <c r="AG37" s="33"/>
      <c r="AH37" s="33"/>
    </row>
    <row r="38" spans="1:34">
      <c r="A38" s="33"/>
      <c r="B38" s="32"/>
      <c r="C38" s="21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7"/>
      <c r="AF38" s="33"/>
      <c r="AG38" s="33"/>
      <c r="AH38" s="33"/>
    </row>
    <row r="39" spans="1:34" ht="7.5" customHeight="1">
      <c r="A39" s="33"/>
      <c r="B39" s="32"/>
      <c r="C39" s="21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7"/>
      <c r="AF39" s="33"/>
      <c r="AG39" s="33"/>
      <c r="AH39" s="33"/>
    </row>
    <row r="40" spans="1:34">
      <c r="A40" s="33"/>
      <c r="B40" s="32"/>
      <c r="C40" s="21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7"/>
      <c r="AF40" s="33"/>
      <c r="AG40" s="33"/>
      <c r="AH40" s="33"/>
    </row>
    <row r="41" spans="1:34" ht="7.5" customHeight="1">
      <c r="A41" s="33"/>
      <c r="B41" s="32"/>
      <c r="C41" s="21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7"/>
      <c r="AF41" s="33"/>
      <c r="AG41" s="33"/>
      <c r="AH41" s="33"/>
    </row>
    <row r="42" spans="1:34">
      <c r="A42" s="33"/>
      <c r="B42" s="32"/>
      <c r="C42" s="19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9"/>
      <c r="AF42" s="33"/>
      <c r="AG42" s="33"/>
      <c r="AH42" s="33"/>
    </row>
    <row r="43" spans="1:34" ht="7.5" customHeight="1">
      <c r="A43" s="33"/>
      <c r="B43" s="32"/>
      <c r="C43" s="33"/>
      <c r="D43" s="33"/>
      <c r="E43" s="33"/>
      <c r="F43" s="32"/>
      <c r="G43" s="33"/>
      <c r="H43" s="32"/>
      <c r="I43" s="33"/>
      <c r="J43" s="35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33"/>
      <c r="AG43" s="33"/>
      <c r="AH43" s="33"/>
    </row>
    <row r="44" spans="1:34" ht="15.75" customHeight="1">
      <c r="A44" s="31"/>
      <c r="B44" s="32"/>
      <c r="C44" s="33"/>
      <c r="D44" s="32"/>
      <c r="E44" s="33"/>
      <c r="J44" s="31"/>
      <c r="K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3"/>
      <c r="AG44" s="33"/>
      <c r="AH44" s="33"/>
    </row>
    <row r="45" spans="1:34" ht="7.5" customHeight="1">
      <c r="A45" s="33"/>
      <c r="B45" s="32"/>
      <c r="C45" s="33"/>
      <c r="D45" s="32"/>
      <c r="E45" s="33"/>
      <c r="J45" s="26"/>
      <c r="K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17"/>
      <c r="AG45" s="33"/>
      <c r="AH45" s="33"/>
    </row>
    <row r="46" spans="1:34" ht="16.5" thickBot="1">
      <c r="A46" s="33"/>
      <c r="B46" s="32"/>
      <c r="C46" s="18" t="s">
        <v>142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3"/>
      <c r="AF46" s="31"/>
      <c r="AG46" s="33"/>
      <c r="AH46" s="33"/>
    </row>
    <row r="47" spans="1:34" ht="7.5" customHeight="1">
      <c r="A47" s="33"/>
      <c r="B47" s="32"/>
      <c r="C47" s="20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5"/>
      <c r="AF47" s="33"/>
      <c r="AG47" s="17"/>
      <c r="AH47" s="17"/>
    </row>
    <row r="48" spans="1:34" ht="15.75">
      <c r="A48" s="33"/>
      <c r="B48" s="32"/>
      <c r="C48" s="21"/>
      <c r="D48" s="82"/>
      <c r="E48" s="82"/>
      <c r="F48" s="82"/>
      <c r="G48" s="82"/>
      <c r="H48" s="82"/>
      <c r="I48" s="82"/>
      <c r="J48" s="82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33"/>
      <c r="AG48" s="31"/>
      <c r="AH48" s="31"/>
    </row>
    <row r="49" spans="1:34" ht="7.5" customHeight="1">
      <c r="A49" s="33"/>
      <c r="B49" s="32"/>
      <c r="C49" s="21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33"/>
      <c r="AG49" s="33"/>
      <c r="AH49" s="33"/>
    </row>
    <row r="50" spans="1:34">
      <c r="A50" s="33"/>
      <c r="B50" s="32"/>
      <c r="C50" s="21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33"/>
      <c r="AG50" s="33"/>
      <c r="AH50" s="33"/>
    </row>
    <row r="51" spans="1:34" ht="7.5" customHeight="1">
      <c r="A51" s="33"/>
      <c r="B51" s="32"/>
      <c r="C51" s="21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33"/>
      <c r="AG51" s="33"/>
      <c r="AH51" s="33"/>
    </row>
    <row r="52" spans="1:34">
      <c r="A52" s="33"/>
      <c r="B52" s="32"/>
      <c r="C52" s="21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6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33"/>
      <c r="AG52" s="33"/>
      <c r="AH52" s="33"/>
    </row>
    <row r="53" spans="1:34" ht="7.5" customHeight="1">
      <c r="A53" s="33"/>
      <c r="B53" s="32"/>
      <c r="C53" s="21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33"/>
      <c r="AG53" s="33"/>
      <c r="AH53" s="33"/>
    </row>
    <row r="54" spans="1:34">
      <c r="A54" s="33"/>
      <c r="B54" s="32"/>
      <c r="C54" s="21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6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33"/>
      <c r="AG54" s="33"/>
      <c r="AH54" s="33"/>
    </row>
    <row r="55" spans="1:34" ht="7.5" customHeight="1">
      <c r="A55" s="33"/>
      <c r="B55" s="32"/>
      <c r="C55" s="21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33"/>
      <c r="AG55" s="33"/>
      <c r="AH55" s="33"/>
    </row>
    <row r="56" spans="1:34" ht="15.75">
      <c r="A56" s="31"/>
      <c r="B56" s="32"/>
      <c r="C56" s="21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33"/>
      <c r="AG56" s="33"/>
      <c r="AH56" s="33"/>
    </row>
    <row r="57" spans="1:34" ht="7.5" customHeight="1">
      <c r="A57" s="33"/>
      <c r="B57" s="32"/>
      <c r="C57" s="21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33"/>
      <c r="AG57" s="33"/>
      <c r="AH57" s="33"/>
    </row>
    <row r="58" spans="1:34">
      <c r="A58" s="33"/>
      <c r="B58" s="32"/>
      <c r="C58" s="21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33"/>
      <c r="AG58" s="33"/>
      <c r="AH58" s="33"/>
    </row>
    <row r="59" spans="1:34" ht="7.5" customHeight="1">
      <c r="A59" s="33"/>
      <c r="B59" s="32"/>
      <c r="C59" s="21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33"/>
      <c r="AG59" s="33"/>
      <c r="AH59" s="33"/>
    </row>
    <row r="60" spans="1:34">
      <c r="A60" s="33"/>
      <c r="B60" s="32"/>
      <c r="C60" s="19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9"/>
      <c r="AF60" s="33"/>
      <c r="AG60" s="33"/>
      <c r="AH60" s="33"/>
    </row>
    <row r="61" spans="1:34" ht="7.5" customHeight="1">
      <c r="A61" s="33"/>
      <c r="B61" s="32"/>
      <c r="C61" s="33"/>
      <c r="D61" s="33"/>
      <c r="E61" s="33"/>
      <c r="F61" s="32"/>
      <c r="G61" s="33"/>
      <c r="H61" s="32"/>
      <c r="I61" s="33"/>
      <c r="J61" s="35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33"/>
      <c r="AG61" s="33"/>
      <c r="AH61" s="33"/>
    </row>
    <row r="62" spans="1:34" ht="15.75" customHeight="1">
      <c r="A62" s="33"/>
      <c r="C62" s="33"/>
      <c r="D62" s="32"/>
      <c r="E62" s="33"/>
      <c r="J62" s="31"/>
      <c r="K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3"/>
      <c r="AG62" s="33"/>
      <c r="AH62" s="33"/>
    </row>
    <row r="63" spans="1:34" ht="7.5" customHeight="1">
      <c r="A63" s="33"/>
      <c r="C63" s="33"/>
      <c r="D63" s="32"/>
      <c r="E63" s="33"/>
      <c r="J63" s="26"/>
      <c r="K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17"/>
      <c r="AG63" s="33"/>
      <c r="AH63" s="33"/>
    </row>
    <row r="64" spans="1:34" ht="16.5" thickBot="1">
      <c r="A64" s="33"/>
      <c r="C64" s="18" t="s">
        <v>143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3"/>
      <c r="AF64" s="31"/>
      <c r="AG64" s="33"/>
      <c r="AH64" s="33"/>
    </row>
    <row r="65" spans="1:34" ht="7.5" customHeight="1">
      <c r="A65" s="33"/>
      <c r="C65" s="20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5"/>
      <c r="AF65" s="33"/>
      <c r="AG65" s="33"/>
      <c r="AH65" s="33"/>
    </row>
    <row r="66" spans="1:34" ht="15.75">
      <c r="A66" s="33"/>
      <c r="C66" s="21"/>
      <c r="D66" s="82"/>
      <c r="E66" s="82"/>
      <c r="F66" s="82"/>
      <c r="G66" s="82"/>
      <c r="H66" s="82"/>
      <c r="I66" s="82"/>
      <c r="J66" s="82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7"/>
      <c r="AF66" s="33"/>
      <c r="AG66" s="33"/>
      <c r="AH66" s="33"/>
    </row>
    <row r="67" spans="1:34" ht="7.5" customHeight="1">
      <c r="A67" s="33"/>
      <c r="C67" s="21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7"/>
      <c r="AF67" s="33"/>
      <c r="AG67" s="17"/>
      <c r="AH67" s="17"/>
    </row>
    <row r="68" spans="1:34" ht="15.75">
      <c r="A68" s="33"/>
      <c r="C68" s="21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7"/>
      <c r="AF68" s="33"/>
      <c r="AG68" s="31"/>
      <c r="AH68" s="31"/>
    </row>
    <row r="69" spans="1:34" ht="7.5" customHeight="1">
      <c r="A69" s="33"/>
      <c r="C69" s="21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7"/>
      <c r="AF69" s="33"/>
      <c r="AG69" s="33"/>
      <c r="AH69" s="33"/>
    </row>
    <row r="70" spans="1:34">
      <c r="A70" s="33"/>
      <c r="C70" s="21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6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7"/>
      <c r="AF70" s="33"/>
      <c r="AG70" s="33"/>
      <c r="AH70" s="33"/>
    </row>
    <row r="71" spans="1:34" ht="7.5" customHeight="1">
      <c r="A71" s="33"/>
      <c r="C71" s="21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7"/>
      <c r="AF71" s="33"/>
      <c r="AG71" s="33"/>
      <c r="AH71" s="33"/>
    </row>
    <row r="72" spans="1:34">
      <c r="A72" s="33"/>
      <c r="C72" s="21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6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7"/>
      <c r="AF72" s="33"/>
      <c r="AG72" s="33"/>
      <c r="AH72" s="33"/>
    </row>
    <row r="73" spans="1:34" ht="7.5" customHeight="1">
      <c r="A73" s="33"/>
      <c r="C73" s="21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7"/>
      <c r="AF73" s="33"/>
      <c r="AG73" s="33"/>
      <c r="AH73" s="33"/>
    </row>
    <row r="74" spans="1:34">
      <c r="A74" s="33"/>
      <c r="C74" s="21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7"/>
      <c r="AF74" s="33"/>
      <c r="AG74" s="33"/>
      <c r="AH74" s="33"/>
    </row>
    <row r="75" spans="1:34" ht="7.5" customHeight="1">
      <c r="A75" s="33"/>
      <c r="C75" s="21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7"/>
      <c r="AF75" s="33"/>
      <c r="AG75" s="33"/>
      <c r="AH75" s="33"/>
    </row>
    <row r="76" spans="1:34">
      <c r="A76" s="33"/>
      <c r="C76" s="21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7"/>
      <c r="AF76" s="33"/>
      <c r="AG76" s="33"/>
      <c r="AH76" s="33"/>
    </row>
    <row r="77" spans="1:34" ht="7.5" customHeight="1">
      <c r="A77" s="33"/>
      <c r="C77" s="21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7"/>
      <c r="AF77" s="33"/>
      <c r="AG77" s="33"/>
      <c r="AH77" s="33"/>
    </row>
    <row r="78" spans="1:34">
      <c r="A78" s="33"/>
      <c r="C78" s="19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9"/>
      <c r="AF78" s="33"/>
      <c r="AG78" s="33"/>
      <c r="AH78" s="33"/>
    </row>
    <row r="79" spans="1:34" ht="7.5" customHeight="1">
      <c r="A79" s="33"/>
      <c r="C79" s="33"/>
      <c r="D79" s="33"/>
      <c r="E79" s="33"/>
      <c r="F79" s="32"/>
      <c r="G79" s="33"/>
      <c r="H79" s="32"/>
      <c r="I79" s="33"/>
      <c r="J79" s="35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33"/>
      <c r="AG79" s="33"/>
      <c r="AH79" s="33"/>
    </row>
    <row r="80" spans="1:34" ht="15.75" customHeight="1">
      <c r="A80" s="33"/>
      <c r="C80" s="33"/>
      <c r="D80" s="32"/>
      <c r="E80" s="33"/>
      <c r="J80" s="31"/>
      <c r="K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3"/>
      <c r="AG80" s="33"/>
      <c r="AH80" s="33"/>
    </row>
    <row r="81" spans="1:34" ht="7.5" customHeight="1">
      <c r="A81" s="33"/>
      <c r="C81" s="33"/>
      <c r="D81" s="32"/>
      <c r="E81" s="33"/>
      <c r="J81" s="26"/>
      <c r="K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17"/>
      <c r="AG81" s="33"/>
      <c r="AH81" s="33"/>
    </row>
    <row r="82" spans="1:34" ht="16.5" thickBot="1">
      <c r="A82" s="33"/>
      <c r="C82" s="18" t="s">
        <v>144</v>
      </c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3"/>
      <c r="AF82" s="31"/>
      <c r="AG82" s="33"/>
      <c r="AH82" s="33"/>
    </row>
    <row r="83" spans="1:34" ht="7.5" customHeight="1">
      <c r="A83" s="33"/>
      <c r="C83" s="20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5"/>
      <c r="AF83" s="33"/>
      <c r="AG83" s="33"/>
      <c r="AH83" s="33"/>
    </row>
    <row r="84" spans="1:34" ht="15.75">
      <c r="A84" s="33"/>
      <c r="C84" s="21"/>
      <c r="D84" s="82"/>
      <c r="E84" s="82"/>
      <c r="F84" s="82"/>
      <c r="G84" s="82"/>
      <c r="H84" s="82"/>
      <c r="I84" s="82"/>
      <c r="J84" s="82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7"/>
      <c r="AF84" s="33"/>
      <c r="AG84" s="33"/>
      <c r="AH84" s="33"/>
    </row>
    <row r="85" spans="1:34" ht="7.5" customHeight="1">
      <c r="A85" s="33"/>
      <c r="C85" s="21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7"/>
      <c r="AF85" s="33"/>
      <c r="AG85" s="33"/>
      <c r="AH85" s="33"/>
    </row>
    <row r="86" spans="1:34">
      <c r="A86" s="33"/>
      <c r="C86" s="21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7"/>
      <c r="AF86" s="33"/>
      <c r="AG86" s="33"/>
      <c r="AH86" s="33"/>
    </row>
    <row r="87" spans="1:34" ht="7.5" customHeight="1">
      <c r="A87" s="33"/>
      <c r="C87" s="21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7"/>
      <c r="AF87" s="33"/>
      <c r="AG87" s="17"/>
      <c r="AH87" s="17"/>
    </row>
    <row r="88" spans="1:34" ht="15.75">
      <c r="A88" s="33"/>
      <c r="C88" s="2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6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7"/>
      <c r="AF88" s="33"/>
      <c r="AG88" s="31"/>
      <c r="AH88" s="31"/>
    </row>
    <row r="89" spans="1:34" ht="7.5" customHeight="1">
      <c r="A89" s="33"/>
      <c r="C89" s="2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7"/>
      <c r="AF89" s="33"/>
      <c r="AG89" s="33"/>
      <c r="AH89" s="33"/>
    </row>
    <row r="90" spans="1:34">
      <c r="A90" s="33"/>
      <c r="C90" s="2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6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7"/>
      <c r="AF90" s="33"/>
      <c r="AG90" s="33"/>
      <c r="AH90" s="33"/>
    </row>
    <row r="91" spans="1:34" ht="7.5" customHeight="1">
      <c r="A91" s="33"/>
      <c r="C91" s="2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7"/>
      <c r="AF91" s="33"/>
      <c r="AG91" s="33"/>
      <c r="AH91" s="33"/>
    </row>
    <row r="92" spans="1:34">
      <c r="A92" s="33"/>
      <c r="C92" s="2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7"/>
      <c r="AF92" s="33"/>
      <c r="AG92" s="33"/>
      <c r="AH92" s="33"/>
    </row>
    <row r="93" spans="1:34" ht="7.5" customHeight="1">
      <c r="A93" s="33"/>
      <c r="C93" s="2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7"/>
      <c r="AF93" s="33"/>
      <c r="AG93" s="33"/>
      <c r="AH93" s="33"/>
    </row>
    <row r="94" spans="1:34">
      <c r="A94" s="33"/>
      <c r="C94" s="2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7"/>
      <c r="AF94" s="33"/>
      <c r="AG94" s="33"/>
      <c r="AH94" s="33"/>
    </row>
    <row r="95" spans="1:34" ht="7.5" customHeight="1">
      <c r="A95" s="33"/>
      <c r="C95" s="21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7"/>
      <c r="AF95" s="33"/>
      <c r="AG95" s="33"/>
      <c r="AH95" s="33"/>
    </row>
    <row r="96" spans="1:34">
      <c r="A96" s="33"/>
      <c r="C96" s="19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9"/>
      <c r="AF96" s="33"/>
      <c r="AG96" s="33"/>
      <c r="AH96" s="33"/>
    </row>
    <row r="97" spans="1:34" ht="7.5" customHeight="1">
      <c r="A97" s="33"/>
      <c r="B97" s="35"/>
      <c r="C97" s="33"/>
      <c r="D97" s="33"/>
      <c r="E97" s="33"/>
      <c r="F97" s="32"/>
      <c r="G97" s="33"/>
      <c r="H97" s="32"/>
      <c r="I97" s="33"/>
      <c r="J97" s="35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33"/>
      <c r="AG97" s="33"/>
      <c r="AH97" s="33"/>
    </row>
    <row r="98" spans="1:34">
      <c r="A98" s="33"/>
      <c r="B98" s="35"/>
      <c r="C98" s="33"/>
      <c r="D98" s="33"/>
      <c r="E98" s="33"/>
      <c r="F98" s="35"/>
      <c r="G98" s="33"/>
      <c r="H98" s="35"/>
      <c r="I98" s="33"/>
      <c r="J98" s="35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33"/>
      <c r="AG98" s="33"/>
      <c r="AH98" s="33"/>
    </row>
    <row r="99" spans="1:34" ht="7.5" customHeight="1">
      <c r="A99" s="33"/>
      <c r="B99" s="35"/>
      <c r="C99" s="33"/>
      <c r="D99" s="33"/>
      <c r="E99" s="33"/>
      <c r="F99" s="35"/>
      <c r="G99" s="33"/>
      <c r="H99" s="35"/>
      <c r="I99" s="33"/>
      <c r="J99" s="35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33"/>
      <c r="AG99" s="33"/>
      <c r="AH99" s="33"/>
    </row>
    <row r="100" spans="1:34" s="36" customFormat="1" ht="7.5" customHeight="1">
      <c r="A100" s="33"/>
      <c r="B100" s="32"/>
      <c r="C100" s="33"/>
      <c r="D100" s="33"/>
      <c r="E100" s="33"/>
      <c r="F100" s="32"/>
      <c r="G100" s="33"/>
      <c r="H100" s="32"/>
      <c r="I100" s="33"/>
      <c r="J100" s="32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33"/>
      <c r="AE100" s="33"/>
      <c r="AF100" s="33"/>
      <c r="AG100" s="33"/>
    </row>
    <row r="101" spans="1:34">
      <c r="A101" s="33"/>
      <c r="B101" s="35"/>
      <c r="C101" s="33"/>
      <c r="D101" s="33"/>
      <c r="E101" s="33"/>
      <c r="F101" s="35"/>
      <c r="G101" s="33"/>
      <c r="H101" s="35"/>
      <c r="I101" s="33"/>
      <c r="J101" s="35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33"/>
      <c r="AE101" s="33"/>
      <c r="AF101" s="33"/>
      <c r="AG101" s="33"/>
    </row>
    <row r="102" spans="1:34" s="36" customFormat="1" ht="7.5" customHeight="1">
      <c r="A102" s="33"/>
      <c r="B102" s="32"/>
      <c r="C102" s="33"/>
      <c r="D102" s="33"/>
      <c r="E102" s="33"/>
      <c r="F102" s="32"/>
      <c r="G102" s="33"/>
      <c r="H102" s="32"/>
      <c r="I102" s="33"/>
      <c r="J102" s="32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33"/>
      <c r="AE102" s="33"/>
      <c r="AF102" s="33"/>
      <c r="AG102" s="33"/>
    </row>
    <row r="103" spans="1:34">
      <c r="A103" s="33"/>
      <c r="B103" s="35"/>
      <c r="C103" s="33"/>
      <c r="D103" s="33"/>
      <c r="E103" s="33"/>
      <c r="F103" s="35"/>
      <c r="G103" s="33"/>
      <c r="H103" s="35"/>
      <c r="I103" s="33"/>
      <c r="J103" s="35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33"/>
      <c r="AE103" s="33"/>
      <c r="AF103" s="33"/>
      <c r="AG103" s="33"/>
    </row>
    <row r="104" spans="1:34" s="36" customFormat="1" ht="7.5" customHeight="1">
      <c r="A104" s="33"/>
      <c r="B104" s="32"/>
      <c r="C104" s="33"/>
      <c r="D104" s="33"/>
      <c r="E104" s="33"/>
      <c r="F104" s="32"/>
      <c r="G104" s="33"/>
      <c r="H104" s="32"/>
      <c r="I104" s="33"/>
      <c r="J104" s="32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33"/>
      <c r="AE104" s="33"/>
      <c r="AF104" s="33"/>
      <c r="AG104" s="33"/>
    </row>
    <row r="105" spans="1:34">
      <c r="A105" s="33"/>
      <c r="B105" s="35"/>
      <c r="C105" s="33"/>
      <c r="D105" s="33"/>
      <c r="E105" s="33"/>
      <c r="F105" s="35"/>
      <c r="G105" s="33"/>
      <c r="H105" s="35"/>
      <c r="I105" s="33"/>
      <c r="J105" s="35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33"/>
      <c r="AE105" s="33"/>
      <c r="AF105" s="33"/>
      <c r="AG105" s="33"/>
    </row>
    <row r="106" spans="1:34" s="11" customFormat="1" ht="7.5" customHeight="1">
      <c r="A106" s="9"/>
      <c r="C106" s="9"/>
      <c r="D106" s="10"/>
      <c r="E106" s="9"/>
      <c r="F106" s="10"/>
      <c r="G106" s="34"/>
      <c r="H106" s="10"/>
      <c r="I106" s="34"/>
      <c r="J106" s="10"/>
      <c r="K106" s="9"/>
      <c r="L106" s="10"/>
      <c r="M106" s="9"/>
      <c r="N106" s="10"/>
      <c r="O106" s="9"/>
      <c r="P106" s="10"/>
      <c r="Q106" s="9"/>
      <c r="R106" s="10"/>
      <c r="S106" s="9"/>
      <c r="T106" s="10"/>
      <c r="U106" s="9"/>
      <c r="V106" s="10"/>
      <c r="W106" s="9"/>
      <c r="X106" s="10"/>
      <c r="Y106" s="9"/>
      <c r="Z106" s="10"/>
      <c r="AA106" s="9"/>
      <c r="AB106" s="10"/>
      <c r="AC106" s="9"/>
      <c r="AD106" s="34"/>
      <c r="AE106" s="34"/>
      <c r="AF106" s="34"/>
      <c r="AG106" s="34"/>
    </row>
    <row r="107" spans="1:34" s="15" customFormat="1" ht="39.75" customHeight="1">
      <c r="A107" s="12"/>
      <c r="B107" s="12"/>
      <c r="C107" s="12"/>
      <c r="D107" s="13"/>
      <c r="E107" s="12"/>
      <c r="F107" s="13"/>
      <c r="G107" s="12"/>
      <c r="H107" s="13"/>
      <c r="I107" s="12"/>
      <c r="J107" s="13"/>
      <c r="K107" s="12"/>
      <c r="L107" s="13"/>
      <c r="M107" s="12"/>
      <c r="N107" s="13"/>
      <c r="O107" s="12"/>
      <c r="P107" s="13"/>
      <c r="Q107" s="12"/>
      <c r="R107" s="13"/>
      <c r="S107" s="12"/>
      <c r="T107" s="13"/>
      <c r="U107" s="12"/>
      <c r="V107" s="13"/>
      <c r="W107" s="12"/>
      <c r="X107" s="13"/>
      <c r="Y107" s="12"/>
      <c r="Z107" s="13"/>
      <c r="AA107" s="12"/>
      <c r="AB107" s="13"/>
      <c r="AC107" s="12"/>
      <c r="AD107" s="12"/>
      <c r="AE107" s="12"/>
      <c r="AF107" s="12"/>
      <c r="AG107" s="12"/>
    </row>
    <row r="108" spans="1:34" s="11" customFormat="1" ht="12.75"/>
  </sheetData>
  <sheetProtection password="D80D" sheet="1" objects="1" scenarios="1"/>
  <mergeCells count="3">
    <mergeCell ref="AC1:AF1"/>
    <mergeCell ref="J6:M7"/>
    <mergeCell ref="C8:AE9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6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Q108"/>
  <sheetViews>
    <sheetView showGridLines="0" showRowColHeaders="0" zoomScale="80" zoomScaleNormal="80" zoomScaleSheetLayoutView="70" workbookViewId="0">
      <pane ySplit="6" topLeftCell="A7" activePane="bottomLeft" state="frozen"/>
      <selection pane="bottomLeft" activeCell="A7" sqref="A7"/>
    </sheetView>
  </sheetViews>
  <sheetFormatPr defaultRowHeight="15"/>
  <cols>
    <col min="1" max="2" width="1.42578125" customWidth="1"/>
    <col min="3" max="3" width="9.7109375" customWidth="1"/>
    <col min="4" max="4" width="1.42578125" customWidth="1"/>
    <col min="5" max="5" width="9.7109375" customWidth="1"/>
    <col min="6" max="6" width="1.42578125" customWidth="1"/>
    <col min="7" max="7" width="9.7109375" customWidth="1"/>
    <col min="8" max="8" width="1.42578125" customWidth="1"/>
    <col min="9" max="9" width="9.7109375" customWidth="1"/>
    <col min="10" max="10" width="1.42578125" customWidth="1"/>
    <col min="11" max="11" width="9.7109375" customWidth="1"/>
    <col min="12" max="12" width="1.42578125" customWidth="1"/>
    <col min="13" max="13" width="9.7109375" customWidth="1"/>
    <col min="14" max="14" width="1.42578125" customWidth="1"/>
    <col min="15" max="15" width="9.7109375" customWidth="1"/>
    <col min="16" max="16" width="1.42578125" customWidth="1"/>
    <col min="17" max="17" width="9.7109375" customWidth="1"/>
    <col min="18" max="18" width="1.42578125" customWidth="1"/>
    <col min="19" max="19" width="9.7109375" customWidth="1"/>
    <col min="20" max="20" width="1.42578125" customWidth="1"/>
    <col min="21" max="21" width="9.7109375" customWidth="1"/>
    <col min="22" max="22" width="1.42578125" customWidth="1"/>
    <col min="23" max="23" width="9.7109375" customWidth="1"/>
    <col min="24" max="24" width="1.42578125" customWidth="1"/>
    <col min="25" max="25" width="9.7109375" customWidth="1"/>
    <col min="26" max="26" width="1.42578125" customWidth="1"/>
    <col min="27" max="27" width="9.7109375" customWidth="1"/>
    <col min="28" max="28" width="1.42578125" customWidth="1"/>
    <col min="29" max="29" width="9.7109375" customWidth="1"/>
    <col min="30" max="30" width="1.42578125" customWidth="1"/>
    <col min="31" max="31" width="9.7109375" customWidth="1"/>
    <col min="32" max="33" width="1.42578125" customWidth="1"/>
  </cols>
  <sheetData>
    <row r="1" spans="1:43" s="5" customFormat="1" ht="15.75">
      <c r="A1" s="2"/>
      <c r="B1" s="2"/>
      <c r="C1" s="2"/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101">
        <f ca="1">TODAY()</f>
        <v>41837</v>
      </c>
      <c r="AD1" s="101"/>
      <c r="AE1" s="101"/>
      <c r="AF1" s="101"/>
      <c r="AG1" s="3"/>
    </row>
    <row r="2" spans="1:43" s="5" customFormat="1" ht="35.25">
      <c r="A2" s="6"/>
      <c r="B2" s="6" t="s">
        <v>7</v>
      </c>
      <c r="C2" s="6"/>
      <c r="D2" s="3"/>
      <c r="E2" s="6"/>
      <c r="F2" s="3"/>
      <c r="G2" s="6"/>
      <c r="H2" s="3"/>
      <c r="I2" s="6"/>
      <c r="J2" s="3"/>
      <c r="K2" s="6"/>
      <c r="L2" s="3"/>
      <c r="M2" s="6"/>
      <c r="N2" s="3"/>
      <c r="O2" s="6"/>
      <c r="P2" s="3"/>
      <c r="Q2" s="6"/>
      <c r="R2" s="3"/>
      <c r="S2" s="6"/>
      <c r="T2" s="3"/>
      <c r="U2" s="6"/>
      <c r="V2" s="3"/>
      <c r="W2" s="6"/>
      <c r="X2" s="3"/>
      <c r="Y2" s="6"/>
      <c r="Z2" s="3"/>
      <c r="AA2" s="6"/>
      <c r="AB2" s="3"/>
      <c r="AC2" s="6"/>
      <c r="AD2" s="3"/>
      <c r="AE2" s="6"/>
      <c r="AF2" s="3"/>
      <c r="AG2" s="3"/>
    </row>
    <row r="3" spans="1:43" s="5" customFormat="1" ht="17.25" customHeight="1" thickBot="1">
      <c r="A3" s="7"/>
      <c r="B3" s="7"/>
      <c r="C3" s="7"/>
      <c r="D3" s="8"/>
      <c r="E3" s="7"/>
      <c r="F3" s="8"/>
      <c r="G3" s="7"/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  <c r="U3" s="7"/>
      <c r="V3" s="8"/>
      <c r="W3" s="7"/>
      <c r="X3" s="8"/>
      <c r="Y3" s="7"/>
      <c r="Z3" s="8"/>
      <c r="AA3" s="7"/>
      <c r="AB3" s="8"/>
      <c r="AC3" s="7"/>
      <c r="AD3" s="8"/>
      <c r="AE3" s="7"/>
      <c r="AF3" s="8"/>
      <c r="AG3" s="8"/>
    </row>
    <row r="4" spans="1:43" s="11" customFormat="1" ht="7.5" customHeight="1">
      <c r="A4" s="9"/>
      <c r="C4" s="9"/>
      <c r="D4" s="10"/>
      <c r="E4" s="9"/>
      <c r="F4" s="10"/>
      <c r="G4" s="9"/>
      <c r="H4" s="10"/>
      <c r="I4" s="9"/>
      <c r="J4" s="10"/>
      <c r="K4" s="9"/>
      <c r="L4" s="10"/>
      <c r="M4" s="9"/>
      <c r="N4" s="10"/>
      <c r="O4" s="9"/>
      <c r="P4" s="10"/>
      <c r="Q4" s="9"/>
      <c r="R4" s="10"/>
      <c r="S4" s="9"/>
      <c r="T4" s="10"/>
      <c r="U4" s="9"/>
      <c r="V4" s="10"/>
      <c r="W4" s="9"/>
      <c r="X4" s="10"/>
      <c r="Y4" s="9"/>
      <c r="Z4" s="10"/>
      <c r="AA4" s="9"/>
      <c r="AB4" s="10"/>
      <c r="AC4" s="9"/>
      <c r="AD4" s="10"/>
      <c r="AE4" s="9"/>
      <c r="AF4" s="10"/>
      <c r="AG4" s="10"/>
    </row>
    <row r="5" spans="1:43" ht="9.75" customHeight="1">
      <c r="A5" s="17"/>
      <c r="C5" s="17"/>
      <c r="D5" s="17"/>
      <c r="F5" s="17"/>
      <c r="H5" s="17"/>
      <c r="J5" s="17"/>
      <c r="K5" s="17"/>
      <c r="M5" s="17"/>
      <c r="O5" s="17"/>
      <c r="Q5" s="17"/>
      <c r="S5" s="17"/>
      <c r="U5" s="17"/>
      <c r="W5" s="17"/>
      <c r="Y5" s="17"/>
      <c r="AA5" s="17"/>
      <c r="AC5" s="17"/>
      <c r="AE5" s="17"/>
      <c r="AI5" s="17"/>
      <c r="AK5" s="17"/>
      <c r="AM5" s="17"/>
      <c r="AO5" s="17"/>
      <c r="AQ5" s="17"/>
    </row>
    <row r="6" spans="1:43" ht="90" customHeight="1">
      <c r="A6" s="31"/>
      <c r="B6" s="32"/>
      <c r="C6" s="31"/>
      <c r="D6" s="31"/>
      <c r="E6" s="31"/>
      <c r="F6" s="32"/>
      <c r="G6" s="31"/>
      <c r="H6" s="32"/>
      <c r="I6" s="31"/>
      <c r="J6" s="102"/>
      <c r="K6" s="102"/>
      <c r="L6" s="102"/>
      <c r="M6" s="102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K6" s="78"/>
    </row>
    <row r="7" spans="1:43" ht="7.5" customHeight="1">
      <c r="A7" s="33"/>
      <c r="B7" s="32"/>
      <c r="C7" s="33"/>
      <c r="D7" s="33"/>
      <c r="E7" s="33"/>
      <c r="F7" s="32"/>
      <c r="G7" s="33"/>
      <c r="H7" s="32"/>
      <c r="I7" s="33"/>
      <c r="J7" s="102"/>
      <c r="K7" s="102"/>
      <c r="L7" s="102"/>
      <c r="M7" s="102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33"/>
      <c r="AG7" s="33"/>
      <c r="AH7" s="33"/>
    </row>
    <row r="8" spans="1:43" ht="15.75" customHeight="1">
      <c r="A8" s="33"/>
      <c r="B8" s="32"/>
      <c r="C8" s="102" t="s">
        <v>147</v>
      </c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31"/>
      <c r="AG8" s="31"/>
      <c r="AH8" s="31"/>
      <c r="AI8" s="31"/>
      <c r="AJ8" s="31"/>
      <c r="AK8" s="31"/>
    </row>
    <row r="9" spans="1:43" ht="7.5" customHeight="1">
      <c r="A9" s="33"/>
      <c r="B9" s="3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33"/>
      <c r="AG9" s="33"/>
      <c r="AH9" s="33"/>
      <c r="AI9" s="33"/>
      <c r="AJ9" s="33"/>
      <c r="AK9" s="33"/>
    </row>
    <row r="10" spans="1:43" ht="16.5" thickBot="1">
      <c r="A10" s="33"/>
      <c r="B10" s="32"/>
      <c r="C10" s="18" t="s">
        <v>141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3"/>
      <c r="AF10" s="31"/>
      <c r="AG10" s="31"/>
      <c r="AH10" s="31"/>
      <c r="AI10" s="31"/>
      <c r="AJ10" s="31"/>
      <c r="AK10" s="31"/>
    </row>
    <row r="11" spans="1:43" ht="7.5" customHeight="1">
      <c r="A11" s="33"/>
      <c r="B11" s="32"/>
      <c r="C11" s="20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5"/>
      <c r="AF11" s="33"/>
      <c r="AG11" s="33"/>
      <c r="AH11" s="33"/>
      <c r="AI11" s="33"/>
      <c r="AJ11" s="33"/>
      <c r="AK11" s="33"/>
    </row>
    <row r="12" spans="1:43" ht="15.75">
      <c r="A12" s="33"/>
      <c r="B12" s="32"/>
      <c r="C12" s="21"/>
      <c r="D12" s="82"/>
      <c r="E12" s="82"/>
      <c r="F12" s="82"/>
      <c r="G12" s="82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E12" s="27"/>
      <c r="AF12" s="33"/>
      <c r="AG12" s="33"/>
      <c r="AH12" s="33"/>
      <c r="AI12" s="33"/>
      <c r="AJ12" s="33"/>
      <c r="AK12" s="33"/>
    </row>
    <row r="13" spans="1:43" ht="7.5" customHeight="1">
      <c r="A13" s="33"/>
      <c r="B13" s="32"/>
      <c r="C13" s="21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E13" s="27"/>
      <c r="AF13" s="33"/>
      <c r="AG13" s="33"/>
      <c r="AH13" s="33"/>
      <c r="AI13" s="33"/>
      <c r="AJ13" s="33"/>
      <c r="AK13" s="33"/>
    </row>
    <row r="14" spans="1:43">
      <c r="A14" s="33"/>
      <c r="B14" s="32"/>
      <c r="C14" s="21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103" t="s">
        <v>12</v>
      </c>
      <c r="AD14" s="103"/>
      <c r="AE14" s="104"/>
      <c r="AF14" s="33"/>
      <c r="AG14" s="33"/>
      <c r="AH14" s="33"/>
      <c r="AI14" s="33"/>
      <c r="AJ14" s="33"/>
      <c r="AK14" s="33"/>
    </row>
    <row r="15" spans="1:43" ht="7.5" customHeight="1">
      <c r="A15" s="33"/>
      <c r="B15" s="32"/>
      <c r="C15" s="21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7"/>
      <c r="AF15" s="33"/>
      <c r="AG15" s="33"/>
      <c r="AH15" s="33"/>
      <c r="AI15" s="33"/>
      <c r="AJ15" s="33"/>
      <c r="AK15" s="33"/>
    </row>
    <row r="16" spans="1:43" ht="15.75">
      <c r="A16" s="33"/>
      <c r="B16" s="32"/>
      <c r="C16" s="21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6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105" t="str">
        <f>TEXT(Data!BJ2,"0.00")&amp; " Weeks"</f>
        <v>3.80 Weeks</v>
      </c>
      <c r="AD16" s="105"/>
      <c r="AE16" s="106"/>
      <c r="AF16" s="33"/>
      <c r="AG16" s="33"/>
      <c r="AH16" s="33"/>
      <c r="AI16" s="33"/>
      <c r="AJ16" s="33"/>
      <c r="AK16" s="33"/>
    </row>
    <row r="17" spans="1:37" ht="7.5" customHeight="1">
      <c r="A17" s="33"/>
      <c r="B17" s="32"/>
      <c r="C17" s="21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7"/>
      <c r="AF17" s="33"/>
      <c r="AG17" s="33"/>
      <c r="AH17" s="33"/>
      <c r="AI17" s="33"/>
      <c r="AJ17" s="33"/>
      <c r="AK17" s="33"/>
    </row>
    <row r="18" spans="1:37">
      <c r="A18" s="33"/>
      <c r="B18" s="32"/>
      <c r="C18" s="21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6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7"/>
      <c r="AF18" s="33"/>
      <c r="AG18" s="33"/>
      <c r="AH18" s="33"/>
      <c r="AI18" s="33"/>
      <c r="AJ18" s="33"/>
      <c r="AK18" s="33"/>
    </row>
    <row r="19" spans="1:37" ht="7.5" customHeight="1">
      <c r="A19" s="33"/>
      <c r="B19" s="32"/>
      <c r="C19" s="21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7"/>
      <c r="AF19" s="33"/>
      <c r="AG19" s="33"/>
      <c r="AH19" s="33"/>
      <c r="AI19" s="33"/>
      <c r="AJ19" s="33"/>
      <c r="AK19" s="33"/>
    </row>
    <row r="20" spans="1:37" ht="15.75">
      <c r="A20" s="31"/>
      <c r="B20" s="32"/>
      <c r="C20" s="21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7"/>
      <c r="AF20" s="33"/>
      <c r="AG20" s="33"/>
      <c r="AH20" s="33"/>
      <c r="AI20" s="33"/>
      <c r="AJ20" s="33"/>
      <c r="AK20" s="33"/>
    </row>
    <row r="21" spans="1:37" ht="7.5" customHeight="1">
      <c r="A21" s="33"/>
      <c r="B21" s="32"/>
      <c r="C21" s="21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7"/>
      <c r="AF21" s="33"/>
      <c r="AG21" s="33"/>
      <c r="AH21" s="33"/>
      <c r="AI21" s="33"/>
      <c r="AJ21" s="33"/>
      <c r="AK21" s="33"/>
    </row>
    <row r="22" spans="1:37">
      <c r="A22" s="33"/>
      <c r="B22" s="32"/>
      <c r="C22" s="21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7"/>
      <c r="AF22" s="33"/>
      <c r="AG22" s="33"/>
      <c r="AH22" s="33"/>
      <c r="AI22" s="33"/>
      <c r="AJ22" s="33"/>
      <c r="AK22" s="33"/>
    </row>
    <row r="23" spans="1:37" ht="7.5" customHeight="1">
      <c r="A23" s="33"/>
      <c r="B23" s="32"/>
      <c r="C23" s="21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7"/>
      <c r="AF23" s="33"/>
      <c r="AG23" s="33"/>
      <c r="AH23" s="33"/>
      <c r="AI23" s="33"/>
      <c r="AJ23" s="33"/>
      <c r="AK23" s="33"/>
    </row>
    <row r="24" spans="1:37">
      <c r="A24" s="33"/>
      <c r="B24" s="32"/>
      <c r="C24" s="1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9"/>
      <c r="AF24" s="33"/>
      <c r="AG24" s="33"/>
      <c r="AH24" s="33"/>
      <c r="AI24" s="33"/>
      <c r="AJ24" s="33"/>
      <c r="AK24" s="33"/>
    </row>
    <row r="25" spans="1:37" ht="7.5" customHeight="1">
      <c r="A25" s="33"/>
      <c r="B25" s="32"/>
      <c r="C25" s="33"/>
      <c r="D25" s="33"/>
      <c r="E25" s="33"/>
      <c r="F25" s="32"/>
      <c r="G25" s="33"/>
      <c r="H25" s="32"/>
      <c r="I25" s="33"/>
      <c r="J25" s="35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33"/>
      <c r="AG25" s="33"/>
      <c r="AH25" s="33"/>
    </row>
    <row r="26" spans="1:37" ht="15.75" customHeight="1">
      <c r="A26" s="33"/>
      <c r="B26" s="32"/>
      <c r="C26" s="33"/>
      <c r="D26" s="32"/>
      <c r="E26" s="33"/>
      <c r="J26" s="31"/>
      <c r="K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3"/>
      <c r="AG26" s="33"/>
      <c r="AH26" s="33"/>
    </row>
    <row r="27" spans="1:37" ht="7.5" customHeight="1">
      <c r="A27" s="33"/>
      <c r="B27" s="32"/>
      <c r="C27" s="33"/>
      <c r="D27" s="32"/>
      <c r="E27" s="33"/>
      <c r="J27" s="26"/>
      <c r="K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7"/>
      <c r="AG27" s="17"/>
      <c r="AH27" s="17"/>
    </row>
    <row r="28" spans="1:37" ht="16.5" thickBot="1">
      <c r="A28" s="33"/>
      <c r="B28" s="32"/>
      <c r="C28" s="18" t="s">
        <v>0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31"/>
      <c r="AG28" s="31"/>
      <c r="AH28" s="31"/>
    </row>
    <row r="29" spans="1:37" ht="7.5" customHeight="1">
      <c r="A29" s="33"/>
      <c r="B29" s="32"/>
      <c r="C29" s="20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33"/>
      <c r="AG29" s="33"/>
      <c r="AH29" s="33"/>
    </row>
    <row r="30" spans="1:37" ht="15.75">
      <c r="A30" s="33"/>
      <c r="B30" s="32"/>
      <c r="C30" s="21"/>
      <c r="D30" s="82"/>
      <c r="E30" s="82"/>
      <c r="F30" s="82"/>
      <c r="G30" s="82"/>
      <c r="H30" s="82"/>
      <c r="I30" s="82"/>
      <c r="J30" s="82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E30" s="27"/>
      <c r="AF30" s="33"/>
      <c r="AG30" s="33"/>
      <c r="AH30" s="33"/>
    </row>
    <row r="31" spans="1:37" ht="7.5" customHeight="1">
      <c r="A31" s="33"/>
      <c r="B31" s="32"/>
      <c r="C31" s="21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E31" s="27"/>
      <c r="AF31" s="33"/>
      <c r="AG31" s="33"/>
      <c r="AH31" s="33"/>
    </row>
    <row r="32" spans="1:37" ht="15.75">
      <c r="A32" s="31"/>
      <c r="B32" s="32"/>
      <c r="C32" s="21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103" t="s">
        <v>12</v>
      </c>
      <c r="AD32" s="103"/>
      <c r="AE32" s="104"/>
      <c r="AF32" s="33"/>
      <c r="AG32" s="33"/>
      <c r="AH32" s="33"/>
    </row>
    <row r="33" spans="1:34" ht="7.5" customHeight="1">
      <c r="A33" s="33"/>
      <c r="B33" s="32"/>
      <c r="C33" s="21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7"/>
      <c r="AF33" s="33"/>
      <c r="AG33" s="33"/>
      <c r="AH33" s="33"/>
    </row>
    <row r="34" spans="1:34" ht="15.75">
      <c r="A34" s="33"/>
      <c r="B34" s="32"/>
      <c r="C34" s="21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6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105" t="str">
        <f>TEXT(Data!BK2,"0.00")&amp; " Weeks"</f>
        <v>7.33 Weeks</v>
      </c>
      <c r="AD34" s="105"/>
      <c r="AE34" s="106"/>
      <c r="AF34" s="33"/>
      <c r="AG34" s="33"/>
      <c r="AH34" s="33"/>
    </row>
    <row r="35" spans="1:34" ht="7.5" customHeight="1">
      <c r="A35" s="33"/>
      <c r="B35" s="32"/>
      <c r="C35" s="21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7"/>
      <c r="AF35" s="33"/>
      <c r="AG35" s="33"/>
      <c r="AH35" s="33"/>
    </row>
    <row r="36" spans="1:34">
      <c r="A36" s="33"/>
      <c r="B36" s="32"/>
      <c r="C36" s="21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6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7"/>
      <c r="AF36" s="33"/>
      <c r="AG36" s="33"/>
      <c r="AH36" s="33"/>
    </row>
    <row r="37" spans="1:34" ht="7.5" customHeight="1">
      <c r="A37" s="33"/>
      <c r="B37" s="32"/>
      <c r="C37" s="21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33"/>
      <c r="AG37" s="33"/>
      <c r="AH37" s="33"/>
    </row>
    <row r="38" spans="1:34">
      <c r="A38" s="33"/>
      <c r="B38" s="32"/>
      <c r="C38" s="21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7"/>
      <c r="AF38" s="33"/>
      <c r="AG38" s="33"/>
      <c r="AH38" s="33"/>
    </row>
    <row r="39" spans="1:34" ht="7.5" customHeight="1">
      <c r="A39" s="33"/>
      <c r="B39" s="32"/>
      <c r="C39" s="21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7"/>
      <c r="AF39" s="33"/>
      <c r="AG39" s="33"/>
      <c r="AH39" s="33"/>
    </row>
    <row r="40" spans="1:34">
      <c r="A40" s="33"/>
      <c r="B40" s="32"/>
      <c r="C40" s="21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7"/>
      <c r="AF40" s="33"/>
      <c r="AG40" s="33"/>
      <c r="AH40" s="33"/>
    </row>
    <row r="41" spans="1:34" ht="7.5" customHeight="1">
      <c r="A41" s="33"/>
      <c r="B41" s="32"/>
      <c r="C41" s="21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7"/>
      <c r="AF41" s="33"/>
      <c r="AG41" s="33"/>
      <c r="AH41" s="33"/>
    </row>
    <row r="42" spans="1:34">
      <c r="A42" s="33"/>
      <c r="B42" s="32"/>
      <c r="C42" s="19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9"/>
      <c r="AF42" s="33"/>
      <c r="AG42" s="33"/>
      <c r="AH42" s="33"/>
    </row>
    <row r="43" spans="1:34" ht="7.5" customHeight="1">
      <c r="A43" s="33"/>
      <c r="B43" s="32"/>
      <c r="C43" s="33"/>
      <c r="D43" s="33"/>
      <c r="E43" s="33"/>
      <c r="F43" s="32"/>
      <c r="G43" s="33"/>
      <c r="H43" s="32"/>
      <c r="I43" s="33"/>
      <c r="J43" s="35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33"/>
      <c r="AG43" s="33"/>
      <c r="AH43" s="33"/>
    </row>
    <row r="44" spans="1:34" ht="15.75" customHeight="1">
      <c r="A44" s="31"/>
      <c r="B44" s="32"/>
      <c r="C44" s="33"/>
      <c r="D44" s="32"/>
      <c r="E44" s="33"/>
      <c r="J44" s="31"/>
      <c r="K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3"/>
      <c r="AG44" s="33"/>
      <c r="AH44" s="33"/>
    </row>
    <row r="45" spans="1:34" ht="7.5" customHeight="1">
      <c r="A45" s="33"/>
      <c r="B45" s="32"/>
      <c r="C45" s="33"/>
      <c r="D45" s="32"/>
      <c r="E45" s="33"/>
      <c r="J45" s="26"/>
      <c r="K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17"/>
      <c r="AG45" s="33"/>
      <c r="AH45" s="33"/>
    </row>
    <row r="46" spans="1:34" ht="16.5" thickBot="1">
      <c r="A46" s="33"/>
      <c r="B46" s="32"/>
      <c r="C46" s="18" t="s">
        <v>142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3"/>
      <c r="AF46" s="31"/>
      <c r="AG46" s="33"/>
      <c r="AH46" s="33"/>
    </row>
    <row r="47" spans="1:34" ht="7.5" customHeight="1">
      <c r="A47" s="33"/>
      <c r="B47" s="32"/>
      <c r="C47" s="20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5"/>
      <c r="AF47" s="33"/>
      <c r="AG47" s="17"/>
      <c r="AH47" s="17"/>
    </row>
    <row r="48" spans="1:34" ht="15.75">
      <c r="A48" s="33"/>
      <c r="B48" s="32"/>
      <c r="C48" s="21"/>
      <c r="D48" s="82"/>
      <c r="E48" s="82"/>
      <c r="F48" s="82"/>
      <c r="G48" s="82"/>
      <c r="H48" s="82"/>
      <c r="I48" s="82"/>
      <c r="J48" s="82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E48" s="27"/>
      <c r="AF48" s="33"/>
      <c r="AG48" s="31"/>
      <c r="AH48" s="31"/>
    </row>
    <row r="49" spans="1:34" ht="7.5" customHeight="1">
      <c r="A49" s="33"/>
      <c r="B49" s="32"/>
      <c r="C49" s="21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E49" s="27"/>
      <c r="AF49" s="33"/>
      <c r="AG49" s="33"/>
      <c r="AH49" s="33"/>
    </row>
    <row r="50" spans="1:34">
      <c r="A50" s="33"/>
      <c r="B50" s="32"/>
      <c r="C50" s="21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103" t="s">
        <v>12</v>
      </c>
      <c r="AD50" s="103"/>
      <c r="AE50" s="104"/>
      <c r="AF50" s="33"/>
      <c r="AG50" s="33"/>
      <c r="AH50" s="33"/>
    </row>
    <row r="51" spans="1:34" ht="7.5" customHeight="1">
      <c r="A51" s="33"/>
      <c r="B51" s="32"/>
      <c r="C51" s="21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33"/>
      <c r="AG51" s="33"/>
      <c r="AH51" s="33"/>
    </row>
    <row r="52" spans="1:34" ht="15.75">
      <c r="A52" s="33"/>
      <c r="B52" s="32"/>
      <c r="C52" s="21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6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105" t="str">
        <f>TEXT(Data!BL2,"0.00")&amp; " Weeks"</f>
        <v>4.50 Weeks</v>
      </c>
      <c r="AD52" s="105"/>
      <c r="AE52" s="106"/>
      <c r="AF52" s="33"/>
      <c r="AG52" s="33"/>
      <c r="AH52" s="33"/>
    </row>
    <row r="53" spans="1:34" ht="7.5" customHeight="1">
      <c r="A53" s="33"/>
      <c r="B53" s="32"/>
      <c r="C53" s="21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33"/>
      <c r="AG53" s="33"/>
      <c r="AH53" s="33"/>
    </row>
    <row r="54" spans="1:34">
      <c r="A54" s="33"/>
      <c r="B54" s="32"/>
      <c r="C54" s="21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6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33"/>
      <c r="AG54" s="33"/>
      <c r="AH54" s="33"/>
    </row>
    <row r="55" spans="1:34" ht="7.5" customHeight="1">
      <c r="A55" s="33"/>
      <c r="B55" s="32"/>
      <c r="C55" s="21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33"/>
      <c r="AG55" s="33"/>
      <c r="AH55" s="33"/>
    </row>
    <row r="56" spans="1:34" ht="15.75">
      <c r="A56" s="31"/>
      <c r="B56" s="32"/>
      <c r="C56" s="21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33"/>
      <c r="AG56" s="33"/>
      <c r="AH56" s="33"/>
    </row>
    <row r="57" spans="1:34" ht="7.5" customHeight="1">
      <c r="A57" s="33"/>
      <c r="B57" s="32"/>
      <c r="C57" s="21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33"/>
      <c r="AG57" s="33"/>
      <c r="AH57" s="33"/>
    </row>
    <row r="58" spans="1:34">
      <c r="A58" s="33"/>
      <c r="B58" s="32"/>
      <c r="C58" s="21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33"/>
      <c r="AG58" s="33"/>
      <c r="AH58" s="33"/>
    </row>
    <row r="59" spans="1:34" ht="7.5" customHeight="1">
      <c r="A59" s="33"/>
      <c r="B59" s="32"/>
      <c r="C59" s="21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33"/>
      <c r="AG59" s="33"/>
      <c r="AH59" s="33"/>
    </row>
    <row r="60" spans="1:34">
      <c r="A60" s="33"/>
      <c r="B60" s="32"/>
      <c r="C60" s="19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9"/>
      <c r="AF60" s="33"/>
      <c r="AG60" s="33"/>
      <c r="AH60" s="33"/>
    </row>
    <row r="61" spans="1:34" ht="7.5" customHeight="1">
      <c r="A61" s="33"/>
      <c r="B61" s="32"/>
      <c r="C61" s="33"/>
      <c r="D61" s="33"/>
      <c r="E61" s="33"/>
      <c r="F61" s="32"/>
      <c r="G61" s="33"/>
      <c r="H61" s="32"/>
      <c r="I61" s="33"/>
      <c r="J61" s="35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33"/>
      <c r="AG61" s="33"/>
      <c r="AH61" s="33"/>
    </row>
    <row r="62" spans="1:34" ht="15.75" customHeight="1">
      <c r="A62" s="33"/>
      <c r="C62" s="33"/>
      <c r="D62" s="32"/>
      <c r="E62" s="33"/>
      <c r="J62" s="31"/>
      <c r="K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3"/>
      <c r="AG62" s="33"/>
      <c r="AH62" s="33"/>
    </row>
    <row r="63" spans="1:34" ht="7.5" customHeight="1">
      <c r="A63" s="33"/>
      <c r="C63" s="33"/>
      <c r="D63" s="32"/>
      <c r="E63" s="33"/>
      <c r="J63" s="26"/>
      <c r="K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17"/>
      <c r="AG63" s="33"/>
      <c r="AH63" s="33"/>
    </row>
    <row r="64" spans="1:34" ht="16.5" thickBot="1">
      <c r="A64" s="33"/>
      <c r="C64" s="18" t="s">
        <v>143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3"/>
      <c r="AF64" s="31"/>
      <c r="AG64" s="33"/>
      <c r="AH64" s="33"/>
    </row>
    <row r="65" spans="1:34" ht="7.5" customHeight="1">
      <c r="A65" s="33"/>
      <c r="C65" s="20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5"/>
      <c r="AF65" s="33"/>
      <c r="AG65" s="33"/>
      <c r="AH65" s="33"/>
    </row>
    <row r="66" spans="1:34" ht="15.75">
      <c r="A66" s="33"/>
      <c r="C66" s="21"/>
      <c r="D66" s="82"/>
      <c r="E66" s="82"/>
      <c r="F66" s="82"/>
      <c r="G66" s="82"/>
      <c r="H66" s="82"/>
      <c r="I66" s="82"/>
      <c r="J66" s="82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E66" s="27"/>
      <c r="AF66" s="33"/>
      <c r="AG66" s="33"/>
      <c r="AH66" s="33"/>
    </row>
    <row r="67" spans="1:34" ht="7.5" customHeight="1">
      <c r="A67" s="33"/>
      <c r="C67" s="21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E67" s="27"/>
      <c r="AF67" s="33"/>
      <c r="AG67" s="17"/>
      <c r="AH67" s="17"/>
    </row>
    <row r="68" spans="1:34" ht="15.75">
      <c r="A68" s="33"/>
      <c r="C68" s="21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103" t="s">
        <v>12</v>
      </c>
      <c r="AD68" s="103"/>
      <c r="AE68" s="104"/>
      <c r="AF68" s="33"/>
      <c r="AG68" s="31"/>
      <c r="AH68" s="31"/>
    </row>
    <row r="69" spans="1:34" ht="7.5" customHeight="1">
      <c r="A69" s="33"/>
      <c r="C69" s="21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7"/>
      <c r="AF69" s="33"/>
      <c r="AG69" s="33"/>
      <c r="AH69" s="33"/>
    </row>
    <row r="70" spans="1:34" ht="15.75">
      <c r="A70" s="33"/>
      <c r="C70" s="21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6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105" t="str">
        <f>TEXT(Data!BM2,"0.00")&amp; " Weeks"</f>
        <v>1.90 Weeks</v>
      </c>
      <c r="AD70" s="105"/>
      <c r="AE70" s="106"/>
      <c r="AF70" s="33"/>
      <c r="AG70" s="33"/>
      <c r="AH70" s="33"/>
    </row>
    <row r="71" spans="1:34" ht="7.5" customHeight="1">
      <c r="A71" s="33"/>
      <c r="C71" s="21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7"/>
      <c r="AF71" s="33"/>
      <c r="AG71" s="33"/>
      <c r="AH71" s="33"/>
    </row>
    <row r="72" spans="1:34">
      <c r="A72" s="33"/>
      <c r="C72" s="21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6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7"/>
      <c r="AF72" s="33"/>
      <c r="AG72" s="33"/>
      <c r="AH72" s="33"/>
    </row>
    <row r="73" spans="1:34" ht="7.5" customHeight="1">
      <c r="A73" s="33"/>
      <c r="C73" s="21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7"/>
      <c r="AF73" s="33"/>
      <c r="AG73" s="33"/>
      <c r="AH73" s="33"/>
    </row>
    <row r="74" spans="1:34">
      <c r="A74" s="33"/>
      <c r="C74" s="21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7"/>
      <c r="AF74" s="33"/>
      <c r="AG74" s="33"/>
      <c r="AH74" s="33"/>
    </row>
    <row r="75" spans="1:34" ht="7.5" customHeight="1">
      <c r="A75" s="33"/>
      <c r="C75" s="21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7"/>
      <c r="AF75" s="33"/>
      <c r="AG75" s="33"/>
      <c r="AH75" s="33"/>
    </row>
    <row r="76" spans="1:34">
      <c r="A76" s="33"/>
      <c r="C76" s="21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7"/>
      <c r="AF76" s="33"/>
      <c r="AG76" s="33"/>
      <c r="AH76" s="33"/>
    </row>
    <row r="77" spans="1:34" ht="7.5" customHeight="1">
      <c r="A77" s="33"/>
      <c r="C77" s="21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7"/>
      <c r="AF77" s="33"/>
      <c r="AG77" s="33"/>
      <c r="AH77" s="33"/>
    </row>
    <row r="78" spans="1:34">
      <c r="A78" s="33"/>
      <c r="C78" s="19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9"/>
      <c r="AF78" s="33"/>
      <c r="AG78" s="33"/>
      <c r="AH78" s="33"/>
    </row>
    <row r="79" spans="1:34" ht="7.5" customHeight="1">
      <c r="A79" s="33"/>
      <c r="C79" s="33"/>
      <c r="D79" s="33"/>
      <c r="E79" s="33"/>
      <c r="F79" s="32"/>
      <c r="G79" s="33"/>
      <c r="H79" s="32"/>
      <c r="I79" s="33"/>
      <c r="J79" s="35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33"/>
      <c r="AG79" s="33"/>
      <c r="AH79" s="33"/>
    </row>
    <row r="80" spans="1:34" ht="15.75" customHeight="1">
      <c r="A80" s="33"/>
      <c r="C80" s="33"/>
      <c r="D80" s="32"/>
      <c r="E80" s="33"/>
      <c r="J80" s="31"/>
      <c r="K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3"/>
      <c r="AG80" s="33"/>
      <c r="AH80" s="33"/>
    </row>
    <row r="81" spans="1:34" ht="7.5" customHeight="1">
      <c r="A81" s="33"/>
      <c r="C81" s="33"/>
      <c r="D81" s="32"/>
      <c r="E81" s="33"/>
      <c r="J81" s="26"/>
      <c r="K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17"/>
      <c r="AG81" s="33"/>
      <c r="AH81" s="33"/>
    </row>
    <row r="82" spans="1:34" ht="16.5" thickBot="1">
      <c r="A82" s="33"/>
      <c r="C82" s="18" t="s">
        <v>144</v>
      </c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3"/>
      <c r="AF82" s="31"/>
      <c r="AG82" s="33"/>
      <c r="AH82" s="33"/>
    </row>
    <row r="83" spans="1:34" ht="7.5" customHeight="1">
      <c r="A83" s="33"/>
      <c r="C83" s="20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5"/>
      <c r="AF83" s="33"/>
      <c r="AG83" s="33"/>
      <c r="AH83" s="33"/>
    </row>
    <row r="84" spans="1:34" ht="15.75">
      <c r="A84" s="33"/>
      <c r="C84" s="21"/>
      <c r="D84" s="82"/>
      <c r="E84" s="82"/>
      <c r="F84" s="82"/>
      <c r="G84" s="82"/>
      <c r="H84" s="82"/>
      <c r="I84" s="82"/>
      <c r="J84" s="82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E84" s="27"/>
      <c r="AF84" s="33"/>
      <c r="AG84" s="33"/>
      <c r="AH84" s="33"/>
    </row>
    <row r="85" spans="1:34" ht="7.5" customHeight="1">
      <c r="A85" s="33"/>
      <c r="C85" s="21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E85" s="27"/>
      <c r="AF85" s="33"/>
      <c r="AG85" s="33"/>
      <c r="AH85" s="33"/>
    </row>
    <row r="86" spans="1:34">
      <c r="A86" s="33"/>
      <c r="C86" s="21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103" t="s">
        <v>12</v>
      </c>
      <c r="AD86" s="103"/>
      <c r="AE86" s="104"/>
      <c r="AF86" s="33"/>
      <c r="AG86" s="33"/>
      <c r="AH86" s="33"/>
    </row>
    <row r="87" spans="1:34" ht="7.5" customHeight="1">
      <c r="A87" s="33"/>
      <c r="C87" s="21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7"/>
      <c r="AF87" s="33"/>
      <c r="AG87" s="17"/>
      <c r="AH87" s="17"/>
    </row>
    <row r="88" spans="1:34" ht="15.75">
      <c r="A88" s="33"/>
      <c r="C88" s="2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6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105" t="str">
        <f>TEXT(Data!BN2,"0.00")&amp; " Weeks"</f>
        <v>1.00 Weeks</v>
      </c>
      <c r="AD88" s="105"/>
      <c r="AE88" s="106"/>
      <c r="AF88" s="33"/>
      <c r="AG88" s="31"/>
      <c r="AH88" s="31"/>
    </row>
    <row r="89" spans="1:34" ht="7.5" customHeight="1">
      <c r="A89" s="33"/>
      <c r="C89" s="2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7"/>
      <c r="AF89" s="33"/>
      <c r="AG89" s="33"/>
      <c r="AH89" s="33"/>
    </row>
    <row r="90" spans="1:34">
      <c r="A90" s="33"/>
      <c r="C90" s="2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6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7"/>
      <c r="AF90" s="33"/>
      <c r="AG90" s="33"/>
      <c r="AH90" s="33"/>
    </row>
    <row r="91" spans="1:34" ht="7.5" customHeight="1">
      <c r="A91" s="33"/>
      <c r="C91" s="2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7"/>
      <c r="AF91" s="33"/>
      <c r="AG91" s="33"/>
      <c r="AH91" s="33"/>
    </row>
    <row r="92" spans="1:34">
      <c r="A92" s="33"/>
      <c r="C92" s="2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7"/>
      <c r="AF92" s="33"/>
      <c r="AG92" s="33"/>
      <c r="AH92" s="33"/>
    </row>
    <row r="93" spans="1:34" ht="7.5" customHeight="1">
      <c r="A93" s="33"/>
      <c r="C93" s="2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7"/>
      <c r="AF93" s="33"/>
      <c r="AG93" s="33"/>
      <c r="AH93" s="33"/>
    </row>
    <row r="94" spans="1:34">
      <c r="A94" s="33"/>
      <c r="C94" s="2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7"/>
      <c r="AF94" s="33"/>
      <c r="AG94" s="33"/>
      <c r="AH94" s="33"/>
    </row>
    <row r="95" spans="1:34" ht="7.5" customHeight="1">
      <c r="A95" s="33"/>
      <c r="C95" s="21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7"/>
      <c r="AF95" s="33"/>
      <c r="AG95" s="33"/>
      <c r="AH95" s="33"/>
    </row>
    <row r="96" spans="1:34">
      <c r="A96" s="33"/>
      <c r="C96" s="19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9"/>
      <c r="AF96" s="33"/>
      <c r="AG96" s="33"/>
      <c r="AH96" s="33"/>
    </row>
    <row r="97" spans="1:34" ht="7.5" customHeight="1">
      <c r="A97" s="33"/>
      <c r="B97" s="35"/>
      <c r="C97" s="33"/>
      <c r="D97" s="33"/>
      <c r="E97" s="33"/>
      <c r="F97" s="32"/>
      <c r="G97" s="33"/>
      <c r="H97" s="32"/>
      <c r="I97" s="33"/>
      <c r="J97" s="35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33"/>
      <c r="AG97" s="33"/>
      <c r="AH97" s="33"/>
    </row>
    <row r="98" spans="1:34">
      <c r="A98" s="33"/>
      <c r="B98" s="35"/>
      <c r="C98" s="33"/>
      <c r="D98" s="33"/>
      <c r="E98" s="33"/>
      <c r="F98" s="35"/>
      <c r="G98" s="33"/>
      <c r="H98" s="35"/>
      <c r="I98" s="33"/>
      <c r="J98" s="35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33"/>
      <c r="AG98" s="33"/>
      <c r="AH98" s="33"/>
    </row>
    <row r="99" spans="1:34" ht="7.5" customHeight="1">
      <c r="A99" s="33"/>
      <c r="B99" s="35"/>
      <c r="C99" s="33"/>
      <c r="D99" s="33"/>
      <c r="E99" s="33"/>
      <c r="F99" s="35"/>
      <c r="G99" s="33"/>
      <c r="H99" s="35"/>
      <c r="I99" s="33"/>
      <c r="J99" s="35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33"/>
      <c r="AG99" s="33"/>
      <c r="AH99" s="33"/>
    </row>
    <row r="100" spans="1:34" s="36" customFormat="1" ht="7.5" customHeight="1">
      <c r="A100" s="33"/>
      <c r="B100" s="32"/>
      <c r="C100" s="33"/>
      <c r="D100" s="33"/>
      <c r="E100" s="33"/>
      <c r="F100" s="32"/>
      <c r="G100" s="33"/>
      <c r="H100" s="32"/>
      <c r="I100" s="33"/>
      <c r="J100" s="32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33"/>
      <c r="AE100" s="33"/>
      <c r="AF100" s="33"/>
      <c r="AG100" s="33"/>
    </row>
    <row r="101" spans="1:34">
      <c r="A101" s="33"/>
      <c r="B101" s="35"/>
      <c r="C101" s="33"/>
      <c r="D101" s="33"/>
      <c r="E101" s="33"/>
      <c r="F101" s="35"/>
      <c r="G101" s="33"/>
      <c r="H101" s="35"/>
      <c r="I101" s="33"/>
      <c r="J101" s="35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33"/>
      <c r="AE101" s="33"/>
      <c r="AF101" s="33"/>
      <c r="AG101" s="33"/>
    </row>
    <row r="102" spans="1:34" s="36" customFormat="1" ht="7.5" customHeight="1">
      <c r="A102" s="33"/>
      <c r="B102" s="32"/>
      <c r="C102" s="33"/>
      <c r="D102" s="33"/>
      <c r="E102" s="33"/>
      <c r="F102" s="32"/>
      <c r="G102" s="33"/>
      <c r="H102" s="32"/>
      <c r="I102" s="33"/>
      <c r="J102" s="32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33"/>
      <c r="AE102" s="33"/>
      <c r="AF102" s="33"/>
      <c r="AG102" s="33"/>
    </row>
    <row r="103" spans="1:34">
      <c r="A103" s="33"/>
      <c r="B103" s="35"/>
      <c r="C103" s="33"/>
      <c r="D103" s="33"/>
      <c r="E103" s="33"/>
      <c r="F103" s="35"/>
      <c r="G103" s="33"/>
      <c r="H103" s="35"/>
      <c r="I103" s="33"/>
      <c r="J103" s="35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33"/>
      <c r="AE103" s="33"/>
      <c r="AF103" s="33"/>
      <c r="AG103" s="33"/>
    </row>
    <row r="104" spans="1:34" s="36" customFormat="1" ht="7.5" customHeight="1">
      <c r="A104" s="33"/>
      <c r="B104" s="32"/>
      <c r="C104" s="33"/>
      <c r="D104" s="33"/>
      <c r="E104" s="33"/>
      <c r="F104" s="32"/>
      <c r="G104" s="33"/>
      <c r="H104" s="32"/>
      <c r="I104" s="33"/>
      <c r="J104" s="32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33"/>
      <c r="AE104" s="33"/>
      <c r="AF104" s="33"/>
      <c r="AG104" s="33"/>
    </row>
    <row r="105" spans="1:34">
      <c r="A105" s="33"/>
      <c r="B105" s="35"/>
      <c r="C105" s="33"/>
      <c r="D105" s="33"/>
      <c r="E105" s="33"/>
      <c r="F105" s="35"/>
      <c r="G105" s="33"/>
      <c r="H105" s="35"/>
      <c r="I105" s="33"/>
      <c r="J105" s="35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33"/>
      <c r="AE105" s="33"/>
      <c r="AF105" s="33"/>
      <c r="AG105" s="33"/>
    </row>
    <row r="106" spans="1:34" s="11" customFormat="1" ht="7.5" customHeight="1">
      <c r="A106" s="9"/>
      <c r="C106" s="9"/>
      <c r="D106" s="10"/>
      <c r="E106" s="9"/>
      <c r="F106" s="10"/>
      <c r="G106" s="34"/>
      <c r="H106" s="10"/>
      <c r="I106" s="34"/>
      <c r="J106" s="10"/>
      <c r="K106" s="9"/>
      <c r="L106" s="10"/>
      <c r="M106" s="9"/>
      <c r="N106" s="10"/>
      <c r="O106" s="9"/>
      <c r="P106" s="10"/>
      <c r="Q106" s="9"/>
      <c r="R106" s="10"/>
      <c r="S106" s="9"/>
      <c r="T106" s="10"/>
      <c r="U106" s="9"/>
      <c r="V106" s="10"/>
      <c r="W106" s="9"/>
      <c r="X106" s="10"/>
      <c r="Y106" s="9"/>
      <c r="Z106" s="10"/>
      <c r="AA106" s="9"/>
      <c r="AB106" s="10"/>
      <c r="AC106" s="9"/>
      <c r="AD106" s="34"/>
      <c r="AE106" s="34"/>
      <c r="AF106" s="34"/>
      <c r="AG106" s="34"/>
    </row>
    <row r="107" spans="1:34" s="15" customFormat="1" ht="39.75" customHeight="1">
      <c r="A107" s="12"/>
      <c r="B107" s="12"/>
      <c r="C107" s="12"/>
      <c r="D107" s="13"/>
      <c r="E107" s="12"/>
      <c r="F107" s="13"/>
      <c r="G107" s="12"/>
      <c r="H107" s="13"/>
      <c r="I107" s="12"/>
      <c r="J107" s="13"/>
      <c r="K107" s="12"/>
      <c r="L107" s="13"/>
      <c r="M107" s="12"/>
      <c r="N107" s="13"/>
      <c r="O107" s="12"/>
      <c r="P107" s="13"/>
      <c r="Q107" s="12"/>
      <c r="R107" s="13"/>
      <c r="S107" s="12"/>
      <c r="T107" s="13"/>
      <c r="U107" s="12"/>
      <c r="V107" s="13"/>
      <c r="W107" s="12"/>
      <c r="X107" s="13"/>
      <c r="Y107" s="12"/>
      <c r="Z107" s="13"/>
      <c r="AA107" s="12"/>
      <c r="AB107" s="13"/>
      <c r="AC107" s="12"/>
      <c r="AD107" s="12"/>
      <c r="AE107" s="12"/>
      <c r="AF107" s="12"/>
      <c r="AG107" s="12"/>
    </row>
    <row r="108" spans="1:34" s="11" customFormat="1" ht="12.75"/>
  </sheetData>
  <sheetProtection password="D80D" sheet="1" objects="1" scenarios="1"/>
  <mergeCells count="13">
    <mergeCell ref="AC86:AE86"/>
    <mergeCell ref="AC88:AE88"/>
    <mergeCell ref="AC16:AE16"/>
    <mergeCell ref="AC32:AE32"/>
    <mergeCell ref="AC34:AE34"/>
    <mergeCell ref="AC50:AE50"/>
    <mergeCell ref="AC52:AE52"/>
    <mergeCell ref="AC68:AE68"/>
    <mergeCell ref="AC1:AF1"/>
    <mergeCell ref="J6:M7"/>
    <mergeCell ref="C8:AE9"/>
    <mergeCell ref="AC14:AE14"/>
    <mergeCell ref="AC70:AE70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6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Q108"/>
  <sheetViews>
    <sheetView showGridLines="0" showRowColHeaders="0" zoomScale="80" zoomScaleNormal="80" zoomScaleSheetLayoutView="70" workbookViewId="0">
      <pane ySplit="6" topLeftCell="A7" activePane="bottomLeft" state="frozen"/>
      <selection pane="bottomLeft" activeCell="A7" sqref="A7"/>
    </sheetView>
  </sheetViews>
  <sheetFormatPr defaultRowHeight="15"/>
  <cols>
    <col min="1" max="2" width="1.42578125" customWidth="1"/>
    <col min="3" max="3" width="9.7109375" customWidth="1"/>
    <col min="4" max="4" width="1.42578125" customWidth="1"/>
    <col min="5" max="5" width="9.7109375" customWidth="1"/>
    <col min="6" max="6" width="1.42578125" customWidth="1"/>
    <col min="7" max="7" width="9.7109375" customWidth="1"/>
    <col min="8" max="8" width="1.42578125" customWidth="1"/>
    <col min="9" max="9" width="9.7109375" customWidth="1"/>
    <col min="10" max="10" width="1.42578125" customWidth="1"/>
    <col min="11" max="11" width="9.7109375" customWidth="1"/>
    <col min="12" max="12" width="1.42578125" customWidth="1"/>
    <col min="13" max="13" width="9.7109375" customWidth="1"/>
    <col min="14" max="14" width="1.42578125" customWidth="1"/>
    <col min="15" max="15" width="9.7109375" customWidth="1"/>
    <col min="16" max="16" width="1.42578125" customWidth="1"/>
    <col min="17" max="17" width="9.7109375" customWidth="1"/>
    <col min="18" max="18" width="1.42578125" customWidth="1"/>
    <col min="19" max="19" width="9.7109375" customWidth="1"/>
    <col min="20" max="20" width="1.42578125" customWidth="1"/>
    <col min="21" max="21" width="9.7109375" customWidth="1"/>
    <col min="22" max="22" width="1.42578125" customWidth="1"/>
    <col min="23" max="23" width="9.7109375" customWidth="1"/>
    <col min="24" max="24" width="1.42578125" customWidth="1"/>
    <col min="25" max="25" width="9.7109375" customWidth="1"/>
    <col min="26" max="26" width="1.42578125" customWidth="1"/>
    <col min="27" max="27" width="9.7109375" customWidth="1"/>
    <col min="28" max="28" width="1.42578125" customWidth="1"/>
    <col min="29" max="29" width="9.7109375" customWidth="1"/>
    <col min="30" max="30" width="1.42578125" customWidth="1"/>
    <col min="31" max="31" width="9.7109375" customWidth="1"/>
    <col min="32" max="33" width="1.42578125" customWidth="1"/>
  </cols>
  <sheetData>
    <row r="1" spans="1:43" s="5" customFormat="1" ht="15.75">
      <c r="A1" s="2"/>
      <c r="B1" s="2"/>
      <c r="C1" s="2"/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101">
        <f ca="1">TODAY()</f>
        <v>41837</v>
      </c>
      <c r="AD1" s="101"/>
      <c r="AE1" s="101"/>
      <c r="AF1" s="101"/>
      <c r="AG1" s="3"/>
    </row>
    <row r="2" spans="1:43" s="5" customFormat="1" ht="35.25">
      <c r="A2" s="6"/>
      <c r="B2" s="6" t="s">
        <v>7</v>
      </c>
      <c r="C2" s="6"/>
      <c r="D2" s="3"/>
      <c r="E2" s="6"/>
      <c r="F2" s="3"/>
      <c r="G2" s="6"/>
      <c r="H2" s="3"/>
      <c r="I2" s="6"/>
      <c r="J2" s="3"/>
      <c r="K2" s="6"/>
      <c r="L2" s="3"/>
      <c r="M2" s="6"/>
      <c r="N2" s="3"/>
      <c r="O2" s="6"/>
      <c r="P2" s="3"/>
      <c r="Q2" s="6"/>
      <c r="R2" s="3"/>
      <c r="S2" s="6"/>
      <c r="T2" s="3"/>
      <c r="U2" s="6"/>
      <c r="V2" s="3"/>
      <c r="W2" s="6"/>
      <c r="X2" s="3"/>
      <c r="Y2" s="6"/>
      <c r="Z2" s="3"/>
      <c r="AA2" s="6"/>
      <c r="AB2" s="3"/>
      <c r="AC2" s="6"/>
      <c r="AD2" s="3"/>
      <c r="AE2" s="6"/>
      <c r="AF2" s="3"/>
      <c r="AG2" s="3"/>
    </row>
    <row r="3" spans="1:43" s="5" customFormat="1" ht="17.25" customHeight="1" thickBot="1">
      <c r="A3" s="7"/>
      <c r="B3" s="7"/>
      <c r="C3" s="7"/>
      <c r="D3" s="8"/>
      <c r="E3" s="7"/>
      <c r="F3" s="8"/>
      <c r="G3" s="7"/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  <c r="U3" s="7"/>
      <c r="V3" s="8"/>
      <c r="W3" s="7"/>
      <c r="X3" s="8"/>
      <c r="Y3" s="7"/>
      <c r="Z3" s="8"/>
      <c r="AA3" s="7"/>
      <c r="AB3" s="8"/>
      <c r="AC3" s="7"/>
      <c r="AD3" s="8"/>
      <c r="AE3" s="7"/>
      <c r="AF3" s="8"/>
      <c r="AG3" s="8"/>
    </row>
    <row r="4" spans="1:43" s="11" customFormat="1" ht="7.5" customHeight="1">
      <c r="A4" s="9"/>
      <c r="C4" s="9"/>
      <c r="D4" s="10"/>
      <c r="E4" s="9"/>
      <c r="F4" s="10"/>
      <c r="G4" s="9"/>
      <c r="H4" s="10"/>
      <c r="I4" s="9"/>
      <c r="J4" s="10"/>
      <c r="K4" s="9"/>
      <c r="L4" s="10"/>
      <c r="M4" s="9"/>
      <c r="N4" s="10"/>
      <c r="O4" s="9"/>
      <c r="P4" s="10"/>
      <c r="Q4" s="9"/>
      <c r="R4" s="10"/>
      <c r="S4" s="9"/>
      <c r="T4" s="10"/>
      <c r="U4" s="9"/>
      <c r="V4" s="10"/>
      <c r="W4" s="9"/>
      <c r="X4" s="10"/>
      <c r="Y4" s="9"/>
      <c r="Z4" s="10"/>
      <c r="AA4" s="9"/>
      <c r="AB4" s="10"/>
      <c r="AC4" s="9"/>
      <c r="AD4" s="10"/>
      <c r="AE4" s="9"/>
      <c r="AF4" s="10"/>
      <c r="AG4" s="10"/>
    </row>
    <row r="5" spans="1:43" ht="9.75" customHeight="1">
      <c r="A5" s="17"/>
      <c r="C5" s="17"/>
      <c r="D5" s="17"/>
      <c r="F5" s="17"/>
      <c r="H5" s="17"/>
      <c r="J5" s="17"/>
      <c r="K5" s="17"/>
      <c r="M5" s="17"/>
      <c r="O5" s="17"/>
      <c r="Q5" s="17"/>
      <c r="S5" s="17"/>
      <c r="U5" s="17"/>
      <c r="W5" s="17"/>
      <c r="Y5" s="17"/>
      <c r="AA5" s="17"/>
      <c r="AC5" s="17"/>
      <c r="AE5" s="17"/>
      <c r="AI5" s="17"/>
      <c r="AK5" s="17"/>
      <c r="AM5" s="17"/>
      <c r="AO5" s="17"/>
      <c r="AQ5" s="17"/>
    </row>
    <row r="6" spans="1:43" ht="90" customHeight="1">
      <c r="A6" s="31"/>
      <c r="B6" s="32"/>
      <c r="C6" s="31"/>
      <c r="D6" s="31"/>
      <c r="E6" s="31"/>
      <c r="F6" s="32"/>
      <c r="G6" s="31"/>
      <c r="H6" s="32"/>
      <c r="I6" s="31"/>
      <c r="J6" s="102"/>
      <c r="K6" s="102"/>
      <c r="L6" s="102"/>
      <c r="M6" s="102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K6" s="78"/>
    </row>
    <row r="7" spans="1:43" ht="7.5" customHeight="1">
      <c r="A7" s="33"/>
      <c r="B7" s="32"/>
      <c r="C7" s="33"/>
      <c r="D7" s="33"/>
      <c r="E7" s="33"/>
      <c r="F7" s="32"/>
      <c r="G7" s="33"/>
      <c r="H7" s="32"/>
      <c r="I7" s="33"/>
      <c r="J7" s="102"/>
      <c r="K7" s="102"/>
      <c r="L7" s="102"/>
      <c r="M7" s="102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33"/>
      <c r="AG7" s="33"/>
      <c r="AH7" s="33"/>
    </row>
    <row r="8" spans="1:43" ht="15.75" customHeight="1">
      <c r="A8" s="33"/>
      <c r="B8" s="32"/>
      <c r="C8" s="102" t="s">
        <v>145</v>
      </c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31"/>
      <c r="AG8" s="31"/>
      <c r="AH8" s="31"/>
      <c r="AI8" s="31"/>
      <c r="AJ8" s="31"/>
      <c r="AK8" s="31"/>
    </row>
    <row r="9" spans="1:43" ht="7.5" customHeight="1">
      <c r="A9" s="33"/>
      <c r="B9" s="3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33"/>
      <c r="AG9" s="33"/>
      <c r="AH9" s="33"/>
      <c r="AI9" s="33"/>
      <c r="AJ9" s="33"/>
      <c r="AK9" s="33"/>
    </row>
    <row r="10" spans="1:43" ht="16.5" thickBot="1">
      <c r="A10" s="33"/>
      <c r="B10" s="32"/>
      <c r="C10" s="18" t="s">
        <v>141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3"/>
      <c r="AF10" s="31"/>
      <c r="AG10" s="31"/>
      <c r="AH10" s="31"/>
      <c r="AI10" s="31"/>
      <c r="AJ10" s="31"/>
      <c r="AK10" s="31"/>
    </row>
    <row r="11" spans="1:43" ht="7.5" customHeight="1">
      <c r="A11" s="33"/>
      <c r="B11" s="32"/>
      <c r="C11" s="20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5"/>
      <c r="AF11" s="33"/>
      <c r="AG11" s="33"/>
      <c r="AH11" s="33"/>
      <c r="AI11" s="33"/>
      <c r="AJ11" s="33"/>
      <c r="AK11" s="33"/>
    </row>
    <row r="12" spans="1:43" ht="15.75">
      <c r="A12" s="33"/>
      <c r="B12" s="32"/>
      <c r="C12" s="21"/>
      <c r="D12" s="82"/>
      <c r="E12" s="82"/>
      <c r="F12" s="82"/>
      <c r="G12" s="82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7"/>
      <c r="AF12" s="33"/>
      <c r="AG12" s="33"/>
      <c r="AH12" s="33"/>
      <c r="AI12" s="33"/>
      <c r="AJ12" s="33"/>
      <c r="AK12" s="33"/>
    </row>
    <row r="13" spans="1:43" ht="7.5" customHeight="1">
      <c r="A13" s="33"/>
      <c r="B13" s="32"/>
      <c r="C13" s="21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7"/>
      <c r="AF13" s="33"/>
      <c r="AG13" s="33"/>
      <c r="AH13" s="33"/>
      <c r="AI13" s="33"/>
      <c r="AJ13" s="33"/>
      <c r="AK13" s="33"/>
    </row>
    <row r="14" spans="1:43">
      <c r="A14" s="33"/>
      <c r="B14" s="32"/>
      <c r="C14" s="21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7"/>
      <c r="AF14" s="33"/>
      <c r="AG14" s="33"/>
      <c r="AH14" s="33"/>
      <c r="AI14" s="33"/>
      <c r="AJ14" s="33"/>
      <c r="AK14" s="33"/>
    </row>
    <row r="15" spans="1:43" ht="7.5" customHeight="1">
      <c r="A15" s="33"/>
      <c r="B15" s="32"/>
      <c r="C15" s="21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7"/>
      <c r="AF15" s="33"/>
      <c r="AG15" s="33"/>
      <c r="AH15" s="33"/>
      <c r="AI15" s="33"/>
      <c r="AJ15" s="33"/>
      <c r="AK15" s="33"/>
    </row>
    <row r="16" spans="1:43">
      <c r="A16" s="33"/>
      <c r="B16" s="32"/>
      <c r="C16" s="21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6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7"/>
      <c r="AF16" s="33"/>
      <c r="AG16" s="33"/>
      <c r="AH16" s="33"/>
      <c r="AI16" s="33"/>
      <c r="AJ16" s="33"/>
      <c r="AK16" s="33"/>
    </row>
    <row r="17" spans="1:37" ht="7.5" customHeight="1">
      <c r="A17" s="33"/>
      <c r="B17" s="32"/>
      <c r="C17" s="21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7"/>
      <c r="AF17" s="33"/>
      <c r="AG17" s="33"/>
      <c r="AH17" s="33"/>
      <c r="AI17" s="33"/>
      <c r="AJ17" s="33"/>
      <c r="AK17" s="33"/>
    </row>
    <row r="18" spans="1:37">
      <c r="A18" s="33"/>
      <c r="B18" s="32"/>
      <c r="C18" s="21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6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7"/>
      <c r="AF18" s="33"/>
      <c r="AG18" s="33"/>
      <c r="AH18" s="33"/>
      <c r="AI18" s="33"/>
      <c r="AJ18" s="33"/>
      <c r="AK18" s="33"/>
    </row>
    <row r="19" spans="1:37" ht="7.5" customHeight="1">
      <c r="A19" s="33"/>
      <c r="B19" s="32"/>
      <c r="C19" s="21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7"/>
      <c r="AF19" s="33"/>
      <c r="AG19" s="33"/>
      <c r="AH19" s="33"/>
      <c r="AI19" s="33"/>
      <c r="AJ19" s="33"/>
      <c r="AK19" s="33"/>
    </row>
    <row r="20" spans="1:37" ht="15.75">
      <c r="A20" s="31"/>
      <c r="B20" s="32"/>
      <c r="C20" s="21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7"/>
      <c r="AF20" s="33"/>
      <c r="AG20" s="33"/>
      <c r="AH20" s="33"/>
      <c r="AI20" s="33"/>
      <c r="AJ20" s="33"/>
      <c r="AK20" s="33"/>
    </row>
    <row r="21" spans="1:37" ht="7.5" customHeight="1">
      <c r="A21" s="33"/>
      <c r="B21" s="32"/>
      <c r="C21" s="21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7"/>
      <c r="AF21" s="33"/>
      <c r="AG21" s="33"/>
      <c r="AH21" s="33"/>
      <c r="AI21" s="33"/>
      <c r="AJ21" s="33"/>
      <c r="AK21" s="33"/>
    </row>
    <row r="22" spans="1:37">
      <c r="A22" s="33"/>
      <c r="B22" s="32"/>
      <c r="C22" s="21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7"/>
      <c r="AF22" s="33"/>
      <c r="AG22" s="33"/>
      <c r="AH22" s="33"/>
      <c r="AI22" s="33"/>
      <c r="AJ22" s="33"/>
      <c r="AK22" s="33"/>
    </row>
    <row r="23" spans="1:37" ht="7.5" customHeight="1">
      <c r="A23" s="33"/>
      <c r="B23" s="32"/>
      <c r="C23" s="21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7"/>
      <c r="AF23" s="33"/>
      <c r="AG23" s="33"/>
      <c r="AH23" s="33"/>
      <c r="AI23" s="33"/>
      <c r="AJ23" s="33"/>
      <c r="AK23" s="33"/>
    </row>
    <row r="24" spans="1:37">
      <c r="A24" s="33"/>
      <c r="B24" s="32"/>
      <c r="C24" s="1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9"/>
      <c r="AF24" s="33"/>
      <c r="AG24" s="33"/>
      <c r="AH24" s="33"/>
      <c r="AI24" s="33"/>
      <c r="AJ24" s="33"/>
      <c r="AK24" s="33"/>
    </row>
    <row r="25" spans="1:37" ht="7.5" customHeight="1">
      <c r="A25" s="33"/>
      <c r="B25" s="32"/>
      <c r="C25" s="33"/>
      <c r="D25" s="33"/>
      <c r="E25" s="33"/>
      <c r="F25" s="32"/>
      <c r="G25" s="33"/>
      <c r="H25" s="32"/>
      <c r="I25" s="33"/>
      <c r="J25" s="35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33"/>
      <c r="AG25" s="33"/>
      <c r="AH25" s="33"/>
    </row>
    <row r="26" spans="1:37" ht="15.75" customHeight="1">
      <c r="A26" s="33"/>
      <c r="B26" s="32"/>
      <c r="C26" s="33"/>
      <c r="D26" s="32"/>
      <c r="E26" s="33"/>
      <c r="J26" s="31"/>
      <c r="K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3"/>
      <c r="AG26" s="33"/>
      <c r="AH26" s="33"/>
    </row>
    <row r="27" spans="1:37" ht="7.5" customHeight="1">
      <c r="A27" s="33"/>
      <c r="B27" s="32"/>
      <c r="C27" s="33"/>
      <c r="D27" s="32"/>
      <c r="E27" s="33"/>
      <c r="J27" s="26"/>
      <c r="K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7"/>
      <c r="AG27" s="17"/>
      <c r="AH27" s="17"/>
    </row>
    <row r="28" spans="1:37" ht="16.5" thickBot="1">
      <c r="A28" s="33"/>
      <c r="B28" s="32"/>
      <c r="C28" s="18" t="s">
        <v>0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31"/>
      <c r="AG28" s="31"/>
      <c r="AH28" s="31"/>
    </row>
    <row r="29" spans="1:37" ht="7.5" customHeight="1">
      <c r="A29" s="33"/>
      <c r="B29" s="32"/>
      <c r="C29" s="20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33"/>
      <c r="AG29" s="33"/>
      <c r="AH29" s="33"/>
    </row>
    <row r="30" spans="1:37" ht="15.75">
      <c r="A30" s="33"/>
      <c r="B30" s="32"/>
      <c r="C30" s="21"/>
      <c r="D30" s="82"/>
      <c r="E30" s="82"/>
      <c r="F30" s="82"/>
      <c r="G30" s="82"/>
      <c r="H30" s="82"/>
      <c r="I30" s="82"/>
      <c r="J30" s="82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7"/>
      <c r="AF30" s="33"/>
      <c r="AG30" s="33"/>
      <c r="AH30" s="33"/>
    </row>
    <row r="31" spans="1:37" ht="7.5" customHeight="1">
      <c r="A31" s="33"/>
      <c r="B31" s="32"/>
      <c r="C31" s="21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7"/>
      <c r="AF31" s="33"/>
      <c r="AG31" s="33"/>
      <c r="AH31" s="33"/>
    </row>
    <row r="32" spans="1:37" ht="15.75">
      <c r="A32" s="31"/>
      <c r="B32" s="32"/>
      <c r="C32" s="21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7"/>
      <c r="AF32" s="33"/>
      <c r="AG32" s="33"/>
      <c r="AH32" s="33"/>
    </row>
    <row r="33" spans="1:34" ht="7.5" customHeight="1">
      <c r="A33" s="33"/>
      <c r="B33" s="32"/>
      <c r="C33" s="21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7"/>
      <c r="AF33" s="33"/>
      <c r="AG33" s="33"/>
      <c r="AH33" s="33"/>
    </row>
    <row r="34" spans="1:34">
      <c r="A34" s="33"/>
      <c r="B34" s="32"/>
      <c r="C34" s="21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6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7"/>
      <c r="AF34" s="33"/>
      <c r="AG34" s="33"/>
      <c r="AH34" s="33"/>
    </row>
    <row r="35" spans="1:34" ht="7.5" customHeight="1">
      <c r="A35" s="33"/>
      <c r="B35" s="32"/>
      <c r="C35" s="21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7"/>
      <c r="AF35" s="33"/>
      <c r="AG35" s="33"/>
      <c r="AH35" s="33"/>
    </row>
    <row r="36" spans="1:34">
      <c r="A36" s="33"/>
      <c r="B36" s="32"/>
      <c r="C36" s="21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6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7"/>
      <c r="AF36" s="33"/>
      <c r="AG36" s="33"/>
      <c r="AH36" s="33"/>
    </row>
    <row r="37" spans="1:34" ht="7.5" customHeight="1">
      <c r="A37" s="33"/>
      <c r="B37" s="32"/>
      <c r="C37" s="21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33"/>
      <c r="AG37" s="33"/>
      <c r="AH37" s="33"/>
    </row>
    <row r="38" spans="1:34">
      <c r="A38" s="33"/>
      <c r="B38" s="32"/>
      <c r="C38" s="21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7"/>
      <c r="AF38" s="33"/>
      <c r="AG38" s="33"/>
      <c r="AH38" s="33"/>
    </row>
    <row r="39" spans="1:34" ht="7.5" customHeight="1">
      <c r="A39" s="33"/>
      <c r="B39" s="32"/>
      <c r="C39" s="21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7"/>
      <c r="AF39" s="33"/>
      <c r="AG39" s="33"/>
      <c r="AH39" s="33"/>
    </row>
    <row r="40" spans="1:34">
      <c r="A40" s="33"/>
      <c r="B40" s="32"/>
      <c r="C40" s="21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7"/>
      <c r="AF40" s="33"/>
      <c r="AG40" s="33"/>
      <c r="AH40" s="33"/>
    </row>
    <row r="41" spans="1:34" ht="7.5" customHeight="1">
      <c r="A41" s="33"/>
      <c r="B41" s="32"/>
      <c r="C41" s="21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7"/>
      <c r="AF41" s="33"/>
      <c r="AG41" s="33"/>
      <c r="AH41" s="33"/>
    </row>
    <row r="42" spans="1:34">
      <c r="A42" s="33"/>
      <c r="B42" s="32"/>
      <c r="C42" s="19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9"/>
      <c r="AF42" s="33"/>
      <c r="AG42" s="33"/>
      <c r="AH42" s="33"/>
    </row>
    <row r="43" spans="1:34" ht="7.5" customHeight="1">
      <c r="A43" s="33"/>
      <c r="B43" s="32"/>
      <c r="C43" s="33"/>
      <c r="D43" s="33"/>
      <c r="E43" s="33"/>
      <c r="F43" s="32"/>
      <c r="G43" s="33"/>
      <c r="H43" s="32"/>
      <c r="I43" s="33"/>
      <c r="J43" s="35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33"/>
      <c r="AG43" s="33"/>
      <c r="AH43" s="33"/>
    </row>
    <row r="44" spans="1:34" ht="15.75" customHeight="1">
      <c r="A44" s="31"/>
      <c r="B44" s="32"/>
      <c r="C44" s="33"/>
      <c r="D44" s="32"/>
      <c r="E44" s="33"/>
      <c r="J44" s="31"/>
      <c r="K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3"/>
      <c r="AG44" s="33"/>
      <c r="AH44" s="33"/>
    </row>
    <row r="45" spans="1:34" ht="7.5" customHeight="1">
      <c r="A45" s="33"/>
      <c r="B45" s="32"/>
      <c r="C45" s="33"/>
      <c r="D45" s="32"/>
      <c r="E45" s="33"/>
      <c r="J45" s="26"/>
      <c r="K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17"/>
      <c r="AG45" s="33"/>
      <c r="AH45" s="33"/>
    </row>
    <row r="46" spans="1:34" ht="16.5" thickBot="1">
      <c r="A46" s="33"/>
      <c r="B46" s="32"/>
      <c r="C46" s="18" t="s">
        <v>142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3"/>
      <c r="AF46" s="31"/>
      <c r="AG46" s="33"/>
      <c r="AH46" s="33"/>
    </row>
    <row r="47" spans="1:34" ht="7.5" customHeight="1">
      <c r="A47" s="33"/>
      <c r="B47" s="32"/>
      <c r="C47" s="20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5"/>
      <c r="AF47" s="33"/>
      <c r="AG47" s="17"/>
      <c r="AH47" s="17"/>
    </row>
    <row r="48" spans="1:34" ht="15.75">
      <c r="A48" s="33"/>
      <c r="B48" s="32"/>
      <c r="C48" s="21"/>
      <c r="D48" s="82"/>
      <c r="E48" s="82"/>
      <c r="F48" s="82"/>
      <c r="G48" s="82"/>
      <c r="H48" s="82"/>
      <c r="I48" s="82"/>
      <c r="J48" s="82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33"/>
      <c r="AG48" s="31"/>
      <c r="AH48" s="31"/>
    </row>
    <row r="49" spans="1:34" ht="7.5" customHeight="1">
      <c r="A49" s="33"/>
      <c r="B49" s="32"/>
      <c r="C49" s="21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33"/>
      <c r="AG49" s="33"/>
      <c r="AH49" s="33"/>
    </row>
    <row r="50" spans="1:34">
      <c r="A50" s="33"/>
      <c r="B50" s="32"/>
      <c r="C50" s="21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33"/>
      <c r="AG50" s="33"/>
      <c r="AH50" s="33"/>
    </row>
    <row r="51" spans="1:34" ht="7.5" customHeight="1">
      <c r="A51" s="33"/>
      <c r="B51" s="32"/>
      <c r="C51" s="21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33"/>
      <c r="AG51" s="33"/>
      <c r="AH51" s="33"/>
    </row>
    <row r="52" spans="1:34">
      <c r="A52" s="33"/>
      <c r="B52" s="32"/>
      <c r="C52" s="21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6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33"/>
      <c r="AG52" s="33"/>
      <c r="AH52" s="33"/>
    </row>
    <row r="53" spans="1:34" ht="7.5" customHeight="1">
      <c r="A53" s="33"/>
      <c r="B53" s="32"/>
      <c r="C53" s="21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33"/>
      <c r="AG53" s="33"/>
      <c r="AH53" s="33"/>
    </row>
    <row r="54" spans="1:34">
      <c r="A54" s="33"/>
      <c r="B54" s="32"/>
      <c r="C54" s="21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6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33"/>
      <c r="AG54" s="33"/>
      <c r="AH54" s="33"/>
    </row>
    <row r="55" spans="1:34" ht="7.5" customHeight="1">
      <c r="A55" s="33"/>
      <c r="B55" s="32"/>
      <c r="C55" s="21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33"/>
      <c r="AG55" s="33"/>
      <c r="AH55" s="33"/>
    </row>
    <row r="56" spans="1:34" ht="15.75">
      <c r="A56" s="31"/>
      <c r="B56" s="32"/>
      <c r="C56" s="21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33"/>
      <c r="AG56" s="33"/>
      <c r="AH56" s="33"/>
    </row>
    <row r="57" spans="1:34" ht="7.5" customHeight="1">
      <c r="A57" s="33"/>
      <c r="B57" s="32"/>
      <c r="C57" s="21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33"/>
      <c r="AG57" s="33"/>
      <c r="AH57" s="33"/>
    </row>
    <row r="58" spans="1:34">
      <c r="A58" s="33"/>
      <c r="B58" s="32"/>
      <c r="C58" s="21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33"/>
      <c r="AG58" s="33"/>
      <c r="AH58" s="33"/>
    </row>
    <row r="59" spans="1:34" ht="7.5" customHeight="1">
      <c r="A59" s="33"/>
      <c r="B59" s="32"/>
      <c r="C59" s="21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33"/>
      <c r="AG59" s="33"/>
      <c r="AH59" s="33"/>
    </row>
    <row r="60" spans="1:34">
      <c r="A60" s="33"/>
      <c r="B60" s="32"/>
      <c r="C60" s="19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9"/>
      <c r="AF60" s="33"/>
      <c r="AG60" s="33"/>
      <c r="AH60" s="33"/>
    </row>
    <row r="61" spans="1:34" ht="7.5" customHeight="1">
      <c r="A61" s="33"/>
      <c r="B61" s="32"/>
      <c r="C61" s="33"/>
      <c r="D61" s="33"/>
      <c r="E61" s="33"/>
      <c r="F61" s="32"/>
      <c r="G61" s="33"/>
      <c r="H61" s="32"/>
      <c r="I61" s="33"/>
      <c r="J61" s="35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33"/>
      <c r="AG61" s="33"/>
      <c r="AH61" s="33"/>
    </row>
    <row r="62" spans="1:34" ht="15.75" customHeight="1">
      <c r="A62" s="33"/>
      <c r="C62" s="33"/>
      <c r="D62" s="32"/>
      <c r="E62" s="33"/>
      <c r="J62" s="31"/>
      <c r="K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3"/>
      <c r="AG62" s="33"/>
      <c r="AH62" s="33"/>
    </row>
    <row r="63" spans="1:34" ht="7.5" customHeight="1">
      <c r="A63" s="33"/>
      <c r="C63" s="33"/>
      <c r="D63" s="32"/>
      <c r="E63" s="33"/>
      <c r="J63" s="26"/>
      <c r="K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17"/>
      <c r="AG63" s="33"/>
      <c r="AH63" s="33"/>
    </row>
    <row r="64" spans="1:34" ht="16.5" thickBot="1">
      <c r="A64" s="33"/>
      <c r="C64" s="18" t="s">
        <v>143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3"/>
      <c r="AF64" s="31"/>
      <c r="AG64" s="33"/>
      <c r="AH64" s="33"/>
    </row>
    <row r="65" spans="1:34" ht="7.5" customHeight="1">
      <c r="A65" s="33"/>
      <c r="C65" s="20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5"/>
      <c r="AF65" s="33"/>
      <c r="AG65" s="33"/>
      <c r="AH65" s="33"/>
    </row>
    <row r="66" spans="1:34" ht="15.75">
      <c r="A66" s="33"/>
      <c r="C66" s="21"/>
      <c r="D66" s="82"/>
      <c r="E66" s="82"/>
      <c r="F66" s="82"/>
      <c r="G66" s="82"/>
      <c r="H66" s="82"/>
      <c r="I66" s="82"/>
      <c r="J66" s="82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7"/>
      <c r="AF66" s="33"/>
      <c r="AG66" s="33"/>
      <c r="AH66" s="33"/>
    </row>
    <row r="67" spans="1:34" ht="7.5" customHeight="1">
      <c r="A67" s="33"/>
      <c r="C67" s="21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7"/>
      <c r="AF67" s="33"/>
      <c r="AG67" s="17"/>
      <c r="AH67" s="17"/>
    </row>
    <row r="68" spans="1:34" ht="15.75">
      <c r="A68" s="33"/>
      <c r="C68" s="21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7"/>
      <c r="AF68" s="33"/>
      <c r="AG68" s="31"/>
      <c r="AH68" s="31"/>
    </row>
    <row r="69" spans="1:34" ht="7.5" customHeight="1">
      <c r="A69" s="33"/>
      <c r="C69" s="21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7"/>
      <c r="AF69" s="33"/>
      <c r="AG69" s="33"/>
      <c r="AH69" s="33"/>
    </row>
    <row r="70" spans="1:34">
      <c r="A70" s="33"/>
      <c r="C70" s="21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6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7"/>
      <c r="AF70" s="33"/>
      <c r="AG70" s="33"/>
      <c r="AH70" s="33"/>
    </row>
    <row r="71" spans="1:34" ht="7.5" customHeight="1">
      <c r="A71" s="33"/>
      <c r="C71" s="21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7"/>
      <c r="AF71" s="33"/>
      <c r="AG71" s="33"/>
      <c r="AH71" s="33"/>
    </row>
    <row r="72" spans="1:34">
      <c r="A72" s="33"/>
      <c r="C72" s="21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6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7"/>
      <c r="AF72" s="33"/>
      <c r="AG72" s="33"/>
      <c r="AH72" s="33"/>
    </row>
    <row r="73" spans="1:34" ht="7.5" customHeight="1">
      <c r="A73" s="33"/>
      <c r="C73" s="21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7"/>
      <c r="AF73" s="33"/>
      <c r="AG73" s="33"/>
      <c r="AH73" s="33"/>
    </row>
    <row r="74" spans="1:34">
      <c r="A74" s="33"/>
      <c r="C74" s="21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7"/>
      <c r="AF74" s="33"/>
      <c r="AG74" s="33"/>
      <c r="AH74" s="33"/>
    </row>
    <row r="75" spans="1:34" ht="7.5" customHeight="1">
      <c r="A75" s="33"/>
      <c r="C75" s="21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7"/>
      <c r="AF75" s="33"/>
      <c r="AG75" s="33"/>
      <c r="AH75" s="33"/>
    </row>
    <row r="76" spans="1:34">
      <c r="A76" s="33"/>
      <c r="C76" s="21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7"/>
      <c r="AF76" s="33"/>
      <c r="AG76" s="33"/>
      <c r="AH76" s="33"/>
    </row>
    <row r="77" spans="1:34" ht="7.5" customHeight="1">
      <c r="A77" s="33"/>
      <c r="C77" s="21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7"/>
      <c r="AF77" s="33"/>
      <c r="AG77" s="33"/>
      <c r="AH77" s="33"/>
    </row>
    <row r="78" spans="1:34">
      <c r="A78" s="33"/>
      <c r="C78" s="19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9"/>
      <c r="AF78" s="33"/>
      <c r="AG78" s="33"/>
      <c r="AH78" s="33"/>
    </row>
    <row r="79" spans="1:34" ht="7.5" customHeight="1">
      <c r="A79" s="33"/>
      <c r="C79" s="33"/>
      <c r="D79" s="33"/>
      <c r="E79" s="33"/>
      <c r="F79" s="32"/>
      <c r="G79" s="33"/>
      <c r="H79" s="32"/>
      <c r="I79" s="33"/>
      <c r="J79" s="35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33"/>
      <c r="AG79" s="33"/>
      <c r="AH79" s="33"/>
    </row>
    <row r="80" spans="1:34" ht="15.75" customHeight="1">
      <c r="A80" s="33"/>
      <c r="C80" s="33"/>
      <c r="D80" s="32"/>
      <c r="E80" s="33"/>
      <c r="J80" s="31"/>
      <c r="K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3"/>
      <c r="AG80" s="33"/>
      <c r="AH80" s="33"/>
    </row>
    <row r="81" spans="1:34" ht="7.5" customHeight="1">
      <c r="A81" s="33"/>
      <c r="C81" s="33"/>
      <c r="D81" s="32"/>
      <c r="E81" s="33"/>
      <c r="J81" s="26"/>
      <c r="K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17"/>
      <c r="AG81" s="33"/>
      <c r="AH81" s="33"/>
    </row>
    <row r="82" spans="1:34" ht="16.5" thickBot="1">
      <c r="A82" s="33"/>
      <c r="C82" s="18" t="s">
        <v>144</v>
      </c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3"/>
      <c r="AF82" s="31"/>
      <c r="AG82" s="33"/>
      <c r="AH82" s="33"/>
    </row>
    <row r="83" spans="1:34" ht="7.5" customHeight="1">
      <c r="A83" s="33"/>
      <c r="C83" s="20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5"/>
      <c r="AF83" s="33"/>
      <c r="AG83" s="33"/>
      <c r="AH83" s="33"/>
    </row>
    <row r="84" spans="1:34" ht="15.75">
      <c r="A84" s="33"/>
      <c r="C84" s="21"/>
      <c r="D84" s="82"/>
      <c r="E84" s="82"/>
      <c r="F84" s="82"/>
      <c r="G84" s="82"/>
      <c r="H84" s="82"/>
      <c r="I84" s="82"/>
      <c r="J84" s="82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7"/>
      <c r="AF84" s="33"/>
      <c r="AG84" s="33"/>
      <c r="AH84" s="33"/>
    </row>
    <row r="85" spans="1:34" ht="7.5" customHeight="1">
      <c r="A85" s="33"/>
      <c r="C85" s="21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7"/>
      <c r="AF85" s="33"/>
      <c r="AG85" s="33"/>
      <c r="AH85" s="33"/>
    </row>
    <row r="86" spans="1:34">
      <c r="A86" s="33"/>
      <c r="C86" s="21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7"/>
      <c r="AF86" s="33"/>
      <c r="AG86" s="33"/>
      <c r="AH86" s="33"/>
    </row>
    <row r="87" spans="1:34" ht="7.5" customHeight="1">
      <c r="A87" s="33"/>
      <c r="C87" s="21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7"/>
      <c r="AF87" s="33"/>
      <c r="AG87" s="17"/>
      <c r="AH87" s="17"/>
    </row>
    <row r="88" spans="1:34" ht="15.75">
      <c r="A88" s="33"/>
      <c r="C88" s="2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6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7"/>
      <c r="AF88" s="33"/>
      <c r="AG88" s="31"/>
      <c r="AH88" s="31"/>
    </row>
    <row r="89" spans="1:34" ht="7.5" customHeight="1">
      <c r="A89" s="33"/>
      <c r="C89" s="2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7"/>
      <c r="AF89" s="33"/>
      <c r="AG89" s="33"/>
      <c r="AH89" s="33"/>
    </row>
    <row r="90" spans="1:34">
      <c r="A90" s="33"/>
      <c r="C90" s="2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6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7"/>
      <c r="AF90" s="33"/>
      <c r="AG90" s="33"/>
      <c r="AH90" s="33"/>
    </row>
    <row r="91" spans="1:34" ht="7.5" customHeight="1">
      <c r="A91" s="33"/>
      <c r="C91" s="2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7"/>
      <c r="AF91" s="33"/>
      <c r="AG91" s="33"/>
      <c r="AH91" s="33"/>
    </row>
    <row r="92" spans="1:34">
      <c r="A92" s="33"/>
      <c r="C92" s="2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7"/>
      <c r="AF92" s="33"/>
      <c r="AG92" s="33"/>
      <c r="AH92" s="33"/>
    </row>
    <row r="93" spans="1:34" ht="7.5" customHeight="1">
      <c r="A93" s="33"/>
      <c r="C93" s="2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7"/>
      <c r="AF93" s="33"/>
      <c r="AG93" s="33"/>
      <c r="AH93" s="33"/>
    </row>
    <row r="94" spans="1:34">
      <c r="A94" s="33"/>
      <c r="C94" s="2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7"/>
      <c r="AF94" s="33"/>
      <c r="AG94" s="33"/>
      <c r="AH94" s="33"/>
    </row>
    <row r="95" spans="1:34" ht="7.5" customHeight="1">
      <c r="A95" s="33"/>
      <c r="C95" s="21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7"/>
      <c r="AF95" s="33"/>
      <c r="AG95" s="33"/>
      <c r="AH95" s="33"/>
    </row>
    <row r="96" spans="1:34">
      <c r="A96" s="33"/>
      <c r="C96" s="19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9"/>
      <c r="AF96" s="33"/>
      <c r="AG96" s="33"/>
      <c r="AH96" s="33"/>
    </row>
    <row r="97" spans="1:34" ht="7.5" customHeight="1">
      <c r="A97" s="33"/>
      <c r="B97" s="35"/>
      <c r="C97" s="33"/>
      <c r="D97" s="33"/>
      <c r="E97" s="33"/>
      <c r="F97" s="32"/>
      <c r="G97" s="33"/>
      <c r="H97" s="32"/>
      <c r="I97" s="33"/>
      <c r="J97" s="35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33"/>
      <c r="AG97" s="33"/>
      <c r="AH97" s="33"/>
    </row>
    <row r="98" spans="1:34">
      <c r="A98" s="33"/>
      <c r="B98" s="35"/>
      <c r="C98" s="33"/>
      <c r="D98" s="33"/>
      <c r="E98" s="33"/>
      <c r="F98" s="35"/>
      <c r="G98" s="33"/>
      <c r="H98" s="35"/>
      <c r="I98" s="33"/>
      <c r="J98" s="35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33"/>
      <c r="AG98" s="33"/>
      <c r="AH98" s="33"/>
    </row>
    <row r="99" spans="1:34" ht="7.5" customHeight="1">
      <c r="A99" s="33"/>
      <c r="B99" s="35"/>
      <c r="C99" s="33"/>
      <c r="D99" s="33"/>
      <c r="E99" s="33"/>
      <c r="F99" s="35"/>
      <c r="G99" s="33"/>
      <c r="H99" s="35"/>
      <c r="I99" s="33"/>
      <c r="J99" s="35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33"/>
      <c r="AG99" s="33"/>
      <c r="AH99" s="33"/>
    </row>
    <row r="100" spans="1:34" s="36" customFormat="1" ht="7.5" customHeight="1">
      <c r="A100" s="33"/>
      <c r="B100" s="32"/>
      <c r="C100" s="33"/>
      <c r="D100" s="33"/>
      <c r="E100" s="33"/>
      <c r="F100" s="32"/>
      <c r="G100" s="33"/>
      <c r="H100" s="32"/>
      <c r="I100" s="33"/>
      <c r="J100" s="32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33"/>
      <c r="AE100" s="33"/>
      <c r="AF100" s="33"/>
      <c r="AG100" s="33"/>
    </row>
    <row r="101" spans="1:34">
      <c r="A101" s="33"/>
      <c r="B101" s="35"/>
      <c r="C101" s="33"/>
      <c r="D101" s="33"/>
      <c r="E101" s="33"/>
      <c r="F101" s="35"/>
      <c r="G101" s="33"/>
      <c r="H101" s="35"/>
      <c r="I101" s="33"/>
      <c r="J101" s="35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33"/>
      <c r="AE101" s="33"/>
      <c r="AF101" s="33"/>
      <c r="AG101" s="33"/>
    </row>
    <row r="102" spans="1:34" s="36" customFormat="1" ht="7.5" customHeight="1">
      <c r="A102" s="33"/>
      <c r="B102" s="32"/>
      <c r="C102" s="33"/>
      <c r="D102" s="33"/>
      <c r="E102" s="33"/>
      <c r="F102" s="32"/>
      <c r="G102" s="33"/>
      <c r="H102" s="32"/>
      <c r="I102" s="33"/>
      <c r="J102" s="32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33"/>
      <c r="AE102" s="33"/>
      <c r="AF102" s="33"/>
      <c r="AG102" s="33"/>
    </row>
    <row r="103" spans="1:34">
      <c r="A103" s="33"/>
      <c r="B103" s="35"/>
      <c r="C103" s="33"/>
      <c r="D103" s="33"/>
      <c r="E103" s="33"/>
      <c r="F103" s="35"/>
      <c r="G103" s="33"/>
      <c r="H103" s="35"/>
      <c r="I103" s="33"/>
      <c r="J103" s="35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33"/>
      <c r="AE103" s="33"/>
      <c r="AF103" s="33"/>
      <c r="AG103" s="33"/>
    </row>
    <row r="104" spans="1:34" s="36" customFormat="1" ht="7.5" customHeight="1">
      <c r="A104" s="33"/>
      <c r="B104" s="32"/>
      <c r="C104" s="33"/>
      <c r="D104" s="33"/>
      <c r="E104" s="33"/>
      <c r="F104" s="32"/>
      <c r="G104" s="33"/>
      <c r="H104" s="32"/>
      <c r="I104" s="33"/>
      <c r="J104" s="32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33"/>
      <c r="AE104" s="33"/>
      <c r="AF104" s="33"/>
      <c r="AG104" s="33"/>
    </row>
    <row r="105" spans="1:34">
      <c r="A105" s="33"/>
      <c r="B105" s="35"/>
      <c r="C105" s="33"/>
      <c r="D105" s="33"/>
      <c r="E105" s="33"/>
      <c r="F105" s="35"/>
      <c r="G105" s="33"/>
      <c r="H105" s="35"/>
      <c r="I105" s="33"/>
      <c r="J105" s="35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33"/>
      <c r="AE105" s="33"/>
      <c r="AF105" s="33"/>
      <c r="AG105" s="33"/>
    </row>
    <row r="106" spans="1:34" s="11" customFormat="1" ht="7.5" customHeight="1">
      <c r="A106" s="9"/>
      <c r="C106" s="9"/>
      <c r="D106" s="10"/>
      <c r="E106" s="9"/>
      <c r="F106" s="10"/>
      <c r="G106" s="34"/>
      <c r="H106" s="10"/>
      <c r="I106" s="34"/>
      <c r="J106" s="10"/>
      <c r="K106" s="9"/>
      <c r="L106" s="10"/>
      <c r="M106" s="9"/>
      <c r="N106" s="10"/>
      <c r="O106" s="9"/>
      <c r="P106" s="10"/>
      <c r="Q106" s="9"/>
      <c r="R106" s="10"/>
      <c r="S106" s="9"/>
      <c r="T106" s="10"/>
      <c r="U106" s="9"/>
      <c r="V106" s="10"/>
      <c r="W106" s="9"/>
      <c r="X106" s="10"/>
      <c r="Y106" s="9"/>
      <c r="Z106" s="10"/>
      <c r="AA106" s="9"/>
      <c r="AB106" s="10"/>
      <c r="AC106" s="9"/>
      <c r="AD106" s="34"/>
      <c r="AE106" s="34"/>
      <c r="AF106" s="34"/>
      <c r="AG106" s="34"/>
    </row>
    <row r="107" spans="1:34" s="15" customFormat="1" ht="39.75" customHeight="1">
      <c r="A107" s="12"/>
      <c r="B107" s="12"/>
      <c r="C107" s="12"/>
      <c r="D107" s="13"/>
      <c r="E107" s="12"/>
      <c r="F107" s="13"/>
      <c r="G107" s="12"/>
      <c r="H107" s="13"/>
      <c r="I107" s="12"/>
      <c r="J107" s="13"/>
      <c r="K107" s="12"/>
      <c r="L107" s="13"/>
      <c r="M107" s="12"/>
      <c r="N107" s="13"/>
      <c r="O107" s="12"/>
      <c r="P107" s="13"/>
      <c r="Q107" s="12"/>
      <c r="R107" s="13"/>
      <c r="S107" s="12"/>
      <c r="T107" s="13"/>
      <c r="U107" s="12"/>
      <c r="V107" s="13"/>
      <c r="W107" s="12"/>
      <c r="X107" s="13"/>
      <c r="Y107" s="12"/>
      <c r="Z107" s="13"/>
      <c r="AA107" s="12"/>
      <c r="AB107" s="13"/>
      <c r="AC107" s="12"/>
      <c r="AD107" s="12"/>
      <c r="AE107" s="12"/>
      <c r="AF107" s="12"/>
      <c r="AG107" s="12"/>
    </row>
    <row r="108" spans="1:34" s="11" customFormat="1" ht="12.75"/>
  </sheetData>
  <mergeCells count="3">
    <mergeCell ref="AC1:AF1"/>
    <mergeCell ref="J6:M7"/>
    <mergeCell ref="C8:AE9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6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Q108"/>
  <sheetViews>
    <sheetView showGridLines="0" showRowColHeaders="0" zoomScale="80" zoomScaleNormal="80" zoomScaleSheetLayoutView="70" workbookViewId="0">
      <pane ySplit="6" topLeftCell="A7" activePane="bottomLeft" state="frozen"/>
      <selection pane="bottomLeft" activeCell="A7" sqref="A7"/>
    </sheetView>
  </sheetViews>
  <sheetFormatPr defaultRowHeight="15"/>
  <cols>
    <col min="1" max="2" width="1.42578125" customWidth="1"/>
    <col min="3" max="3" width="9.7109375" customWidth="1"/>
    <col min="4" max="4" width="1.42578125" customWidth="1"/>
    <col min="5" max="5" width="9.7109375" customWidth="1"/>
    <col min="6" max="6" width="1.42578125" customWidth="1"/>
    <col min="7" max="7" width="9.7109375" customWidth="1"/>
    <col min="8" max="8" width="1.42578125" customWidth="1"/>
    <col min="9" max="9" width="9.7109375" customWidth="1"/>
    <col min="10" max="10" width="1.42578125" customWidth="1"/>
    <col min="11" max="11" width="9.7109375" customWidth="1"/>
    <col min="12" max="12" width="1.42578125" customWidth="1"/>
    <col min="13" max="13" width="9.7109375" customWidth="1"/>
    <col min="14" max="14" width="1.42578125" customWidth="1"/>
    <col min="15" max="15" width="9.7109375" customWidth="1"/>
    <col min="16" max="16" width="1.42578125" customWidth="1"/>
    <col min="17" max="17" width="9.7109375" customWidth="1"/>
    <col min="18" max="18" width="1.42578125" customWidth="1"/>
    <col min="19" max="19" width="9.7109375" customWidth="1"/>
    <col min="20" max="20" width="1.42578125" customWidth="1"/>
    <col min="21" max="21" width="9.7109375" customWidth="1"/>
    <col min="22" max="22" width="1.42578125" customWidth="1"/>
    <col min="23" max="23" width="9.7109375" customWidth="1"/>
    <col min="24" max="24" width="1.42578125" customWidth="1"/>
    <col min="25" max="25" width="9.7109375" customWidth="1"/>
    <col min="26" max="26" width="1.42578125" customWidth="1"/>
    <col min="27" max="27" width="9.7109375" customWidth="1"/>
    <col min="28" max="28" width="1.42578125" customWidth="1"/>
    <col min="29" max="29" width="9.7109375" customWidth="1"/>
    <col min="30" max="30" width="1.42578125" customWidth="1"/>
    <col min="31" max="31" width="9.7109375" customWidth="1"/>
    <col min="32" max="33" width="1.42578125" customWidth="1"/>
  </cols>
  <sheetData>
    <row r="1" spans="1:43" s="5" customFormat="1" ht="15.75">
      <c r="A1" s="2"/>
      <c r="B1" s="2"/>
      <c r="C1" s="2"/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101">
        <f ca="1">TODAY()</f>
        <v>41837</v>
      </c>
      <c r="AD1" s="101"/>
      <c r="AE1" s="101"/>
      <c r="AF1" s="101"/>
      <c r="AG1" s="3"/>
    </row>
    <row r="2" spans="1:43" s="5" customFormat="1" ht="35.25">
      <c r="A2" s="6"/>
      <c r="B2" s="6" t="s">
        <v>7</v>
      </c>
      <c r="C2" s="6"/>
      <c r="D2" s="3"/>
      <c r="E2" s="6"/>
      <c r="F2" s="3"/>
      <c r="G2" s="6"/>
      <c r="H2" s="3"/>
      <c r="I2" s="6"/>
      <c r="J2" s="3"/>
      <c r="K2" s="6"/>
      <c r="L2" s="3"/>
      <c r="M2" s="6"/>
      <c r="N2" s="3"/>
      <c r="O2" s="6"/>
      <c r="P2" s="3"/>
      <c r="Q2" s="6"/>
      <c r="R2" s="3"/>
      <c r="S2" s="6"/>
      <c r="T2" s="3"/>
      <c r="U2" s="6"/>
      <c r="V2" s="3"/>
      <c r="W2" s="6"/>
      <c r="X2" s="3"/>
      <c r="Y2" s="6"/>
      <c r="Z2" s="3"/>
      <c r="AA2" s="6"/>
      <c r="AB2" s="3"/>
      <c r="AC2" s="6"/>
      <c r="AD2" s="3"/>
      <c r="AE2" s="6"/>
      <c r="AF2" s="3"/>
      <c r="AG2" s="3"/>
    </row>
    <row r="3" spans="1:43" s="5" customFormat="1" ht="17.25" customHeight="1" thickBot="1">
      <c r="A3" s="7"/>
      <c r="B3" s="7"/>
      <c r="C3" s="7"/>
      <c r="D3" s="8"/>
      <c r="E3" s="7"/>
      <c r="F3" s="8"/>
      <c r="G3" s="7"/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  <c r="U3" s="7"/>
      <c r="V3" s="8"/>
      <c r="W3" s="7"/>
      <c r="X3" s="8"/>
      <c r="Y3" s="7"/>
      <c r="Z3" s="8"/>
      <c r="AA3" s="7"/>
      <c r="AB3" s="8"/>
      <c r="AC3" s="7"/>
      <c r="AD3" s="8"/>
      <c r="AE3" s="7"/>
      <c r="AF3" s="8"/>
      <c r="AG3" s="8"/>
    </row>
    <row r="4" spans="1:43" s="11" customFormat="1" ht="7.5" customHeight="1">
      <c r="A4" s="9"/>
      <c r="C4" s="9"/>
      <c r="D4" s="10"/>
      <c r="E4" s="9"/>
      <c r="F4" s="10"/>
      <c r="G4" s="9"/>
      <c r="H4" s="10"/>
      <c r="I4" s="9"/>
      <c r="J4" s="10"/>
      <c r="K4" s="9"/>
      <c r="L4" s="10"/>
      <c r="M4" s="9"/>
      <c r="N4" s="10"/>
      <c r="O4" s="9"/>
      <c r="P4" s="10"/>
      <c r="Q4" s="9"/>
      <c r="R4" s="10"/>
      <c r="S4" s="9"/>
      <c r="T4" s="10"/>
      <c r="U4" s="9"/>
      <c r="V4" s="10"/>
      <c r="W4" s="9"/>
      <c r="X4" s="10"/>
      <c r="Y4" s="9"/>
      <c r="Z4" s="10"/>
      <c r="AA4" s="9"/>
      <c r="AB4" s="10"/>
      <c r="AC4" s="9"/>
      <c r="AD4" s="10"/>
      <c r="AE4" s="9"/>
      <c r="AF4" s="10"/>
      <c r="AG4" s="10"/>
    </row>
    <row r="5" spans="1:43" ht="9.75" customHeight="1">
      <c r="A5" s="17"/>
      <c r="C5" s="17"/>
      <c r="D5" s="17"/>
      <c r="F5" s="17"/>
      <c r="H5" s="17"/>
      <c r="J5" s="17"/>
      <c r="K5" s="17"/>
      <c r="M5" s="17"/>
      <c r="O5" s="17"/>
      <c r="Q5" s="17"/>
      <c r="S5" s="17"/>
      <c r="U5" s="17"/>
      <c r="W5" s="17"/>
      <c r="Y5" s="17"/>
      <c r="AA5" s="17"/>
      <c r="AC5" s="17"/>
      <c r="AE5" s="17"/>
      <c r="AI5" s="17"/>
      <c r="AK5" s="17"/>
      <c r="AM5" s="17"/>
      <c r="AO5" s="17"/>
      <c r="AQ5" s="17"/>
    </row>
    <row r="6" spans="1:43" ht="90" customHeight="1">
      <c r="A6" s="31"/>
      <c r="B6" s="32"/>
      <c r="C6" s="31"/>
      <c r="D6" s="31"/>
      <c r="E6" s="31"/>
      <c r="F6" s="32"/>
      <c r="G6" s="31"/>
      <c r="H6" s="32"/>
      <c r="I6" s="31"/>
      <c r="J6" s="102"/>
      <c r="K6" s="102"/>
      <c r="L6" s="102"/>
      <c r="M6" s="102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K6" s="78"/>
    </row>
    <row r="7" spans="1:43" ht="7.5" customHeight="1">
      <c r="A7" s="33"/>
      <c r="B7" s="32"/>
      <c r="C7" s="33"/>
      <c r="D7" s="33"/>
      <c r="E7" s="33"/>
      <c r="F7" s="32"/>
      <c r="G7" s="33"/>
      <c r="H7" s="32"/>
      <c r="I7" s="33"/>
      <c r="J7" s="102"/>
      <c r="K7" s="102"/>
      <c r="L7" s="102"/>
      <c r="M7" s="102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33"/>
      <c r="AG7" s="33"/>
      <c r="AH7" s="33"/>
    </row>
    <row r="8" spans="1:43" ht="15.75">
      <c r="A8" s="33"/>
      <c r="B8" s="32"/>
      <c r="C8" s="102" t="s">
        <v>2</v>
      </c>
      <c r="D8" s="102"/>
      <c r="E8" s="102"/>
      <c r="F8" s="102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C8" s="33"/>
      <c r="AD8" s="33"/>
      <c r="AE8" s="33"/>
      <c r="AF8" s="31"/>
      <c r="AG8" s="31"/>
      <c r="AH8" s="31"/>
      <c r="AI8" s="31"/>
      <c r="AJ8" s="31"/>
      <c r="AK8" s="31"/>
    </row>
    <row r="9" spans="1:43" ht="7.5" customHeight="1">
      <c r="A9" s="33"/>
      <c r="B9" s="32"/>
      <c r="C9" s="102"/>
      <c r="D9" s="102"/>
      <c r="E9" s="102"/>
      <c r="F9" s="102"/>
      <c r="G9" s="33"/>
      <c r="H9" s="32"/>
      <c r="I9" s="33"/>
      <c r="J9" s="26"/>
      <c r="K9" s="26"/>
      <c r="L9" s="26"/>
      <c r="M9" s="26"/>
      <c r="N9" s="3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33"/>
      <c r="AG9" s="33"/>
      <c r="AH9" s="33"/>
      <c r="AI9" s="33"/>
      <c r="AJ9" s="33"/>
      <c r="AK9" s="33"/>
    </row>
    <row r="10" spans="1:43" ht="16.5" thickBot="1">
      <c r="A10" s="33"/>
      <c r="B10" s="32"/>
      <c r="C10" s="18" t="s">
        <v>92</v>
      </c>
      <c r="D10" s="22"/>
      <c r="E10" s="42"/>
      <c r="F10" s="32"/>
      <c r="G10" s="18" t="s">
        <v>94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3"/>
      <c r="AF10" s="31"/>
      <c r="AG10" s="31"/>
      <c r="AH10" s="31"/>
      <c r="AI10" s="31"/>
      <c r="AJ10" s="31"/>
      <c r="AK10" s="31"/>
    </row>
    <row r="11" spans="1:43" ht="7.5" customHeight="1">
      <c r="A11" s="33"/>
      <c r="B11" s="32"/>
      <c r="C11" s="20"/>
      <c r="D11" s="24"/>
      <c r="E11" s="25"/>
      <c r="F11" s="32"/>
      <c r="G11" s="20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5"/>
      <c r="AF11" s="33"/>
      <c r="AG11" s="33"/>
      <c r="AH11" s="33"/>
      <c r="AI11" s="33"/>
      <c r="AJ11" s="33"/>
      <c r="AK11" s="33"/>
    </row>
    <row r="12" spans="1:43" ht="15.75">
      <c r="A12" s="33"/>
      <c r="B12" s="32"/>
      <c r="C12" s="21"/>
      <c r="D12" s="77"/>
      <c r="E12" s="40"/>
      <c r="F12" s="32"/>
      <c r="G12" s="21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7"/>
      <c r="AF12" s="33"/>
      <c r="AG12" s="33"/>
      <c r="AH12" s="33"/>
      <c r="AI12" s="33"/>
      <c r="AJ12" s="33"/>
      <c r="AK12" s="33"/>
    </row>
    <row r="13" spans="1:43" ht="7.5" customHeight="1">
      <c r="A13" s="33"/>
      <c r="B13" s="32"/>
      <c r="C13" s="21"/>
      <c r="D13" s="26"/>
      <c r="E13" s="27"/>
      <c r="F13" s="32"/>
      <c r="G13" s="21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7"/>
      <c r="AF13" s="33"/>
      <c r="AG13" s="33"/>
      <c r="AH13" s="33"/>
      <c r="AI13" s="33"/>
      <c r="AJ13" s="33"/>
      <c r="AK13" s="33"/>
    </row>
    <row r="14" spans="1:43">
      <c r="A14" s="33"/>
      <c r="B14" s="32"/>
      <c r="C14" s="21"/>
      <c r="D14" s="26"/>
      <c r="E14" s="27"/>
      <c r="F14" s="32"/>
      <c r="G14" s="21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7"/>
      <c r="AF14" s="33"/>
      <c r="AG14" s="33"/>
      <c r="AH14" s="33"/>
      <c r="AI14" s="33"/>
      <c r="AJ14" s="33"/>
      <c r="AK14" s="33"/>
    </row>
    <row r="15" spans="1:43" ht="7.5" customHeight="1">
      <c r="A15" s="33"/>
      <c r="B15" s="32"/>
      <c r="C15" s="21"/>
      <c r="D15" s="26"/>
      <c r="E15" s="27"/>
      <c r="F15" s="32"/>
      <c r="G15" s="21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7"/>
      <c r="AF15" s="33"/>
      <c r="AG15" s="33"/>
      <c r="AH15" s="33"/>
      <c r="AI15" s="33"/>
      <c r="AJ15" s="33"/>
      <c r="AK15" s="33"/>
    </row>
    <row r="16" spans="1:43">
      <c r="A16" s="33"/>
      <c r="B16" s="32"/>
      <c r="C16" s="21"/>
      <c r="D16" s="26"/>
      <c r="E16" s="27"/>
      <c r="F16" s="32"/>
      <c r="G16" s="21"/>
      <c r="H16" s="26"/>
      <c r="I16" s="26"/>
      <c r="J16" s="26"/>
      <c r="K16" s="26"/>
      <c r="L16" s="26"/>
      <c r="M16" s="26"/>
      <c r="N16" s="26"/>
      <c r="O16" s="26"/>
      <c r="P16" s="6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7"/>
      <c r="AF16" s="33"/>
      <c r="AG16" s="33"/>
      <c r="AH16" s="33"/>
      <c r="AI16" s="33"/>
      <c r="AJ16" s="33"/>
      <c r="AK16" s="33"/>
    </row>
    <row r="17" spans="1:37" ht="7.5" customHeight="1">
      <c r="A17" s="33"/>
      <c r="B17" s="32"/>
      <c r="C17" s="21"/>
      <c r="D17" s="26"/>
      <c r="E17" s="27"/>
      <c r="F17" s="32"/>
      <c r="G17" s="21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7"/>
      <c r="AF17" s="33"/>
      <c r="AG17" s="33"/>
      <c r="AH17" s="33"/>
      <c r="AI17" s="33"/>
      <c r="AJ17" s="33"/>
      <c r="AK17" s="33"/>
    </row>
    <row r="18" spans="1:37">
      <c r="A18" s="33"/>
      <c r="B18" s="32"/>
      <c r="C18" s="21"/>
      <c r="D18" s="26"/>
      <c r="E18" s="27"/>
      <c r="F18" s="32"/>
      <c r="G18" s="21"/>
      <c r="H18" s="26"/>
      <c r="I18" s="26"/>
      <c r="J18" s="26"/>
      <c r="K18" s="26"/>
      <c r="L18" s="26"/>
      <c r="M18" s="26"/>
      <c r="N18" s="26"/>
      <c r="O18" s="26"/>
      <c r="P18" s="6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7"/>
      <c r="AF18" s="33"/>
      <c r="AG18" s="33"/>
      <c r="AH18" s="33"/>
      <c r="AI18" s="33"/>
      <c r="AJ18" s="33"/>
      <c r="AK18" s="33"/>
    </row>
    <row r="19" spans="1:37" ht="7.5" customHeight="1">
      <c r="A19" s="33"/>
      <c r="B19" s="32"/>
      <c r="C19" s="21"/>
      <c r="D19" s="26"/>
      <c r="E19" s="27"/>
      <c r="F19" s="32"/>
      <c r="G19" s="21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7"/>
      <c r="AF19" s="33"/>
      <c r="AG19" s="33"/>
      <c r="AH19" s="33"/>
      <c r="AI19" s="33"/>
      <c r="AJ19" s="33"/>
      <c r="AK19" s="33"/>
    </row>
    <row r="20" spans="1:37" ht="15.75">
      <c r="A20" s="31"/>
      <c r="B20" s="32"/>
      <c r="C20" s="21"/>
      <c r="D20" s="26"/>
      <c r="E20" s="27"/>
      <c r="F20" s="32"/>
      <c r="G20" s="21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7"/>
      <c r="AF20" s="33"/>
      <c r="AG20" s="33"/>
      <c r="AH20" s="33"/>
      <c r="AI20" s="33"/>
      <c r="AJ20" s="33"/>
      <c r="AK20" s="33"/>
    </row>
    <row r="21" spans="1:37" ht="7.5" customHeight="1">
      <c r="A21" s="33"/>
      <c r="B21" s="32"/>
      <c r="C21" s="21"/>
      <c r="D21" s="26"/>
      <c r="E21" s="27"/>
      <c r="F21" s="32"/>
      <c r="G21" s="21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7"/>
      <c r="AF21" s="33"/>
      <c r="AG21" s="33"/>
      <c r="AH21" s="33"/>
      <c r="AI21" s="33"/>
      <c r="AJ21" s="33"/>
      <c r="AK21" s="33"/>
    </row>
    <row r="22" spans="1:37">
      <c r="A22" s="33"/>
      <c r="B22" s="32"/>
      <c r="C22" s="21"/>
      <c r="D22" s="26"/>
      <c r="E22" s="27"/>
      <c r="F22" s="32"/>
      <c r="G22" s="21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7"/>
      <c r="AF22" s="33"/>
      <c r="AG22" s="33"/>
      <c r="AH22" s="33"/>
      <c r="AI22" s="33"/>
      <c r="AJ22" s="33"/>
      <c r="AK22" s="33"/>
    </row>
    <row r="23" spans="1:37" ht="7.5" customHeight="1">
      <c r="A23" s="33"/>
      <c r="B23" s="32"/>
      <c r="C23" s="21"/>
      <c r="D23" s="26"/>
      <c r="E23" s="27"/>
      <c r="F23" s="32"/>
      <c r="G23" s="21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7"/>
      <c r="AF23" s="33"/>
      <c r="AG23" s="33"/>
      <c r="AH23" s="33"/>
      <c r="AI23" s="33"/>
      <c r="AJ23" s="33"/>
      <c r="AK23" s="33"/>
    </row>
    <row r="24" spans="1:37">
      <c r="A24" s="33"/>
      <c r="B24" s="32"/>
      <c r="C24" s="19"/>
      <c r="D24" s="28"/>
      <c r="E24" s="29"/>
      <c r="F24" s="32"/>
      <c r="G24" s="19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9"/>
      <c r="AF24" s="33"/>
      <c r="AG24" s="33"/>
      <c r="AH24" s="33"/>
      <c r="AI24" s="33"/>
      <c r="AJ24" s="33"/>
      <c r="AK24" s="33"/>
    </row>
    <row r="25" spans="1:37" ht="7.5" customHeight="1">
      <c r="A25" s="33"/>
      <c r="B25" s="32"/>
      <c r="C25" s="33"/>
      <c r="D25" s="33"/>
      <c r="E25" s="33"/>
      <c r="F25" s="32"/>
      <c r="G25" s="33"/>
      <c r="H25" s="32"/>
      <c r="I25" s="33"/>
      <c r="J25" s="35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33"/>
      <c r="AG25" s="33"/>
      <c r="AH25" s="33"/>
    </row>
    <row r="26" spans="1:37" ht="15.75" customHeight="1">
      <c r="A26" s="33"/>
      <c r="B26" s="32"/>
      <c r="C26" s="107" t="s">
        <v>3</v>
      </c>
      <c r="D26" s="107"/>
      <c r="E26" s="107"/>
      <c r="F26" s="107"/>
      <c r="G26" s="33"/>
      <c r="H26" s="32"/>
      <c r="I26" s="33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3"/>
      <c r="AG26" s="33"/>
      <c r="AH26" s="33"/>
    </row>
    <row r="27" spans="1:37" ht="7.5" customHeight="1">
      <c r="A27" s="33"/>
      <c r="B27" s="32"/>
      <c r="C27" s="108"/>
      <c r="D27" s="108"/>
      <c r="E27" s="108"/>
      <c r="F27" s="102"/>
      <c r="G27" s="33"/>
      <c r="H27" s="32"/>
      <c r="I27" s="33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7"/>
      <c r="AG27" s="17"/>
      <c r="AH27" s="17"/>
    </row>
    <row r="28" spans="1:37" ht="16.5" thickBot="1">
      <c r="A28" s="33"/>
      <c r="B28" s="32"/>
      <c r="C28" s="18" t="s">
        <v>92</v>
      </c>
      <c r="D28" s="22"/>
      <c r="E28" s="41"/>
      <c r="F28" s="81"/>
      <c r="G28" s="18" t="s">
        <v>94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31"/>
      <c r="AG28" s="31"/>
      <c r="AH28" s="31"/>
    </row>
    <row r="29" spans="1:37" ht="7.5" customHeight="1">
      <c r="A29" s="33"/>
      <c r="B29" s="32"/>
      <c r="C29" s="20"/>
      <c r="D29" s="24"/>
      <c r="E29" s="24"/>
      <c r="F29" s="81"/>
      <c r="G29" s="20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33"/>
      <c r="AG29" s="33"/>
      <c r="AH29" s="33"/>
    </row>
    <row r="30" spans="1:37" ht="15.75">
      <c r="A30" s="33"/>
      <c r="B30" s="32"/>
      <c r="C30" s="21"/>
      <c r="D30" s="39"/>
      <c r="E30" s="39"/>
      <c r="F30" s="81"/>
      <c r="G30" s="21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7"/>
      <c r="AF30" s="33"/>
      <c r="AG30" s="33"/>
      <c r="AH30" s="33"/>
    </row>
    <row r="31" spans="1:37" ht="7.5" customHeight="1">
      <c r="A31" s="33"/>
      <c r="B31" s="32"/>
      <c r="C31" s="21"/>
      <c r="D31" s="26"/>
      <c r="E31" s="26"/>
      <c r="F31" s="81"/>
      <c r="G31" s="21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7"/>
      <c r="AF31" s="33"/>
      <c r="AG31" s="33"/>
      <c r="AH31" s="33"/>
    </row>
    <row r="32" spans="1:37" ht="15.75">
      <c r="A32" s="31"/>
      <c r="B32" s="32"/>
      <c r="C32" s="21"/>
      <c r="D32" s="26"/>
      <c r="E32" s="26"/>
      <c r="F32" s="81"/>
      <c r="G32" s="21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7"/>
      <c r="AF32" s="33"/>
      <c r="AG32" s="33"/>
      <c r="AH32" s="33"/>
    </row>
    <row r="33" spans="1:34" ht="7.5" customHeight="1">
      <c r="A33" s="33"/>
      <c r="B33" s="32"/>
      <c r="C33" s="21"/>
      <c r="D33" s="26"/>
      <c r="E33" s="26"/>
      <c r="F33" s="81"/>
      <c r="G33" s="21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7"/>
      <c r="AF33" s="33"/>
      <c r="AG33" s="33"/>
      <c r="AH33" s="33"/>
    </row>
    <row r="34" spans="1:34">
      <c r="A34" s="33"/>
      <c r="B34" s="32"/>
      <c r="C34" s="21"/>
      <c r="D34" s="26"/>
      <c r="E34" s="26"/>
      <c r="F34" s="81"/>
      <c r="G34" s="21"/>
      <c r="H34" s="26"/>
      <c r="I34" s="26"/>
      <c r="J34" s="26"/>
      <c r="K34" s="26"/>
      <c r="L34" s="26"/>
      <c r="M34" s="26"/>
      <c r="N34" s="26"/>
      <c r="O34" s="26"/>
      <c r="P34" s="6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7"/>
      <c r="AF34" s="33"/>
      <c r="AG34" s="33"/>
      <c r="AH34" s="33"/>
    </row>
    <row r="35" spans="1:34" ht="7.5" customHeight="1">
      <c r="A35" s="33"/>
      <c r="B35" s="32"/>
      <c r="C35" s="21"/>
      <c r="D35" s="26"/>
      <c r="E35" s="26"/>
      <c r="F35" s="81"/>
      <c r="G35" s="21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7"/>
      <c r="AF35" s="33"/>
      <c r="AG35" s="33"/>
      <c r="AH35" s="33"/>
    </row>
    <row r="36" spans="1:34">
      <c r="A36" s="33"/>
      <c r="B36" s="32"/>
      <c r="C36" s="21"/>
      <c r="D36" s="26"/>
      <c r="E36" s="26"/>
      <c r="F36" s="81"/>
      <c r="G36" s="21"/>
      <c r="H36" s="26"/>
      <c r="I36" s="26"/>
      <c r="J36" s="26"/>
      <c r="K36" s="26"/>
      <c r="L36" s="26"/>
      <c r="M36" s="26"/>
      <c r="N36" s="26"/>
      <c r="O36" s="26"/>
      <c r="P36" s="6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7"/>
      <c r="AF36" s="33"/>
      <c r="AG36" s="33"/>
      <c r="AH36" s="33"/>
    </row>
    <row r="37" spans="1:34" ht="7.5" customHeight="1">
      <c r="A37" s="33"/>
      <c r="B37" s="32"/>
      <c r="C37" s="21"/>
      <c r="D37" s="26"/>
      <c r="E37" s="26"/>
      <c r="F37" s="81"/>
      <c r="G37" s="21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33"/>
      <c r="AG37" s="33"/>
      <c r="AH37" s="33"/>
    </row>
    <row r="38" spans="1:34">
      <c r="A38" s="33"/>
      <c r="B38" s="32"/>
      <c r="C38" s="21"/>
      <c r="D38" s="26"/>
      <c r="E38" s="26"/>
      <c r="F38" s="81"/>
      <c r="G38" s="21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7"/>
      <c r="AF38" s="33"/>
      <c r="AG38" s="33"/>
      <c r="AH38" s="33"/>
    </row>
    <row r="39" spans="1:34" ht="7.5" customHeight="1">
      <c r="A39" s="33"/>
      <c r="B39" s="32"/>
      <c r="C39" s="21"/>
      <c r="D39" s="26"/>
      <c r="E39" s="26"/>
      <c r="F39" s="81"/>
      <c r="G39" s="21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7"/>
      <c r="AF39" s="33"/>
      <c r="AG39" s="33"/>
      <c r="AH39" s="33"/>
    </row>
    <row r="40" spans="1:34">
      <c r="A40" s="33"/>
      <c r="B40" s="32"/>
      <c r="C40" s="21"/>
      <c r="D40" s="26"/>
      <c r="E40" s="26"/>
      <c r="F40" s="81"/>
      <c r="G40" s="21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7"/>
      <c r="AF40" s="33"/>
      <c r="AG40" s="33"/>
      <c r="AH40" s="33"/>
    </row>
    <row r="41" spans="1:34" ht="7.5" customHeight="1">
      <c r="A41" s="33"/>
      <c r="B41" s="32"/>
      <c r="C41" s="21"/>
      <c r="D41" s="26"/>
      <c r="E41" s="26"/>
      <c r="F41" s="81"/>
      <c r="G41" s="21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7"/>
      <c r="AF41" s="33"/>
      <c r="AG41" s="33"/>
      <c r="AH41" s="33"/>
    </row>
    <row r="42" spans="1:34">
      <c r="A42" s="33"/>
      <c r="B42" s="32"/>
      <c r="C42" s="19"/>
      <c r="D42" s="28"/>
      <c r="E42" s="28"/>
      <c r="F42" s="81"/>
      <c r="G42" s="19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9"/>
      <c r="AF42" s="33"/>
      <c r="AG42" s="33"/>
      <c r="AH42" s="33"/>
    </row>
    <row r="43" spans="1:34" ht="7.5" customHeight="1">
      <c r="A43" s="33"/>
      <c r="B43" s="32"/>
      <c r="C43" s="33"/>
      <c r="D43" s="33"/>
      <c r="E43" s="33"/>
      <c r="F43" s="32"/>
      <c r="G43" s="33"/>
      <c r="H43" s="32"/>
      <c r="I43" s="33"/>
      <c r="J43" s="35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33"/>
      <c r="AG43" s="33"/>
      <c r="AH43" s="33"/>
    </row>
    <row r="44" spans="1:34" ht="15.75" customHeight="1">
      <c r="A44" s="31"/>
      <c r="B44" s="32"/>
      <c r="C44" s="107" t="s">
        <v>95</v>
      </c>
      <c r="D44" s="107"/>
      <c r="E44" s="107"/>
      <c r="F44" s="107"/>
      <c r="G44" s="33"/>
      <c r="H44" s="32"/>
      <c r="I44" s="33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3"/>
      <c r="AG44" s="33"/>
      <c r="AH44" s="33"/>
    </row>
    <row r="45" spans="1:34" ht="7.5" customHeight="1">
      <c r="A45" s="33"/>
      <c r="B45" s="32"/>
      <c r="C45" s="108"/>
      <c r="D45" s="108"/>
      <c r="E45" s="108"/>
      <c r="F45" s="102"/>
      <c r="G45" s="33"/>
      <c r="H45" s="32"/>
      <c r="I45" s="33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17"/>
      <c r="AG45" s="33"/>
      <c r="AH45" s="33"/>
    </row>
    <row r="46" spans="1:34" ht="16.5" thickBot="1">
      <c r="A46" s="33"/>
      <c r="B46" s="32"/>
      <c r="C46" s="18" t="s">
        <v>92</v>
      </c>
      <c r="D46" s="22"/>
      <c r="E46" s="41"/>
      <c r="F46" s="80"/>
      <c r="G46" s="18" t="s">
        <v>94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3"/>
      <c r="AF46" s="31"/>
      <c r="AG46" s="33"/>
      <c r="AH46" s="33"/>
    </row>
    <row r="47" spans="1:34" ht="7.5" customHeight="1">
      <c r="A47" s="33"/>
      <c r="B47" s="32"/>
      <c r="C47" s="20"/>
      <c r="D47" s="24"/>
      <c r="E47" s="24"/>
      <c r="F47" s="80"/>
      <c r="G47" s="20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5"/>
      <c r="AF47" s="33"/>
      <c r="AG47" s="17"/>
      <c r="AH47" s="17"/>
    </row>
    <row r="48" spans="1:34" ht="15.75">
      <c r="A48" s="33"/>
      <c r="B48" s="32"/>
      <c r="C48" s="21"/>
      <c r="D48" s="77"/>
      <c r="E48" s="77"/>
      <c r="F48" s="80"/>
      <c r="G48" s="21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33"/>
      <c r="AG48" s="31"/>
      <c r="AH48" s="31"/>
    </row>
    <row r="49" spans="1:34" ht="7.5" customHeight="1">
      <c r="A49" s="33"/>
      <c r="B49" s="32"/>
      <c r="C49" s="21"/>
      <c r="D49" s="26"/>
      <c r="E49" s="26"/>
      <c r="F49" s="80"/>
      <c r="G49" s="21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33"/>
      <c r="AG49" s="33"/>
      <c r="AH49" s="33"/>
    </row>
    <row r="50" spans="1:34">
      <c r="A50" s="33"/>
      <c r="B50" s="32"/>
      <c r="C50" s="21"/>
      <c r="D50" s="26"/>
      <c r="E50" s="26"/>
      <c r="F50" s="80"/>
      <c r="G50" s="21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33"/>
      <c r="AG50" s="33"/>
      <c r="AH50" s="33"/>
    </row>
    <row r="51" spans="1:34" ht="7.5" customHeight="1">
      <c r="A51" s="33"/>
      <c r="B51" s="32"/>
      <c r="C51" s="21"/>
      <c r="D51" s="26"/>
      <c r="E51" s="26"/>
      <c r="F51" s="80"/>
      <c r="G51" s="21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33"/>
      <c r="AG51" s="33"/>
      <c r="AH51" s="33"/>
    </row>
    <row r="52" spans="1:34">
      <c r="A52" s="33"/>
      <c r="B52" s="32"/>
      <c r="C52" s="21"/>
      <c r="D52" s="26"/>
      <c r="E52" s="26"/>
      <c r="F52" s="80"/>
      <c r="G52" s="21"/>
      <c r="H52" s="26"/>
      <c r="I52" s="26"/>
      <c r="J52" s="26"/>
      <c r="K52" s="26"/>
      <c r="L52" s="26"/>
      <c r="M52" s="26"/>
      <c r="N52" s="26"/>
      <c r="O52" s="26"/>
      <c r="P52" s="6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33"/>
      <c r="AG52" s="33"/>
      <c r="AH52" s="33"/>
    </row>
    <row r="53" spans="1:34" ht="7.5" customHeight="1">
      <c r="A53" s="33"/>
      <c r="B53" s="32"/>
      <c r="C53" s="21"/>
      <c r="D53" s="26"/>
      <c r="E53" s="26"/>
      <c r="F53" s="80"/>
      <c r="G53" s="21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33"/>
      <c r="AG53" s="33"/>
      <c r="AH53" s="33"/>
    </row>
    <row r="54" spans="1:34">
      <c r="A54" s="33"/>
      <c r="B54" s="32"/>
      <c r="C54" s="21"/>
      <c r="D54" s="26"/>
      <c r="E54" s="26"/>
      <c r="F54" s="80"/>
      <c r="G54" s="21"/>
      <c r="H54" s="26"/>
      <c r="I54" s="26"/>
      <c r="J54" s="26"/>
      <c r="K54" s="26"/>
      <c r="L54" s="26"/>
      <c r="M54" s="26"/>
      <c r="N54" s="26"/>
      <c r="O54" s="26"/>
      <c r="P54" s="6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33"/>
      <c r="AG54" s="33"/>
      <c r="AH54" s="33"/>
    </row>
    <row r="55" spans="1:34" ht="7.5" customHeight="1">
      <c r="A55" s="33"/>
      <c r="B55" s="32"/>
      <c r="C55" s="21"/>
      <c r="D55" s="26"/>
      <c r="E55" s="26"/>
      <c r="F55" s="80"/>
      <c r="G55" s="21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33"/>
      <c r="AG55" s="33"/>
      <c r="AH55" s="33"/>
    </row>
    <row r="56" spans="1:34" ht="15.75">
      <c r="A56" s="31"/>
      <c r="B56" s="32"/>
      <c r="C56" s="21"/>
      <c r="D56" s="26"/>
      <c r="E56" s="26"/>
      <c r="F56" s="80"/>
      <c r="G56" s="21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33"/>
      <c r="AG56" s="33"/>
      <c r="AH56" s="33"/>
    </row>
    <row r="57" spans="1:34" ht="7.5" customHeight="1">
      <c r="A57" s="33"/>
      <c r="B57" s="32"/>
      <c r="C57" s="21"/>
      <c r="D57" s="26"/>
      <c r="E57" s="26"/>
      <c r="F57" s="80"/>
      <c r="G57" s="21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33"/>
      <c r="AG57" s="33"/>
      <c r="AH57" s="33"/>
    </row>
    <row r="58" spans="1:34">
      <c r="A58" s="33"/>
      <c r="B58" s="32"/>
      <c r="C58" s="21"/>
      <c r="D58" s="26"/>
      <c r="E58" s="26"/>
      <c r="F58" s="80"/>
      <c r="G58" s="21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33"/>
      <c r="AG58" s="33"/>
      <c r="AH58" s="33"/>
    </row>
    <row r="59" spans="1:34" ht="7.5" customHeight="1">
      <c r="A59" s="33"/>
      <c r="B59" s="32"/>
      <c r="C59" s="21"/>
      <c r="D59" s="26"/>
      <c r="E59" s="26"/>
      <c r="F59" s="80"/>
      <c r="G59" s="21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33"/>
      <c r="AG59" s="33"/>
      <c r="AH59" s="33"/>
    </row>
    <row r="60" spans="1:34">
      <c r="A60" s="33"/>
      <c r="B60" s="32"/>
      <c r="C60" s="19"/>
      <c r="D60" s="28"/>
      <c r="E60" s="28"/>
      <c r="F60" s="80"/>
      <c r="G60" s="19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9"/>
      <c r="AF60" s="33"/>
      <c r="AG60" s="33"/>
      <c r="AH60" s="33"/>
    </row>
    <row r="61" spans="1:34" ht="7.5" customHeight="1">
      <c r="A61" s="33"/>
      <c r="B61" s="32"/>
      <c r="C61" s="33"/>
      <c r="D61" s="33"/>
      <c r="E61" s="33"/>
      <c r="F61" s="32"/>
      <c r="G61" s="33"/>
      <c r="H61" s="32"/>
      <c r="I61" s="33"/>
      <c r="J61" s="35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33"/>
      <c r="AG61" s="33"/>
      <c r="AH61" s="33"/>
    </row>
    <row r="62" spans="1:34" ht="15.75" customHeight="1">
      <c r="A62" s="33"/>
      <c r="C62" s="107" t="s">
        <v>10</v>
      </c>
      <c r="D62" s="107"/>
      <c r="E62" s="107"/>
      <c r="F62" s="107"/>
      <c r="G62" s="33"/>
      <c r="H62" s="32"/>
      <c r="I62" s="33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3"/>
      <c r="AG62" s="33"/>
      <c r="AH62" s="33"/>
    </row>
    <row r="63" spans="1:34" ht="7.5" customHeight="1">
      <c r="A63" s="33"/>
      <c r="C63" s="108"/>
      <c r="D63" s="108"/>
      <c r="E63" s="108"/>
      <c r="F63" s="102"/>
      <c r="G63" s="33"/>
      <c r="H63" s="32"/>
      <c r="I63" s="33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33"/>
      <c r="AG63" s="33"/>
      <c r="AH63" s="33"/>
    </row>
    <row r="64" spans="1:34" ht="16.5" thickBot="1">
      <c r="A64" s="33"/>
      <c r="C64" s="18" t="s">
        <v>92</v>
      </c>
      <c r="D64" s="22"/>
      <c r="E64" s="41"/>
      <c r="F64" s="80"/>
      <c r="G64" s="18" t="s">
        <v>94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3"/>
      <c r="AB64" s="37"/>
      <c r="AC64" s="18" t="s">
        <v>12</v>
      </c>
      <c r="AD64" s="22"/>
      <c r="AE64" s="23"/>
      <c r="AF64" s="33"/>
      <c r="AG64" s="33"/>
      <c r="AH64" s="33"/>
    </row>
    <row r="65" spans="1:34" ht="7.5" customHeight="1">
      <c r="A65" s="33"/>
      <c r="C65" s="20"/>
      <c r="D65" s="24"/>
      <c r="E65" s="24"/>
      <c r="F65" s="80"/>
      <c r="G65" s="20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5"/>
      <c r="AB65" s="38"/>
      <c r="AC65" s="20"/>
      <c r="AD65" s="24"/>
      <c r="AE65" s="25"/>
      <c r="AF65" s="33"/>
      <c r="AG65" s="33"/>
      <c r="AH65" s="33"/>
    </row>
    <row r="66" spans="1:34" ht="15.75">
      <c r="A66" s="33"/>
      <c r="C66" s="21"/>
      <c r="D66" s="77"/>
      <c r="E66" s="77"/>
      <c r="F66" s="80"/>
      <c r="G66" s="21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7"/>
      <c r="AB66" s="38"/>
      <c r="AC66" s="109" t="str">
        <f>TEXT(Data!BJ2,"0.00")&amp; " Weeks"</f>
        <v>3.80 Weeks</v>
      </c>
      <c r="AD66" s="110"/>
      <c r="AE66" s="111"/>
      <c r="AF66" s="33"/>
      <c r="AG66" s="33"/>
      <c r="AH66" s="33"/>
    </row>
    <row r="67" spans="1:34" ht="7.5" customHeight="1">
      <c r="A67" s="33"/>
      <c r="C67" s="21"/>
      <c r="D67" s="26"/>
      <c r="E67" s="26"/>
      <c r="F67" s="80"/>
      <c r="G67" s="21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7"/>
      <c r="AB67" s="38"/>
      <c r="AC67" s="109"/>
      <c r="AD67" s="110"/>
      <c r="AE67" s="111"/>
      <c r="AF67" s="17"/>
      <c r="AG67" s="17"/>
      <c r="AH67" s="17"/>
    </row>
    <row r="68" spans="1:34" ht="15.75">
      <c r="A68" s="33"/>
      <c r="C68" s="21"/>
      <c r="D68" s="26"/>
      <c r="E68" s="26"/>
      <c r="F68" s="80"/>
      <c r="G68" s="21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7"/>
      <c r="AB68" s="38"/>
      <c r="AC68" s="109"/>
      <c r="AD68" s="110"/>
      <c r="AE68" s="111"/>
      <c r="AF68" s="31"/>
      <c r="AG68" s="31"/>
      <c r="AH68" s="31"/>
    </row>
    <row r="69" spans="1:34" ht="7.5" customHeight="1">
      <c r="A69" s="33"/>
      <c r="C69" s="21"/>
      <c r="D69" s="26"/>
      <c r="E69" s="26"/>
      <c r="F69" s="80"/>
      <c r="G69" s="21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7"/>
      <c r="AB69" s="38"/>
      <c r="AC69" s="21"/>
      <c r="AD69" s="26"/>
      <c r="AE69" s="27"/>
      <c r="AF69" s="33"/>
      <c r="AG69" s="33"/>
      <c r="AH69" s="33"/>
    </row>
    <row r="70" spans="1:34">
      <c r="A70" s="33"/>
      <c r="C70" s="21"/>
      <c r="D70" s="26"/>
      <c r="E70" s="26"/>
      <c r="F70" s="80"/>
      <c r="G70" s="21"/>
      <c r="H70" s="26"/>
      <c r="I70" s="26"/>
      <c r="J70" s="26"/>
      <c r="K70" s="26"/>
      <c r="L70" s="26"/>
      <c r="M70" s="26"/>
      <c r="N70" s="26"/>
      <c r="O70" s="26"/>
      <c r="P70" s="6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7"/>
      <c r="AB70" s="38"/>
      <c r="AC70" s="21"/>
      <c r="AD70" s="26"/>
      <c r="AE70" s="27"/>
      <c r="AF70" s="33"/>
      <c r="AG70" s="33"/>
      <c r="AH70" s="33"/>
    </row>
    <row r="71" spans="1:34" ht="7.5" customHeight="1">
      <c r="A71" s="33"/>
      <c r="C71" s="21"/>
      <c r="D71" s="26"/>
      <c r="E71" s="26"/>
      <c r="F71" s="80"/>
      <c r="G71" s="21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7"/>
      <c r="AB71" s="38"/>
      <c r="AC71" s="21"/>
      <c r="AD71" s="26"/>
      <c r="AE71" s="27"/>
      <c r="AF71" s="33"/>
      <c r="AG71" s="33"/>
      <c r="AH71" s="33"/>
    </row>
    <row r="72" spans="1:34">
      <c r="A72" s="33"/>
      <c r="C72" s="21"/>
      <c r="D72" s="26"/>
      <c r="E72" s="26"/>
      <c r="F72" s="80"/>
      <c r="G72" s="21"/>
      <c r="H72" s="26"/>
      <c r="I72" s="26"/>
      <c r="J72" s="26"/>
      <c r="K72" s="26"/>
      <c r="L72" s="26"/>
      <c r="M72" s="26"/>
      <c r="N72" s="26"/>
      <c r="O72" s="26"/>
      <c r="P72" s="6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7"/>
      <c r="AB72" s="38"/>
      <c r="AC72" s="21"/>
      <c r="AD72" s="26"/>
      <c r="AE72" s="27"/>
      <c r="AF72" s="33"/>
      <c r="AG72" s="33"/>
      <c r="AH72" s="33"/>
    </row>
    <row r="73" spans="1:34" ht="7.5" customHeight="1">
      <c r="A73" s="33"/>
      <c r="C73" s="21"/>
      <c r="D73" s="26"/>
      <c r="E73" s="26"/>
      <c r="F73" s="80"/>
      <c r="G73" s="21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7"/>
      <c r="AB73" s="38"/>
      <c r="AC73" s="21"/>
      <c r="AD73" s="26"/>
      <c r="AE73" s="27"/>
      <c r="AF73" s="33"/>
      <c r="AG73" s="33"/>
      <c r="AH73" s="33"/>
    </row>
    <row r="74" spans="1:34">
      <c r="A74" s="33"/>
      <c r="C74" s="21"/>
      <c r="D74" s="26"/>
      <c r="E74" s="26"/>
      <c r="F74" s="80"/>
      <c r="G74" s="21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7"/>
      <c r="AB74" s="38"/>
      <c r="AC74" s="21"/>
      <c r="AD74" s="26"/>
      <c r="AE74" s="27"/>
      <c r="AF74" s="33"/>
      <c r="AG74" s="33"/>
      <c r="AH74" s="33"/>
    </row>
    <row r="75" spans="1:34" ht="7.5" customHeight="1">
      <c r="A75" s="33"/>
      <c r="C75" s="21"/>
      <c r="D75" s="26"/>
      <c r="E75" s="26"/>
      <c r="F75" s="80"/>
      <c r="G75" s="21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7"/>
      <c r="AB75" s="38"/>
      <c r="AC75" s="21"/>
      <c r="AD75" s="26"/>
      <c r="AE75" s="27"/>
      <c r="AF75" s="33"/>
      <c r="AG75" s="33"/>
      <c r="AH75" s="33"/>
    </row>
    <row r="76" spans="1:34">
      <c r="A76" s="33"/>
      <c r="C76" s="21"/>
      <c r="D76" s="26"/>
      <c r="E76" s="26"/>
      <c r="F76" s="80"/>
      <c r="G76" s="21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7"/>
      <c r="AB76" s="38"/>
      <c r="AC76" s="21"/>
      <c r="AD76" s="26"/>
      <c r="AE76" s="27"/>
      <c r="AF76" s="33"/>
      <c r="AG76" s="33"/>
      <c r="AH76" s="33"/>
    </row>
    <row r="77" spans="1:34" ht="7.5" customHeight="1">
      <c r="A77" s="33"/>
      <c r="C77" s="21"/>
      <c r="D77" s="26"/>
      <c r="E77" s="26"/>
      <c r="F77" s="80"/>
      <c r="G77" s="21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7"/>
      <c r="AB77" s="38"/>
      <c r="AC77" s="21"/>
      <c r="AD77" s="26"/>
      <c r="AE77" s="27"/>
      <c r="AF77" s="33"/>
      <c r="AG77" s="33"/>
      <c r="AH77" s="33"/>
    </row>
    <row r="78" spans="1:34">
      <c r="A78" s="33"/>
      <c r="C78" s="19"/>
      <c r="D78" s="28"/>
      <c r="E78" s="28"/>
      <c r="F78" s="80"/>
      <c r="G78" s="19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9"/>
      <c r="AB78" s="38"/>
      <c r="AC78" s="19"/>
      <c r="AD78" s="28"/>
      <c r="AE78" s="29"/>
      <c r="AF78" s="33"/>
      <c r="AG78" s="33"/>
      <c r="AH78" s="33"/>
    </row>
    <row r="79" spans="1:34" ht="7.5" customHeight="1">
      <c r="A79" s="33"/>
      <c r="C79" s="33"/>
      <c r="D79" s="33"/>
      <c r="E79" s="33"/>
      <c r="F79" s="32"/>
      <c r="G79" s="33"/>
      <c r="H79" s="35"/>
      <c r="I79" s="33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33"/>
      <c r="AG79" s="33"/>
      <c r="AH79" s="33"/>
    </row>
    <row r="80" spans="1:34" ht="15.75" customHeight="1">
      <c r="A80" s="33"/>
      <c r="C80" s="107" t="s">
        <v>11</v>
      </c>
      <c r="D80" s="107"/>
      <c r="E80" s="107"/>
      <c r="F80" s="107"/>
      <c r="G80" s="33"/>
      <c r="H80" s="32"/>
      <c r="I80" s="33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3"/>
      <c r="AG80" s="33"/>
      <c r="AH80" s="33"/>
    </row>
    <row r="81" spans="1:34" ht="7.5" customHeight="1">
      <c r="A81" s="33"/>
      <c r="C81" s="108"/>
      <c r="D81" s="108"/>
      <c r="E81" s="108"/>
      <c r="F81" s="102"/>
      <c r="G81" s="33"/>
      <c r="H81" s="32"/>
      <c r="I81" s="33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17"/>
      <c r="AG81" s="33"/>
      <c r="AH81" s="33"/>
    </row>
    <row r="82" spans="1:34" ht="16.5" thickBot="1">
      <c r="A82" s="33"/>
      <c r="C82" s="18" t="s">
        <v>92</v>
      </c>
      <c r="D82" s="22"/>
      <c r="E82" s="41"/>
      <c r="F82" s="80"/>
      <c r="G82" s="18" t="s">
        <v>94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3"/>
      <c r="AF82" s="31"/>
      <c r="AG82" s="33"/>
      <c r="AH82" s="33"/>
    </row>
    <row r="83" spans="1:34" ht="7.5" customHeight="1">
      <c r="A83" s="33"/>
      <c r="C83" s="20"/>
      <c r="D83" s="24"/>
      <c r="E83" s="24"/>
      <c r="F83" s="80"/>
      <c r="G83" s="20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5"/>
      <c r="AF83" s="33"/>
      <c r="AG83" s="33"/>
      <c r="AH83" s="33"/>
    </row>
    <row r="84" spans="1:34" ht="15.75">
      <c r="A84" s="33"/>
      <c r="C84" s="21"/>
      <c r="D84" s="77"/>
      <c r="E84" s="77"/>
      <c r="F84" s="80"/>
      <c r="G84" s="21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7"/>
      <c r="AF84" s="33"/>
      <c r="AG84" s="33"/>
      <c r="AH84" s="33"/>
    </row>
    <row r="85" spans="1:34" ht="7.5" customHeight="1">
      <c r="A85" s="33"/>
      <c r="C85" s="21"/>
      <c r="D85" s="26"/>
      <c r="E85" s="26"/>
      <c r="F85" s="80"/>
      <c r="G85" s="21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7"/>
      <c r="AF85" s="33"/>
      <c r="AG85" s="33"/>
      <c r="AH85" s="33"/>
    </row>
    <row r="86" spans="1:34">
      <c r="A86" s="33"/>
      <c r="C86" s="21"/>
      <c r="D86" s="26"/>
      <c r="E86" s="26"/>
      <c r="F86" s="80"/>
      <c r="G86" s="21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7"/>
      <c r="AF86" s="33"/>
      <c r="AG86" s="33"/>
      <c r="AH86" s="33"/>
    </row>
    <row r="87" spans="1:34" ht="7.5" customHeight="1">
      <c r="A87" s="33"/>
      <c r="C87" s="21"/>
      <c r="D87" s="26"/>
      <c r="E87" s="26"/>
      <c r="F87" s="80"/>
      <c r="G87" s="21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7"/>
      <c r="AF87" s="33"/>
      <c r="AG87" s="17"/>
      <c r="AH87" s="17"/>
    </row>
    <row r="88" spans="1:34" ht="15.75">
      <c r="A88" s="33"/>
      <c r="C88" s="21"/>
      <c r="D88" s="26"/>
      <c r="E88" s="26"/>
      <c r="F88" s="80"/>
      <c r="G88" s="21"/>
      <c r="H88" s="26"/>
      <c r="I88" s="26"/>
      <c r="J88" s="26"/>
      <c r="K88" s="26"/>
      <c r="L88" s="26"/>
      <c r="M88" s="26"/>
      <c r="N88" s="26"/>
      <c r="O88" s="26"/>
      <c r="P88" s="6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7"/>
      <c r="AF88" s="33"/>
      <c r="AG88" s="31"/>
      <c r="AH88" s="31"/>
    </row>
    <row r="89" spans="1:34" ht="7.5" customHeight="1">
      <c r="A89" s="33"/>
      <c r="C89" s="21"/>
      <c r="D89" s="26"/>
      <c r="E89" s="26"/>
      <c r="F89" s="80"/>
      <c r="G89" s="21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7"/>
      <c r="AF89" s="33"/>
      <c r="AG89" s="33"/>
      <c r="AH89" s="33"/>
    </row>
    <row r="90" spans="1:34">
      <c r="A90" s="33"/>
      <c r="C90" s="21"/>
      <c r="D90" s="26"/>
      <c r="E90" s="26"/>
      <c r="F90" s="80"/>
      <c r="G90" s="21"/>
      <c r="H90" s="26"/>
      <c r="I90" s="26"/>
      <c r="J90" s="26"/>
      <c r="K90" s="26"/>
      <c r="L90" s="26"/>
      <c r="M90" s="26"/>
      <c r="N90" s="26"/>
      <c r="O90" s="26"/>
      <c r="P90" s="6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7"/>
      <c r="AF90" s="33"/>
      <c r="AG90" s="33"/>
      <c r="AH90" s="33"/>
    </row>
    <row r="91" spans="1:34" ht="7.5" customHeight="1">
      <c r="A91" s="33"/>
      <c r="C91" s="21"/>
      <c r="D91" s="26"/>
      <c r="E91" s="26"/>
      <c r="F91" s="80"/>
      <c r="G91" s="21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7"/>
      <c r="AF91" s="33"/>
      <c r="AG91" s="33"/>
      <c r="AH91" s="33"/>
    </row>
    <row r="92" spans="1:34">
      <c r="A92" s="33"/>
      <c r="C92" s="21"/>
      <c r="D92" s="26"/>
      <c r="E92" s="26"/>
      <c r="F92" s="80"/>
      <c r="G92" s="21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7"/>
      <c r="AF92" s="33"/>
      <c r="AG92" s="33"/>
      <c r="AH92" s="33"/>
    </row>
    <row r="93" spans="1:34" ht="7.5" customHeight="1">
      <c r="A93" s="33"/>
      <c r="C93" s="21"/>
      <c r="D93" s="26"/>
      <c r="E93" s="26"/>
      <c r="F93" s="80"/>
      <c r="G93" s="21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7"/>
      <c r="AF93" s="33"/>
      <c r="AG93" s="33"/>
      <c r="AH93" s="33"/>
    </row>
    <row r="94" spans="1:34">
      <c r="A94" s="33"/>
      <c r="C94" s="21"/>
      <c r="D94" s="26"/>
      <c r="E94" s="26"/>
      <c r="F94" s="80"/>
      <c r="G94" s="21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7"/>
      <c r="AF94" s="33"/>
      <c r="AG94" s="33"/>
      <c r="AH94" s="33"/>
    </row>
    <row r="95" spans="1:34" ht="7.5" customHeight="1">
      <c r="A95" s="33"/>
      <c r="C95" s="21"/>
      <c r="D95" s="26"/>
      <c r="E95" s="26"/>
      <c r="F95" s="80"/>
      <c r="G95" s="21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7"/>
      <c r="AF95" s="33"/>
      <c r="AG95" s="33"/>
      <c r="AH95" s="33"/>
    </row>
    <row r="96" spans="1:34">
      <c r="A96" s="33"/>
      <c r="C96" s="19"/>
      <c r="D96" s="28"/>
      <c r="E96" s="28"/>
      <c r="F96" s="80"/>
      <c r="G96" s="19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9"/>
      <c r="AF96" s="33"/>
      <c r="AG96" s="33"/>
      <c r="AH96" s="33"/>
    </row>
    <row r="97" spans="1:34" ht="7.5" customHeight="1">
      <c r="A97" s="33"/>
      <c r="B97" s="35"/>
      <c r="C97" s="33"/>
      <c r="D97" s="33"/>
      <c r="E97" s="33"/>
      <c r="F97" s="32"/>
      <c r="G97" s="33"/>
      <c r="H97" s="32"/>
      <c r="I97" s="33"/>
      <c r="J97" s="35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33"/>
      <c r="AG97" s="33"/>
      <c r="AH97" s="33"/>
    </row>
    <row r="98" spans="1:34">
      <c r="A98" s="33"/>
      <c r="B98" s="35"/>
      <c r="C98" s="33"/>
      <c r="D98" s="33"/>
      <c r="E98" s="33"/>
      <c r="F98" s="35"/>
      <c r="G98" s="33"/>
      <c r="H98" s="35"/>
      <c r="I98" s="33"/>
      <c r="J98" s="35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33"/>
      <c r="AG98" s="33"/>
      <c r="AH98" s="33"/>
    </row>
    <row r="99" spans="1:34" ht="7.5" customHeight="1">
      <c r="A99" s="33"/>
      <c r="B99" s="35"/>
      <c r="C99" s="33"/>
      <c r="D99" s="33"/>
      <c r="E99" s="33"/>
      <c r="F99" s="35"/>
      <c r="G99" s="33"/>
      <c r="H99" s="35"/>
      <c r="I99" s="33"/>
      <c r="J99" s="35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33"/>
      <c r="AG99" s="33"/>
      <c r="AH99" s="33"/>
    </row>
    <row r="100" spans="1:34" s="36" customFormat="1" ht="7.5" customHeight="1">
      <c r="A100" s="33"/>
      <c r="B100" s="32"/>
      <c r="C100" s="33"/>
      <c r="D100" s="33"/>
      <c r="E100" s="33"/>
      <c r="F100" s="32"/>
      <c r="G100" s="33"/>
      <c r="H100" s="32"/>
      <c r="I100" s="33"/>
      <c r="J100" s="32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33"/>
      <c r="AE100" s="33"/>
      <c r="AF100" s="33"/>
      <c r="AG100" s="33"/>
    </row>
    <row r="101" spans="1:34">
      <c r="A101" s="33"/>
      <c r="B101" s="35"/>
      <c r="C101" s="33"/>
      <c r="D101" s="33"/>
      <c r="E101" s="33"/>
      <c r="F101" s="35"/>
      <c r="G101" s="33"/>
      <c r="H101" s="35"/>
      <c r="I101" s="33"/>
      <c r="J101" s="35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33"/>
      <c r="AE101" s="33"/>
      <c r="AF101" s="33"/>
      <c r="AG101" s="33"/>
    </row>
    <row r="102" spans="1:34" s="36" customFormat="1" ht="7.5" customHeight="1">
      <c r="A102" s="33"/>
      <c r="B102" s="32"/>
      <c r="C102" s="33"/>
      <c r="D102" s="33"/>
      <c r="E102" s="33"/>
      <c r="F102" s="32"/>
      <c r="G102" s="33"/>
      <c r="H102" s="32"/>
      <c r="I102" s="33"/>
      <c r="J102" s="32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33"/>
      <c r="AE102" s="33"/>
      <c r="AF102" s="33"/>
      <c r="AG102" s="33"/>
    </row>
    <row r="103" spans="1:34">
      <c r="A103" s="33"/>
      <c r="B103" s="35"/>
      <c r="C103" s="33"/>
      <c r="D103" s="33"/>
      <c r="E103" s="33"/>
      <c r="F103" s="35"/>
      <c r="G103" s="33"/>
      <c r="H103" s="35"/>
      <c r="I103" s="33"/>
      <c r="J103" s="35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33"/>
      <c r="AE103" s="33"/>
      <c r="AF103" s="33"/>
      <c r="AG103" s="33"/>
    </row>
    <row r="104" spans="1:34" s="36" customFormat="1" ht="7.5" customHeight="1">
      <c r="A104" s="33"/>
      <c r="B104" s="32"/>
      <c r="C104" s="33"/>
      <c r="D104" s="33"/>
      <c r="E104" s="33"/>
      <c r="F104" s="32"/>
      <c r="G104" s="33"/>
      <c r="H104" s="32"/>
      <c r="I104" s="33"/>
      <c r="J104" s="32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33"/>
      <c r="AE104" s="33"/>
      <c r="AF104" s="33"/>
      <c r="AG104" s="33"/>
    </row>
    <row r="105" spans="1:34">
      <c r="A105" s="33"/>
      <c r="B105" s="35"/>
      <c r="C105" s="33"/>
      <c r="D105" s="33"/>
      <c r="E105" s="33"/>
      <c r="F105" s="35"/>
      <c r="G105" s="33"/>
      <c r="H105" s="35"/>
      <c r="I105" s="33"/>
      <c r="J105" s="35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33"/>
      <c r="AE105" s="33"/>
      <c r="AF105" s="33"/>
      <c r="AG105" s="33"/>
    </row>
    <row r="106" spans="1:34" s="11" customFormat="1" ht="7.5" customHeight="1">
      <c r="A106" s="9"/>
      <c r="C106" s="9"/>
      <c r="D106" s="10"/>
      <c r="E106" s="9"/>
      <c r="F106" s="10"/>
      <c r="G106" s="34"/>
      <c r="H106" s="10"/>
      <c r="I106" s="34"/>
      <c r="J106" s="10"/>
      <c r="K106" s="9"/>
      <c r="L106" s="10"/>
      <c r="M106" s="9"/>
      <c r="N106" s="10"/>
      <c r="O106" s="9"/>
      <c r="P106" s="10"/>
      <c r="Q106" s="9"/>
      <c r="R106" s="10"/>
      <c r="S106" s="9"/>
      <c r="T106" s="10"/>
      <c r="U106" s="9"/>
      <c r="V106" s="10"/>
      <c r="W106" s="9"/>
      <c r="X106" s="10"/>
      <c r="Y106" s="9"/>
      <c r="Z106" s="10"/>
      <c r="AA106" s="9"/>
      <c r="AB106" s="10"/>
      <c r="AC106" s="9"/>
      <c r="AD106" s="34"/>
      <c r="AE106" s="34"/>
      <c r="AF106" s="34"/>
      <c r="AG106" s="34"/>
    </row>
    <row r="107" spans="1:34" s="15" customFormat="1" ht="39.75" customHeight="1">
      <c r="A107" s="12"/>
      <c r="B107" s="12"/>
      <c r="C107" s="12"/>
      <c r="D107" s="13"/>
      <c r="E107" s="12"/>
      <c r="F107" s="13"/>
      <c r="G107" s="12"/>
      <c r="H107" s="13"/>
      <c r="I107" s="12"/>
      <c r="J107" s="13"/>
      <c r="K107" s="12"/>
      <c r="L107" s="13"/>
      <c r="M107" s="12"/>
      <c r="N107" s="13"/>
      <c r="O107" s="12"/>
      <c r="P107" s="13"/>
      <c r="Q107" s="12"/>
      <c r="R107" s="13"/>
      <c r="S107" s="12"/>
      <c r="T107" s="13"/>
      <c r="U107" s="12"/>
      <c r="V107" s="13"/>
      <c r="W107" s="12"/>
      <c r="X107" s="13"/>
      <c r="Y107" s="12"/>
      <c r="Z107" s="13"/>
      <c r="AA107" s="12"/>
      <c r="AB107" s="13"/>
      <c r="AC107" s="12"/>
      <c r="AD107" s="12"/>
      <c r="AE107" s="12"/>
      <c r="AF107" s="12"/>
      <c r="AG107" s="12"/>
    </row>
    <row r="108" spans="1:34" s="11" customFormat="1" ht="12.75"/>
  </sheetData>
  <mergeCells count="8">
    <mergeCell ref="C80:F81"/>
    <mergeCell ref="AC66:AE68"/>
    <mergeCell ref="AC1:AF1"/>
    <mergeCell ref="J6:M7"/>
    <mergeCell ref="C26:F27"/>
    <mergeCell ref="C8:F9"/>
    <mergeCell ref="C44:F45"/>
    <mergeCell ref="C62:F63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6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Q108"/>
  <sheetViews>
    <sheetView showGridLines="0" showRowColHeaders="0" zoomScale="80" zoomScaleNormal="80" zoomScaleSheetLayoutView="70" workbookViewId="0">
      <pane ySplit="6" topLeftCell="A7" activePane="bottomLeft" state="frozen"/>
      <selection pane="bottomLeft" activeCell="A7" sqref="A7"/>
    </sheetView>
  </sheetViews>
  <sheetFormatPr defaultRowHeight="15"/>
  <cols>
    <col min="1" max="2" width="1.42578125" customWidth="1"/>
    <col min="3" max="3" width="9.7109375" customWidth="1"/>
    <col min="4" max="4" width="1.42578125" customWidth="1"/>
    <col min="5" max="5" width="9.7109375" customWidth="1"/>
    <col min="6" max="6" width="1.42578125" customWidth="1"/>
    <col min="7" max="7" width="9.7109375" customWidth="1"/>
    <col min="8" max="8" width="1.42578125" customWidth="1"/>
    <col min="9" max="9" width="9.7109375" customWidth="1"/>
    <col min="10" max="10" width="1.42578125" customWidth="1"/>
    <col min="11" max="11" width="9.7109375" customWidth="1"/>
    <col min="12" max="12" width="1.42578125" customWidth="1"/>
    <col min="13" max="13" width="9.7109375" customWidth="1"/>
    <col min="14" max="14" width="1.42578125" customWidth="1"/>
    <col min="15" max="15" width="9.7109375" customWidth="1"/>
    <col min="16" max="16" width="1.42578125" customWidth="1"/>
    <col min="17" max="17" width="9.7109375" customWidth="1"/>
    <col min="18" max="18" width="1.42578125" customWidth="1"/>
    <col min="19" max="19" width="9.7109375" customWidth="1"/>
    <col min="20" max="20" width="1.42578125" customWidth="1"/>
    <col min="21" max="21" width="9.7109375" customWidth="1"/>
    <col min="22" max="22" width="1.42578125" customWidth="1"/>
    <col min="23" max="23" width="9.7109375" customWidth="1"/>
    <col min="24" max="24" width="1.42578125" customWidth="1"/>
    <col min="25" max="25" width="9.7109375" customWidth="1"/>
    <col min="26" max="26" width="1.42578125" customWidth="1"/>
    <col min="27" max="27" width="9.7109375" customWidth="1"/>
    <col min="28" max="28" width="1.42578125" customWidth="1"/>
    <col min="29" max="29" width="9.7109375" customWidth="1"/>
    <col min="30" max="30" width="1.42578125" customWidth="1"/>
    <col min="31" max="31" width="9.7109375" customWidth="1"/>
    <col min="32" max="33" width="1.42578125" customWidth="1"/>
  </cols>
  <sheetData>
    <row r="1" spans="1:43" s="5" customFormat="1" ht="15.75">
      <c r="A1" s="2"/>
      <c r="B1" s="2"/>
      <c r="C1" s="2"/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101">
        <f ca="1">TODAY()</f>
        <v>41837</v>
      </c>
      <c r="AD1" s="101"/>
      <c r="AE1" s="101"/>
      <c r="AF1" s="101"/>
      <c r="AG1" s="3"/>
    </row>
    <row r="2" spans="1:43" s="5" customFormat="1" ht="35.25">
      <c r="A2" s="6"/>
      <c r="B2" s="6" t="s">
        <v>7</v>
      </c>
      <c r="C2" s="6"/>
      <c r="D2" s="3"/>
      <c r="E2" s="6"/>
      <c r="F2" s="3"/>
      <c r="G2" s="6"/>
      <c r="H2" s="3"/>
      <c r="I2" s="6"/>
      <c r="J2" s="3"/>
      <c r="K2" s="6"/>
      <c r="L2" s="3"/>
      <c r="M2" s="6"/>
      <c r="N2" s="3"/>
      <c r="O2" s="6"/>
      <c r="P2" s="3"/>
      <c r="Q2" s="6"/>
      <c r="R2" s="3"/>
      <c r="S2" s="6"/>
      <c r="T2" s="3"/>
      <c r="U2" s="6"/>
      <c r="V2" s="3"/>
      <c r="W2" s="6"/>
      <c r="X2" s="3"/>
      <c r="Y2" s="6"/>
      <c r="Z2" s="3"/>
      <c r="AA2" s="6"/>
      <c r="AB2" s="3"/>
      <c r="AC2" s="6"/>
      <c r="AD2" s="3"/>
      <c r="AE2" s="6"/>
      <c r="AF2" s="3"/>
      <c r="AG2" s="3"/>
    </row>
    <row r="3" spans="1:43" s="5" customFormat="1" ht="17.25" customHeight="1" thickBot="1">
      <c r="A3" s="7"/>
      <c r="B3" s="7"/>
      <c r="C3" s="7"/>
      <c r="D3" s="8"/>
      <c r="E3" s="7"/>
      <c r="F3" s="8"/>
      <c r="G3" s="7"/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  <c r="U3" s="7"/>
      <c r="V3" s="8"/>
      <c r="W3" s="7"/>
      <c r="X3" s="8"/>
      <c r="Y3" s="7"/>
      <c r="Z3" s="8"/>
      <c r="AA3" s="7"/>
      <c r="AB3" s="8"/>
      <c r="AC3" s="7"/>
      <c r="AD3" s="8"/>
      <c r="AE3" s="7"/>
      <c r="AF3" s="8"/>
      <c r="AG3" s="8"/>
    </row>
    <row r="4" spans="1:43" s="11" customFormat="1" ht="7.5" customHeight="1">
      <c r="A4" s="9"/>
      <c r="C4" s="9"/>
      <c r="D4" s="10"/>
      <c r="E4" s="9"/>
      <c r="F4" s="10"/>
      <c r="G4" s="9"/>
      <c r="H4" s="10"/>
      <c r="I4" s="9"/>
      <c r="J4" s="10"/>
      <c r="K4" s="9"/>
      <c r="L4" s="10"/>
      <c r="M4" s="9"/>
      <c r="N4" s="10"/>
      <c r="O4" s="9"/>
      <c r="P4" s="10"/>
      <c r="Q4" s="9"/>
      <c r="R4" s="10"/>
      <c r="S4" s="9"/>
      <c r="T4" s="10"/>
      <c r="U4" s="9"/>
      <c r="V4" s="10"/>
      <c r="W4" s="9"/>
      <c r="X4" s="10"/>
      <c r="Y4" s="9"/>
      <c r="Z4" s="10"/>
      <c r="AA4" s="9"/>
      <c r="AB4" s="10"/>
      <c r="AC4" s="9"/>
      <c r="AD4" s="10"/>
      <c r="AE4" s="9"/>
      <c r="AF4" s="10"/>
      <c r="AG4" s="10"/>
    </row>
    <row r="5" spans="1:43" ht="9.75" customHeight="1">
      <c r="A5" s="17"/>
      <c r="C5" s="17"/>
      <c r="D5" s="17"/>
      <c r="F5" s="17"/>
      <c r="H5" s="17"/>
      <c r="J5" s="17"/>
      <c r="K5" s="17"/>
      <c r="M5" s="17"/>
      <c r="O5" s="17"/>
      <c r="Q5" s="17"/>
      <c r="S5" s="17"/>
      <c r="U5" s="17"/>
      <c r="W5" s="17"/>
      <c r="Y5" s="17"/>
      <c r="AA5" s="17"/>
      <c r="AC5" s="17"/>
      <c r="AE5" s="17"/>
      <c r="AI5" s="17"/>
      <c r="AK5" s="17"/>
      <c r="AM5" s="17"/>
      <c r="AO5" s="17"/>
      <c r="AQ5" s="17"/>
    </row>
    <row r="6" spans="1:43" ht="90" customHeight="1">
      <c r="A6" s="31"/>
      <c r="B6" s="32"/>
      <c r="C6" s="31"/>
      <c r="D6" s="31"/>
      <c r="E6" s="31"/>
      <c r="F6" s="32"/>
      <c r="G6" s="31"/>
      <c r="H6" s="32"/>
      <c r="I6" s="31"/>
      <c r="J6" s="102"/>
      <c r="K6" s="102"/>
      <c r="L6" s="102"/>
      <c r="M6" s="102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K6" s="78"/>
    </row>
    <row r="7" spans="1:43" ht="7.5" customHeight="1">
      <c r="A7" s="33"/>
      <c r="B7" s="32"/>
      <c r="C7" s="33"/>
      <c r="D7" s="33"/>
      <c r="E7" s="33"/>
      <c r="F7" s="32"/>
      <c r="G7" s="33"/>
      <c r="H7" s="32"/>
      <c r="I7" s="33"/>
      <c r="J7" s="102"/>
      <c r="K7" s="102"/>
      <c r="L7" s="102"/>
      <c r="M7" s="102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33"/>
      <c r="AG7" s="33"/>
      <c r="AH7" s="33"/>
    </row>
    <row r="8" spans="1:43" ht="15.75">
      <c r="A8" s="33"/>
      <c r="B8" s="32"/>
      <c r="C8" s="102" t="s">
        <v>2</v>
      </c>
      <c r="D8" s="102"/>
      <c r="E8" s="102"/>
      <c r="F8" s="102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C8" s="33"/>
      <c r="AD8" s="33"/>
      <c r="AE8" s="33"/>
      <c r="AF8" s="31"/>
      <c r="AG8" s="31"/>
      <c r="AH8" s="31"/>
      <c r="AI8" s="31"/>
      <c r="AJ8" s="31"/>
      <c r="AK8" s="31"/>
    </row>
    <row r="9" spans="1:43" ht="7.5" customHeight="1">
      <c r="A9" s="33"/>
      <c r="B9" s="32"/>
      <c r="C9" s="102"/>
      <c r="D9" s="102"/>
      <c r="E9" s="102"/>
      <c r="F9" s="102"/>
      <c r="G9" s="33"/>
      <c r="H9" s="32"/>
      <c r="I9" s="33"/>
      <c r="J9" s="26"/>
      <c r="K9" s="26"/>
      <c r="L9" s="26"/>
      <c r="M9" s="26"/>
      <c r="N9" s="3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33"/>
      <c r="AG9" s="33"/>
      <c r="AH9" s="33"/>
      <c r="AI9" s="33"/>
      <c r="AJ9" s="33"/>
      <c r="AK9" s="33"/>
    </row>
    <row r="10" spans="1:43" ht="16.5" thickBot="1">
      <c r="A10" s="33"/>
      <c r="B10" s="32"/>
      <c r="C10" s="18" t="s">
        <v>92</v>
      </c>
      <c r="D10" s="22"/>
      <c r="E10" s="42"/>
      <c r="F10" s="32"/>
      <c r="G10" s="18" t="s">
        <v>94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3"/>
      <c r="AF10" s="31"/>
      <c r="AG10" s="31"/>
      <c r="AH10" s="31"/>
      <c r="AI10" s="31"/>
      <c r="AJ10" s="31"/>
      <c r="AK10" s="31"/>
    </row>
    <row r="11" spans="1:43" ht="7.5" customHeight="1">
      <c r="A11" s="33"/>
      <c r="B11" s="32"/>
      <c r="C11" s="20"/>
      <c r="D11" s="24"/>
      <c r="E11" s="25"/>
      <c r="F11" s="32"/>
      <c r="G11" s="20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5"/>
      <c r="AF11" s="33"/>
      <c r="AG11" s="33"/>
      <c r="AH11" s="33"/>
      <c r="AI11" s="33"/>
      <c r="AJ11" s="33"/>
      <c r="AK11" s="33"/>
    </row>
    <row r="12" spans="1:43" ht="15.75">
      <c r="A12" s="33"/>
      <c r="B12" s="32"/>
      <c r="C12" s="21"/>
      <c r="D12" s="77"/>
      <c r="E12" s="40"/>
      <c r="F12" s="32"/>
      <c r="G12" s="21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7"/>
      <c r="AF12" s="33"/>
      <c r="AG12" s="33"/>
      <c r="AH12" s="33"/>
      <c r="AI12" s="33"/>
      <c r="AJ12" s="33"/>
      <c r="AK12" s="33"/>
    </row>
    <row r="13" spans="1:43" ht="7.5" customHeight="1">
      <c r="A13" s="33"/>
      <c r="B13" s="32"/>
      <c r="C13" s="21"/>
      <c r="D13" s="26"/>
      <c r="E13" s="27"/>
      <c r="F13" s="32"/>
      <c r="G13" s="21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7"/>
      <c r="AF13" s="33"/>
      <c r="AG13" s="33"/>
      <c r="AH13" s="33"/>
      <c r="AI13" s="33"/>
      <c r="AJ13" s="33"/>
      <c r="AK13" s="33"/>
    </row>
    <row r="14" spans="1:43">
      <c r="A14" s="33"/>
      <c r="B14" s="32"/>
      <c r="C14" s="21"/>
      <c r="D14" s="26"/>
      <c r="E14" s="27"/>
      <c r="F14" s="32"/>
      <c r="G14" s="21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7"/>
      <c r="AF14" s="33"/>
      <c r="AG14" s="33"/>
      <c r="AH14" s="33"/>
      <c r="AI14" s="33"/>
      <c r="AJ14" s="33"/>
      <c r="AK14" s="33"/>
    </row>
    <row r="15" spans="1:43" ht="7.5" customHeight="1">
      <c r="A15" s="33"/>
      <c r="B15" s="32"/>
      <c r="C15" s="21"/>
      <c r="D15" s="26"/>
      <c r="E15" s="27"/>
      <c r="F15" s="32"/>
      <c r="G15" s="21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7"/>
      <c r="AF15" s="33"/>
      <c r="AG15" s="33"/>
      <c r="AH15" s="33"/>
      <c r="AI15" s="33"/>
      <c r="AJ15" s="33"/>
      <c r="AK15" s="33"/>
    </row>
    <row r="16" spans="1:43">
      <c r="A16" s="33"/>
      <c r="B16" s="32"/>
      <c r="C16" s="21"/>
      <c r="D16" s="26"/>
      <c r="E16" s="27"/>
      <c r="F16" s="32"/>
      <c r="G16" s="21"/>
      <c r="H16" s="26"/>
      <c r="I16" s="26"/>
      <c r="J16" s="26"/>
      <c r="K16" s="26"/>
      <c r="L16" s="26"/>
      <c r="M16" s="26"/>
      <c r="N16" s="26"/>
      <c r="O16" s="26"/>
      <c r="P16" s="6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7"/>
      <c r="AF16" s="33"/>
      <c r="AG16" s="33"/>
      <c r="AH16" s="33"/>
      <c r="AI16" s="33"/>
      <c r="AJ16" s="33"/>
      <c r="AK16" s="33"/>
    </row>
    <row r="17" spans="1:37" ht="7.5" customHeight="1">
      <c r="A17" s="33"/>
      <c r="B17" s="32"/>
      <c r="C17" s="21"/>
      <c r="D17" s="26"/>
      <c r="E17" s="27"/>
      <c r="F17" s="32"/>
      <c r="G17" s="21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7"/>
      <c r="AF17" s="33"/>
      <c r="AG17" s="33"/>
      <c r="AH17" s="33"/>
      <c r="AI17" s="33"/>
      <c r="AJ17" s="33"/>
      <c r="AK17" s="33"/>
    </row>
    <row r="18" spans="1:37">
      <c r="A18" s="33"/>
      <c r="B18" s="32"/>
      <c r="C18" s="21"/>
      <c r="D18" s="26"/>
      <c r="E18" s="27"/>
      <c r="F18" s="32"/>
      <c r="G18" s="21"/>
      <c r="H18" s="26"/>
      <c r="I18" s="26"/>
      <c r="J18" s="26"/>
      <c r="K18" s="26"/>
      <c r="L18" s="26"/>
      <c r="M18" s="26"/>
      <c r="N18" s="26"/>
      <c r="O18" s="26"/>
      <c r="P18" s="6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7"/>
      <c r="AF18" s="33"/>
      <c r="AG18" s="33"/>
      <c r="AH18" s="33"/>
      <c r="AI18" s="33"/>
      <c r="AJ18" s="33"/>
      <c r="AK18" s="33"/>
    </row>
    <row r="19" spans="1:37" ht="7.5" customHeight="1">
      <c r="A19" s="33"/>
      <c r="B19" s="32"/>
      <c r="C19" s="21"/>
      <c r="D19" s="26"/>
      <c r="E19" s="27"/>
      <c r="F19" s="32"/>
      <c r="G19" s="21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7"/>
      <c r="AF19" s="33"/>
      <c r="AG19" s="33"/>
      <c r="AH19" s="33"/>
      <c r="AI19" s="33"/>
      <c r="AJ19" s="33"/>
      <c r="AK19" s="33"/>
    </row>
    <row r="20" spans="1:37" ht="15.75">
      <c r="A20" s="31"/>
      <c r="B20" s="32"/>
      <c r="C20" s="21"/>
      <c r="D20" s="26"/>
      <c r="E20" s="27"/>
      <c r="F20" s="32"/>
      <c r="G20" s="21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7"/>
      <c r="AF20" s="33"/>
      <c r="AG20" s="33"/>
      <c r="AH20" s="33"/>
      <c r="AI20" s="33"/>
      <c r="AJ20" s="33"/>
      <c r="AK20" s="33"/>
    </row>
    <row r="21" spans="1:37" ht="7.5" customHeight="1">
      <c r="A21" s="33"/>
      <c r="B21" s="32"/>
      <c r="C21" s="21"/>
      <c r="D21" s="26"/>
      <c r="E21" s="27"/>
      <c r="F21" s="32"/>
      <c r="G21" s="21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7"/>
      <c r="AF21" s="33"/>
      <c r="AG21" s="33"/>
      <c r="AH21" s="33"/>
      <c r="AI21" s="33"/>
      <c r="AJ21" s="33"/>
      <c r="AK21" s="33"/>
    </row>
    <row r="22" spans="1:37">
      <c r="A22" s="33"/>
      <c r="B22" s="32"/>
      <c r="C22" s="21"/>
      <c r="D22" s="26"/>
      <c r="E22" s="27"/>
      <c r="F22" s="32"/>
      <c r="G22" s="21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7"/>
      <c r="AF22" s="33"/>
      <c r="AG22" s="33"/>
      <c r="AH22" s="33"/>
      <c r="AI22" s="33"/>
      <c r="AJ22" s="33"/>
      <c r="AK22" s="33"/>
    </row>
    <row r="23" spans="1:37" ht="7.5" customHeight="1">
      <c r="A23" s="33"/>
      <c r="B23" s="32"/>
      <c r="C23" s="21"/>
      <c r="D23" s="26"/>
      <c r="E23" s="27"/>
      <c r="F23" s="32"/>
      <c r="G23" s="21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7"/>
      <c r="AF23" s="33"/>
      <c r="AG23" s="33"/>
      <c r="AH23" s="33"/>
      <c r="AI23" s="33"/>
      <c r="AJ23" s="33"/>
      <c r="AK23" s="33"/>
    </row>
    <row r="24" spans="1:37">
      <c r="A24" s="33"/>
      <c r="B24" s="32"/>
      <c r="C24" s="19"/>
      <c r="D24" s="28"/>
      <c r="E24" s="29"/>
      <c r="F24" s="32"/>
      <c r="G24" s="19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9"/>
      <c r="AF24" s="33"/>
      <c r="AG24" s="33"/>
      <c r="AH24" s="33"/>
      <c r="AI24" s="33"/>
      <c r="AJ24" s="33"/>
      <c r="AK24" s="33"/>
    </row>
    <row r="25" spans="1:37" ht="7.5" customHeight="1">
      <c r="A25" s="33"/>
      <c r="B25" s="32"/>
      <c r="C25" s="33"/>
      <c r="D25" s="33"/>
      <c r="E25" s="33"/>
      <c r="F25" s="32"/>
      <c r="G25" s="33"/>
      <c r="H25" s="32"/>
      <c r="I25" s="33"/>
      <c r="J25" s="35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33"/>
      <c r="AG25" s="33"/>
      <c r="AH25" s="33"/>
    </row>
    <row r="26" spans="1:37" ht="15.75" customHeight="1">
      <c r="A26" s="33"/>
      <c r="B26" s="32"/>
      <c r="C26" s="107" t="s">
        <v>3</v>
      </c>
      <c r="D26" s="107"/>
      <c r="E26" s="107"/>
      <c r="F26" s="107"/>
      <c r="G26" s="33"/>
      <c r="H26" s="32"/>
      <c r="I26" s="33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3"/>
      <c r="AG26" s="33"/>
      <c r="AH26" s="33"/>
    </row>
    <row r="27" spans="1:37" ht="7.5" customHeight="1">
      <c r="A27" s="33"/>
      <c r="B27" s="32"/>
      <c r="C27" s="108"/>
      <c r="D27" s="108"/>
      <c r="E27" s="108"/>
      <c r="F27" s="102"/>
      <c r="G27" s="33"/>
      <c r="H27" s="32"/>
      <c r="I27" s="33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7"/>
      <c r="AG27" s="17"/>
      <c r="AH27" s="17"/>
    </row>
    <row r="28" spans="1:37" ht="16.5" thickBot="1">
      <c r="A28" s="33"/>
      <c r="B28" s="32"/>
      <c r="C28" s="18" t="s">
        <v>92</v>
      </c>
      <c r="D28" s="22"/>
      <c r="E28" s="41"/>
      <c r="F28" s="81"/>
      <c r="G28" s="18" t="s">
        <v>94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31"/>
      <c r="AG28" s="31"/>
      <c r="AH28" s="31"/>
    </row>
    <row r="29" spans="1:37" ht="7.5" customHeight="1">
      <c r="A29" s="33"/>
      <c r="B29" s="32"/>
      <c r="C29" s="20"/>
      <c r="D29" s="24"/>
      <c r="E29" s="24"/>
      <c r="F29" s="81"/>
      <c r="G29" s="20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33"/>
      <c r="AG29" s="33"/>
      <c r="AH29" s="33"/>
    </row>
    <row r="30" spans="1:37" ht="15.75">
      <c r="A30" s="33"/>
      <c r="B30" s="32"/>
      <c r="C30" s="21"/>
      <c r="D30" s="77"/>
      <c r="E30" s="77"/>
      <c r="F30" s="81"/>
      <c r="G30" s="21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7"/>
      <c r="AF30" s="33"/>
      <c r="AG30" s="33"/>
      <c r="AH30" s="33"/>
    </row>
    <row r="31" spans="1:37" ht="7.5" customHeight="1">
      <c r="A31" s="33"/>
      <c r="B31" s="32"/>
      <c r="C31" s="21"/>
      <c r="D31" s="26"/>
      <c r="E31" s="26"/>
      <c r="F31" s="81"/>
      <c r="G31" s="21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7"/>
      <c r="AF31" s="33"/>
      <c r="AG31" s="33"/>
      <c r="AH31" s="33"/>
    </row>
    <row r="32" spans="1:37" ht="15.75">
      <c r="A32" s="31"/>
      <c r="B32" s="32"/>
      <c r="C32" s="21"/>
      <c r="D32" s="26"/>
      <c r="E32" s="26"/>
      <c r="F32" s="81"/>
      <c r="G32" s="21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7"/>
      <c r="AF32" s="33"/>
      <c r="AG32" s="33"/>
      <c r="AH32" s="33"/>
    </row>
    <row r="33" spans="1:34" ht="7.5" customHeight="1">
      <c r="A33" s="33"/>
      <c r="B33" s="32"/>
      <c r="C33" s="21"/>
      <c r="D33" s="26"/>
      <c r="E33" s="26"/>
      <c r="F33" s="81"/>
      <c r="G33" s="21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7"/>
      <c r="AF33" s="33"/>
      <c r="AG33" s="33"/>
      <c r="AH33" s="33"/>
    </row>
    <row r="34" spans="1:34">
      <c r="A34" s="33"/>
      <c r="B34" s="32"/>
      <c r="C34" s="21"/>
      <c r="D34" s="26"/>
      <c r="E34" s="26"/>
      <c r="F34" s="81"/>
      <c r="G34" s="21"/>
      <c r="H34" s="26"/>
      <c r="I34" s="26"/>
      <c r="J34" s="26"/>
      <c r="K34" s="26"/>
      <c r="L34" s="26"/>
      <c r="M34" s="26"/>
      <c r="N34" s="26"/>
      <c r="O34" s="26"/>
      <c r="P34" s="6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7"/>
      <c r="AF34" s="33"/>
      <c r="AG34" s="33"/>
      <c r="AH34" s="33"/>
    </row>
    <row r="35" spans="1:34" ht="7.5" customHeight="1">
      <c r="A35" s="33"/>
      <c r="B35" s="32"/>
      <c r="C35" s="21"/>
      <c r="D35" s="26"/>
      <c r="E35" s="26"/>
      <c r="F35" s="81"/>
      <c r="G35" s="21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7"/>
      <c r="AF35" s="33"/>
      <c r="AG35" s="33"/>
      <c r="AH35" s="33"/>
    </row>
    <row r="36" spans="1:34">
      <c r="A36" s="33"/>
      <c r="B36" s="32"/>
      <c r="C36" s="21"/>
      <c r="D36" s="26"/>
      <c r="E36" s="26"/>
      <c r="F36" s="81"/>
      <c r="G36" s="21"/>
      <c r="H36" s="26"/>
      <c r="I36" s="26"/>
      <c r="J36" s="26"/>
      <c r="K36" s="26"/>
      <c r="L36" s="26"/>
      <c r="M36" s="26"/>
      <c r="N36" s="26"/>
      <c r="O36" s="26"/>
      <c r="P36" s="6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7"/>
      <c r="AF36" s="33"/>
      <c r="AG36" s="33"/>
      <c r="AH36" s="33"/>
    </row>
    <row r="37" spans="1:34" ht="7.5" customHeight="1">
      <c r="A37" s="33"/>
      <c r="B37" s="32"/>
      <c r="C37" s="21"/>
      <c r="D37" s="26"/>
      <c r="E37" s="26"/>
      <c r="F37" s="81"/>
      <c r="G37" s="21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33"/>
      <c r="AG37" s="33"/>
      <c r="AH37" s="33"/>
    </row>
    <row r="38" spans="1:34">
      <c r="A38" s="33"/>
      <c r="B38" s="32"/>
      <c r="C38" s="21"/>
      <c r="D38" s="26"/>
      <c r="E38" s="26"/>
      <c r="F38" s="81"/>
      <c r="G38" s="21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7"/>
      <c r="AF38" s="33"/>
      <c r="AG38" s="33"/>
      <c r="AH38" s="33"/>
    </row>
    <row r="39" spans="1:34" ht="7.5" customHeight="1">
      <c r="A39" s="33"/>
      <c r="B39" s="32"/>
      <c r="C39" s="21"/>
      <c r="D39" s="26"/>
      <c r="E39" s="26"/>
      <c r="F39" s="81"/>
      <c r="G39" s="21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7"/>
      <c r="AF39" s="33"/>
      <c r="AG39" s="33"/>
      <c r="AH39" s="33"/>
    </row>
    <row r="40" spans="1:34">
      <c r="A40" s="33"/>
      <c r="B40" s="32"/>
      <c r="C40" s="21"/>
      <c r="D40" s="26"/>
      <c r="E40" s="26"/>
      <c r="F40" s="81"/>
      <c r="G40" s="21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7"/>
      <c r="AF40" s="33"/>
      <c r="AG40" s="33"/>
      <c r="AH40" s="33"/>
    </row>
    <row r="41" spans="1:34" ht="7.5" customHeight="1">
      <c r="A41" s="33"/>
      <c r="B41" s="32"/>
      <c r="C41" s="21"/>
      <c r="D41" s="26"/>
      <c r="E41" s="26"/>
      <c r="F41" s="81"/>
      <c r="G41" s="21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7"/>
      <c r="AF41" s="33"/>
      <c r="AG41" s="33"/>
      <c r="AH41" s="33"/>
    </row>
    <row r="42" spans="1:34">
      <c r="A42" s="33"/>
      <c r="B42" s="32"/>
      <c r="C42" s="19"/>
      <c r="D42" s="28"/>
      <c r="E42" s="28"/>
      <c r="F42" s="81"/>
      <c r="G42" s="19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9"/>
      <c r="AF42" s="33"/>
      <c r="AG42" s="33"/>
      <c r="AH42" s="33"/>
    </row>
    <row r="43" spans="1:34" ht="7.5" customHeight="1">
      <c r="A43" s="33"/>
      <c r="B43" s="32"/>
      <c r="C43" s="33"/>
      <c r="D43" s="33"/>
      <c r="E43" s="33"/>
      <c r="F43" s="32"/>
      <c r="G43" s="33"/>
      <c r="H43" s="32"/>
      <c r="I43" s="33"/>
      <c r="J43" s="35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33"/>
      <c r="AG43" s="33"/>
      <c r="AH43" s="33"/>
    </row>
    <row r="44" spans="1:34" ht="15.75" customHeight="1">
      <c r="A44" s="31"/>
      <c r="B44" s="32"/>
      <c r="C44" s="107" t="s">
        <v>95</v>
      </c>
      <c r="D44" s="107"/>
      <c r="E44" s="107"/>
      <c r="F44" s="107"/>
      <c r="G44" s="33"/>
      <c r="H44" s="32"/>
      <c r="I44" s="33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3"/>
      <c r="AG44" s="33"/>
      <c r="AH44" s="33"/>
    </row>
    <row r="45" spans="1:34" ht="7.5" customHeight="1">
      <c r="A45" s="33"/>
      <c r="B45" s="32"/>
      <c r="C45" s="108"/>
      <c r="D45" s="108"/>
      <c r="E45" s="108"/>
      <c r="F45" s="102"/>
      <c r="G45" s="33"/>
      <c r="H45" s="32"/>
      <c r="I45" s="33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17"/>
      <c r="AG45" s="33"/>
      <c r="AH45" s="33"/>
    </row>
    <row r="46" spans="1:34" ht="16.5" thickBot="1">
      <c r="A46" s="33"/>
      <c r="B46" s="32"/>
      <c r="C46" s="18" t="s">
        <v>92</v>
      </c>
      <c r="D46" s="22"/>
      <c r="E46" s="41"/>
      <c r="F46" s="80"/>
      <c r="G46" s="18" t="s">
        <v>94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3"/>
      <c r="AF46" s="31"/>
      <c r="AG46" s="33"/>
      <c r="AH46" s="33"/>
    </row>
    <row r="47" spans="1:34" ht="7.5" customHeight="1">
      <c r="A47" s="33"/>
      <c r="B47" s="32"/>
      <c r="C47" s="20"/>
      <c r="D47" s="24"/>
      <c r="E47" s="24"/>
      <c r="F47" s="80"/>
      <c r="G47" s="20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5"/>
      <c r="AF47" s="33"/>
      <c r="AG47" s="17"/>
      <c r="AH47" s="17"/>
    </row>
    <row r="48" spans="1:34" ht="15.75">
      <c r="A48" s="33"/>
      <c r="B48" s="32"/>
      <c r="C48" s="21"/>
      <c r="D48" s="77"/>
      <c r="E48" s="77"/>
      <c r="F48" s="80"/>
      <c r="G48" s="21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33"/>
      <c r="AG48" s="31"/>
      <c r="AH48" s="31"/>
    </row>
    <row r="49" spans="1:34" ht="7.5" customHeight="1">
      <c r="A49" s="33"/>
      <c r="B49" s="32"/>
      <c r="C49" s="21"/>
      <c r="D49" s="26"/>
      <c r="E49" s="26"/>
      <c r="F49" s="80"/>
      <c r="G49" s="21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33"/>
      <c r="AG49" s="33"/>
      <c r="AH49" s="33"/>
    </row>
    <row r="50" spans="1:34">
      <c r="A50" s="33"/>
      <c r="B50" s="32"/>
      <c r="C50" s="21"/>
      <c r="D50" s="26"/>
      <c r="E50" s="26"/>
      <c r="F50" s="80"/>
      <c r="G50" s="21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33"/>
      <c r="AG50" s="33"/>
      <c r="AH50" s="33"/>
    </row>
    <row r="51" spans="1:34" ht="7.5" customHeight="1">
      <c r="A51" s="33"/>
      <c r="B51" s="32"/>
      <c r="C51" s="21"/>
      <c r="D51" s="26"/>
      <c r="E51" s="26"/>
      <c r="F51" s="80"/>
      <c r="G51" s="21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33"/>
      <c r="AG51" s="33"/>
      <c r="AH51" s="33"/>
    </row>
    <row r="52" spans="1:34">
      <c r="A52" s="33"/>
      <c r="B52" s="32"/>
      <c r="C52" s="21"/>
      <c r="D52" s="26"/>
      <c r="E52" s="26"/>
      <c r="F52" s="80"/>
      <c r="G52" s="21"/>
      <c r="H52" s="26"/>
      <c r="I52" s="26"/>
      <c r="J52" s="26"/>
      <c r="K52" s="26"/>
      <c r="L52" s="26"/>
      <c r="M52" s="26"/>
      <c r="N52" s="26"/>
      <c r="O52" s="26"/>
      <c r="P52" s="6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33"/>
      <c r="AG52" s="33"/>
      <c r="AH52" s="33"/>
    </row>
    <row r="53" spans="1:34" ht="7.5" customHeight="1">
      <c r="A53" s="33"/>
      <c r="B53" s="32"/>
      <c r="C53" s="21"/>
      <c r="D53" s="26"/>
      <c r="E53" s="26"/>
      <c r="F53" s="80"/>
      <c r="G53" s="21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33"/>
      <c r="AG53" s="33"/>
      <c r="AH53" s="33"/>
    </row>
    <row r="54" spans="1:34">
      <c r="A54" s="33"/>
      <c r="B54" s="32"/>
      <c r="C54" s="21"/>
      <c r="D54" s="26"/>
      <c r="E54" s="26"/>
      <c r="F54" s="80"/>
      <c r="G54" s="21"/>
      <c r="H54" s="26"/>
      <c r="I54" s="26"/>
      <c r="J54" s="26"/>
      <c r="K54" s="26"/>
      <c r="L54" s="26"/>
      <c r="M54" s="26"/>
      <c r="N54" s="26"/>
      <c r="O54" s="26"/>
      <c r="P54" s="6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33"/>
      <c r="AG54" s="33"/>
      <c r="AH54" s="33"/>
    </row>
    <row r="55" spans="1:34" ht="7.5" customHeight="1">
      <c r="A55" s="33"/>
      <c r="B55" s="32"/>
      <c r="C55" s="21"/>
      <c r="D55" s="26"/>
      <c r="E55" s="26"/>
      <c r="F55" s="80"/>
      <c r="G55" s="21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33"/>
      <c r="AG55" s="33"/>
      <c r="AH55" s="33"/>
    </row>
    <row r="56" spans="1:34" ht="15.75">
      <c r="A56" s="31"/>
      <c r="B56" s="32"/>
      <c r="C56" s="21"/>
      <c r="D56" s="26"/>
      <c r="E56" s="26"/>
      <c r="F56" s="80"/>
      <c r="G56" s="21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33"/>
      <c r="AG56" s="33"/>
      <c r="AH56" s="33"/>
    </row>
    <row r="57" spans="1:34" ht="7.5" customHeight="1">
      <c r="A57" s="33"/>
      <c r="B57" s="32"/>
      <c r="C57" s="21"/>
      <c r="D57" s="26"/>
      <c r="E57" s="26"/>
      <c r="F57" s="80"/>
      <c r="G57" s="21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33"/>
      <c r="AG57" s="33"/>
      <c r="AH57" s="33"/>
    </row>
    <row r="58" spans="1:34">
      <c r="A58" s="33"/>
      <c r="B58" s="32"/>
      <c r="C58" s="21"/>
      <c r="D58" s="26"/>
      <c r="E58" s="26"/>
      <c r="F58" s="80"/>
      <c r="G58" s="21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33"/>
      <c r="AG58" s="33"/>
      <c r="AH58" s="33"/>
    </row>
    <row r="59" spans="1:34" ht="7.5" customHeight="1">
      <c r="A59" s="33"/>
      <c r="B59" s="32"/>
      <c r="C59" s="21"/>
      <c r="D59" s="26"/>
      <c r="E59" s="26"/>
      <c r="F59" s="80"/>
      <c r="G59" s="21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33"/>
      <c r="AG59" s="33"/>
      <c r="AH59" s="33"/>
    </row>
    <row r="60" spans="1:34">
      <c r="A60" s="33"/>
      <c r="B60" s="32"/>
      <c r="C60" s="19"/>
      <c r="D60" s="28"/>
      <c r="E60" s="28"/>
      <c r="F60" s="80"/>
      <c r="G60" s="19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9"/>
      <c r="AF60" s="33"/>
      <c r="AG60" s="33"/>
      <c r="AH60" s="33"/>
    </row>
    <row r="61" spans="1:34" ht="7.5" customHeight="1">
      <c r="A61" s="33"/>
      <c r="B61" s="32"/>
      <c r="C61" s="33"/>
      <c r="D61" s="33"/>
      <c r="E61" s="33"/>
      <c r="F61" s="32"/>
      <c r="G61" s="33"/>
      <c r="H61" s="32"/>
      <c r="I61" s="33"/>
      <c r="J61" s="35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33"/>
      <c r="AG61" s="33"/>
      <c r="AH61" s="33"/>
    </row>
    <row r="62" spans="1:34" ht="15.75" customHeight="1">
      <c r="A62" s="33"/>
      <c r="C62" s="107" t="s">
        <v>10</v>
      </c>
      <c r="D62" s="107"/>
      <c r="E62" s="107"/>
      <c r="F62" s="107"/>
      <c r="G62" s="33"/>
      <c r="H62" s="32"/>
      <c r="I62" s="33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3"/>
      <c r="AG62" s="33"/>
      <c r="AH62" s="33"/>
    </row>
    <row r="63" spans="1:34" ht="7.5" customHeight="1">
      <c r="A63" s="33"/>
      <c r="C63" s="108"/>
      <c r="D63" s="108"/>
      <c r="E63" s="108"/>
      <c r="F63" s="102"/>
      <c r="G63" s="33"/>
      <c r="H63" s="32"/>
      <c r="I63" s="33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33"/>
      <c r="AG63" s="33"/>
      <c r="AH63" s="33"/>
    </row>
    <row r="64" spans="1:34" ht="16.5" thickBot="1">
      <c r="A64" s="33"/>
      <c r="C64" s="18" t="s">
        <v>92</v>
      </c>
      <c r="D64" s="22"/>
      <c r="E64" s="41"/>
      <c r="F64" s="80"/>
      <c r="G64" s="18" t="s">
        <v>94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3"/>
      <c r="AB64" s="37"/>
      <c r="AC64" s="18" t="s">
        <v>12</v>
      </c>
      <c r="AD64" s="22"/>
      <c r="AE64" s="23"/>
      <c r="AF64" s="33"/>
      <c r="AG64" s="33"/>
      <c r="AH64" s="33"/>
    </row>
    <row r="65" spans="1:34" ht="7.5" customHeight="1">
      <c r="A65" s="33"/>
      <c r="C65" s="20"/>
      <c r="D65" s="24"/>
      <c r="E65" s="24"/>
      <c r="F65" s="80"/>
      <c r="G65" s="20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5"/>
      <c r="AB65" s="38"/>
      <c r="AC65" s="20"/>
      <c r="AD65" s="24"/>
      <c r="AE65" s="25"/>
      <c r="AF65" s="33"/>
      <c r="AG65" s="33"/>
      <c r="AH65" s="33"/>
    </row>
    <row r="66" spans="1:34" ht="15.75">
      <c r="A66" s="33"/>
      <c r="C66" s="21"/>
      <c r="D66" s="77"/>
      <c r="E66" s="77"/>
      <c r="F66" s="80"/>
      <c r="G66" s="21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7"/>
      <c r="AB66" s="38"/>
      <c r="AC66" s="109" t="str">
        <f>TEXT(Data!BK2,"0.00")&amp; " Weeks"</f>
        <v>7.33 Weeks</v>
      </c>
      <c r="AD66" s="110"/>
      <c r="AE66" s="111"/>
      <c r="AF66" s="33"/>
      <c r="AG66" s="33"/>
      <c r="AH66" s="33"/>
    </row>
    <row r="67" spans="1:34" ht="7.5" customHeight="1">
      <c r="A67" s="33"/>
      <c r="C67" s="21"/>
      <c r="D67" s="26"/>
      <c r="E67" s="26"/>
      <c r="F67" s="80"/>
      <c r="G67" s="21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7"/>
      <c r="AB67" s="38"/>
      <c r="AC67" s="109"/>
      <c r="AD67" s="110"/>
      <c r="AE67" s="111"/>
      <c r="AF67" s="17"/>
      <c r="AG67" s="17"/>
      <c r="AH67" s="17"/>
    </row>
    <row r="68" spans="1:34" ht="15.75">
      <c r="A68" s="33"/>
      <c r="C68" s="21"/>
      <c r="D68" s="26"/>
      <c r="E68" s="26"/>
      <c r="F68" s="80"/>
      <c r="G68" s="21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7"/>
      <c r="AB68" s="38"/>
      <c r="AC68" s="109"/>
      <c r="AD68" s="110"/>
      <c r="AE68" s="111"/>
      <c r="AF68" s="31"/>
      <c r="AG68" s="31"/>
      <c r="AH68" s="31"/>
    </row>
    <row r="69" spans="1:34" ht="7.5" customHeight="1">
      <c r="A69" s="33"/>
      <c r="C69" s="21"/>
      <c r="D69" s="26"/>
      <c r="E69" s="26"/>
      <c r="F69" s="80"/>
      <c r="G69" s="21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7"/>
      <c r="AB69" s="38"/>
      <c r="AC69" s="21"/>
      <c r="AD69" s="26"/>
      <c r="AE69" s="27"/>
      <c r="AF69" s="33"/>
      <c r="AG69" s="33"/>
      <c r="AH69" s="33"/>
    </row>
    <row r="70" spans="1:34">
      <c r="A70" s="33"/>
      <c r="C70" s="21"/>
      <c r="D70" s="26"/>
      <c r="E70" s="26"/>
      <c r="F70" s="80"/>
      <c r="G70" s="21"/>
      <c r="H70" s="26"/>
      <c r="I70" s="26"/>
      <c r="J70" s="26"/>
      <c r="K70" s="26"/>
      <c r="L70" s="26"/>
      <c r="M70" s="26"/>
      <c r="N70" s="26"/>
      <c r="O70" s="26"/>
      <c r="P70" s="6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7"/>
      <c r="AB70" s="38"/>
      <c r="AC70" s="21"/>
      <c r="AD70" s="26"/>
      <c r="AE70" s="27"/>
      <c r="AF70" s="33"/>
      <c r="AG70" s="33"/>
      <c r="AH70" s="33"/>
    </row>
    <row r="71" spans="1:34" ht="7.5" customHeight="1">
      <c r="A71" s="33"/>
      <c r="C71" s="21"/>
      <c r="D71" s="26"/>
      <c r="E71" s="26"/>
      <c r="F71" s="80"/>
      <c r="G71" s="21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7"/>
      <c r="AB71" s="38"/>
      <c r="AC71" s="21"/>
      <c r="AD71" s="26"/>
      <c r="AE71" s="27"/>
      <c r="AF71" s="33"/>
      <c r="AG71" s="33"/>
      <c r="AH71" s="33"/>
    </row>
    <row r="72" spans="1:34">
      <c r="A72" s="33"/>
      <c r="C72" s="21"/>
      <c r="D72" s="26"/>
      <c r="E72" s="26"/>
      <c r="F72" s="80"/>
      <c r="G72" s="21"/>
      <c r="H72" s="26"/>
      <c r="I72" s="26"/>
      <c r="J72" s="26"/>
      <c r="K72" s="26"/>
      <c r="L72" s="26"/>
      <c r="M72" s="26"/>
      <c r="N72" s="26"/>
      <c r="O72" s="26"/>
      <c r="P72" s="6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7"/>
      <c r="AB72" s="38"/>
      <c r="AC72" s="21"/>
      <c r="AD72" s="26"/>
      <c r="AE72" s="27"/>
      <c r="AF72" s="33"/>
      <c r="AG72" s="33"/>
      <c r="AH72" s="33"/>
    </row>
    <row r="73" spans="1:34" ht="7.5" customHeight="1">
      <c r="A73" s="33"/>
      <c r="C73" s="21"/>
      <c r="D73" s="26"/>
      <c r="E73" s="26"/>
      <c r="F73" s="80"/>
      <c r="G73" s="21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7"/>
      <c r="AB73" s="38"/>
      <c r="AC73" s="21"/>
      <c r="AD73" s="26"/>
      <c r="AE73" s="27"/>
      <c r="AF73" s="33"/>
      <c r="AG73" s="33"/>
      <c r="AH73" s="33"/>
    </row>
    <row r="74" spans="1:34">
      <c r="A74" s="33"/>
      <c r="C74" s="21"/>
      <c r="D74" s="26"/>
      <c r="E74" s="26"/>
      <c r="F74" s="80"/>
      <c r="G74" s="21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7"/>
      <c r="AB74" s="38"/>
      <c r="AC74" s="21"/>
      <c r="AD74" s="26"/>
      <c r="AE74" s="27"/>
      <c r="AF74" s="33"/>
      <c r="AG74" s="33"/>
      <c r="AH74" s="33"/>
    </row>
    <row r="75" spans="1:34" ht="7.5" customHeight="1">
      <c r="A75" s="33"/>
      <c r="C75" s="21"/>
      <c r="D75" s="26"/>
      <c r="E75" s="26"/>
      <c r="F75" s="80"/>
      <c r="G75" s="21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7"/>
      <c r="AB75" s="38"/>
      <c r="AC75" s="21"/>
      <c r="AD75" s="26"/>
      <c r="AE75" s="27"/>
      <c r="AF75" s="33"/>
      <c r="AG75" s="33"/>
      <c r="AH75" s="33"/>
    </row>
    <row r="76" spans="1:34">
      <c r="A76" s="33"/>
      <c r="C76" s="21"/>
      <c r="D76" s="26"/>
      <c r="E76" s="26"/>
      <c r="F76" s="80"/>
      <c r="G76" s="21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7"/>
      <c r="AB76" s="38"/>
      <c r="AC76" s="21"/>
      <c r="AD76" s="26"/>
      <c r="AE76" s="27"/>
      <c r="AF76" s="33"/>
      <c r="AG76" s="33"/>
      <c r="AH76" s="33"/>
    </row>
    <row r="77" spans="1:34" ht="7.5" customHeight="1">
      <c r="A77" s="33"/>
      <c r="C77" s="21"/>
      <c r="D77" s="26"/>
      <c r="E77" s="26"/>
      <c r="F77" s="80"/>
      <c r="G77" s="21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7"/>
      <c r="AB77" s="38"/>
      <c r="AC77" s="21"/>
      <c r="AD77" s="26"/>
      <c r="AE77" s="27"/>
      <c r="AF77" s="33"/>
      <c r="AG77" s="33"/>
      <c r="AH77" s="33"/>
    </row>
    <row r="78" spans="1:34">
      <c r="A78" s="33"/>
      <c r="C78" s="19"/>
      <c r="D78" s="28"/>
      <c r="E78" s="28"/>
      <c r="F78" s="80"/>
      <c r="G78" s="19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9"/>
      <c r="AB78" s="38"/>
      <c r="AC78" s="19"/>
      <c r="AD78" s="28"/>
      <c r="AE78" s="29"/>
      <c r="AF78" s="33"/>
      <c r="AG78" s="33"/>
      <c r="AH78" s="33"/>
    </row>
    <row r="79" spans="1:34" ht="7.5" customHeight="1">
      <c r="A79" s="33"/>
      <c r="C79" s="33"/>
      <c r="D79" s="33"/>
      <c r="E79" s="33"/>
      <c r="F79" s="32"/>
      <c r="G79" s="33"/>
      <c r="H79" s="35"/>
      <c r="I79" s="33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33"/>
      <c r="AG79" s="33"/>
      <c r="AH79" s="33"/>
    </row>
    <row r="80" spans="1:34" ht="15.75" customHeight="1">
      <c r="A80" s="33"/>
      <c r="C80" s="107" t="s">
        <v>11</v>
      </c>
      <c r="D80" s="107"/>
      <c r="E80" s="107"/>
      <c r="F80" s="107"/>
      <c r="G80" s="33"/>
      <c r="H80" s="32"/>
      <c r="I80" s="33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3"/>
      <c r="AG80" s="33"/>
      <c r="AH80" s="33"/>
    </row>
    <row r="81" spans="1:34" ht="7.5" customHeight="1">
      <c r="A81" s="33"/>
      <c r="C81" s="108"/>
      <c r="D81" s="108"/>
      <c r="E81" s="108"/>
      <c r="F81" s="102"/>
      <c r="G81" s="33"/>
      <c r="H81" s="32"/>
      <c r="I81" s="33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17"/>
      <c r="AG81" s="33"/>
      <c r="AH81" s="33"/>
    </row>
    <row r="82" spans="1:34" ht="16.5" thickBot="1">
      <c r="A82" s="33"/>
      <c r="C82" s="18" t="s">
        <v>92</v>
      </c>
      <c r="D82" s="22"/>
      <c r="E82" s="41"/>
      <c r="F82" s="80"/>
      <c r="G82" s="18" t="s">
        <v>94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3"/>
      <c r="AF82" s="31"/>
      <c r="AG82" s="33"/>
      <c r="AH82" s="33"/>
    </row>
    <row r="83" spans="1:34" ht="7.5" customHeight="1">
      <c r="A83" s="33"/>
      <c r="C83" s="20"/>
      <c r="D83" s="24"/>
      <c r="E83" s="24"/>
      <c r="F83" s="80"/>
      <c r="G83" s="20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5"/>
      <c r="AF83" s="33"/>
      <c r="AG83" s="33"/>
      <c r="AH83" s="33"/>
    </row>
    <row r="84" spans="1:34" ht="15.75">
      <c r="A84" s="33"/>
      <c r="C84" s="21"/>
      <c r="D84" s="77"/>
      <c r="E84" s="77"/>
      <c r="F84" s="80"/>
      <c r="G84" s="21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7"/>
      <c r="AF84" s="33"/>
      <c r="AG84" s="33"/>
      <c r="AH84" s="33"/>
    </row>
    <row r="85" spans="1:34" ht="7.5" customHeight="1">
      <c r="A85" s="33"/>
      <c r="C85" s="21"/>
      <c r="D85" s="26"/>
      <c r="E85" s="26"/>
      <c r="F85" s="80"/>
      <c r="G85" s="21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7"/>
      <c r="AF85" s="33"/>
      <c r="AG85" s="33"/>
      <c r="AH85" s="33"/>
    </row>
    <row r="86" spans="1:34">
      <c r="A86" s="33"/>
      <c r="C86" s="21"/>
      <c r="D86" s="26"/>
      <c r="E86" s="26"/>
      <c r="F86" s="80"/>
      <c r="G86" s="21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7"/>
      <c r="AF86" s="33"/>
      <c r="AG86" s="33"/>
      <c r="AH86" s="33"/>
    </row>
    <row r="87" spans="1:34" ht="7.5" customHeight="1">
      <c r="A87" s="33"/>
      <c r="C87" s="21"/>
      <c r="D87" s="26"/>
      <c r="E87" s="26"/>
      <c r="F87" s="80"/>
      <c r="G87" s="21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7"/>
      <c r="AF87" s="33"/>
      <c r="AG87" s="17"/>
      <c r="AH87" s="17"/>
    </row>
    <row r="88" spans="1:34" ht="15.75">
      <c r="A88" s="33"/>
      <c r="C88" s="21"/>
      <c r="D88" s="26"/>
      <c r="E88" s="26"/>
      <c r="F88" s="80"/>
      <c r="G88" s="21"/>
      <c r="H88" s="26"/>
      <c r="I88" s="26"/>
      <c r="J88" s="26"/>
      <c r="K88" s="26"/>
      <c r="L88" s="26"/>
      <c r="M88" s="26"/>
      <c r="N88" s="26"/>
      <c r="O88" s="26"/>
      <c r="P88" s="6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7"/>
      <c r="AF88" s="33"/>
      <c r="AG88" s="31"/>
      <c r="AH88" s="31"/>
    </row>
    <row r="89" spans="1:34" ht="7.5" customHeight="1">
      <c r="A89" s="33"/>
      <c r="C89" s="21"/>
      <c r="D89" s="26"/>
      <c r="E89" s="26"/>
      <c r="F89" s="80"/>
      <c r="G89" s="21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7"/>
      <c r="AF89" s="33"/>
      <c r="AG89" s="33"/>
      <c r="AH89" s="33"/>
    </row>
    <row r="90" spans="1:34">
      <c r="A90" s="33"/>
      <c r="C90" s="21"/>
      <c r="D90" s="26"/>
      <c r="E90" s="26"/>
      <c r="F90" s="80"/>
      <c r="G90" s="21"/>
      <c r="H90" s="26"/>
      <c r="I90" s="26"/>
      <c r="J90" s="26"/>
      <c r="K90" s="26"/>
      <c r="L90" s="26"/>
      <c r="M90" s="26"/>
      <c r="N90" s="26"/>
      <c r="O90" s="26"/>
      <c r="P90" s="6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7"/>
      <c r="AF90" s="33"/>
      <c r="AG90" s="33"/>
      <c r="AH90" s="33"/>
    </row>
    <row r="91" spans="1:34" ht="7.5" customHeight="1">
      <c r="A91" s="33"/>
      <c r="C91" s="21"/>
      <c r="D91" s="26"/>
      <c r="E91" s="26"/>
      <c r="F91" s="80"/>
      <c r="G91" s="21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7"/>
      <c r="AF91" s="33"/>
      <c r="AG91" s="33"/>
      <c r="AH91" s="33"/>
    </row>
    <row r="92" spans="1:34">
      <c r="A92" s="33"/>
      <c r="C92" s="21"/>
      <c r="D92" s="26"/>
      <c r="E92" s="26"/>
      <c r="F92" s="80"/>
      <c r="G92" s="21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7"/>
      <c r="AF92" s="33"/>
      <c r="AG92" s="33"/>
      <c r="AH92" s="33"/>
    </row>
    <row r="93" spans="1:34" ht="7.5" customHeight="1">
      <c r="A93" s="33"/>
      <c r="C93" s="21"/>
      <c r="D93" s="26"/>
      <c r="E93" s="26"/>
      <c r="F93" s="80"/>
      <c r="G93" s="21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7"/>
      <c r="AF93" s="33"/>
      <c r="AG93" s="33"/>
      <c r="AH93" s="33"/>
    </row>
    <row r="94" spans="1:34">
      <c r="A94" s="33"/>
      <c r="C94" s="21"/>
      <c r="D94" s="26"/>
      <c r="E94" s="26"/>
      <c r="F94" s="80"/>
      <c r="G94" s="21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7"/>
      <c r="AF94" s="33"/>
      <c r="AG94" s="33"/>
      <c r="AH94" s="33"/>
    </row>
    <row r="95" spans="1:34" ht="7.5" customHeight="1">
      <c r="A95" s="33"/>
      <c r="C95" s="21"/>
      <c r="D95" s="26"/>
      <c r="E95" s="26"/>
      <c r="F95" s="80"/>
      <c r="G95" s="21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7"/>
      <c r="AF95" s="33"/>
      <c r="AG95" s="33"/>
      <c r="AH95" s="33"/>
    </row>
    <row r="96" spans="1:34">
      <c r="A96" s="33"/>
      <c r="C96" s="19"/>
      <c r="D96" s="28"/>
      <c r="E96" s="28"/>
      <c r="F96" s="80"/>
      <c r="G96" s="19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9"/>
      <c r="AF96" s="33"/>
      <c r="AG96" s="33"/>
      <c r="AH96" s="33"/>
    </row>
    <row r="97" spans="1:34" ht="7.5" customHeight="1">
      <c r="A97" s="33"/>
      <c r="B97" s="35"/>
      <c r="C97" s="33"/>
      <c r="D97" s="33"/>
      <c r="E97" s="33"/>
      <c r="F97" s="32"/>
      <c r="G97" s="33"/>
      <c r="H97" s="32"/>
      <c r="I97" s="33"/>
      <c r="J97" s="35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33"/>
      <c r="AG97" s="33"/>
      <c r="AH97" s="33"/>
    </row>
    <row r="98" spans="1:34">
      <c r="A98" s="33"/>
      <c r="B98" s="35"/>
      <c r="C98" s="33"/>
      <c r="D98" s="33"/>
      <c r="E98" s="33"/>
      <c r="F98" s="35"/>
      <c r="G98" s="33"/>
      <c r="H98" s="35"/>
      <c r="I98" s="33"/>
      <c r="J98" s="35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33"/>
      <c r="AG98" s="33"/>
      <c r="AH98" s="33"/>
    </row>
    <row r="99" spans="1:34" ht="7.5" customHeight="1">
      <c r="A99" s="33"/>
      <c r="B99" s="35"/>
      <c r="C99" s="33"/>
      <c r="D99" s="33"/>
      <c r="E99" s="33"/>
      <c r="F99" s="35"/>
      <c r="G99" s="33"/>
      <c r="H99" s="35"/>
      <c r="I99" s="33"/>
      <c r="J99" s="35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33"/>
      <c r="AG99" s="33"/>
      <c r="AH99" s="33"/>
    </row>
    <row r="100" spans="1:34" s="36" customFormat="1" ht="7.5" customHeight="1">
      <c r="A100" s="33"/>
      <c r="B100" s="32"/>
      <c r="C100" s="33"/>
      <c r="D100" s="33"/>
      <c r="E100" s="33"/>
      <c r="F100" s="32"/>
      <c r="G100" s="33"/>
      <c r="H100" s="32"/>
      <c r="I100" s="33"/>
      <c r="J100" s="32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33"/>
      <c r="AE100" s="33"/>
      <c r="AF100" s="33"/>
      <c r="AG100" s="33"/>
    </row>
    <row r="101" spans="1:34">
      <c r="A101" s="33"/>
      <c r="B101" s="35"/>
      <c r="C101" s="33"/>
      <c r="D101" s="33"/>
      <c r="E101" s="33"/>
      <c r="F101" s="35"/>
      <c r="G101" s="33"/>
      <c r="H101" s="35"/>
      <c r="I101" s="33"/>
      <c r="J101" s="35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33"/>
      <c r="AE101" s="33"/>
      <c r="AF101" s="33"/>
      <c r="AG101" s="33"/>
    </row>
    <row r="102" spans="1:34" s="36" customFormat="1" ht="7.5" customHeight="1">
      <c r="A102" s="33"/>
      <c r="B102" s="32"/>
      <c r="C102" s="33"/>
      <c r="D102" s="33"/>
      <c r="E102" s="33"/>
      <c r="F102" s="32"/>
      <c r="G102" s="33"/>
      <c r="H102" s="32"/>
      <c r="I102" s="33"/>
      <c r="J102" s="32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33"/>
      <c r="AE102" s="33"/>
      <c r="AF102" s="33"/>
      <c r="AG102" s="33"/>
    </row>
    <row r="103" spans="1:34">
      <c r="A103" s="33"/>
      <c r="B103" s="35"/>
      <c r="C103" s="33"/>
      <c r="D103" s="33"/>
      <c r="E103" s="33"/>
      <c r="F103" s="35"/>
      <c r="G103" s="33"/>
      <c r="H103" s="35"/>
      <c r="I103" s="33"/>
      <c r="J103" s="35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33"/>
      <c r="AE103" s="33"/>
      <c r="AF103" s="33"/>
      <c r="AG103" s="33"/>
    </row>
    <row r="104" spans="1:34" s="36" customFormat="1" ht="7.5" customHeight="1">
      <c r="A104" s="33"/>
      <c r="B104" s="32"/>
      <c r="C104" s="33"/>
      <c r="D104" s="33"/>
      <c r="E104" s="33"/>
      <c r="F104" s="32"/>
      <c r="G104" s="33"/>
      <c r="H104" s="32"/>
      <c r="I104" s="33"/>
      <c r="J104" s="32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33"/>
      <c r="AE104" s="33"/>
      <c r="AF104" s="33"/>
      <c r="AG104" s="33"/>
    </row>
    <row r="105" spans="1:34">
      <c r="A105" s="33"/>
      <c r="B105" s="35"/>
      <c r="C105" s="33"/>
      <c r="D105" s="33"/>
      <c r="E105" s="33"/>
      <c r="F105" s="35"/>
      <c r="G105" s="33"/>
      <c r="H105" s="35"/>
      <c r="I105" s="33"/>
      <c r="J105" s="35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33"/>
      <c r="AE105" s="33"/>
      <c r="AF105" s="33"/>
      <c r="AG105" s="33"/>
    </row>
    <row r="106" spans="1:34" s="11" customFormat="1" ht="7.5" customHeight="1">
      <c r="A106" s="9"/>
      <c r="C106" s="9"/>
      <c r="D106" s="10"/>
      <c r="E106" s="9"/>
      <c r="F106" s="10"/>
      <c r="G106" s="34"/>
      <c r="H106" s="10"/>
      <c r="I106" s="34"/>
      <c r="J106" s="10"/>
      <c r="K106" s="9"/>
      <c r="L106" s="10"/>
      <c r="M106" s="9"/>
      <c r="N106" s="10"/>
      <c r="O106" s="9"/>
      <c r="P106" s="10"/>
      <c r="Q106" s="9"/>
      <c r="R106" s="10"/>
      <c r="S106" s="9"/>
      <c r="T106" s="10"/>
      <c r="U106" s="9"/>
      <c r="V106" s="10"/>
      <c r="W106" s="9"/>
      <c r="X106" s="10"/>
      <c r="Y106" s="9"/>
      <c r="Z106" s="10"/>
      <c r="AA106" s="9"/>
      <c r="AB106" s="10"/>
      <c r="AC106" s="9"/>
      <c r="AD106" s="34"/>
      <c r="AE106" s="34"/>
      <c r="AF106" s="34"/>
      <c r="AG106" s="34"/>
    </row>
    <row r="107" spans="1:34" s="15" customFormat="1" ht="39.75" customHeight="1">
      <c r="A107" s="12"/>
      <c r="B107" s="12"/>
      <c r="C107" s="12"/>
      <c r="D107" s="13"/>
      <c r="E107" s="12"/>
      <c r="F107" s="13"/>
      <c r="G107" s="12"/>
      <c r="H107" s="13"/>
      <c r="I107" s="12"/>
      <c r="J107" s="13"/>
      <c r="K107" s="12"/>
      <c r="L107" s="13"/>
      <c r="M107" s="12"/>
      <c r="N107" s="13"/>
      <c r="O107" s="12"/>
      <c r="P107" s="13"/>
      <c r="Q107" s="12"/>
      <c r="R107" s="13"/>
      <c r="S107" s="12"/>
      <c r="T107" s="13"/>
      <c r="U107" s="12"/>
      <c r="V107" s="13"/>
      <c r="W107" s="12"/>
      <c r="X107" s="13"/>
      <c r="Y107" s="12"/>
      <c r="Z107" s="13"/>
      <c r="AA107" s="12"/>
      <c r="AB107" s="13"/>
      <c r="AC107" s="12"/>
      <c r="AD107" s="12"/>
      <c r="AE107" s="12"/>
      <c r="AF107" s="12"/>
      <c r="AG107" s="12"/>
    </row>
    <row r="108" spans="1:34" s="11" customFormat="1" ht="12.75"/>
  </sheetData>
  <mergeCells count="8">
    <mergeCell ref="AC66:AE68"/>
    <mergeCell ref="C80:F81"/>
    <mergeCell ref="AC1:AF1"/>
    <mergeCell ref="J6:M7"/>
    <mergeCell ref="C8:F9"/>
    <mergeCell ref="C26:F27"/>
    <mergeCell ref="C44:F45"/>
    <mergeCell ref="C62:F63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6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Q108"/>
  <sheetViews>
    <sheetView showGridLines="0" showRowColHeaders="0" zoomScale="80" zoomScaleNormal="80" zoomScaleSheetLayoutView="70" workbookViewId="0">
      <pane ySplit="6" topLeftCell="A7" activePane="bottomLeft" state="frozen"/>
      <selection pane="bottomLeft" activeCell="A7" sqref="A7"/>
    </sheetView>
  </sheetViews>
  <sheetFormatPr defaultRowHeight="15"/>
  <cols>
    <col min="1" max="2" width="1.42578125" customWidth="1"/>
    <col min="3" max="3" width="9.7109375" customWidth="1"/>
    <col min="4" max="4" width="1.42578125" customWidth="1"/>
    <col min="5" max="5" width="9.7109375" customWidth="1"/>
    <col min="6" max="6" width="1.42578125" customWidth="1"/>
    <col min="7" max="7" width="9.7109375" customWidth="1"/>
    <col min="8" max="8" width="1.42578125" customWidth="1"/>
    <col min="9" max="9" width="9.7109375" customWidth="1"/>
    <col min="10" max="10" width="1.42578125" customWidth="1"/>
    <col min="11" max="11" width="9.7109375" customWidth="1"/>
    <col min="12" max="12" width="1.42578125" customWidth="1"/>
    <col min="13" max="13" width="9.7109375" customWidth="1"/>
    <col min="14" max="14" width="1.42578125" customWidth="1"/>
    <col min="15" max="15" width="9.7109375" customWidth="1"/>
    <col min="16" max="16" width="1.42578125" customWidth="1"/>
    <col min="17" max="17" width="9.7109375" customWidth="1"/>
    <col min="18" max="18" width="1.42578125" customWidth="1"/>
    <col min="19" max="19" width="9.7109375" customWidth="1"/>
    <col min="20" max="20" width="1.42578125" customWidth="1"/>
    <col min="21" max="21" width="9.7109375" customWidth="1"/>
    <col min="22" max="22" width="1.42578125" customWidth="1"/>
    <col min="23" max="23" width="9.7109375" customWidth="1"/>
    <col min="24" max="24" width="1.42578125" customWidth="1"/>
    <col min="25" max="25" width="9.7109375" customWidth="1"/>
    <col min="26" max="26" width="1.42578125" customWidth="1"/>
    <col min="27" max="27" width="9.7109375" customWidth="1"/>
    <col min="28" max="28" width="1.42578125" customWidth="1"/>
    <col min="29" max="29" width="9.7109375" customWidth="1"/>
    <col min="30" max="30" width="1.42578125" customWidth="1"/>
    <col min="31" max="31" width="9.7109375" customWidth="1"/>
    <col min="32" max="33" width="1.42578125" customWidth="1"/>
  </cols>
  <sheetData>
    <row r="1" spans="1:43" s="5" customFormat="1" ht="15.75">
      <c r="A1" s="2"/>
      <c r="B1" s="2"/>
      <c r="C1" s="2"/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101">
        <f ca="1">TODAY()</f>
        <v>41837</v>
      </c>
      <c r="AD1" s="101"/>
      <c r="AE1" s="101"/>
      <c r="AF1" s="101"/>
      <c r="AG1" s="3"/>
    </row>
    <row r="2" spans="1:43" s="5" customFormat="1" ht="35.25">
      <c r="A2" s="6"/>
      <c r="B2" s="6" t="s">
        <v>7</v>
      </c>
      <c r="C2" s="6"/>
      <c r="D2" s="3"/>
      <c r="E2" s="6"/>
      <c r="F2" s="3"/>
      <c r="G2" s="6"/>
      <c r="H2" s="3"/>
      <c r="I2" s="6"/>
      <c r="J2" s="3"/>
      <c r="K2" s="6"/>
      <c r="L2" s="3"/>
      <c r="M2" s="6"/>
      <c r="N2" s="3"/>
      <c r="O2" s="6"/>
      <c r="P2" s="3"/>
      <c r="Q2" s="6"/>
      <c r="R2" s="3"/>
      <c r="S2" s="6"/>
      <c r="T2" s="3"/>
      <c r="U2" s="6"/>
      <c r="V2" s="3"/>
      <c r="W2" s="6"/>
      <c r="X2" s="3"/>
      <c r="Y2" s="6"/>
      <c r="Z2" s="3"/>
      <c r="AA2" s="6"/>
      <c r="AB2" s="3"/>
      <c r="AC2" s="6"/>
      <c r="AD2" s="3"/>
      <c r="AE2" s="6"/>
      <c r="AF2" s="3"/>
      <c r="AG2" s="3"/>
    </row>
    <row r="3" spans="1:43" s="5" customFormat="1" ht="17.25" customHeight="1" thickBot="1">
      <c r="A3" s="7"/>
      <c r="B3" s="7"/>
      <c r="C3" s="7"/>
      <c r="D3" s="8"/>
      <c r="E3" s="7"/>
      <c r="F3" s="8"/>
      <c r="G3" s="7"/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  <c r="U3" s="7"/>
      <c r="V3" s="8"/>
      <c r="W3" s="7"/>
      <c r="X3" s="8"/>
      <c r="Y3" s="7"/>
      <c r="Z3" s="8"/>
      <c r="AA3" s="7"/>
      <c r="AB3" s="8"/>
      <c r="AC3" s="7"/>
      <c r="AD3" s="8"/>
      <c r="AE3" s="7"/>
      <c r="AF3" s="8"/>
      <c r="AG3" s="8"/>
    </row>
    <row r="4" spans="1:43" s="11" customFormat="1" ht="7.5" customHeight="1">
      <c r="A4" s="9"/>
      <c r="C4" s="9"/>
      <c r="D4" s="10"/>
      <c r="E4" s="9"/>
      <c r="F4" s="10"/>
      <c r="G4" s="9"/>
      <c r="H4" s="10"/>
      <c r="I4" s="9"/>
      <c r="J4" s="10"/>
      <c r="K4" s="9"/>
      <c r="L4" s="10"/>
      <c r="M4" s="9"/>
      <c r="N4" s="10"/>
      <c r="O4" s="9"/>
      <c r="P4" s="10"/>
      <c r="Q4" s="9"/>
      <c r="R4" s="10"/>
      <c r="S4" s="9"/>
      <c r="T4" s="10"/>
      <c r="U4" s="9"/>
      <c r="V4" s="10"/>
      <c r="W4" s="9"/>
      <c r="X4" s="10"/>
      <c r="Y4" s="9"/>
      <c r="Z4" s="10"/>
      <c r="AA4" s="9"/>
      <c r="AB4" s="10"/>
      <c r="AC4" s="9"/>
      <c r="AD4" s="10"/>
      <c r="AE4" s="9"/>
      <c r="AF4" s="10"/>
      <c r="AG4" s="10"/>
    </row>
    <row r="5" spans="1:43" ht="9.75" customHeight="1">
      <c r="A5" s="17"/>
      <c r="C5" s="17"/>
      <c r="D5" s="17"/>
      <c r="F5" s="17"/>
      <c r="H5" s="17"/>
      <c r="J5" s="17"/>
      <c r="K5" s="17"/>
      <c r="M5" s="17"/>
      <c r="O5" s="17"/>
      <c r="Q5" s="17"/>
      <c r="S5" s="17"/>
      <c r="U5" s="17"/>
      <c r="W5" s="17"/>
      <c r="Y5" s="17"/>
      <c r="AA5" s="17"/>
      <c r="AC5" s="17"/>
      <c r="AE5" s="17"/>
      <c r="AI5" s="17"/>
      <c r="AK5" s="17"/>
      <c r="AM5" s="17"/>
      <c r="AO5" s="17"/>
      <c r="AQ5" s="17"/>
    </row>
    <row r="6" spans="1:43" ht="90" customHeight="1">
      <c r="A6" s="31"/>
      <c r="B6" s="32"/>
      <c r="C6" s="31"/>
      <c r="D6" s="31"/>
      <c r="E6" s="31"/>
      <c r="F6" s="32"/>
      <c r="G6" s="31"/>
      <c r="H6" s="32"/>
      <c r="I6" s="31"/>
      <c r="J6" s="102"/>
      <c r="K6" s="102"/>
      <c r="L6" s="102"/>
      <c r="M6" s="102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K6" s="78"/>
    </row>
    <row r="7" spans="1:43" ht="7.5" customHeight="1">
      <c r="A7" s="33"/>
      <c r="B7" s="32"/>
      <c r="C7" s="33"/>
      <c r="D7" s="33"/>
      <c r="E7" s="33"/>
      <c r="F7" s="32"/>
      <c r="G7" s="33"/>
      <c r="H7" s="32"/>
      <c r="I7" s="33"/>
      <c r="J7" s="102"/>
      <c r="K7" s="102"/>
      <c r="L7" s="102"/>
      <c r="M7" s="102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33"/>
      <c r="AG7" s="33"/>
      <c r="AH7" s="33"/>
    </row>
    <row r="8" spans="1:43" ht="15.75">
      <c r="A8" s="33"/>
      <c r="B8" s="32"/>
      <c r="C8" s="102" t="s">
        <v>2</v>
      </c>
      <c r="D8" s="102"/>
      <c r="E8" s="102"/>
      <c r="F8" s="102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C8" s="33"/>
      <c r="AD8" s="33"/>
      <c r="AE8" s="33"/>
      <c r="AF8" s="31"/>
      <c r="AG8" s="31"/>
      <c r="AH8" s="31"/>
      <c r="AI8" s="31"/>
      <c r="AJ8" s="31"/>
      <c r="AK8" s="31"/>
    </row>
    <row r="9" spans="1:43" ht="7.5" customHeight="1">
      <c r="A9" s="33"/>
      <c r="B9" s="32"/>
      <c r="C9" s="102"/>
      <c r="D9" s="102"/>
      <c r="E9" s="102"/>
      <c r="F9" s="102"/>
      <c r="G9" s="33"/>
      <c r="H9" s="32"/>
      <c r="I9" s="33"/>
      <c r="J9" s="26"/>
      <c r="K9" s="26"/>
      <c r="L9" s="26"/>
      <c r="M9" s="26"/>
      <c r="N9" s="3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33"/>
      <c r="AG9" s="33"/>
      <c r="AH9" s="33"/>
      <c r="AI9" s="33"/>
      <c r="AJ9" s="33"/>
      <c r="AK9" s="33"/>
    </row>
    <row r="10" spans="1:43" ht="16.5" thickBot="1">
      <c r="A10" s="33"/>
      <c r="B10" s="32"/>
      <c r="C10" s="18" t="s">
        <v>92</v>
      </c>
      <c r="D10" s="22"/>
      <c r="E10" s="42"/>
      <c r="F10" s="32"/>
      <c r="G10" s="18" t="s">
        <v>94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3"/>
      <c r="AF10" s="31"/>
      <c r="AG10" s="31"/>
      <c r="AH10" s="31"/>
      <c r="AI10" s="31"/>
      <c r="AJ10" s="31"/>
      <c r="AK10" s="31"/>
    </row>
    <row r="11" spans="1:43" ht="7.5" customHeight="1">
      <c r="A11" s="33"/>
      <c r="B11" s="32"/>
      <c r="C11" s="20"/>
      <c r="D11" s="24"/>
      <c r="E11" s="25"/>
      <c r="F11" s="32"/>
      <c r="G11" s="20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5"/>
      <c r="AF11" s="33"/>
      <c r="AG11" s="33"/>
      <c r="AH11" s="33"/>
      <c r="AI11" s="33"/>
      <c r="AJ11" s="33"/>
      <c r="AK11" s="33"/>
    </row>
    <row r="12" spans="1:43" ht="15.75">
      <c r="A12" s="33"/>
      <c r="B12" s="32"/>
      <c r="C12" s="21"/>
      <c r="D12" s="82"/>
      <c r="E12" s="40"/>
      <c r="F12" s="32"/>
      <c r="G12" s="21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7"/>
      <c r="AF12" s="33"/>
      <c r="AG12" s="33"/>
      <c r="AH12" s="33"/>
      <c r="AI12" s="33"/>
      <c r="AJ12" s="33"/>
      <c r="AK12" s="33"/>
    </row>
    <row r="13" spans="1:43" ht="7.5" customHeight="1">
      <c r="A13" s="33"/>
      <c r="B13" s="32"/>
      <c r="C13" s="21"/>
      <c r="D13" s="26"/>
      <c r="E13" s="27"/>
      <c r="F13" s="32"/>
      <c r="G13" s="21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7"/>
      <c r="AF13" s="33"/>
      <c r="AG13" s="33"/>
      <c r="AH13" s="33"/>
      <c r="AI13" s="33"/>
      <c r="AJ13" s="33"/>
      <c r="AK13" s="33"/>
    </row>
    <row r="14" spans="1:43">
      <c r="A14" s="33"/>
      <c r="B14" s="32"/>
      <c r="C14" s="21"/>
      <c r="D14" s="26"/>
      <c r="E14" s="27"/>
      <c r="F14" s="32"/>
      <c r="G14" s="21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7"/>
      <c r="AF14" s="33"/>
      <c r="AG14" s="33"/>
      <c r="AH14" s="33"/>
      <c r="AI14" s="33"/>
      <c r="AJ14" s="33"/>
      <c r="AK14" s="33"/>
    </row>
    <row r="15" spans="1:43" ht="7.5" customHeight="1">
      <c r="A15" s="33"/>
      <c r="B15" s="32"/>
      <c r="C15" s="21"/>
      <c r="D15" s="26"/>
      <c r="E15" s="27"/>
      <c r="F15" s="32"/>
      <c r="G15" s="21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7"/>
      <c r="AF15" s="33"/>
      <c r="AG15" s="33"/>
      <c r="AH15" s="33"/>
      <c r="AI15" s="33"/>
      <c r="AJ15" s="33"/>
      <c r="AK15" s="33"/>
    </row>
    <row r="16" spans="1:43">
      <c r="A16" s="33"/>
      <c r="B16" s="32"/>
      <c r="C16" s="21"/>
      <c r="D16" s="26"/>
      <c r="E16" s="27"/>
      <c r="F16" s="32"/>
      <c r="G16" s="21"/>
      <c r="H16" s="26"/>
      <c r="I16" s="26"/>
      <c r="J16" s="26"/>
      <c r="K16" s="26"/>
      <c r="L16" s="26"/>
      <c r="M16" s="26"/>
      <c r="N16" s="26"/>
      <c r="O16" s="26"/>
      <c r="P16" s="6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7"/>
      <c r="AF16" s="33"/>
      <c r="AG16" s="33"/>
      <c r="AH16" s="33"/>
      <c r="AI16" s="33"/>
      <c r="AJ16" s="33"/>
      <c r="AK16" s="33"/>
    </row>
    <row r="17" spans="1:37" ht="7.5" customHeight="1">
      <c r="A17" s="33"/>
      <c r="B17" s="32"/>
      <c r="C17" s="21"/>
      <c r="D17" s="26"/>
      <c r="E17" s="27"/>
      <c r="F17" s="32"/>
      <c r="G17" s="21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7"/>
      <c r="AF17" s="33"/>
      <c r="AG17" s="33"/>
      <c r="AH17" s="33"/>
      <c r="AI17" s="33"/>
      <c r="AJ17" s="33"/>
      <c r="AK17" s="33"/>
    </row>
    <row r="18" spans="1:37">
      <c r="A18" s="33"/>
      <c r="B18" s="32"/>
      <c r="C18" s="21"/>
      <c r="D18" s="26"/>
      <c r="E18" s="27"/>
      <c r="F18" s="32"/>
      <c r="G18" s="21"/>
      <c r="H18" s="26"/>
      <c r="I18" s="26"/>
      <c r="J18" s="26"/>
      <c r="K18" s="26"/>
      <c r="L18" s="26"/>
      <c r="M18" s="26"/>
      <c r="N18" s="26"/>
      <c r="O18" s="26"/>
      <c r="P18" s="6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7"/>
      <c r="AF18" s="33"/>
      <c r="AG18" s="33"/>
      <c r="AH18" s="33"/>
      <c r="AI18" s="33"/>
      <c r="AJ18" s="33"/>
      <c r="AK18" s="33"/>
    </row>
    <row r="19" spans="1:37" ht="7.5" customHeight="1">
      <c r="A19" s="33"/>
      <c r="B19" s="32"/>
      <c r="C19" s="21"/>
      <c r="D19" s="26"/>
      <c r="E19" s="27"/>
      <c r="F19" s="32"/>
      <c r="G19" s="21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7"/>
      <c r="AF19" s="33"/>
      <c r="AG19" s="33"/>
      <c r="AH19" s="33"/>
      <c r="AI19" s="33"/>
      <c r="AJ19" s="33"/>
      <c r="AK19" s="33"/>
    </row>
    <row r="20" spans="1:37" ht="15.75">
      <c r="A20" s="31"/>
      <c r="B20" s="32"/>
      <c r="C20" s="21"/>
      <c r="D20" s="26"/>
      <c r="E20" s="27"/>
      <c r="F20" s="32"/>
      <c r="G20" s="21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7"/>
      <c r="AF20" s="33"/>
      <c r="AG20" s="33"/>
      <c r="AH20" s="33"/>
      <c r="AI20" s="33"/>
      <c r="AJ20" s="33"/>
      <c r="AK20" s="33"/>
    </row>
    <row r="21" spans="1:37" ht="7.5" customHeight="1">
      <c r="A21" s="33"/>
      <c r="B21" s="32"/>
      <c r="C21" s="21"/>
      <c r="D21" s="26"/>
      <c r="E21" s="27"/>
      <c r="F21" s="32"/>
      <c r="G21" s="21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7"/>
      <c r="AF21" s="33"/>
      <c r="AG21" s="33"/>
      <c r="AH21" s="33"/>
      <c r="AI21" s="33"/>
      <c r="AJ21" s="33"/>
      <c r="AK21" s="33"/>
    </row>
    <row r="22" spans="1:37">
      <c r="A22" s="33"/>
      <c r="B22" s="32"/>
      <c r="C22" s="21"/>
      <c r="D22" s="26"/>
      <c r="E22" s="27"/>
      <c r="F22" s="32"/>
      <c r="G22" s="21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7"/>
      <c r="AF22" s="33"/>
      <c r="AG22" s="33"/>
      <c r="AH22" s="33"/>
      <c r="AI22" s="33"/>
      <c r="AJ22" s="33"/>
      <c r="AK22" s="33"/>
    </row>
    <row r="23" spans="1:37" ht="7.5" customHeight="1">
      <c r="A23" s="33"/>
      <c r="B23" s="32"/>
      <c r="C23" s="21"/>
      <c r="D23" s="26"/>
      <c r="E23" s="27"/>
      <c r="F23" s="32"/>
      <c r="G23" s="21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7"/>
      <c r="AF23" s="33"/>
      <c r="AG23" s="33"/>
      <c r="AH23" s="33"/>
      <c r="AI23" s="33"/>
      <c r="AJ23" s="33"/>
      <c r="AK23" s="33"/>
    </row>
    <row r="24" spans="1:37">
      <c r="A24" s="33"/>
      <c r="B24" s="32"/>
      <c r="C24" s="19"/>
      <c r="D24" s="28"/>
      <c r="E24" s="29"/>
      <c r="F24" s="32"/>
      <c r="G24" s="19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9"/>
      <c r="AF24" s="33"/>
      <c r="AG24" s="33"/>
      <c r="AH24" s="33"/>
      <c r="AI24" s="33"/>
      <c r="AJ24" s="33"/>
      <c r="AK24" s="33"/>
    </row>
    <row r="25" spans="1:37" ht="7.5" customHeight="1">
      <c r="A25" s="33"/>
      <c r="B25" s="32"/>
      <c r="C25" s="33"/>
      <c r="D25" s="33"/>
      <c r="E25" s="33"/>
      <c r="F25" s="32"/>
      <c r="G25" s="33"/>
      <c r="H25" s="32"/>
      <c r="I25" s="33"/>
      <c r="J25" s="35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33"/>
      <c r="AG25" s="33"/>
      <c r="AH25" s="33"/>
    </row>
    <row r="26" spans="1:37" ht="15.75" customHeight="1">
      <c r="A26" s="33"/>
      <c r="B26" s="32"/>
      <c r="C26" s="107" t="s">
        <v>3</v>
      </c>
      <c r="D26" s="107"/>
      <c r="E26" s="107"/>
      <c r="F26" s="107"/>
      <c r="G26" s="33"/>
      <c r="H26" s="32"/>
      <c r="I26" s="33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3"/>
      <c r="AG26" s="33"/>
      <c r="AH26" s="33"/>
    </row>
    <row r="27" spans="1:37" ht="7.5" customHeight="1">
      <c r="A27" s="33"/>
      <c r="B27" s="32"/>
      <c r="C27" s="108"/>
      <c r="D27" s="108"/>
      <c r="E27" s="108"/>
      <c r="F27" s="102"/>
      <c r="G27" s="33"/>
      <c r="H27" s="32"/>
      <c r="I27" s="33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7"/>
      <c r="AG27" s="17"/>
      <c r="AH27" s="17"/>
    </row>
    <row r="28" spans="1:37" ht="16.5" thickBot="1">
      <c r="A28" s="33"/>
      <c r="B28" s="32"/>
      <c r="C28" s="18" t="s">
        <v>92</v>
      </c>
      <c r="D28" s="22"/>
      <c r="E28" s="41"/>
      <c r="F28" s="81"/>
      <c r="G28" s="18" t="s">
        <v>94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31"/>
      <c r="AG28" s="31"/>
      <c r="AH28" s="31"/>
    </row>
    <row r="29" spans="1:37" ht="7.5" customHeight="1">
      <c r="A29" s="33"/>
      <c r="B29" s="32"/>
      <c r="C29" s="20"/>
      <c r="D29" s="24"/>
      <c r="E29" s="24"/>
      <c r="F29" s="81"/>
      <c r="G29" s="20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33"/>
      <c r="AG29" s="33"/>
      <c r="AH29" s="33"/>
    </row>
    <row r="30" spans="1:37" ht="15.75">
      <c r="A30" s="33"/>
      <c r="B30" s="32"/>
      <c r="C30" s="21"/>
      <c r="D30" s="82"/>
      <c r="E30" s="82"/>
      <c r="F30" s="81"/>
      <c r="G30" s="21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7"/>
      <c r="AF30" s="33"/>
      <c r="AG30" s="33"/>
      <c r="AH30" s="33"/>
    </row>
    <row r="31" spans="1:37" ht="7.5" customHeight="1">
      <c r="A31" s="33"/>
      <c r="B31" s="32"/>
      <c r="C31" s="21"/>
      <c r="D31" s="26"/>
      <c r="E31" s="26"/>
      <c r="F31" s="81"/>
      <c r="G31" s="21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7"/>
      <c r="AF31" s="33"/>
      <c r="AG31" s="33"/>
      <c r="AH31" s="33"/>
    </row>
    <row r="32" spans="1:37" ht="15.75">
      <c r="A32" s="31"/>
      <c r="B32" s="32"/>
      <c r="C32" s="21"/>
      <c r="D32" s="26"/>
      <c r="E32" s="26"/>
      <c r="F32" s="81"/>
      <c r="G32" s="21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7"/>
      <c r="AF32" s="33"/>
      <c r="AG32" s="33"/>
      <c r="AH32" s="33"/>
    </row>
    <row r="33" spans="1:34" ht="7.5" customHeight="1">
      <c r="A33" s="33"/>
      <c r="B33" s="32"/>
      <c r="C33" s="21"/>
      <c r="D33" s="26"/>
      <c r="E33" s="26"/>
      <c r="F33" s="81"/>
      <c r="G33" s="21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7"/>
      <c r="AF33" s="33"/>
      <c r="AG33" s="33"/>
      <c r="AH33" s="33"/>
    </row>
    <row r="34" spans="1:34">
      <c r="A34" s="33"/>
      <c r="B34" s="32"/>
      <c r="C34" s="21"/>
      <c r="D34" s="26"/>
      <c r="E34" s="26"/>
      <c r="F34" s="81"/>
      <c r="G34" s="21"/>
      <c r="H34" s="26"/>
      <c r="I34" s="26"/>
      <c r="J34" s="26"/>
      <c r="K34" s="26"/>
      <c r="L34" s="26"/>
      <c r="M34" s="26"/>
      <c r="N34" s="26"/>
      <c r="O34" s="26"/>
      <c r="P34" s="6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7"/>
      <c r="AF34" s="33"/>
      <c r="AG34" s="33"/>
      <c r="AH34" s="33"/>
    </row>
    <row r="35" spans="1:34" ht="7.5" customHeight="1">
      <c r="A35" s="33"/>
      <c r="B35" s="32"/>
      <c r="C35" s="21"/>
      <c r="D35" s="26"/>
      <c r="E35" s="26"/>
      <c r="F35" s="81"/>
      <c r="G35" s="21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7"/>
      <c r="AF35" s="33"/>
      <c r="AG35" s="33"/>
      <c r="AH35" s="33"/>
    </row>
    <row r="36" spans="1:34">
      <c r="A36" s="33"/>
      <c r="B36" s="32"/>
      <c r="C36" s="21"/>
      <c r="D36" s="26"/>
      <c r="E36" s="26"/>
      <c r="F36" s="81"/>
      <c r="G36" s="21"/>
      <c r="H36" s="26"/>
      <c r="I36" s="26"/>
      <c r="J36" s="26"/>
      <c r="K36" s="26"/>
      <c r="L36" s="26"/>
      <c r="M36" s="26"/>
      <c r="N36" s="26"/>
      <c r="O36" s="26"/>
      <c r="P36" s="6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7"/>
      <c r="AF36" s="33"/>
      <c r="AG36" s="33"/>
      <c r="AH36" s="33"/>
    </row>
    <row r="37" spans="1:34" ht="7.5" customHeight="1">
      <c r="A37" s="33"/>
      <c r="B37" s="32"/>
      <c r="C37" s="21"/>
      <c r="D37" s="26"/>
      <c r="E37" s="26"/>
      <c r="F37" s="81"/>
      <c r="G37" s="21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33"/>
      <c r="AG37" s="33"/>
      <c r="AH37" s="33"/>
    </row>
    <row r="38" spans="1:34">
      <c r="A38" s="33"/>
      <c r="B38" s="32"/>
      <c r="C38" s="21"/>
      <c r="D38" s="26"/>
      <c r="E38" s="26"/>
      <c r="F38" s="81"/>
      <c r="G38" s="21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7"/>
      <c r="AF38" s="33"/>
      <c r="AG38" s="33"/>
      <c r="AH38" s="33"/>
    </row>
    <row r="39" spans="1:34" ht="7.5" customHeight="1">
      <c r="A39" s="33"/>
      <c r="B39" s="32"/>
      <c r="C39" s="21"/>
      <c r="D39" s="26"/>
      <c r="E39" s="26"/>
      <c r="F39" s="81"/>
      <c r="G39" s="21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7"/>
      <c r="AF39" s="33"/>
      <c r="AG39" s="33"/>
      <c r="AH39" s="33"/>
    </row>
    <row r="40" spans="1:34">
      <c r="A40" s="33"/>
      <c r="B40" s="32"/>
      <c r="C40" s="21"/>
      <c r="D40" s="26"/>
      <c r="E40" s="26"/>
      <c r="F40" s="81"/>
      <c r="G40" s="21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7"/>
      <c r="AF40" s="33"/>
      <c r="AG40" s="33"/>
      <c r="AH40" s="33"/>
    </row>
    <row r="41" spans="1:34" ht="7.5" customHeight="1">
      <c r="A41" s="33"/>
      <c r="B41" s="32"/>
      <c r="C41" s="21"/>
      <c r="D41" s="26"/>
      <c r="E41" s="26"/>
      <c r="F41" s="81"/>
      <c r="G41" s="21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7"/>
      <c r="AF41" s="33"/>
      <c r="AG41" s="33"/>
      <c r="AH41" s="33"/>
    </row>
    <row r="42" spans="1:34">
      <c r="A42" s="33"/>
      <c r="B42" s="32"/>
      <c r="C42" s="19"/>
      <c r="D42" s="28"/>
      <c r="E42" s="28"/>
      <c r="F42" s="81"/>
      <c r="G42" s="19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9"/>
      <c r="AF42" s="33"/>
      <c r="AG42" s="33"/>
      <c r="AH42" s="33"/>
    </row>
    <row r="43" spans="1:34" ht="7.5" customHeight="1">
      <c r="A43" s="33"/>
      <c r="B43" s="32"/>
      <c r="C43" s="33"/>
      <c r="D43" s="33"/>
      <c r="E43" s="33"/>
      <c r="F43" s="32"/>
      <c r="G43" s="33"/>
      <c r="H43" s="32"/>
      <c r="I43" s="33"/>
      <c r="J43" s="35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33"/>
      <c r="AG43" s="33"/>
      <c r="AH43" s="33"/>
    </row>
    <row r="44" spans="1:34" ht="15.75" customHeight="1">
      <c r="A44" s="31"/>
      <c r="B44" s="32"/>
      <c r="C44" s="107" t="s">
        <v>95</v>
      </c>
      <c r="D44" s="107"/>
      <c r="E44" s="107"/>
      <c r="F44" s="107"/>
      <c r="G44" s="33"/>
      <c r="H44" s="32"/>
      <c r="I44" s="33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3"/>
      <c r="AG44" s="33"/>
      <c r="AH44" s="33"/>
    </row>
    <row r="45" spans="1:34" ht="7.5" customHeight="1">
      <c r="A45" s="33"/>
      <c r="B45" s="32"/>
      <c r="C45" s="108"/>
      <c r="D45" s="108"/>
      <c r="E45" s="108"/>
      <c r="F45" s="102"/>
      <c r="G45" s="33"/>
      <c r="H45" s="32"/>
      <c r="I45" s="33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17"/>
      <c r="AG45" s="33"/>
      <c r="AH45" s="33"/>
    </row>
    <row r="46" spans="1:34" ht="16.5" thickBot="1">
      <c r="A46" s="33"/>
      <c r="B46" s="32"/>
      <c r="C46" s="18" t="s">
        <v>92</v>
      </c>
      <c r="D46" s="22"/>
      <c r="E46" s="41"/>
      <c r="F46" s="80"/>
      <c r="G46" s="18" t="s">
        <v>94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3"/>
      <c r="AF46" s="31"/>
      <c r="AG46" s="33"/>
      <c r="AH46" s="33"/>
    </row>
    <row r="47" spans="1:34" ht="7.5" customHeight="1">
      <c r="A47" s="33"/>
      <c r="B47" s="32"/>
      <c r="C47" s="20"/>
      <c r="D47" s="24"/>
      <c r="E47" s="24"/>
      <c r="F47" s="80"/>
      <c r="G47" s="20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5"/>
      <c r="AF47" s="33"/>
      <c r="AG47" s="17"/>
      <c r="AH47" s="17"/>
    </row>
    <row r="48" spans="1:34" ht="15.75">
      <c r="A48" s="33"/>
      <c r="B48" s="32"/>
      <c r="C48" s="21"/>
      <c r="D48" s="82"/>
      <c r="E48" s="82"/>
      <c r="F48" s="80"/>
      <c r="G48" s="21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33"/>
      <c r="AG48" s="31"/>
      <c r="AH48" s="31"/>
    </row>
    <row r="49" spans="1:34" ht="7.5" customHeight="1">
      <c r="A49" s="33"/>
      <c r="B49" s="32"/>
      <c r="C49" s="21"/>
      <c r="D49" s="26"/>
      <c r="E49" s="26"/>
      <c r="F49" s="80"/>
      <c r="G49" s="21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33"/>
      <c r="AG49" s="33"/>
      <c r="AH49" s="33"/>
    </row>
    <row r="50" spans="1:34">
      <c r="A50" s="33"/>
      <c r="B50" s="32"/>
      <c r="C50" s="21"/>
      <c r="D50" s="26"/>
      <c r="E50" s="26"/>
      <c r="F50" s="80"/>
      <c r="G50" s="21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33"/>
      <c r="AG50" s="33"/>
      <c r="AH50" s="33"/>
    </row>
    <row r="51" spans="1:34" ht="7.5" customHeight="1">
      <c r="A51" s="33"/>
      <c r="B51" s="32"/>
      <c r="C51" s="21"/>
      <c r="D51" s="26"/>
      <c r="E51" s="26"/>
      <c r="F51" s="80"/>
      <c r="G51" s="21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33"/>
      <c r="AG51" s="33"/>
      <c r="AH51" s="33"/>
    </row>
    <row r="52" spans="1:34">
      <c r="A52" s="33"/>
      <c r="B52" s="32"/>
      <c r="C52" s="21"/>
      <c r="D52" s="26"/>
      <c r="E52" s="26"/>
      <c r="F52" s="80"/>
      <c r="G52" s="21"/>
      <c r="H52" s="26"/>
      <c r="I52" s="26"/>
      <c r="J52" s="26"/>
      <c r="K52" s="26"/>
      <c r="L52" s="26"/>
      <c r="M52" s="26"/>
      <c r="N52" s="26"/>
      <c r="O52" s="26"/>
      <c r="P52" s="6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33"/>
      <c r="AG52" s="33"/>
      <c r="AH52" s="33"/>
    </row>
    <row r="53" spans="1:34" ht="7.5" customHeight="1">
      <c r="A53" s="33"/>
      <c r="B53" s="32"/>
      <c r="C53" s="21"/>
      <c r="D53" s="26"/>
      <c r="E53" s="26"/>
      <c r="F53" s="80"/>
      <c r="G53" s="21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33"/>
      <c r="AG53" s="33"/>
      <c r="AH53" s="33"/>
    </row>
    <row r="54" spans="1:34">
      <c r="A54" s="33"/>
      <c r="B54" s="32"/>
      <c r="C54" s="21"/>
      <c r="D54" s="26"/>
      <c r="E54" s="26"/>
      <c r="F54" s="80"/>
      <c r="G54" s="21"/>
      <c r="H54" s="26"/>
      <c r="I54" s="26"/>
      <c r="J54" s="26"/>
      <c r="K54" s="26"/>
      <c r="L54" s="26"/>
      <c r="M54" s="26"/>
      <c r="N54" s="26"/>
      <c r="O54" s="26"/>
      <c r="P54" s="6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33"/>
      <c r="AG54" s="33"/>
      <c r="AH54" s="33"/>
    </row>
    <row r="55" spans="1:34" ht="7.5" customHeight="1">
      <c r="A55" s="33"/>
      <c r="B55" s="32"/>
      <c r="C55" s="21"/>
      <c r="D55" s="26"/>
      <c r="E55" s="26"/>
      <c r="F55" s="80"/>
      <c r="G55" s="21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33"/>
      <c r="AG55" s="33"/>
      <c r="AH55" s="33"/>
    </row>
    <row r="56" spans="1:34" ht="15.75">
      <c r="A56" s="31"/>
      <c r="B56" s="32"/>
      <c r="C56" s="21"/>
      <c r="D56" s="26"/>
      <c r="E56" s="26"/>
      <c r="F56" s="80"/>
      <c r="G56" s="21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33"/>
      <c r="AG56" s="33"/>
      <c r="AH56" s="33"/>
    </row>
    <row r="57" spans="1:34" ht="7.5" customHeight="1">
      <c r="A57" s="33"/>
      <c r="B57" s="32"/>
      <c r="C57" s="21"/>
      <c r="D57" s="26"/>
      <c r="E57" s="26"/>
      <c r="F57" s="80"/>
      <c r="G57" s="21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33"/>
      <c r="AG57" s="33"/>
      <c r="AH57" s="33"/>
    </row>
    <row r="58" spans="1:34">
      <c r="A58" s="33"/>
      <c r="B58" s="32"/>
      <c r="C58" s="21"/>
      <c r="D58" s="26"/>
      <c r="E58" s="26"/>
      <c r="F58" s="80"/>
      <c r="G58" s="21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33"/>
      <c r="AG58" s="33"/>
      <c r="AH58" s="33"/>
    </row>
    <row r="59" spans="1:34" ht="7.5" customHeight="1">
      <c r="A59" s="33"/>
      <c r="B59" s="32"/>
      <c r="C59" s="21"/>
      <c r="D59" s="26"/>
      <c r="E59" s="26"/>
      <c r="F59" s="80"/>
      <c r="G59" s="21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33"/>
      <c r="AG59" s="33"/>
      <c r="AH59" s="33"/>
    </row>
    <row r="60" spans="1:34">
      <c r="A60" s="33"/>
      <c r="B60" s="32"/>
      <c r="C60" s="19"/>
      <c r="D60" s="28"/>
      <c r="E60" s="28"/>
      <c r="F60" s="80"/>
      <c r="G60" s="19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9"/>
      <c r="AF60" s="33"/>
      <c r="AG60" s="33"/>
      <c r="AH60" s="33"/>
    </row>
    <row r="61" spans="1:34" ht="7.5" customHeight="1">
      <c r="A61" s="33"/>
      <c r="B61" s="32"/>
      <c r="C61" s="33"/>
      <c r="D61" s="33"/>
      <c r="E61" s="33"/>
      <c r="F61" s="32"/>
      <c r="G61" s="33"/>
      <c r="H61" s="32"/>
      <c r="I61" s="33"/>
      <c r="J61" s="35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33"/>
      <c r="AG61" s="33"/>
      <c r="AH61" s="33"/>
    </row>
    <row r="62" spans="1:34" ht="15.75" customHeight="1">
      <c r="A62" s="33"/>
      <c r="C62" s="107" t="s">
        <v>10</v>
      </c>
      <c r="D62" s="107"/>
      <c r="E62" s="107"/>
      <c r="F62" s="107"/>
      <c r="G62" s="33"/>
      <c r="H62" s="32"/>
      <c r="I62" s="33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3"/>
      <c r="AG62" s="33"/>
      <c r="AH62" s="33"/>
    </row>
    <row r="63" spans="1:34" ht="7.5" customHeight="1">
      <c r="A63" s="33"/>
      <c r="C63" s="108"/>
      <c r="D63" s="108"/>
      <c r="E63" s="108"/>
      <c r="F63" s="102"/>
      <c r="G63" s="33"/>
      <c r="H63" s="32"/>
      <c r="I63" s="33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33"/>
      <c r="AG63" s="33"/>
      <c r="AH63" s="33"/>
    </row>
    <row r="64" spans="1:34" ht="16.5" thickBot="1">
      <c r="A64" s="33"/>
      <c r="C64" s="18" t="s">
        <v>92</v>
      </c>
      <c r="D64" s="22"/>
      <c r="E64" s="41"/>
      <c r="F64" s="80"/>
      <c r="G64" s="18" t="s">
        <v>94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3"/>
      <c r="AB64" s="37"/>
      <c r="AC64" s="18" t="s">
        <v>12</v>
      </c>
      <c r="AD64" s="22"/>
      <c r="AE64" s="23"/>
      <c r="AF64" s="33"/>
      <c r="AG64" s="33"/>
      <c r="AH64" s="33"/>
    </row>
    <row r="65" spans="1:34" ht="7.5" customHeight="1">
      <c r="A65" s="33"/>
      <c r="C65" s="20"/>
      <c r="D65" s="24"/>
      <c r="E65" s="24"/>
      <c r="F65" s="80"/>
      <c r="G65" s="20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5"/>
      <c r="AB65" s="38"/>
      <c r="AC65" s="20"/>
      <c r="AD65" s="24"/>
      <c r="AE65" s="25"/>
      <c r="AF65" s="33"/>
      <c r="AG65" s="33"/>
      <c r="AH65" s="33"/>
    </row>
    <row r="66" spans="1:34" ht="15.75">
      <c r="A66" s="33"/>
      <c r="C66" s="21"/>
      <c r="D66" s="82"/>
      <c r="E66" s="82"/>
      <c r="F66" s="80"/>
      <c r="G66" s="21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7"/>
      <c r="AB66" s="38"/>
      <c r="AC66" s="109" t="str">
        <f>TEXT(Data!BL2,"0.00")&amp; " Weeks"</f>
        <v>4.50 Weeks</v>
      </c>
      <c r="AD66" s="110"/>
      <c r="AE66" s="111"/>
      <c r="AF66" s="33"/>
      <c r="AG66" s="33"/>
      <c r="AH66" s="33"/>
    </row>
    <row r="67" spans="1:34" ht="7.5" customHeight="1">
      <c r="A67" s="33"/>
      <c r="C67" s="21"/>
      <c r="D67" s="26"/>
      <c r="E67" s="26"/>
      <c r="F67" s="80"/>
      <c r="G67" s="21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7"/>
      <c r="AB67" s="38"/>
      <c r="AC67" s="109"/>
      <c r="AD67" s="110"/>
      <c r="AE67" s="111"/>
      <c r="AF67" s="17"/>
      <c r="AG67" s="17"/>
      <c r="AH67" s="17"/>
    </row>
    <row r="68" spans="1:34" ht="15.75">
      <c r="A68" s="33"/>
      <c r="C68" s="21"/>
      <c r="D68" s="26"/>
      <c r="E68" s="26"/>
      <c r="F68" s="80"/>
      <c r="G68" s="21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7"/>
      <c r="AB68" s="38"/>
      <c r="AC68" s="109"/>
      <c r="AD68" s="110"/>
      <c r="AE68" s="111"/>
      <c r="AF68" s="31"/>
      <c r="AG68" s="31"/>
      <c r="AH68" s="31"/>
    </row>
    <row r="69" spans="1:34" ht="7.5" customHeight="1">
      <c r="A69" s="33"/>
      <c r="C69" s="21"/>
      <c r="D69" s="26"/>
      <c r="E69" s="26"/>
      <c r="F69" s="80"/>
      <c r="G69" s="21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7"/>
      <c r="AB69" s="38"/>
      <c r="AC69" s="21"/>
      <c r="AD69" s="26"/>
      <c r="AE69" s="27"/>
      <c r="AF69" s="33"/>
      <c r="AG69" s="33"/>
      <c r="AH69" s="33"/>
    </row>
    <row r="70" spans="1:34">
      <c r="A70" s="33"/>
      <c r="C70" s="21"/>
      <c r="D70" s="26"/>
      <c r="E70" s="26"/>
      <c r="F70" s="80"/>
      <c r="G70" s="21"/>
      <c r="H70" s="26"/>
      <c r="I70" s="26"/>
      <c r="J70" s="26"/>
      <c r="K70" s="26"/>
      <c r="L70" s="26"/>
      <c r="M70" s="26"/>
      <c r="N70" s="26"/>
      <c r="O70" s="26"/>
      <c r="P70" s="6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7"/>
      <c r="AB70" s="38"/>
      <c r="AC70" s="21"/>
      <c r="AD70" s="26"/>
      <c r="AE70" s="27"/>
      <c r="AF70" s="33"/>
      <c r="AG70" s="33"/>
      <c r="AH70" s="33"/>
    </row>
    <row r="71" spans="1:34" ht="7.5" customHeight="1">
      <c r="A71" s="33"/>
      <c r="C71" s="21"/>
      <c r="D71" s="26"/>
      <c r="E71" s="26"/>
      <c r="F71" s="80"/>
      <c r="G71" s="21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7"/>
      <c r="AB71" s="38"/>
      <c r="AC71" s="21"/>
      <c r="AD71" s="26"/>
      <c r="AE71" s="27"/>
      <c r="AF71" s="33"/>
      <c r="AG71" s="33"/>
      <c r="AH71" s="33"/>
    </row>
    <row r="72" spans="1:34">
      <c r="A72" s="33"/>
      <c r="C72" s="21"/>
      <c r="D72" s="26"/>
      <c r="E72" s="26"/>
      <c r="F72" s="80"/>
      <c r="G72" s="21"/>
      <c r="H72" s="26"/>
      <c r="I72" s="26"/>
      <c r="J72" s="26"/>
      <c r="K72" s="26"/>
      <c r="L72" s="26"/>
      <c r="M72" s="26"/>
      <c r="N72" s="26"/>
      <c r="O72" s="26"/>
      <c r="P72" s="6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7"/>
      <c r="AB72" s="38"/>
      <c r="AC72" s="21"/>
      <c r="AD72" s="26"/>
      <c r="AE72" s="27"/>
      <c r="AF72" s="33"/>
      <c r="AG72" s="33"/>
      <c r="AH72" s="33"/>
    </row>
    <row r="73" spans="1:34" ht="7.5" customHeight="1">
      <c r="A73" s="33"/>
      <c r="C73" s="21"/>
      <c r="D73" s="26"/>
      <c r="E73" s="26"/>
      <c r="F73" s="80"/>
      <c r="G73" s="21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7"/>
      <c r="AB73" s="38"/>
      <c r="AC73" s="21"/>
      <c r="AD73" s="26"/>
      <c r="AE73" s="27"/>
      <c r="AF73" s="33"/>
      <c r="AG73" s="33"/>
      <c r="AH73" s="33"/>
    </row>
    <row r="74" spans="1:34">
      <c r="A74" s="33"/>
      <c r="C74" s="21"/>
      <c r="D74" s="26"/>
      <c r="E74" s="26"/>
      <c r="F74" s="80"/>
      <c r="G74" s="21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7"/>
      <c r="AB74" s="38"/>
      <c r="AC74" s="21"/>
      <c r="AD74" s="26"/>
      <c r="AE74" s="27"/>
      <c r="AF74" s="33"/>
      <c r="AG74" s="33"/>
      <c r="AH74" s="33"/>
    </row>
    <row r="75" spans="1:34" ht="7.5" customHeight="1">
      <c r="A75" s="33"/>
      <c r="C75" s="21"/>
      <c r="D75" s="26"/>
      <c r="E75" s="26"/>
      <c r="F75" s="80"/>
      <c r="G75" s="21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7"/>
      <c r="AB75" s="38"/>
      <c r="AC75" s="21"/>
      <c r="AD75" s="26"/>
      <c r="AE75" s="27"/>
      <c r="AF75" s="33"/>
      <c r="AG75" s="33"/>
      <c r="AH75" s="33"/>
    </row>
    <row r="76" spans="1:34">
      <c r="A76" s="33"/>
      <c r="C76" s="21"/>
      <c r="D76" s="26"/>
      <c r="E76" s="26"/>
      <c r="F76" s="80"/>
      <c r="G76" s="21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7"/>
      <c r="AB76" s="38"/>
      <c r="AC76" s="21"/>
      <c r="AD76" s="26"/>
      <c r="AE76" s="27"/>
      <c r="AF76" s="33"/>
      <c r="AG76" s="33"/>
      <c r="AH76" s="33"/>
    </row>
    <row r="77" spans="1:34" ht="7.5" customHeight="1">
      <c r="A77" s="33"/>
      <c r="C77" s="21"/>
      <c r="D77" s="26"/>
      <c r="E77" s="26"/>
      <c r="F77" s="80"/>
      <c r="G77" s="21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7"/>
      <c r="AB77" s="38"/>
      <c r="AC77" s="21"/>
      <c r="AD77" s="26"/>
      <c r="AE77" s="27"/>
      <c r="AF77" s="33"/>
      <c r="AG77" s="33"/>
      <c r="AH77" s="33"/>
    </row>
    <row r="78" spans="1:34">
      <c r="A78" s="33"/>
      <c r="C78" s="19"/>
      <c r="D78" s="28"/>
      <c r="E78" s="28"/>
      <c r="F78" s="80"/>
      <c r="G78" s="19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9"/>
      <c r="AB78" s="38"/>
      <c r="AC78" s="19"/>
      <c r="AD78" s="28"/>
      <c r="AE78" s="29"/>
      <c r="AF78" s="33"/>
      <c r="AG78" s="33"/>
      <c r="AH78" s="33"/>
    </row>
    <row r="79" spans="1:34" ht="7.5" customHeight="1">
      <c r="A79" s="33"/>
      <c r="C79" s="33"/>
      <c r="D79" s="33"/>
      <c r="E79" s="33"/>
      <c r="F79" s="32"/>
      <c r="G79" s="33"/>
      <c r="H79" s="35"/>
      <c r="I79" s="33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33"/>
      <c r="AG79" s="33"/>
      <c r="AH79" s="33"/>
    </row>
    <row r="80" spans="1:34" ht="15.75" customHeight="1">
      <c r="A80" s="33"/>
      <c r="C80" s="107" t="s">
        <v>11</v>
      </c>
      <c r="D80" s="107"/>
      <c r="E80" s="107"/>
      <c r="F80" s="107"/>
      <c r="G80" s="33"/>
      <c r="H80" s="32"/>
      <c r="I80" s="33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3"/>
      <c r="AG80" s="33"/>
      <c r="AH80" s="33"/>
    </row>
    <row r="81" spans="1:34" ht="7.5" customHeight="1">
      <c r="A81" s="33"/>
      <c r="C81" s="108"/>
      <c r="D81" s="108"/>
      <c r="E81" s="108"/>
      <c r="F81" s="102"/>
      <c r="G81" s="33"/>
      <c r="H81" s="32"/>
      <c r="I81" s="33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17"/>
      <c r="AG81" s="33"/>
      <c r="AH81" s="33"/>
    </row>
    <row r="82" spans="1:34" ht="16.5" thickBot="1">
      <c r="A82" s="33"/>
      <c r="C82" s="18" t="s">
        <v>92</v>
      </c>
      <c r="D82" s="22"/>
      <c r="E82" s="41"/>
      <c r="F82" s="80"/>
      <c r="G82" s="18" t="s">
        <v>94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3"/>
      <c r="AF82" s="31"/>
      <c r="AG82" s="33"/>
      <c r="AH82" s="33"/>
    </row>
    <row r="83" spans="1:34" ht="7.5" customHeight="1">
      <c r="A83" s="33"/>
      <c r="C83" s="20"/>
      <c r="D83" s="24"/>
      <c r="E83" s="24"/>
      <c r="F83" s="80"/>
      <c r="G83" s="20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5"/>
      <c r="AF83" s="33"/>
      <c r="AG83" s="33"/>
      <c r="AH83" s="33"/>
    </row>
    <row r="84" spans="1:34" ht="15.75">
      <c r="A84" s="33"/>
      <c r="C84" s="21"/>
      <c r="D84" s="82"/>
      <c r="E84" s="82"/>
      <c r="F84" s="80"/>
      <c r="G84" s="21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7"/>
      <c r="AF84" s="33"/>
      <c r="AG84" s="33"/>
      <c r="AH84" s="33"/>
    </row>
    <row r="85" spans="1:34" ht="7.5" customHeight="1">
      <c r="A85" s="33"/>
      <c r="C85" s="21"/>
      <c r="D85" s="26"/>
      <c r="E85" s="26"/>
      <c r="F85" s="80"/>
      <c r="G85" s="21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7"/>
      <c r="AF85" s="33"/>
      <c r="AG85" s="33"/>
      <c r="AH85" s="33"/>
    </row>
    <row r="86" spans="1:34">
      <c r="A86" s="33"/>
      <c r="C86" s="21"/>
      <c r="D86" s="26"/>
      <c r="E86" s="26"/>
      <c r="F86" s="80"/>
      <c r="G86" s="21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7"/>
      <c r="AF86" s="33"/>
      <c r="AG86" s="33"/>
      <c r="AH86" s="33"/>
    </row>
    <row r="87" spans="1:34" ht="7.5" customHeight="1">
      <c r="A87" s="33"/>
      <c r="C87" s="21"/>
      <c r="D87" s="26"/>
      <c r="E87" s="26"/>
      <c r="F87" s="80"/>
      <c r="G87" s="21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7"/>
      <c r="AF87" s="33"/>
      <c r="AG87" s="17"/>
      <c r="AH87" s="17"/>
    </row>
    <row r="88" spans="1:34" ht="15.75">
      <c r="A88" s="33"/>
      <c r="C88" s="21"/>
      <c r="D88" s="26"/>
      <c r="E88" s="26"/>
      <c r="F88" s="80"/>
      <c r="G88" s="21"/>
      <c r="H88" s="26"/>
      <c r="I88" s="26"/>
      <c r="J88" s="26"/>
      <c r="K88" s="26"/>
      <c r="L88" s="26"/>
      <c r="M88" s="26"/>
      <c r="N88" s="26"/>
      <c r="O88" s="26"/>
      <c r="P88" s="6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7"/>
      <c r="AF88" s="33"/>
      <c r="AG88" s="31"/>
      <c r="AH88" s="31"/>
    </row>
    <row r="89" spans="1:34" ht="7.5" customHeight="1">
      <c r="A89" s="33"/>
      <c r="C89" s="21"/>
      <c r="D89" s="26"/>
      <c r="E89" s="26"/>
      <c r="F89" s="80"/>
      <c r="G89" s="21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7"/>
      <c r="AF89" s="33"/>
      <c r="AG89" s="33"/>
      <c r="AH89" s="33"/>
    </row>
    <row r="90" spans="1:34">
      <c r="A90" s="33"/>
      <c r="C90" s="21"/>
      <c r="D90" s="26"/>
      <c r="E90" s="26"/>
      <c r="F90" s="80"/>
      <c r="G90" s="21"/>
      <c r="H90" s="26"/>
      <c r="I90" s="26"/>
      <c r="J90" s="26"/>
      <c r="K90" s="26"/>
      <c r="L90" s="26"/>
      <c r="M90" s="26"/>
      <c r="N90" s="26"/>
      <c r="O90" s="26"/>
      <c r="P90" s="6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7"/>
      <c r="AF90" s="33"/>
      <c r="AG90" s="33"/>
      <c r="AH90" s="33"/>
    </row>
    <row r="91" spans="1:34" ht="7.5" customHeight="1">
      <c r="A91" s="33"/>
      <c r="C91" s="21"/>
      <c r="D91" s="26"/>
      <c r="E91" s="26"/>
      <c r="F91" s="80"/>
      <c r="G91" s="21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7"/>
      <c r="AF91" s="33"/>
      <c r="AG91" s="33"/>
      <c r="AH91" s="33"/>
    </row>
    <row r="92" spans="1:34">
      <c r="A92" s="33"/>
      <c r="C92" s="21"/>
      <c r="D92" s="26"/>
      <c r="E92" s="26"/>
      <c r="F92" s="80"/>
      <c r="G92" s="21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7"/>
      <c r="AF92" s="33"/>
      <c r="AG92" s="33"/>
      <c r="AH92" s="33"/>
    </row>
    <row r="93" spans="1:34" ht="7.5" customHeight="1">
      <c r="A93" s="33"/>
      <c r="C93" s="21"/>
      <c r="D93" s="26"/>
      <c r="E93" s="26"/>
      <c r="F93" s="80"/>
      <c r="G93" s="21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7"/>
      <c r="AF93" s="33"/>
      <c r="AG93" s="33"/>
      <c r="AH93" s="33"/>
    </row>
    <row r="94" spans="1:34">
      <c r="A94" s="33"/>
      <c r="C94" s="21"/>
      <c r="D94" s="26"/>
      <c r="E94" s="26"/>
      <c r="F94" s="80"/>
      <c r="G94" s="21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7"/>
      <c r="AF94" s="33"/>
      <c r="AG94" s="33"/>
      <c r="AH94" s="33"/>
    </row>
    <row r="95" spans="1:34" ht="7.5" customHeight="1">
      <c r="A95" s="33"/>
      <c r="C95" s="21"/>
      <c r="D95" s="26"/>
      <c r="E95" s="26"/>
      <c r="F95" s="80"/>
      <c r="G95" s="21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7"/>
      <c r="AF95" s="33"/>
      <c r="AG95" s="33"/>
      <c r="AH95" s="33"/>
    </row>
    <row r="96" spans="1:34">
      <c r="A96" s="33"/>
      <c r="C96" s="19"/>
      <c r="D96" s="28"/>
      <c r="E96" s="28"/>
      <c r="F96" s="80"/>
      <c r="G96" s="19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9"/>
      <c r="AF96" s="33"/>
      <c r="AG96" s="33"/>
      <c r="AH96" s="33"/>
    </row>
    <row r="97" spans="1:34" ht="7.5" customHeight="1">
      <c r="A97" s="33"/>
      <c r="B97" s="35"/>
      <c r="C97" s="33"/>
      <c r="D97" s="33"/>
      <c r="E97" s="33"/>
      <c r="F97" s="32"/>
      <c r="G97" s="33"/>
      <c r="H97" s="32"/>
      <c r="I97" s="33"/>
      <c r="J97" s="35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33"/>
      <c r="AG97" s="33"/>
      <c r="AH97" s="33"/>
    </row>
    <row r="98" spans="1:34">
      <c r="A98" s="33"/>
      <c r="B98" s="35"/>
      <c r="C98" s="33"/>
      <c r="D98" s="33"/>
      <c r="E98" s="33"/>
      <c r="F98" s="35"/>
      <c r="G98" s="33"/>
      <c r="H98" s="35"/>
      <c r="I98" s="33"/>
      <c r="J98" s="35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33"/>
      <c r="AG98" s="33"/>
      <c r="AH98" s="33"/>
    </row>
    <row r="99" spans="1:34" ht="7.5" customHeight="1">
      <c r="A99" s="33"/>
      <c r="B99" s="35"/>
      <c r="C99" s="33"/>
      <c r="D99" s="33"/>
      <c r="E99" s="33"/>
      <c r="F99" s="35"/>
      <c r="G99" s="33"/>
      <c r="H99" s="35"/>
      <c r="I99" s="33"/>
      <c r="J99" s="35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33"/>
      <c r="AG99" s="33"/>
      <c r="AH99" s="33"/>
    </row>
    <row r="100" spans="1:34" s="36" customFormat="1" ht="7.5" customHeight="1">
      <c r="A100" s="33"/>
      <c r="B100" s="32"/>
      <c r="C100" s="33"/>
      <c r="D100" s="33"/>
      <c r="E100" s="33"/>
      <c r="F100" s="32"/>
      <c r="G100" s="33"/>
      <c r="H100" s="32"/>
      <c r="I100" s="33"/>
      <c r="J100" s="32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33"/>
      <c r="AE100" s="33"/>
      <c r="AF100" s="33"/>
      <c r="AG100" s="33"/>
    </row>
    <row r="101" spans="1:34">
      <c r="A101" s="33"/>
      <c r="B101" s="35"/>
      <c r="C101" s="33"/>
      <c r="D101" s="33"/>
      <c r="E101" s="33"/>
      <c r="F101" s="35"/>
      <c r="G101" s="33"/>
      <c r="H101" s="35"/>
      <c r="I101" s="33"/>
      <c r="J101" s="35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33"/>
      <c r="AE101" s="33"/>
      <c r="AF101" s="33"/>
      <c r="AG101" s="33"/>
    </row>
    <row r="102" spans="1:34" s="36" customFormat="1" ht="7.5" customHeight="1">
      <c r="A102" s="33"/>
      <c r="B102" s="32"/>
      <c r="C102" s="33"/>
      <c r="D102" s="33"/>
      <c r="E102" s="33"/>
      <c r="F102" s="32"/>
      <c r="G102" s="33"/>
      <c r="H102" s="32"/>
      <c r="I102" s="33"/>
      <c r="J102" s="32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33"/>
      <c r="AE102" s="33"/>
      <c r="AF102" s="33"/>
      <c r="AG102" s="33"/>
    </row>
    <row r="103" spans="1:34">
      <c r="A103" s="33"/>
      <c r="B103" s="35"/>
      <c r="C103" s="33"/>
      <c r="D103" s="33"/>
      <c r="E103" s="33"/>
      <c r="F103" s="35"/>
      <c r="G103" s="33"/>
      <c r="H103" s="35"/>
      <c r="I103" s="33"/>
      <c r="J103" s="35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33"/>
      <c r="AE103" s="33"/>
      <c r="AF103" s="33"/>
      <c r="AG103" s="33"/>
    </row>
    <row r="104" spans="1:34" s="36" customFormat="1" ht="7.5" customHeight="1">
      <c r="A104" s="33"/>
      <c r="B104" s="32"/>
      <c r="C104" s="33"/>
      <c r="D104" s="33"/>
      <c r="E104" s="33"/>
      <c r="F104" s="32"/>
      <c r="G104" s="33"/>
      <c r="H104" s="32"/>
      <c r="I104" s="33"/>
      <c r="J104" s="32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33"/>
      <c r="AE104" s="33"/>
      <c r="AF104" s="33"/>
      <c r="AG104" s="33"/>
    </row>
    <row r="105" spans="1:34">
      <c r="A105" s="33"/>
      <c r="B105" s="35"/>
      <c r="C105" s="33"/>
      <c r="D105" s="33"/>
      <c r="E105" s="33"/>
      <c r="F105" s="35"/>
      <c r="G105" s="33"/>
      <c r="H105" s="35"/>
      <c r="I105" s="33"/>
      <c r="J105" s="35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33"/>
      <c r="AE105" s="33"/>
      <c r="AF105" s="33"/>
      <c r="AG105" s="33"/>
    </row>
    <row r="106" spans="1:34" s="11" customFormat="1" ht="7.5" customHeight="1">
      <c r="A106" s="9"/>
      <c r="C106" s="9"/>
      <c r="D106" s="10"/>
      <c r="E106" s="9"/>
      <c r="F106" s="10"/>
      <c r="G106" s="34"/>
      <c r="H106" s="10"/>
      <c r="I106" s="34"/>
      <c r="J106" s="10"/>
      <c r="K106" s="9"/>
      <c r="L106" s="10"/>
      <c r="M106" s="9"/>
      <c r="N106" s="10"/>
      <c r="O106" s="9"/>
      <c r="P106" s="10"/>
      <c r="Q106" s="9"/>
      <c r="R106" s="10"/>
      <c r="S106" s="9"/>
      <c r="T106" s="10"/>
      <c r="U106" s="9"/>
      <c r="V106" s="10"/>
      <c r="W106" s="9"/>
      <c r="X106" s="10"/>
      <c r="Y106" s="9"/>
      <c r="Z106" s="10"/>
      <c r="AA106" s="9"/>
      <c r="AB106" s="10"/>
      <c r="AC106" s="9"/>
      <c r="AD106" s="34"/>
      <c r="AE106" s="34"/>
      <c r="AF106" s="34"/>
      <c r="AG106" s="34"/>
    </row>
    <row r="107" spans="1:34" s="15" customFormat="1" ht="39.75" customHeight="1">
      <c r="A107" s="12"/>
      <c r="B107" s="12"/>
      <c r="C107" s="12"/>
      <c r="D107" s="13"/>
      <c r="E107" s="12"/>
      <c r="F107" s="13"/>
      <c r="G107" s="12"/>
      <c r="H107" s="13"/>
      <c r="I107" s="12"/>
      <c r="J107" s="13"/>
      <c r="K107" s="12"/>
      <c r="L107" s="13"/>
      <c r="M107" s="12"/>
      <c r="N107" s="13"/>
      <c r="O107" s="12"/>
      <c r="P107" s="13"/>
      <c r="Q107" s="12"/>
      <c r="R107" s="13"/>
      <c r="S107" s="12"/>
      <c r="T107" s="13"/>
      <c r="U107" s="12"/>
      <c r="V107" s="13"/>
      <c r="W107" s="12"/>
      <c r="X107" s="13"/>
      <c r="Y107" s="12"/>
      <c r="Z107" s="13"/>
      <c r="AA107" s="12"/>
      <c r="AB107" s="13"/>
      <c r="AC107" s="12"/>
      <c r="AD107" s="12"/>
      <c r="AE107" s="12"/>
      <c r="AF107" s="12"/>
      <c r="AG107" s="12"/>
    </row>
    <row r="108" spans="1:34" s="11" customFormat="1" ht="12.75"/>
  </sheetData>
  <mergeCells count="8">
    <mergeCell ref="AC66:AE68"/>
    <mergeCell ref="C80:F81"/>
    <mergeCell ref="AC1:AF1"/>
    <mergeCell ref="J6:M7"/>
    <mergeCell ref="C8:F9"/>
    <mergeCell ref="C26:F27"/>
    <mergeCell ref="C44:F45"/>
    <mergeCell ref="C62:F63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6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Q108"/>
  <sheetViews>
    <sheetView showGridLines="0" showRowColHeaders="0" zoomScale="80" zoomScaleNormal="80" zoomScaleSheetLayoutView="70" workbookViewId="0">
      <pane ySplit="6" topLeftCell="A7" activePane="bottomLeft" state="frozen"/>
      <selection pane="bottomLeft" activeCell="A44" sqref="A44"/>
    </sheetView>
  </sheetViews>
  <sheetFormatPr defaultRowHeight="15"/>
  <cols>
    <col min="1" max="2" width="1.42578125" customWidth="1"/>
    <col min="3" max="3" width="9.7109375" customWidth="1"/>
    <col min="4" max="4" width="1.42578125" customWidth="1"/>
    <col min="5" max="5" width="9.7109375" customWidth="1"/>
    <col min="6" max="6" width="1.42578125" customWidth="1"/>
    <col min="7" max="7" width="9.7109375" customWidth="1"/>
    <col min="8" max="8" width="1.42578125" customWidth="1"/>
    <col min="9" max="9" width="9.7109375" customWidth="1"/>
    <col min="10" max="10" width="1.42578125" customWidth="1"/>
    <col min="11" max="11" width="9.7109375" customWidth="1"/>
    <col min="12" max="12" width="1.42578125" customWidth="1"/>
    <col min="13" max="13" width="9.7109375" customWidth="1"/>
    <col min="14" max="14" width="1.42578125" customWidth="1"/>
    <col min="15" max="15" width="9.7109375" customWidth="1"/>
    <col min="16" max="16" width="1.42578125" customWidth="1"/>
    <col min="17" max="17" width="9.7109375" customWidth="1"/>
    <col min="18" max="18" width="1.42578125" customWidth="1"/>
    <col min="19" max="19" width="9.7109375" customWidth="1"/>
    <col min="20" max="20" width="1.42578125" customWidth="1"/>
    <col min="21" max="21" width="9.7109375" customWidth="1"/>
    <col min="22" max="22" width="1.42578125" customWidth="1"/>
    <col min="23" max="23" width="9.7109375" customWidth="1"/>
    <col min="24" max="24" width="1.42578125" customWidth="1"/>
    <col min="25" max="25" width="9.7109375" customWidth="1"/>
    <col min="26" max="26" width="1.42578125" customWidth="1"/>
    <col min="27" max="27" width="9.7109375" customWidth="1"/>
    <col min="28" max="28" width="1.42578125" customWidth="1"/>
    <col min="29" max="29" width="9.7109375" customWidth="1"/>
    <col min="30" max="30" width="1.42578125" customWidth="1"/>
    <col min="31" max="31" width="9.7109375" customWidth="1"/>
    <col min="32" max="33" width="1.42578125" customWidth="1"/>
  </cols>
  <sheetData>
    <row r="1" spans="1:43" s="5" customFormat="1" ht="15.75">
      <c r="A1" s="2"/>
      <c r="B1" s="2"/>
      <c r="C1" s="2"/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101">
        <f ca="1">TODAY()</f>
        <v>41837</v>
      </c>
      <c r="AD1" s="101"/>
      <c r="AE1" s="101"/>
      <c r="AF1" s="101"/>
      <c r="AG1" s="3"/>
    </row>
    <row r="2" spans="1:43" s="5" customFormat="1" ht="35.25">
      <c r="A2" s="6"/>
      <c r="B2" s="6" t="s">
        <v>7</v>
      </c>
      <c r="C2" s="6"/>
      <c r="D2" s="3"/>
      <c r="E2" s="6"/>
      <c r="F2" s="3"/>
      <c r="G2" s="6"/>
      <c r="H2" s="3"/>
      <c r="I2" s="6"/>
      <c r="J2" s="3"/>
      <c r="K2" s="6"/>
      <c r="L2" s="3"/>
      <c r="M2" s="6"/>
      <c r="N2" s="3"/>
      <c r="O2" s="6"/>
      <c r="P2" s="3"/>
      <c r="Q2" s="6"/>
      <c r="R2" s="3"/>
      <c r="S2" s="6"/>
      <c r="T2" s="3"/>
      <c r="U2" s="6"/>
      <c r="V2" s="3"/>
      <c r="W2" s="6"/>
      <c r="X2" s="3"/>
      <c r="Y2" s="6"/>
      <c r="Z2" s="3"/>
      <c r="AA2" s="6"/>
      <c r="AB2" s="3"/>
      <c r="AC2" s="6"/>
      <c r="AD2" s="3"/>
      <c r="AE2" s="6"/>
      <c r="AF2" s="3"/>
      <c r="AG2" s="3"/>
    </row>
    <row r="3" spans="1:43" s="5" customFormat="1" ht="17.25" customHeight="1" thickBot="1">
      <c r="A3" s="7"/>
      <c r="B3" s="7"/>
      <c r="C3" s="7"/>
      <c r="D3" s="8"/>
      <c r="E3" s="7"/>
      <c r="F3" s="8"/>
      <c r="G3" s="7"/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  <c r="U3" s="7"/>
      <c r="V3" s="8"/>
      <c r="W3" s="7"/>
      <c r="X3" s="8"/>
      <c r="Y3" s="7"/>
      <c r="Z3" s="8"/>
      <c r="AA3" s="7"/>
      <c r="AB3" s="8"/>
      <c r="AC3" s="7"/>
      <c r="AD3" s="8"/>
      <c r="AE3" s="7"/>
      <c r="AF3" s="8"/>
      <c r="AG3" s="8"/>
    </row>
    <row r="4" spans="1:43" s="11" customFormat="1" ht="7.5" customHeight="1">
      <c r="A4" s="9"/>
      <c r="C4" s="9"/>
      <c r="D4" s="10"/>
      <c r="E4" s="9"/>
      <c r="F4" s="10"/>
      <c r="G4" s="9"/>
      <c r="H4" s="10"/>
      <c r="I4" s="9"/>
      <c r="J4" s="10"/>
      <c r="K4" s="9"/>
      <c r="L4" s="10"/>
      <c r="M4" s="9"/>
      <c r="N4" s="10"/>
      <c r="O4" s="9"/>
      <c r="P4" s="10"/>
      <c r="Q4" s="9"/>
      <c r="R4" s="10"/>
      <c r="S4" s="9"/>
      <c r="T4" s="10"/>
      <c r="U4" s="9"/>
      <c r="V4" s="10"/>
      <c r="W4" s="9"/>
      <c r="X4" s="10"/>
      <c r="Y4" s="9"/>
      <c r="Z4" s="10"/>
      <c r="AA4" s="9"/>
      <c r="AB4" s="10"/>
      <c r="AC4" s="9"/>
      <c r="AD4" s="10"/>
      <c r="AE4" s="9"/>
      <c r="AF4" s="10"/>
      <c r="AG4" s="10"/>
    </row>
    <row r="5" spans="1:43" ht="9.75" customHeight="1">
      <c r="A5" s="17"/>
      <c r="C5" s="17"/>
      <c r="D5" s="17"/>
      <c r="F5" s="17"/>
      <c r="H5" s="17"/>
      <c r="J5" s="17"/>
      <c r="K5" s="17"/>
      <c r="M5" s="17"/>
      <c r="O5" s="17"/>
      <c r="Q5" s="17"/>
      <c r="S5" s="17"/>
      <c r="U5" s="17"/>
      <c r="W5" s="17"/>
      <c r="Y5" s="17"/>
      <c r="AA5" s="17"/>
      <c r="AC5" s="17"/>
      <c r="AE5" s="17"/>
      <c r="AI5" s="17"/>
      <c r="AK5" s="17"/>
      <c r="AM5" s="17"/>
      <c r="AO5" s="17"/>
      <c r="AQ5" s="17"/>
    </row>
    <row r="6" spans="1:43" ht="90" customHeight="1">
      <c r="A6" s="31"/>
      <c r="B6" s="32"/>
      <c r="C6" s="31"/>
      <c r="D6" s="31"/>
      <c r="E6" s="31"/>
      <c r="F6" s="32"/>
      <c r="G6" s="31"/>
      <c r="H6" s="32"/>
      <c r="I6" s="31"/>
      <c r="J6" s="102"/>
      <c r="K6" s="102"/>
      <c r="L6" s="102"/>
      <c r="M6" s="102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K6" s="78"/>
    </row>
    <row r="7" spans="1:43" ht="7.5" customHeight="1">
      <c r="A7" s="33"/>
      <c r="B7" s="32"/>
      <c r="C7" s="33"/>
      <c r="D7" s="33"/>
      <c r="E7" s="33"/>
      <c r="F7" s="32"/>
      <c r="G7" s="33"/>
      <c r="H7" s="32"/>
      <c r="I7" s="33"/>
      <c r="J7" s="102"/>
      <c r="K7" s="102"/>
      <c r="L7" s="102"/>
      <c r="M7" s="102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33"/>
      <c r="AG7" s="33"/>
      <c r="AH7" s="33"/>
    </row>
    <row r="8" spans="1:43" ht="15.75">
      <c r="A8" s="33"/>
      <c r="B8" s="32"/>
      <c r="C8" s="102" t="s">
        <v>2</v>
      </c>
      <c r="D8" s="102"/>
      <c r="E8" s="102"/>
      <c r="F8" s="102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C8" s="33"/>
      <c r="AD8" s="33"/>
      <c r="AE8" s="33"/>
      <c r="AF8" s="31"/>
      <c r="AG8" s="31"/>
      <c r="AH8" s="31"/>
      <c r="AI8" s="31"/>
      <c r="AJ8" s="31"/>
      <c r="AK8" s="31"/>
    </row>
    <row r="9" spans="1:43" ht="7.5" customHeight="1">
      <c r="A9" s="33"/>
      <c r="B9" s="32"/>
      <c r="C9" s="102"/>
      <c r="D9" s="102"/>
      <c r="E9" s="102"/>
      <c r="F9" s="102"/>
      <c r="G9" s="33"/>
      <c r="H9" s="32"/>
      <c r="I9" s="33"/>
      <c r="J9" s="26"/>
      <c r="K9" s="26"/>
      <c r="L9" s="26"/>
      <c r="M9" s="26"/>
      <c r="N9" s="3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33"/>
      <c r="AG9" s="33"/>
      <c r="AH9" s="33"/>
      <c r="AI9" s="33"/>
      <c r="AJ9" s="33"/>
      <c r="AK9" s="33"/>
    </row>
    <row r="10" spans="1:43" ht="16.5" thickBot="1">
      <c r="A10" s="33"/>
      <c r="B10" s="32"/>
      <c r="C10" s="18" t="s">
        <v>92</v>
      </c>
      <c r="D10" s="22"/>
      <c r="E10" s="42"/>
      <c r="F10" s="32"/>
      <c r="G10" s="18" t="s">
        <v>94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3"/>
      <c r="AF10" s="31"/>
      <c r="AG10" s="31"/>
      <c r="AH10" s="31"/>
      <c r="AI10" s="31"/>
      <c r="AJ10" s="31"/>
      <c r="AK10" s="31"/>
    </row>
    <row r="11" spans="1:43" ht="7.5" customHeight="1">
      <c r="A11" s="33"/>
      <c r="B11" s="32"/>
      <c r="C11" s="20"/>
      <c r="D11" s="24"/>
      <c r="E11" s="25"/>
      <c r="F11" s="32"/>
      <c r="G11" s="20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5"/>
      <c r="AF11" s="33"/>
      <c r="AG11" s="33"/>
      <c r="AH11" s="33"/>
      <c r="AI11" s="33"/>
      <c r="AJ11" s="33"/>
      <c r="AK11" s="33"/>
    </row>
    <row r="12" spans="1:43" ht="15.75">
      <c r="A12" s="33"/>
      <c r="B12" s="32"/>
      <c r="C12" s="21"/>
      <c r="D12" s="82"/>
      <c r="E12" s="40"/>
      <c r="F12" s="32"/>
      <c r="G12" s="21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7"/>
      <c r="AF12" s="33"/>
      <c r="AG12" s="33"/>
      <c r="AH12" s="33"/>
      <c r="AI12" s="33"/>
      <c r="AJ12" s="33"/>
      <c r="AK12" s="33"/>
    </row>
    <row r="13" spans="1:43" ht="7.5" customHeight="1">
      <c r="A13" s="33"/>
      <c r="B13" s="32"/>
      <c r="C13" s="21"/>
      <c r="D13" s="26"/>
      <c r="E13" s="27"/>
      <c r="F13" s="32"/>
      <c r="G13" s="21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7"/>
      <c r="AF13" s="33"/>
      <c r="AG13" s="33"/>
      <c r="AH13" s="33"/>
      <c r="AI13" s="33"/>
      <c r="AJ13" s="33"/>
      <c r="AK13" s="33"/>
    </row>
    <row r="14" spans="1:43">
      <c r="A14" s="33"/>
      <c r="B14" s="32"/>
      <c r="C14" s="21"/>
      <c r="D14" s="26"/>
      <c r="E14" s="27"/>
      <c r="F14" s="32"/>
      <c r="G14" s="21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7"/>
      <c r="AF14" s="33"/>
      <c r="AG14" s="33"/>
      <c r="AH14" s="33"/>
      <c r="AI14" s="33"/>
      <c r="AJ14" s="33"/>
      <c r="AK14" s="33"/>
    </row>
    <row r="15" spans="1:43" ht="7.5" customHeight="1">
      <c r="A15" s="33"/>
      <c r="B15" s="32"/>
      <c r="C15" s="21"/>
      <c r="D15" s="26"/>
      <c r="E15" s="27"/>
      <c r="F15" s="32"/>
      <c r="G15" s="21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7"/>
      <c r="AF15" s="33"/>
      <c r="AG15" s="33"/>
      <c r="AH15" s="33"/>
      <c r="AI15" s="33"/>
      <c r="AJ15" s="33"/>
      <c r="AK15" s="33"/>
    </row>
    <row r="16" spans="1:43">
      <c r="A16" s="33"/>
      <c r="B16" s="32"/>
      <c r="C16" s="21"/>
      <c r="D16" s="26"/>
      <c r="E16" s="27"/>
      <c r="F16" s="32"/>
      <c r="G16" s="21"/>
      <c r="H16" s="26"/>
      <c r="I16" s="26"/>
      <c r="J16" s="26"/>
      <c r="K16" s="26"/>
      <c r="L16" s="26"/>
      <c r="M16" s="26"/>
      <c r="N16" s="26"/>
      <c r="O16" s="26"/>
      <c r="P16" s="6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7"/>
      <c r="AF16" s="33"/>
      <c r="AG16" s="33"/>
      <c r="AH16" s="33"/>
      <c r="AI16" s="33"/>
      <c r="AJ16" s="33"/>
      <c r="AK16" s="33"/>
    </row>
    <row r="17" spans="1:37" ht="7.5" customHeight="1">
      <c r="A17" s="33"/>
      <c r="B17" s="32"/>
      <c r="C17" s="21"/>
      <c r="D17" s="26"/>
      <c r="E17" s="27"/>
      <c r="F17" s="32"/>
      <c r="G17" s="21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7"/>
      <c r="AF17" s="33"/>
      <c r="AG17" s="33"/>
      <c r="AH17" s="33"/>
      <c r="AI17" s="33"/>
      <c r="AJ17" s="33"/>
      <c r="AK17" s="33"/>
    </row>
    <row r="18" spans="1:37">
      <c r="A18" s="33"/>
      <c r="B18" s="32"/>
      <c r="C18" s="21"/>
      <c r="D18" s="26"/>
      <c r="E18" s="27"/>
      <c r="F18" s="32"/>
      <c r="G18" s="21"/>
      <c r="H18" s="26"/>
      <c r="I18" s="26"/>
      <c r="J18" s="26"/>
      <c r="K18" s="26"/>
      <c r="L18" s="26"/>
      <c r="M18" s="26"/>
      <c r="N18" s="26"/>
      <c r="O18" s="26"/>
      <c r="P18" s="6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7"/>
      <c r="AF18" s="33"/>
      <c r="AG18" s="33"/>
      <c r="AH18" s="33"/>
      <c r="AI18" s="33"/>
      <c r="AJ18" s="33"/>
      <c r="AK18" s="33"/>
    </row>
    <row r="19" spans="1:37" ht="7.5" customHeight="1">
      <c r="A19" s="33"/>
      <c r="B19" s="32"/>
      <c r="C19" s="21"/>
      <c r="D19" s="26"/>
      <c r="E19" s="27"/>
      <c r="F19" s="32"/>
      <c r="G19" s="21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7"/>
      <c r="AF19" s="33"/>
      <c r="AG19" s="33"/>
      <c r="AH19" s="33"/>
      <c r="AI19" s="33"/>
      <c r="AJ19" s="33"/>
      <c r="AK19" s="33"/>
    </row>
    <row r="20" spans="1:37" ht="15.75">
      <c r="A20" s="31"/>
      <c r="B20" s="32"/>
      <c r="C20" s="21"/>
      <c r="D20" s="26"/>
      <c r="E20" s="27"/>
      <c r="F20" s="32"/>
      <c r="G20" s="21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7"/>
      <c r="AF20" s="33"/>
      <c r="AG20" s="33"/>
      <c r="AH20" s="33"/>
      <c r="AI20" s="33"/>
      <c r="AJ20" s="33"/>
      <c r="AK20" s="33"/>
    </row>
    <row r="21" spans="1:37" ht="7.5" customHeight="1">
      <c r="A21" s="33"/>
      <c r="B21" s="32"/>
      <c r="C21" s="21"/>
      <c r="D21" s="26"/>
      <c r="E21" s="27"/>
      <c r="F21" s="32"/>
      <c r="G21" s="21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7"/>
      <c r="AF21" s="33"/>
      <c r="AG21" s="33"/>
      <c r="AH21" s="33"/>
      <c r="AI21" s="33"/>
      <c r="AJ21" s="33"/>
      <c r="AK21" s="33"/>
    </row>
    <row r="22" spans="1:37">
      <c r="A22" s="33"/>
      <c r="B22" s="32"/>
      <c r="C22" s="21"/>
      <c r="D22" s="26"/>
      <c r="E22" s="27"/>
      <c r="F22" s="32"/>
      <c r="G22" s="21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7"/>
      <c r="AF22" s="33"/>
      <c r="AG22" s="33"/>
      <c r="AH22" s="33"/>
      <c r="AI22" s="33"/>
      <c r="AJ22" s="33"/>
      <c r="AK22" s="33"/>
    </row>
    <row r="23" spans="1:37" ht="7.5" customHeight="1">
      <c r="A23" s="33"/>
      <c r="B23" s="32"/>
      <c r="C23" s="21"/>
      <c r="D23" s="26"/>
      <c r="E23" s="27"/>
      <c r="F23" s="32"/>
      <c r="G23" s="21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7"/>
      <c r="AF23" s="33"/>
      <c r="AG23" s="33"/>
      <c r="AH23" s="33"/>
      <c r="AI23" s="33"/>
      <c r="AJ23" s="33"/>
      <c r="AK23" s="33"/>
    </row>
    <row r="24" spans="1:37">
      <c r="A24" s="33"/>
      <c r="B24" s="32"/>
      <c r="C24" s="19"/>
      <c r="D24" s="28"/>
      <c r="E24" s="29"/>
      <c r="F24" s="32"/>
      <c r="G24" s="19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9"/>
      <c r="AF24" s="33"/>
      <c r="AG24" s="33"/>
      <c r="AH24" s="33"/>
      <c r="AI24" s="33"/>
      <c r="AJ24" s="33"/>
      <c r="AK24" s="33"/>
    </row>
    <row r="25" spans="1:37" ht="7.5" customHeight="1">
      <c r="A25" s="33"/>
      <c r="B25" s="32"/>
      <c r="C25" s="33"/>
      <c r="D25" s="33"/>
      <c r="E25" s="33"/>
      <c r="F25" s="32"/>
      <c r="G25" s="33"/>
      <c r="H25" s="32"/>
      <c r="I25" s="33"/>
      <c r="J25" s="35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33"/>
      <c r="AG25" s="33"/>
      <c r="AH25" s="33"/>
    </row>
    <row r="26" spans="1:37" ht="15.75" customHeight="1">
      <c r="A26" s="33"/>
      <c r="B26" s="32"/>
      <c r="C26" s="107" t="s">
        <v>3</v>
      </c>
      <c r="D26" s="107"/>
      <c r="E26" s="107"/>
      <c r="F26" s="107"/>
      <c r="G26" s="33"/>
      <c r="H26" s="32"/>
      <c r="I26" s="33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3"/>
      <c r="AG26" s="33"/>
      <c r="AH26" s="33"/>
    </row>
    <row r="27" spans="1:37" ht="7.5" customHeight="1">
      <c r="A27" s="33"/>
      <c r="B27" s="32"/>
      <c r="C27" s="108"/>
      <c r="D27" s="108"/>
      <c r="E27" s="108"/>
      <c r="F27" s="102"/>
      <c r="G27" s="33"/>
      <c r="H27" s="32"/>
      <c r="I27" s="33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7"/>
      <c r="AG27" s="17"/>
      <c r="AH27" s="17"/>
    </row>
    <row r="28" spans="1:37" ht="16.5" thickBot="1">
      <c r="A28" s="33"/>
      <c r="B28" s="32"/>
      <c r="C28" s="18" t="s">
        <v>92</v>
      </c>
      <c r="D28" s="22"/>
      <c r="E28" s="41"/>
      <c r="F28" s="81"/>
      <c r="G28" s="18" t="s">
        <v>94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31"/>
      <c r="AG28" s="31"/>
      <c r="AH28" s="31"/>
    </row>
    <row r="29" spans="1:37" ht="7.5" customHeight="1">
      <c r="A29" s="33"/>
      <c r="B29" s="32"/>
      <c r="C29" s="20"/>
      <c r="D29" s="24"/>
      <c r="E29" s="24"/>
      <c r="F29" s="81"/>
      <c r="G29" s="20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33"/>
      <c r="AG29" s="33"/>
      <c r="AH29" s="33"/>
    </row>
    <row r="30" spans="1:37" ht="15.75">
      <c r="A30" s="33"/>
      <c r="B30" s="32"/>
      <c r="C30" s="21"/>
      <c r="D30" s="82"/>
      <c r="E30" s="82"/>
      <c r="F30" s="81"/>
      <c r="G30" s="21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7"/>
      <c r="AF30" s="33"/>
      <c r="AG30" s="33"/>
      <c r="AH30" s="33"/>
    </row>
    <row r="31" spans="1:37" ht="7.5" customHeight="1">
      <c r="A31" s="33"/>
      <c r="B31" s="32"/>
      <c r="C31" s="21"/>
      <c r="D31" s="26"/>
      <c r="E31" s="26"/>
      <c r="F31" s="81"/>
      <c r="G31" s="21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7"/>
      <c r="AF31" s="33"/>
      <c r="AG31" s="33"/>
      <c r="AH31" s="33"/>
    </row>
    <row r="32" spans="1:37" ht="15.75">
      <c r="A32" s="31"/>
      <c r="B32" s="32"/>
      <c r="C32" s="21"/>
      <c r="D32" s="26"/>
      <c r="E32" s="26"/>
      <c r="F32" s="81"/>
      <c r="G32" s="21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7"/>
      <c r="AF32" s="33"/>
      <c r="AG32" s="33"/>
      <c r="AH32" s="33"/>
    </row>
    <row r="33" spans="1:34" ht="7.5" customHeight="1">
      <c r="A33" s="33"/>
      <c r="B33" s="32"/>
      <c r="C33" s="21"/>
      <c r="D33" s="26"/>
      <c r="E33" s="26"/>
      <c r="F33" s="81"/>
      <c r="G33" s="21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7"/>
      <c r="AF33" s="33"/>
      <c r="AG33" s="33"/>
      <c r="AH33" s="33"/>
    </row>
    <row r="34" spans="1:34">
      <c r="A34" s="33"/>
      <c r="B34" s="32"/>
      <c r="C34" s="21"/>
      <c r="D34" s="26"/>
      <c r="E34" s="26"/>
      <c r="F34" s="81"/>
      <c r="G34" s="21"/>
      <c r="H34" s="26"/>
      <c r="I34" s="26"/>
      <c r="J34" s="26"/>
      <c r="K34" s="26"/>
      <c r="L34" s="26"/>
      <c r="M34" s="26"/>
      <c r="N34" s="26"/>
      <c r="O34" s="26"/>
      <c r="P34" s="6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7"/>
      <c r="AF34" s="33"/>
      <c r="AG34" s="33"/>
      <c r="AH34" s="33"/>
    </row>
    <row r="35" spans="1:34" ht="7.5" customHeight="1">
      <c r="A35" s="33"/>
      <c r="B35" s="32"/>
      <c r="C35" s="21"/>
      <c r="D35" s="26"/>
      <c r="E35" s="26"/>
      <c r="F35" s="81"/>
      <c r="G35" s="21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7"/>
      <c r="AF35" s="33"/>
      <c r="AG35" s="33"/>
      <c r="AH35" s="33"/>
    </row>
    <row r="36" spans="1:34">
      <c r="A36" s="33"/>
      <c r="B36" s="32"/>
      <c r="C36" s="21"/>
      <c r="D36" s="26"/>
      <c r="E36" s="26"/>
      <c r="F36" s="81"/>
      <c r="G36" s="21"/>
      <c r="H36" s="26"/>
      <c r="I36" s="26"/>
      <c r="J36" s="26"/>
      <c r="K36" s="26"/>
      <c r="L36" s="26"/>
      <c r="M36" s="26"/>
      <c r="N36" s="26"/>
      <c r="O36" s="26"/>
      <c r="P36" s="6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7"/>
      <c r="AF36" s="33"/>
      <c r="AG36" s="33"/>
      <c r="AH36" s="33"/>
    </row>
    <row r="37" spans="1:34" ht="7.5" customHeight="1">
      <c r="A37" s="33"/>
      <c r="B37" s="32"/>
      <c r="C37" s="21"/>
      <c r="D37" s="26"/>
      <c r="E37" s="26"/>
      <c r="F37" s="81"/>
      <c r="G37" s="21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33"/>
      <c r="AG37" s="33"/>
      <c r="AH37" s="33"/>
    </row>
    <row r="38" spans="1:34">
      <c r="A38" s="33"/>
      <c r="B38" s="32"/>
      <c r="C38" s="21"/>
      <c r="D38" s="26"/>
      <c r="E38" s="26"/>
      <c r="F38" s="81"/>
      <c r="G38" s="21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7"/>
      <c r="AF38" s="33"/>
      <c r="AG38" s="33"/>
      <c r="AH38" s="33"/>
    </row>
    <row r="39" spans="1:34" ht="7.5" customHeight="1">
      <c r="A39" s="33"/>
      <c r="B39" s="32"/>
      <c r="C39" s="21"/>
      <c r="D39" s="26"/>
      <c r="E39" s="26"/>
      <c r="F39" s="81"/>
      <c r="G39" s="21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7"/>
      <c r="AF39" s="33"/>
      <c r="AG39" s="33"/>
      <c r="AH39" s="33"/>
    </row>
    <row r="40" spans="1:34">
      <c r="A40" s="33"/>
      <c r="B40" s="32"/>
      <c r="C40" s="21"/>
      <c r="D40" s="26"/>
      <c r="E40" s="26"/>
      <c r="F40" s="81"/>
      <c r="G40" s="21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7"/>
      <c r="AF40" s="33"/>
      <c r="AG40" s="33"/>
      <c r="AH40" s="33"/>
    </row>
    <row r="41" spans="1:34" ht="7.5" customHeight="1">
      <c r="A41" s="33"/>
      <c r="B41" s="32"/>
      <c r="C41" s="21"/>
      <c r="D41" s="26"/>
      <c r="E41" s="26"/>
      <c r="F41" s="81"/>
      <c r="G41" s="21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7"/>
      <c r="AF41" s="33"/>
      <c r="AG41" s="33"/>
      <c r="AH41" s="33"/>
    </row>
    <row r="42" spans="1:34">
      <c r="A42" s="33"/>
      <c r="B42" s="32"/>
      <c r="C42" s="19"/>
      <c r="D42" s="28"/>
      <c r="E42" s="28"/>
      <c r="F42" s="81"/>
      <c r="G42" s="19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9"/>
      <c r="AF42" s="33"/>
      <c r="AG42" s="33"/>
      <c r="AH42" s="33"/>
    </row>
    <row r="43" spans="1:34" ht="7.5" customHeight="1">
      <c r="A43" s="33"/>
      <c r="B43" s="32"/>
      <c r="C43" s="33"/>
      <c r="D43" s="33"/>
      <c r="E43" s="33"/>
      <c r="F43" s="32"/>
      <c r="G43" s="33"/>
      <c r="H43" s="32"/>
      <c r="I43" s="33"/>
      <c r="J43" s="35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33"/>
      <c r="AG43" s="33"/>
      <c r="AH43" s="33"/>
    </row>
    <row r="44" spans="1:34" ht="15.75" customHeight="1">
      <c r="A44" s="31"/>
      <c r="B44" s="32"/>
      <c r="C44" s="107" t="s">
        <v>95</v>
      </c>
      <c r="D44" s="107"/>
      <c r="E44" s="107"/>
      <c r="F44" s="107"/>
      <c r="G44" s="33"/>
      <c r="H44" s="32"/>
      <c r="I44" s="33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3"/>
      <c r="AG44" s="33"/>
      <c r="AH44" s="33"/>
    </row>
    <row r="45" spans="1:34" ht="7.5" customHeight="1">
      <c r="A45" s="33"/>
      <c r="B45" s="32"/>
      <c r="C45" s="108"/>
      <c r="D45" s="108"/>
      <c r="E45" s="108"/>
      <c r="F45" s="102"/>
      <c r="G45" s="33"/>
      <c r="H45" s="32"/>
      <c r="I45" s="33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17"/>
      <c r="AG45" s="33"/>
      <c r="AH45" s="33"/>
    </row>
    <row r="46" spans="1:34" ht="16.5" thickBot="1">
      <c r="A46" s="33"/>
      <c r="B46" s="32"/>
      <c r="C46" s="18" t="s">
        <v>92</v>
      </c>
      <c r="D46" s="22"/>
      <c r="E46" s="41"/>
      <c r="F46" s="80"/>
      <c r="G46" s="18" t="s">
        <v>94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3"/>
      <c r="AF46" s="31"/>
      <c r="AG46" s="33"/>
      <c r="AH46" s="33"/>
    </row>
    <row r="47" spans="1:34" ht="7.5" customHeight="1">
      <c r="A47" s="33"/>
      <c r="B47" s="32"/>
      <c r="C47" s="20"/>
      <c r="D47" s="24"/>
      <c r="E47" s="24"/>
      <c r="F47" s="80"/>
      <c r="G47" s="20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5"/>
      <c r="AF47" s="33"/>
      <c r="AG47" s="17"/>
      <c r="AH47" s="17"/>
    </row>
    <row r="48" spans="1:34" ht="15.75">
      <c r="A48" s="33"/>
      <c r="B48" s="32"/>
      <c r="C48" s="21"/>
      <c r="D48" s="82"/>
      <c r="E48" s="82"/>
      <c r="F48" s="80"/>
      <c r="G48" s="21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33"/>
      <c r="AG48" s="31"/>
      <c r="AH48" s="31"/>
    </row>
    <row r="49" spans="1:34" ht="7.5" customHeight="1">
      <c r="A49" s="33"/>
      <c r="B49" s="32"/>
      <c r="C49" s="21"/>
      <c r="D49" s="26"/>
      <c r="E49" s="26"/>
      <c r="F49" s="80"/>
      <c r="G49" s="21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33"/>
      <c r="AG49" s="33"/>
      <c r="AH49" s="33"/>
    </row>
    <row r="50" spans="1:34">
      <c r="A50" s="33"/>
      <c r="B50" s="32"/>
      <c r="C50" s="21"/>
      <c r="D50" s="26"/>
      <c r="E50" s="26"/>
      <c r="F50" s="80"/>
      <c r="G50" s="21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33"/>
      <c r="AG50" s="33"/>
      <c r="AH50" s="33"/>
    </row>
    <row r="51" spans="1:34" ht="7.5" customHeight="1">
      <c r="A51" s="33"/>
      <c r="B51" s="32"/>
      <c r="C51" s="21"/>
      <c r="D51" s="26"/>
      <c r="E51" s="26"/>
      <c r="F51" s="80"/>
      <c r="G51" s="21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33"/>
      <c r="AG51" s="33"/>
      <c r="AH51" s="33"/>
    </row>
    <row r="52" spans="1:34">
      <c r="A52" s="33"/>
      <c r="B52" s="32"/>
      <c r="C52" s="21"/>
      <c r="D52" s="26"/>
      <c r="E52" s="26"/>
      <c r="F52" s="80"/>
      <c r="G52" s="21"/>
      <c r="H52" s="26"/>
      <c r="I52" s="26"/>
      <c r="J52" s="26"/>
      <c r="K52" s="26"/>
      <c r="L52" s="26"/>
      <c r="M52" s="26"/>
      <c r="N52" s="26"/>
      <c r="O52" s="26"/>
      <c r="P52" s="6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33"/>
      <c r="AG52" s="33"/>
      <c r="AH52" s="33"/>
    </row>
    <row r="53" spans="1:34" ht="7.5" customHeight="1">
      <c r="A53" s="33"/>
      <c r="B53" s="32"/>
      <c r="C53" s="21"/>
      <c r="D53" s="26"/>
      <c r="E53" s="26"/>
      <c r="F53" s="80"/>
      <c r="G53" s="21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33"/>
      <c r="AG53" s="33"/>
      <c r="AH53" s="33"/>
    </row>
    <row r="54" spans="1:34">
      <c r="A54" s="33"/>
      <c r="B54" s="32"/>
      <c r="C54" s="21"/>
      <c r="D54" s="26"/>
      <c r="E54" s="26"/>
      <c r="F54" s="80"/>
      <c r="G54" s="21"/>
      <c r="H54" s="26"/>
      <c r="I54" s="26"/>
      <c r="J54" s="26"/>
      <c r="K54" s="26"/>
      <c r="L54" s="26"/>
      <c r="M54" s="26"/>
      <c r="N54" s="26"/>
      <c r="O54" s="26"/>
      <c r="P54" s="6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33"/>
      <c r="AG54" s="33"/>
      <c r="AH54" s="33"/>
    </row>
    <row r="55" spans="1:34" ht="7.5" customHeight="1">
      <c r="A55" s="33"/>
      <c r="B55" s="32"/>
      <c r="C55" s="21"/>
      <c r="D55" s="26"/>
      <c r="E55" s="26"/>
      <c r="F55" s="80"/>
      <c r="G55" s="21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33"/>
      <c r="AG55" s="33"/>
      <c r="AH55" s="33"/>
    </row>
    <row r="56" spans="1:34" ht="15.75">
      <c r="A56" s="31"/>
      <c r="B56" s="32"/>
      <c r="C56" s="21"/>
      <c r="D56" s="26"/>
      <c r="E56" s="26"/>
      <c r="F56" s="80"/>
      <c r="G56" s="21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33"/>
      <c r="AG56" s="33"/>
      <c r="AH56" s="33"/>
    </row>
    <row r="57" spans="1:34" ht="7.5" customHeight="1">
      <c r="A57" s="33"/>
      <c r="B57" s="32"/>
      <c r="C57" s="21"/>
      <c r="D57" s="26"/>
      <c r="E57" s="26"/>
      <c r="F57" s="80"/>
      <c r="G57" s="21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33"/>
      <c r="AG57" s="33"/>
      <c r="AH57" s="33"/>
    </row>
    <row r="58" spans="1:34">
      <c r="A58" s="33"/>
      <c r="B58" s="32"/>
      <c r="C58" s="21"/>
      <c r="D58" s="26"/>
      <c r="E58" s="26"/>
      <c r="F58" s="80"/>
      <c r="G58" s="21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33"/>
      <c r="AG58" s="33"/>
      <c r="AH58" s="33"/>
    </row>
    <row r="59" spans="1:34" ht="7.5" customHeight="1">
      <c r="A59" s="33"/>
      <c r="B59" s="32"/>
      <c r="C59" s="21"/>
      <c r="D59" s="26"/>
      <c r="E59" s="26"/>
      <c r="F59" s="80"/>
      <c r="G59" s="21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33"/>
      <c r="AG59" s="33"/>
      <c r="AH59" s="33"/>
    </row>
    <row r="60" spans="1:34">
      <c r="A60" s="33"/>
      <c r="B60" s="32"/>
      <c r="C60" s="19"/>
      <c r="D60" s="28"/>
      <c r="E60" s="28"/>
      <c r="F60" s="80"/>
      <c r="G60" s="19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9"/>
      <c r="AF60" s="33"/>
      <c r="AG60" s="33"/>
      <c r="AH60" s="33"/>
    </row>
    <row r="61" spans="1:34" ht="7.5" customHeight="1">
      <c r="A61" s="33"/>
      <c r="B61" s="32"/>
      <c r="C61" s="33"/>
      <c r="D61" s="33"/>
      <c r="E61" s="33"/>
      <c r="F61" s="32"/>
      <c r="G61" s="33"/>
      <c r="H61" s="32"/>
      <c r="I61" s="33"/>
      <c r="J61" s="35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33"/>
      <c r="AG61" s="33"/>
      <c r="AH61" s="33"/>
    </row>
    <row r="62" spans="1:34" ht="15.75" customHeight="1">
      <c r="A62" s="33"/>
      <c r="C62" s="107" t="s">
        <v>10</v>
      </c>
      <c r="D62" s="107"/>
      <c r="E62" s="107"/>
      <c r="F62" s="107"/>
      <c r="G62" s="33"/>
      <c r="H62" s="32"/>
      <c r="I62" s="33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3"/>
      <c r="AG62" s="33"/>
      <c r="AH62" s="33"/>
    </row>
    <row r="63" spans="1:34" ht="7.5" customHeight="1">
      <c r="A63" s="33"/>
      <c r="C63" s="108"/>
      <c r="D63" s="108"/>
      <c r="E63" s="108"/>
      <c r="F63" s="102"/>
      <c r="G63" s="33"/>
      <c r="H63" s="32"/>
      <c r="I63" s="33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33"/>
      <c r="AG63" s="33"/>
      <c r="AH63" s="33"/>
    </row>
    <row r="64" spans="1:34" ht="16.5" thickBot="1">
      <c r="A64" s="33"/>
      <c r="C64" s="18" t="s">
        <v>92</v>
      </c>
      <c r="D64" s="22"/>
      <c r="E64" s="41"/>
      <c r="F64" s="80"/>
      <c r="G64" s="18" t="s">
        <v>94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3"/>
      <c r="AB64" s="37"/>
      <c r="AC64" s="18" t="s">
        <v>12</v>
      </c>
      <c r="AD64" s="22"/>
      <c r="AE64" s="23"/>
      <c r="AF64" s="33"/>
      <c r="AG64" s="33"/>
      <c r="AH64" s="33"/>
    </row>
    <row r="65" spans="1:34" ht="7.5" customHeight="1">
      <c r="A65" s="33"/>
      <c r="C65" s="20"/>
      <c r="D65" s="24"/>
      <c r="E65" s="24"/>
      <c r="F65" s="80"/>
      <c r="G65" s="20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5"/>
      <c r="AB65" s="38"/>
      <c r="AC65" s="20"/>
      <c r="AD65" s="24"/>
      <c r="AE65" s="25"/>
      <c r="AF65" s="33"/>
      <c r="AG65" s="33"/>
      <c r="AH65" s="33"/>
    </row>
    <row r="66" spans="1:34" ht="15.75">
      <c r="A66" s="33"/>
      <c r="C66" s="21"/>
      <c r="D66" s="82"/>
      <c r="E66" s="82"/>
      <c r="F66" s="80"/>
      <c r="G66" s="21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7"/>
      <c r="AB66" s="38"/>
      <c r="AC66" s="109" t="str">
        <f>TEXT(Data!BM2,"0.00")&amp; " Weeks"</f>
        <v>1.90 Weeks</v>
      </c>
      <c r="AD66" s="110"/>
      <c r="AE66" s="111"/>
      <c r="AF66" s="33"/>
      <c r="AG66" s="33"/>
      <c r="AH66" s="33"/>
    </row>
    <row r="67" spans="1:34" ht="7.5" customHeight="1">
      <c r="A67" s="33"/>
      <c r="C67" s="21"/>
      <c r="D67" s="26"/>
      <c r="E67" s="26"/>
      <c r="F67" s="80"/>
      <c r="G67" s="21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7"/>
      <c r="AB67" s="38"/>
      <c r="AC67" s="109"/>
      <c r="AD67" s="110"/>
      <c r="AE67" s="111"/>
      <c r="AF67" s="17"/>
      <c r="AG67" s="17"/>
      <c r="AH67" s="17"/>
    </row>
    <row r="68" spans="1:34" ht="15.75">
      <c r="A68" s="33"/>
      <c r="C68" s="21"/>
      <c r="D68" s="26"/>
      <c r="E68" s="26"/>
      <c r="F68" s="80"/>
      <c r="G68" s="21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7"/>
      <c r="AB68" s="38"/>
      <c r="AC68" s="109"/>
      <c r="AD68" s="110"/>
      <c r="AE68" s="111"/>
      <c r="AF68" s="31"/>
      <c r="AG68" s="31"/>
      <c r="AH68" s="31"/>
    </row>
    <row r="69" spans="1:34" ht="7.5" customHeight="1">
      <c r="A69" s="33"/>
      <c r="C69" s="21"/>
      <c r="D69" s="26"/>
      <c r="E69" s="26"/>
      <c r="F69" s="80"/>
      <c r="G69" s="21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7"/>
      <c r="AB69" s="38"/>
      <c r="AC69" s="21"/>
      <c r="AD69" s="26"/>
      <c r="AE69" s="27"/>
      <c r="AF69" s="33"/>
      <c r="AG69" s="33"/>
      <c r="AH69" s="33"/>
    </row>
    <row r="70" spans="1:34">
      <c r="A70" s="33"/>
      <c r="C70" s="21"/>
      <c r="D70" s="26"/>
      <c r="E70" s="26"/>
      <c r="F70" s="80"/>
      <c r="G70" s="21"/>
      <c r="H70" s="26"/>
      <c r="I70" s="26"/>
      <c r="J70" s="26"/>
      <c r="K70" s="26"/>
      <c r="L70" s="26"/>
      <c r="M70" s="26"/>
      <c r="N70" s="26"/>
      <c r="O70" s="26"/>
      <c r="P70" s="6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7"/>
      <c r="AB70" s="38"/>
      <c r="AC70" s="21"/>
      <c r="AD70" s="26"/>
      <c r="AE70" s="27"/>
      <c r="AF70" s="33"/>
      <c r="AG70" s="33"/>
      <c r="AH70" s="33"/>
    </row>
    <row r="71" spans="1:34" ht="7.5" customHeight="1">
      <c r="A71" s="33"/>
      <c r="C71" s="21"/>
      <c r="D71" s="26"/>
      <c r="E71" s="26"/>
      <c r="F71" s="80"/>
      <c r="G71" s="21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7"/>
      <c r="AB71" s="38"/>
      <c r="AC71" s="21"/>
      <c r="AD71" s="26"/>
      <c r="AE71" s="27"/>
      <c r="AF71" s="33"/>
      <c r="AG71" s="33"/>
      <c r="AH71" s="33"/>
    </row>
    <row r="72" spans="1:34">
      <c r="A72" s="33"/>
      <c r="C72" s="21"/>
      <c r="D72" s="26"/>
      <c r="E72" s="26"/>
      <c r="F72" s="80"/>
      <c r="G72" s="21"/>
      <c r="H72" s="26"/>
      <c r="I72" s="26"/>
      <c r="J72" s="26"/>
      <c r="K72" s="26"/>
      <c r="L72" s="26"/>
      <c r="M72" s="26"/>
      <c r="N72" s="26"/>
      <c r="O72" s="26"/>
      <c r="P72" s="6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7"/>
      <c r="AB72" s="38"/>
      <c r="AC72" s="21"/>
      <c r="AD72" s="26"/>
      <c r="AE72" s="27"/>
      <c r="AF72" s="33"/>
      <c r="AG72" s="33"/>
      <c r="AH72" s="33"/>
    </row>
    <row r="73" spans="1:34" ht="7.5" customHeight="1">
      <c r="A73" s="33"/>
      <c r="C73" s="21"/>
      <c r="D73" s="26"/>
      <c r="E73" s="26"/>
      <c r="F73" s="80"/>
      <c r="G73" s="21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7"/>
      <c r="AB73" s="38"/>
      <c r="AC73" s="21"/>
      <c r="AD73" s="26"/>
      <c r="AE73" s="27"/>
      <c r="AF73" s="33"/>
      <c r="AG73" s="33"/>
      <c r="AH73" s="33"/>
    </row>
    <row r="74" spans="1:34">
      <c r="A74" s="33"/>
      <c r="C74" s="21"/>
      <c r="D74" s="26"/>
      <c r="E74" s="26"/>
      <c r="F74" s="80"/>
      <c r="G74" s="21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7"/>
      <c r="AB74" s="38"/>
      <c r="AC74" s="21"/>
      <c r="AD74" s="26"/>
      <c r="AE74" s="27"/>
      <c r="AF74" s="33"/>
      <c r="AG74" s="33"/>
      <c r="AH74" s="33"/>
    </row>
    <row r="75" spans="1:34" ht="7.5" customHeight="1">
      <c r="A75" s="33"/>
      <c r="C75" s="21"/>
      <c r="D75" s="26"/>
      <c r="E75" s="26"/>
      <c r="F75" s="80"/>
      <c r="G75" s="21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7"/>
      <c r="AB75" s="38"/>
      <c r="AC75" s="21"/>
      <c r="AD75" s="26"/>
      <c r="AE75" s="27"/>
      <c r="AF75" s="33"/>
      <c r="AG75" s="33"/>
      <c r="AH75" s="33"/>
    </row>
    <row r="76" spans="1:34">
      <c r="A76" s="33"/>
      <c r="C76" s="21"/>
      <c r="D76" s="26"/>
      <c r="E76" s="26"/>
      <c r="F76" s="80"/>
      <c r="G76" s="21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7"/>
      <c r="AB76" s="38"/>
      <c r="AC76" s="21"/>
      <c r="AD76" s="26"/>
      <c r="AE76" s="27"/>
      <c r="AF76" s="33"/>
      <c r="AG76" s="33"/>
      <c r="AH76" s="33"/>
    </row>
    <row r="77" spans="1:34" ht="7.5" customHeight="1">
      <c r="A77" s="33"/>
      <c r="C77" s="21"/>
      <c r="D77" s="26"/>
      <c r="E77" s="26"/>
      <c r="F77" s="80"/>
      <c r="G77" s="21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7"/>
      <c r="AB77" s="38"/>
      <c r="AC77" s="21"/>
      <c r="AD77" s="26"/>
      <c r="AE77" s="27"/>
      <c r="AF77" s="33"/>
      <c r="AG77" s="33"/>
      <c r="AH77" s="33"/>
    </row>
    <row r="78" spans="1:34">
      <c r="A78" s="33"/>
      <c r="C78" s="19"/>
      <c r="D78" s="28"/>
      <c r="E78" s="28"/>
      <c r="F78" s="80"/>
      <c r="G78" s="19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9"/>
      <c r="AB78" s="38"/>
      <c r="AC78" s="19"/>
      <c r="AD78" s="28"/>
      <c r="AE78" s="29"/>
      <c r="AF78" s="33"/>
      <c r="AG78" s="33"/>
      <c r="AH78" s="33"/>
    </row>
    <row r="79" spans="1:34" ht="7.5" customHeight="1">
      <c r="A79" s="33"/>
      <c r="C79" s="33"/>
      <c r="D79" s="33"/>
      <c r="E79" s="33"/>
      <c r="F79" s="32"/>
      <c r="G79" s="33"/>
      <c r="H79" s="35"/>
      <c r="I79" s="33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33"/>
      <c r="AG79" s="33"/>
      <c r="AH79" s="33"/>
    </row>
    <row r="80" spans="1:34" ht="15.75" customHeight="1">
      <c r="A80" s="33"/>
      <c r="C80" s="107" t="s">
        <v>11</v>
      </c>
      <c r="D80" s="107"/>
      <c r="E80" s="107"/>
      <c r="F80" s="107"/>
      <c r="G80" s="33"/>
      <c r="H80" s="32"/>
      <c r="I80" s="33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3"/>
      <c r="AG80" s="33"/>
      <c r="AH80" s="33"/>
    </row>
    <row r="81" spans="1:34" ht="7.5" customHeight="1">
      <c r="A81" s="33"/>
      <c r="C81" s="108"/>
      <c r="D81" s="108"/>
      <c r="E81" s="108"/>
      <c r="F81" s="102"/>
      <c r="G81" s="33"/>
      <c r="H81" s="32"/>
      <c r="I81" s="33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17"/>
      <c r="AG81" s="33"/>
      <c r="AH81" s="33"/>
    </row>
    <row r="82" spans="1:34" ht="16.5" thickBot="1">
      <c r="A82" s="33"/>
      <c r="C82" s="18" t="s">
        <v>92</v>
      </c>
      <c r="D82" s="22"/>
      <c r="E82" s="41"/>
      <c r="F82" s="80"/>
      <c r="G82" s="18" t="s">
        <v>94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3"/>
      <c r="AF82" s="31"/>
      <c r="AG82" s="33"/>
      <c r="AH82" s="33"/>
    </row>
    <row r="83" spans="1:34" ht="7.5" customHeight="1">
      <c r="A83" s="33"/>
      <c r="C83" s="20"/>
      <c r="D83" s="24"/>
      <c r="E83" s="24"/>
      <c r="F83" s="80"/>
      <c r="G83" s="20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5"/>
      <c r="AF83" s="33"/>
      <c r="AG83" s="33"/>
      <c r="AH83" s="33"/>
    </row>
    <row r="84" spans="1:34" ht="15.75">
      <c r="A84" s="33"/>
      <c r="C84" s="21"/>
      <c r="D84" s="82"/>
      <c r="E84" s="82"/>
      <c r="F84" s="80"/>
      <c r="G84" s="21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7"/>
      <c r="AF84" s="33"/>
      <c r="AG84" s="33"/>
      <c r="AH84" s="33"/>
    </row>
    <row r="85" spans="1:34" ht="7.5" customHeight="1">
      <c r="A85" s="33"/>
      <c r="C85" s="21"/>
      <c r="D85" s="26"/>
      <c r="E85" s="26"/>
      <c r="F85" s="80"/>
      <c r="G85" s="21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7"/>
      <c r="AF85" s="33"/>
      <c r="AG85" s="33"/>
      <c r="AH85" s="33"/>
    </row>
    <row r="86" spans="1:34">
      <c r="A86" s="33"/>
      <c r="C86" s="21"/>
      <c r="D86" s="26"/>
      <c r="E86" s="26"/>
      <c r="F86" s="80"/>
      <c r="G86" s="21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7"/>
      <c r="AF86" s="33"/>
      <c r="AG86" s="33"/>
      <c r="AH86" s="33"/>
    </row>
    <row r="87" spans="1:34" ht="7.5" customHeight="1">
      <c r="A87" s="33"/>
      <c r="C87" s="21"/>
      <c r="D87" s="26"/>
      <c r="E87" s="26"/>
      <c r="F87" s="80"/>
      <c r="G87" s="21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7"/>
      <c r="AF87" s="33"/>
      <c r="AG87" s="17"/>
      <c r="AH87" s="17"/>
    </row>
    <row r="88" spans="1:34" ht="15.75">
      <c r="A88" s="33"/>
      <c r="C88" s="21"/>
      <c r="D88" s="26"/>
      <c r="E88" s="26"/>
      <c r="F88" s="80"/>
      <c r="G88" s="21"/>
      <c r="H88" s="26"/>
      <c r="I88" s="26"/>
      <c r="J88" s="26"/>
      <c r="K88" s="26"/>
      <c r="L88" s="26"/>
      <c r="M88" s="26"/>
      <c r="N88" s="26"/>
      <c r="O88" s="26"/>
      <c r="P88" s="6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7"/>
      <c r="AF88" s="33"/>
      <c r="AG88" s="31"/>
      <c r="AH88" s="31"/>
    </row>
    <row r="89" spans="1:34" ht="7.5" customHeight="1">
      <c r="A89" s="33"/>
      <c r="C89" s="21"/>
      <c r="D89" s="26"/>
      <c r="E89" s="26"/>
      <c r="F89" s="80"/>
      <c r="G89" s="21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7"/>
      <c r="AF89" s="33"/>
      <c r="AG89" s="33"/>
      <c r="AH89" s="33"/>
    </row>
    <row r="90" spans="1:34">
      <c r="A90" s="33"/>
      <c r="C90" s="21"/>
      <c r="D90" s="26"/>
      <c r="E90" s="26"/>
      <c r="F90" s="80"/>
      <c r="G90" s="21"/>
      <c r="H90" s="26"/>
      <c r="I90" s="26"/>
      <c r="J90" s="26"/>
      <c r="K90" s="26"/>
      <c r="L90" s="26"/>
      <c r="M90" s="26"/>
      <c r="N90" s="26"/>
      <c r="O90" s="26"/>
      <c r="P90" s="6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7"/>
      <c r="AF90" s="33"/>
      <c r="AG90" s="33"/>
      <c r="AH90" s="33"/>
    </row>
    <row r="91" spans="1:34" ht="7.5" customHeight="1">
      <c r="A91" s="33"/>
      <c r="C91" s="21"/>
      <c r="D91" s="26"/>
      <c r="E91" s="26"/>
      <c r="F91" s="80"/>
      <c r="G91" s="21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7"/>
      <c r="AF91" s="33"/>
      <c r="AG91" s="33"/>
      <c r="AH91" s="33"/>
    </row>
    <row r="92" spans="1:34">
      <c r="A92" s="33"/>
      <c r="C92" s="21"/>
      <c r="D92" s="26"/>
      <c r="E92" s="26"/>
      <c r="F92" s="80"/>
      <c r="G92" s="21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7"/>
      <c r="AF92" s="33"/>
      <c r="AG92" s="33"/>
      <c r="AH92" s="33"/>
    </row>
    <row r="93" spans="1:34" ht="7.5" customHeight="1">
      <c r="A93" s="33"/>
      <c r="C93" s="21"/>
      <c r="D93" s="26"/>
      <c r="E93" s="26"/>
      <c r="F93" s="80"/>
      <c r="G93" s="21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7"/>
      <c r="AF93" s="33"/>
      <c r="AG93" s="33"/>
      <c r="AH93" s="33"/>
    </row>
    <row r="94" spans="1:34">
      <c r="A94" s="33"/>
      <c r="C94" s="21"/>
      <c r="D94" s="26"/>
      <c r="E94" s="26"/>
      <c r="F94" s="80"/>
      <c r="G94" s="21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7"/>
      <c r="AF94" s="33"/>
      <c r="AG94" s="33"/>
      <c r="AH94" s="33"/>
    </row>
    <row r="95" spans="1:34" ht="7.5" customHeight="1">
      <c r="A95" s="33"/>
      <c r="C95" s="21"/>
      <c r="D95" s="26"/>
      <c r="E95" s="26"/>
      <c r="F95" s="80"/>
      <c r="G95" s="21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7"/>
      <c r="AF95" s="33"/>
      <c r="AG95" s="33"/>
      <c r="AH95" s="33"/>
    </row>
    <row r="96" spans="1:34">
      <c r="A96" s="33"/>
      <c r="C96" s="19"/>
      <c r="D96" s="28"/>
      <c r="E96" s="28"/>
      <c r="F96" s="80"/>
      <c r="G96" s="19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9"/>
      <c r="AF96" s="33"/>
      <c r="AG96" s="33"/>
      <c r="AH96" s="33"/>
    </row>
    <row r="97" spans="1:34" ht="7.5" customHeight="1">
      <c r="A97" s="33"/>
      <c r="B97" s="35"/>
      <c r="C97" s="33"/>
      <c r="D97" s="33"/>
      <c r="E97" s="33"/>
      <c r="F97" s="32"/>
      <c r="G97" s="33"/>
      <c r="H97" s="32"/>
      <c r="I97" s="33"/>
      <c r="J97" s="35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33"/>
      <c r="AG97" s="33"/>
      <c r="AH97" s="33"/>
    </row>
    <row r="98" spans="1:34">
      <c r="A98" s="33"/>
      <c r="B98" s="35"/>
      <c r="C98" s="33"/>
      <c r="D98" s="33"/>
      <c r="E98" s="33"/>
      <c r="F98" s="35"/>
      <c r="G98" s="33"/>
      <c r="H98" s="35"/>
      <c r="I98" s="33"/>
      <c r="J98" s="35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33"/>
      <c r="AG98" s="33"/>
      <c r="AH98" s="33"/>
    </row>
    <row r="99" spans="1:34" ht="7.5" customHeight="1">
      <c r="A99" s="33"/>
      <c r="B99" s="35"/>
      <c r="C99" s="33"/>
      <c r="D99" s="33"/>
      <c r="E99" s="33"/>
      <c r="F99" s="35"/>
      <c r="G99" s="33"/>
      <c r="H99" s="35"/>
      <c r="I99" s="33"/>
      <c r="J99" s="35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33"/>
      <c r="AG99" s="33"/>
      <c r="AH99" s="33"/>
    </row>
    <row r="100" spans="1:34" s="36" customFormat="1" ht="7.5" customHeight="1">
      <c r="A100" s="33"/>
      <c r="B100" s="32"/>
      <c r="C100" s="33"/>
      <c r="D100" s="33"/>
      <c r="E100" s="33"/>
      <c r="F100" s="32"/>
      <c r="G100" s="33"/>
      <c r="H100" s="32"/>
      <c r="I100" s="33"/>
      <c r="J100" s="32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33"/>
      <c r="AE100" s="33"/>
      <c r="AF100" s="33"/>
      <c r="AG100" s="33"/>
    </row>
    <row r="101" spans="1:34">
      <c r="A101" s="33"/>
      <c r="B101" s="35"/>
      <c r="C101" s="33"/>
      <c r="D101" s="33"/>
      <c r="E101" s="33"/>
      <c r="F101" s="35"/>
      <c r="G101" s="33"/>
      <c r="H101" s="35"/>
      <c r="I101" s="33"/>
      <c r="J101" s="35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33"/>
      <c r="AE101" s="33"/>
      <c r="AF101" s="33"/>
      <c r="AG101" s="33"/>
    </row>
    <row r="102" spans="1:34" s="36" customFormat="1" ht="7.5" customHeight="1">
      <c r="A102" s="33"/>
      <c r="B102" s="32"/>
      <c r="C102" s="33"/>
      <c r="D102" s="33"/>
      <c r="E102" s="33"/>
      <c r="F102" s="32"/>
      <c r="G102" s="33"/>
      <c r="H102" s="32"/>
      <c r="I102" s="33"/>
      <c r="J102" s="32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33"/>
      <c r="AE102" s="33"/>
      <c r="AF102" s="33"/>
      <c r="AG102" s="33"/>
    </row>
    <row r="103" spans="1:34">
      <c r="A103" s="33"/>
      <c r="B103" s="35"/>
      <c r="C103" s="33"/>
      <c r="D103" s="33"/>
      <c r="E103" s="33"/>
      <c r="F103" s="35"/>
      <c r="G103" s="33"/>
      <c r="H103" s="35"/>
      <c r="I103" s="33"/>
      <c r="J103" s="35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33"/>
      <c r="AE103" s="33"/>
      <c r="AF103" s="33"/>
      <c r="AG103" s="33"/>
    </row>
    <row r="104" spans="1:34" s="36" customFormat="1" ht="7.5" customHeight="1">
      <c r="A104" s="33"/>
      <c r="B104" s="32"/>
      <c r="C104" s="33"/>
      <c r="D104" s="33"/>
      <c r="E104" s="33"/>
      <c r="F104" s="32"/>
      <c r="G104" s="33"/>
      <c r="H104" s="32"/>
      <c r="I104" s="33"/>
      <c r="J104" s="32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33"/>
      <c r="AE104" s="33"/>
      <c r="AF104" s="33"/>
      <c r="AG104" s="33"/>
    </row>
    <row r="105" spans="1:34">
      <c r="A105" s="33"/>
      <c r="B105" s="35"/>
      <c r="C105" s="33"/>
      <c r="D105" s="33"/>
      <c r="E105" s="33"/>
      <c r="F105" s="35"/>
      <c r="G105" s="33"/>
      <c r="H105" s="35"/>
      <c r="I105" s="33"/>
      <c r="J105" s="35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33"/>
      <c r="AE105" s="33"/>
      <c r="AF105" s="33"/>
      <c r="AG105" s="33"/>
    </row>
    <row r="106" spans="1:34" s="11" customFormat="1" ht="7.5" customHeight="1">
      <c r="A106" s="9"/>
      <c r="C106" s="9"/>
      <c r="D106" s="10"/>
      <c r="E106" s="9"/>
      <c r="F106" s="10"/>
      <c r="G106" s="34"/>
      <c r="H106" s="10"/>
      <c r="I106" s="34"/>
      <c r="J106" s="10"/>
      <c r="K106" s="9"/>
      <c r="L106" s="10"/>
      <c r="M106" s="9"/>
      <c r="N106" s="10"/>
      <c r="O106" s="9"/>
      <c r="P106" s="10"/>
      <c r="Q106" s="9"/>
      <c r="R106" s="10"/>
      <c r="S106" s="9"/>
      <c r="T106" s="10"/>
      <c r="U106" s="9"/>
      <c r="V106" s="10"/>
      <c r="W106" s="9"/>
      <c r="X106" s="10"/>
      <c r="Y106" s="9"/>
      <c r="Z106" s="10"/>
      <c r="AA106" s="9"/>
      <c r="AB106" s="10"/>
      <c r="AC106" s="9"/>
      <c r="AD106" s="34"/>
      <c r="AE106" s="34"/>
      <c r="AF106" s="34"/>
      <c r="AG106" s="34"/>
    </row>
    <row r="107" spans="1:34" s="15" customFormat="1" ht="39.75" customHeight="1">
      <c r="A107" s="12"/>
      <c r="B107" s="12"/>
      <c r="C107" s="12"/>
      <c r="D107" s="13"/>
      <c r="E107" s="12"/>
      <c r="F107" s="13"/>
      <c r="G107" s="12"/>
      <c r="H107" s="13"/>
      <c r="I107" s="12"/>
      <c r="J107" s="13"/>
      <c r="K107" s="12"/>
      <c r="L107" s="13"/>
      <c r="M107" s="12"/>
      <c r="N107" s="13"/>
      <c r="O107" s="12"/>
      <c r="P107" s="13"/>
      <c r="Q107" s="12"/>
      <c r="R107" s="13"/>
      <c r="S107" s="12"/>
      <c r="T107" s="13"/>
      <c r="U107" s="12"/>
      <c r="V107" s="13"/>
      <c r="W107" s="12"/>
      <c r="X107" s="13"/>
      <c r="Y107" s="12"/>
      <c r="Z107" s="13"/>
      <c r="AA107" s="12"/>
      <c r="AB107" s="13"/>
      <c r="AC107" s="12"/>
      <c r="AD107" s="12"/>
      <c r="AE107" s="12"/>
      <c r="AF107" s="12"/>
      <c r="AG107" s="12"/>
    </row>
    <row r="108" spans="1:34" s="11" customFormat="1" ht="12.75"/>
  </sheetData>
  <mergeCells count="8">
    <mergeCell ref="AC66:AE68"/>
    <mergeCell ref="C80:F81"/>
    <mergeCell ref="AC1:AF1"/>
    <mergeCell ref="J6:M7"/>
    <mergeCell ref="C8:F9"/>
    <mergeCell ref="C26:F27"/>
    <mergeCell ref="C44:F45"/>
    <mergeCell ref="C62:F63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6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Q108"/>
  <sheetViews>
    <sheetView showGridLines="0" showRowColHeaders="0" zoomScale="80" zoomScaleNormal="80" zoomScaleSheetLayoutView="70" workbookViewId="0">
      <pane ySplit="6" topLeftCell="A7" activePane="bottomLeft" state="frozen"/>
      <selection activeCell="A70" sqref="A70"/>
      <selection pane="bottomLeft" activeCell="A7" sqref="A7"/>
    </sheetView>
  </sheetViews>
  <sheetFormatPr defaultRowHeight="15"/>
  <cols>
    <col min="1" max="2" width="1.42578125" customWidth="1"/>
    <col min="3" max="3" width="9.7109375" customWidth="1"/>
    <col min="4" max="4" width="1.42578125" customWidth="1"/>
    <col min="5" max="5" width="9.7109375" customWidth="1"/>
    <col min="6" max="6" width="1.42578125" customWidth="1"/>
    <col min="7" max="7" width="9.7109375" customWidth="1"/>
    <col min="8" max="8" width="1.42578125" customWidth="1"/>
    <col min="9" max="9" width="9.7109375" customWidth="1"/>
    <col min="10" max="10" width="1.42578125" customWidth="1"/>
    <col min="11" max="11" width="9.7109375" customWidth="1"/>
    <col min="12" max="12" width="1.42578125" customWidth="1"/>
    <col min="13" max="13" width="9.7109375" customWidth="1"/>
    <col min="14" max="14" width="1.42578125" customWidth="1"/>
    <col min="15" max="15" width="9.7109375" customWidth="1"/>
    <col min="16" max="16" width="1.42578125" customWidth="1"/>
    <col min="17" max="17" width="9.7109375" customWidth="1"/>
    <col min="18" max="18" width="1.42578125" customWidth="1"/>
    <col min="19" max="19" width="9.7109375" customWidth="1"/>
    <col min="20" max="20" width="1.42578125" customWidth="1"/>
    <col min="21" max="21" width="9.7109375" customWidth="1"/>
    <col min="22" max="22" width="1.42578125" customWidth="1"/>
    <col min="23" max="23" width="9.7109375" customWidth="1"/>
    <col min="24" max="24" width="1.42578125" customWidth="1"/>
    <col min="25" max="25" width="9.7109375" customWidth="1"/>
    <col min="26" max="26" width="1.42578125" customWidth="1"/>
    <col min="27" max="27" width="9.7109375" customWidth="1"/>
    <col min="28" max="28" width="1.42578125" customWidth="1"/>
    <col min="29" max="29" width="9.7109375" customWidth="1"/>
    <col min="30" max="30" width="1.42578125" customWidth="1"/>
    <col min="31" max="31" width="9.7109375" customWidth="1"/>
    <col min="32" max="33" width="1.42578125" customWidth="1"/>
  </cols>
  <sheetData>
    <row r="1" spans="1:43" s="5" customFormat="1" ht="15.75">
      <c r="A1" s="2"/>
      <c r="B1" s="2"/>
      <c r="C1" s="2"/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101">
        <f ca="1">TODAY()</f>
        <v>41837</v>
      </c>
      <c r="AD1" s="101"/>
      <c r="AE1" s="101"/>
      <c r="AF1" s="101"/>
      <c r="AG1" s="3"/>
    </row>
    <row r="2" spans="1:43" s="5" customFormat="1" ht="35.25">
      <c r="A2" s="6"/>
      <c r="B2" s="6" t="s">
        <v>7</v>
      </c>
      <c r="C2" s="6"/>
      <c r="D2" s="3"/>
      <c r="E2" s="6"/>
      <c r="F2" s="3"/>
      <c r="G2" s="6"/>
      <c r="H2" s="3"/>
      <c r="I2" s="6"/>
      <c r="J2" s="3"/>
      <c r="K2" s="6"/>
      <c r="L2" s="3"/>
      <c r="M2" s="6"/>
      <c r="N2" s="3"/>
      <c r="O2" s="6"/>
      <c r="P2" s="3"/>
      <c r="Q2" s="6"/>
      <c r="R2" s="3"/>
      <c r="S2" s="6"/>
      <c r="T2" s="3"/>
      <c r="U2" s="6"/>
      <c r="V2" s="3"/>
      <c r="W2" s="6"/>
      <c r="X2" s="3"/>
      <c r="Y2" s="6"/>
      <c r="Z2" s="3"/>
      <c r="AA2" s="6"/>
      <c r="AB2" s="3"/>
      <c r="AC2" s="6"/>
      <c r="AD2" s="3"/>
      <c r="AE2" s="6"/>
      <c r="AF2" s="3"/>
      <c r="AG2" s="3"/>
    </row>
    <row r="3" spans="1:43" s="5" customFormat="1" ht="17.25" customHeight="1" thickBot="1">
      <c r="A3" s="7"/>
      <c r="B3" s="7"/>
      <c r="C3" s="7"/>
      <c r="D3" s="8"/>
      <c r="E3" s="7"/>
      <c r="F3" s="8"/>
      <c r="G3" s="7"/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  <c r="U3" s="7"/>
      <c r="V3" s="8"/>
      <c r="W3" s="7"/>
      <c r="X3" s="8"/>
      <c r="Y3" s="7"/>
      <c r="Z3" s="8"/>
      <c r="AA3" s="7"/>
      <c r="AB3" s="8"/>
      <c r="AC3" s="7"/>
      <c r="AD3" s="8"/>
      <c r="AE3" s="7"/>
      <c r="AF3" s="8"/>
      <c r="AG3" s="8"/>
    </row>
    <row r="4" spans="1:43" s="11" customFormat="1" ht="7.5" customHeight="1">
      <c r="A4" s="9"/>
      <c r="C4" s="9"/>
      <c r="D4" s="10"/>
      <c r="E4" s="9"/>
      <c r="F4" s="10"/>
      <c r="G4" s="9"/>
      <c r="H4" s="10"/>
      <c r="I4" s="9"/>
      <c r="J4" s="10"/>
      <c r="K4" s="9"/>
      <c r="L4" s="10"/>
      <c r="M4" s="9"/>
      <c r="N4" s="10"/>
      <c r="O4" s="9"/>
      <c r="P4" s="10"/>
      <c r="Q4" s="9"/>
      <c r="R4" s="10"/>
      <c r="S4" s="9"/>
      <c r="T4" s="10"/>
      <c r="U4" s="9"/>
      <c r="V4" s="10"/>
      <c r="W4" s="9"/>
      <c r="X4" s="10"/>
      <c r="Y4" s="9"/>
      <c r="Z4" s="10"/>
      <c r="AA4" s="9"/>
      <c r="AB4" s="10"/>
      <c r="AC4" s="9"/>
      <c r="AD4" s="10"/>
      <c r="AE4" s="9"/>
      <c r="AF4" s="10"/>
      <c r="AG4" s="10"/>
    </row>
    <row r="5" spans="1:43" ht="9.75" customHeight="1">
      <c r="A5" s="17"/>
      <c r="C5" s="17"/>
      <c r="D5" s="17"/>
      <c r="F5" s="17"/>
      <c r="H5" s="17"/>
      <c r="J5" s="17"/>
      <c r="K5" s="17"/>
      <c r="M5" s="17"/>
      <c r="O5" s="17"/>
      <c r="Q5" s="17"/>
      <c r="S5" s="17"/>
      <c r="U5" s="17"/>
      <c r="W5" s="17"/>
      <c r="Y5" s="17"/>
      <c r="AA5" s="17"/>
      <c r="AC5" s="17"/>
      <c r="AE5" s="17"/>
      <c r="AI5" s="17"/>
      <c r="AK5" s="17"/>
      <c r="AM5" s="17"/>
      <c r="AO5" s="17"/>
      <c r="AQ5" s="17"/>
    </row>
    <row r="6" spans="1:43" ht="90" customHeight="1">
      <c r="A6" s="31"/>
      <c r="B6" s="32"/>
      <c r="C6" s="31"/>
      <c r="D6" s="31"/>
      <c r="E6" s="31"/>
      <c r="F6" s="32"/>
      <c r="G6" s="31"/>
      <c r="H6" s="32"/>
      <c r="I6" s="31"/>
      <c r="J6" s="102"/>
      <c r="K6" s="102"/>
      <c r="L6" s="102"/>
      <c r="M6" s="102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K6" s="78"/>
    </row>
    <row r="7" spans="1:43" ht="7.5" customHeight="1">
      <c r="A7" s="33"/>
      <c r="B7" s="32"/>
      <c r="C7" s="33"/>
      <c r="D7" s="33"/>
      <c r="E7" s="33"/>
      <c r="F7" s="32"/>
      <c r="G7" s="33"/>
      <c r="H7" s="32"/>
      <c r="I7" s="33"/>
      <c r="J7" s="102"/>
      <c r="K7" s="102"/>
      <c r="L7" s="102"/>
      <c r="M7" s="102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33"/>
      <c r="AG7" s="33"/>
      <c r="AH7" s="33"/>
    </row>
    <row r="8" spans="1:43" ht="15.75">
      <c r="A8" s="33"/>
      <c r="B8" s="32"/>
      <c r="C8" s="102" t="s">
        <v>2</v>
      </c>
      <c r="D8" s="102"/>
      <c r="E8" s="102"/>
      <c r="F8" s="102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C8" s="33"/>
      <c r="AD8" s="33"/>
      <c r="AE8" s="33"/>
      <c r="AF8" s="31"/>
      <c r="AG8" s="31"/>
      <c r="AH8" s="31"/>
      <c r="AI8" s="31"/>
      <c r="AJ8" s="31"/>
      <c r="AK8" s="31"/>
    </row>
    <row r="9" spans="1:43" ht="7.5" customHeight="1">
      <c r="A9" s="33"/>
      <c r="B9" s="32"/>
      <c r="C9" s="102"/>
      <c r="D9" s="102"/>
      <c r="E9" s="102"/>
      <c r="F9" s="102"/>
      <c r="G9" s="33"/>
      <c r="H9" s="32"/>
      <c r="I9" s="33"/>
      <c r="J9" s="26"/>
      <c r="K9" s="26"/>
      <c r="L9" s="26"/>
      <c r="M9" s="26"/>
      <c r="N9" s="3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33"/>
      <c r="AG9" s="33"/>
      <c r="AH9" s="33"/>
      <c r="AI9" s="33"/>
      <c r="AJ9" s="33"/>
      <c r="AK9" s="33"/>
    </row>
    <row r="10" spans="1:43" ht="16.5" thickBot="1">
      <c r="A10" s="33"/>
      <c r="B10" s="32"/>
      <c r="C10" s="18" t="s">
        <v>92</v>
      </c>
      <c r="D10" s="22"/>
      <c r="E10" s="42"/>
      <c r="F10" s="32"/>
      <c r="G10" s="18" t="s">
        <v>94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3"/>
      <c r="AF10" s="31"/>
      <c r="AG10" s="31"/>
      <c r="AH10" s="31"/>
      <c r="AI10" s="31"/>
      <c r="AJ10" s="31"/>
      <c r="AK10" s="31"/>
    </row>
    <row r="11" spans="1:43" ht="7.5" customHeight="1">
      <c r="A11" s="33"/>
      <c r="B11" s="32"/>
      <c r="C11" s="20"/>
      <c r="D11" s="24"/>
      <c r="E11" s="25"/>
      <c r="F11" s="32"/>
      <c r="G11" s="20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5"/>
      <c r="AF11" s="33"/>
      <c r="AG11" s="33"/>
      <c r="AH11" s="33"/>
      <c r="AI11" s="33"/>
      <c r="AJ11" s="33"/>
      <c r="AK11" s="33"/>
    </row>
    <row r="12" spans="1:43" ht="15.75">
      <c r="A12" s="33"/>
      <c r="B12" s="32"/>
      <c r="C12" s="21"/>
      <c r="D12" s="82"/>
      <c r="E12" s="40"/>
      <c r="F12" s="32"/>
      <c r="G12" s="21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7"/>
      <c r="AF12" s="33"/>
      <c r="AG12" s="33"/>
      <c r="AH12" s="33"/>
      <c r="AI12" s="33"/>
      <c r="AJ12" s="33"/>
      <c r="AK12" s="33"/>
    </row>
    <row r="13" spans="1:43" ht="7.5" customHeight="1">
      <c r="A13" s="33"/>
      <c r="B13" s="32"/>
      <c r="C13" s="21"/>
      <c r="D13" s="26"/>
      <c r="E13" s="27"/>
      <c r="F13" s="32"/>
      <c r="G13" s="21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7"/>
      <c r="AF13" s="33"/>
      <c r="AG13" s="33"/>
      <c r="AH13" s="33"/>
      <c r="AI13" s="33"/>
      <c r="AJ13" s="33"/>
      <c r="AK13" s="33"/>
    </row>
    <row r="14" spans="1:43">
      <c r="A14" s="33"/>
      <c r="B14" s="32"/>
      <c r="C14" s="21"/>
      <c r="D14" s="26"/>
      <c r="E14" s="27"/>
      <c r="F14" s="32"/>
      <c r="G14" s="21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7"/>
      <c r="AF14" s="33"/>
      <c r="AG14" s="33"/>
      <c r="AH14" s="33"/>
      <c r="AI14" s="33"/>
      <c r="AJ14" s="33"/>
      <c r="AK14" s="33"/>
    </row>
    <row r="15" spans="1:43" ht="7.5" customHeight="1">
      <c r="A15" s="33"/>
      <c r="B15" s="32"/>
      <c r="C15" s="21"/>
      <c r="D15" s="26"/>
      <c r="E15" s="27"/>
      <c r="F15" s="32"/>
      <c r="G15" s="21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7"/>
      <c r="AF15" s="33"/>
      <c r="AG15" s="33"/>
      <c r="AH15" s="33"/>
      <c r="AI15" s="33"/>
      <c r="AJ15" s="33"/>
      <c r="AK15" s="33"/>
    </row>
    <row r="16" spans="1:43">
      <c r="A16" s="33"/>
      <c r="B16" s="32"/>
      <c r="C16" s="21"/>
      <c r="D16" s="26"/>
      <c r="E16" s="27"/>
      <c r="F16" s="32"/>
      <c r="G16" s="21"/>
      <c r="H16" s="26"/>
      <c r="I16" s="26"/>
      <c r="J16" s="26"/>
      <c r="K16" s="26"/>
      <c r="L16" s="26"/>
      <c r="M16" s="26"/>
      <c r="N16" s="26"/>
      <c r="O16" s="26"/>
      <c r="P16" s="6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7"/>
      <c r="AF16" s="33"/>
      <c r="AG16" s="33"/>
      <c r="AH16" s="33"/>
      <c r="AI16" s="33"/>
      <c r="AJ16" s="33"/>
      <c r="AK16" s="33"/>
    </row>
    <row r="17" spans="1:37" ht="7.5" customHeight="1">
      <c r="A17" s="33"/>
      <c r="B17" s="32"/>
      <c r="C17" s="21"/>
      <c r="D17" s="26"/>
      <c r="E17" s="27"/>
      <c r="F17" s="32"/>
      <c r="G17" s="21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7"/>
      <c r="AF17" s="33"/>
      <c r="AG17" s="33"/>
      <c r="AH17" s="33"/>
      <c r="AI17" s="33"/>
      <c r="AJ17" s="33"/>
      <c r="AK17" s="33"/>
    </row>
    <row r="18" spans="1:37">
      <c r="A18" s="33"/>
      <c r="B18" s="32"/>
      <c r="C18" s="21"/>
      <c r="D18" s="26"/>
      <c r="E18" s="27"/>
      <c r="F18" s="32"/>
      <c r="G18" s="21"/>
      <c r="H18" s="26"/>
      <c r="I18" s="26"/>
      <c r="J18" s="26"/>
      <c r="K18" s="26"/>
      <c r="L18" s="26"/>
      <c r="M18" s="26"/>
      <c r="N18" s="26"/>
      <c r="O18" s="26"/>
      <c r="P18" s="6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7"/>
      <c r="AF18" s="33"/>
      <c r="AG18" s="33"/>
      <c r="AH18" s="33"/>
      <c r="AI18" s="33"/>
      <c r="AJ18" s="33"/>
      <c r="AK18" s="33"/>
    </row>
    <row r="19" spans="1:37" ht="7.5" customHeight="1">
      <c r="A19" s="33"/>
      <c r="B19" s="32"/>
      <c r="C19" s="21"/>
      <c r="D19" s="26"/>
      <c r="E19" s="27"/>
      <c r="F19" s="32"/>
      <c r="G19" s="21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7"/>
      <c r="AF19" s="33"/>
      <c r="AG19" s="33"/>
      <c r="AH19" s="33"/>
      <c r="AI19" s="33"/>
      <c r="AJ19" s="33"/>
      <c r="AK19" s="33"/>
    </row>
    <row r="20" spans="1:37" ht="15.75">
      <c r="A20" s="31"/>
      <c r="B20" s="32"/>
      <c r="C20" s="21"/>
      <c r="D20" s="26"/>
      <c r="E20" s="27"/>
      <c r="F20" s="32"/>
      <c r="G20" s="21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7"/>
      <c r="AF20" s="33"/>
      <c r="AG20" s="33"/>
      <c r="AH20" s="33"/>
      <c r="AI20" s="33"/>
      <c r="AJ20" s="33"/>
      <c r="AK20" s="33"/>
    </row>
    <row r="21" spans="1:37" ht="7.5" customHeight="1">
      <c r="A21" s="33"/>
      <c r="B21" s="32"/>
      <c r="C21" s="21"/>
      <c r="D21" s="26"/>
      <c r="E21" s="27"/>
      <c r="F21" s="32"/>
      <c r="G21" s="21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7"/>
      <c r="AF21" s="33"/>
      <c r="AG21" s="33"/>
      <c r="AH21" s="33"/>
      <c r="AI21" s="33"/>
      <c r="AJ21" s="33"/>
      <c r="AK21" s="33"/>
    </row>
    <row r="22" spans="1:37">
      <c r="A22" s="33"/>
      <c r="B22" s="32"/>
      <c r="C22" s="21"/>
      <c r="D22" s="26"/>
      <c r="E22" s="27"/>
      <c r="F22" s="32"/>
      <c r="G22" s="21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7"/>
      <c r="AF22" s="33"/>
      <c r="AG22" s="33"/>
      <c r="AH22" s="33"/>
      <c r="AI22" s="33"/>
      <c r="AJ22" s="33"/>
      <c r="AK22" s="33"/>
    </row>
    <row r="23" spans="1:37" ht="7.5" customHeight="1">
      <c r="A23" s="33"/>
      <c r="B23" s="32"/>
      <c r="C23" s="21"/>
      <c r="D23" s="26"/>
      <c r="E23" s="27"/>
      <c r="F23" s="32"/>
      <c r="G23" s="21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7"/>
      <c r="AF23" s="33"/>
      <c r="AG23" s="33"/>
      <c r="AH23" s="33"/>
      <c r="AI23" s="33"/>
      <c r="AJ23" s="33"/>
      <c r="AK23" s="33"/>
    </row>
    <row r="24" spans="1:37">
      <c r="A24" s="33"/>
      <c r="B24" s="32"/>
      <c r="C24" s="19"/>
      <c r="D24" s="28"/>
      <c r="E24" s="29"/>
      <c r="F24" s="32"/>
      <c r="G24" s="19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9"/>
      <c r="AF24" s="33"/>
      <c r="AG24" s="33"/>
      <c r="AH24" s="33"/>
      <c r="AI24" s="33"/>
      <c r="AJ24" s="33"/>
      <c r="AK24" s="33"/>
    </row>
    <row r="25" spans="1:37" ht="7.5" customHeight="1">
      <c r="A25" s="33"/>
      <c r="B25" s="32"/>
      <c r="C25" s="33"/>
      <c r="D25" s="33"/>
      <c r="E25" s="33"/>
      <c r="F25" s="32"/>
      <c r="G25" s="33"/>
      <c r="H25" s="32"/>
      <c r="I25" s="33"/>
      <c r="J25" s="35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33"/>
      <c r="AG25" s="33"/>
      <c r="AH25" s="33"/>
    </row>
    <row r="26" spans="1:37" ht="15.75" customHeight="1">
      <c r="A26" s="33"/>
      <c r="B26" s="32"/>
      <c r="C26" s="107" t="s">
        <v>3</v>
      </c>
      <c r="D26" s="107"/>
      <c r="E26" s="107"/>
      <c r="F26" s="107"/>
      <c r="G26" s="33"/>
      <c r="H26" s="32"/>
      <c r="I26" s="33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3"/>
      <c r="AG26" s="33"/>
      <c r="AH26" s="33"/>
    </row>
    <row r="27" spans="1:37" ht="7.5" customHeight="1">
      <c r="A27" s="33"/>
      <c r="B27" s="32"/>
      <c r="C27" s="108"/>
      <c r="D27" s="108"/>
      <c r="E27" s="108"/>
      <c r="F27" s="102"/>
      <c r="G27" s="33"/>
      <c r="H27" s="32"/>
      <c r="I27" s="33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7"/>
      <c r="AG27" s="17"/>
      <c r="AH27" s="17"/>
    </row>
    <row r="28" spans="1:37" ht="16.5" thickBot="1">
      <c r="A28" s="33"/>
      <c r="B28" s="32"/>
      <c r="C28" s="18" t="s">
        <v>92</v>
      </c>
      <c r="D28" s="22"/>
      <c r="E28" s="41"/>
      <c r="F28" s="81"/>
      <c r="G28" s="18" t="s">
        <v>94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31"/>
      <c r="AG28" s="31"/>
      <c r="AH28" s="31"/>
    </row>
    <row r="29" spans="1:37" ht="7.5" customHeight="1">
      <c r="A29" s="33"/>
      <c r="B29" s="32"/>
      <c r="C29" s="20"/>
      <c r="D29" s="24"/>
      <c r="E29" s="24"/>
      <c r="F29" s="81"/>
      <c r="G29" s="20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33"/>
      <c r="AG29" s="33"/>
      <c r="AH29" s="33"/>
    </row>
    <row r="30" spans="1:37" ht="15.75">
      <c r="A30" s="33"/>
      <c r="B30" s="32"/>
      <c r="C30" s="21"/>
      <c r="D30" s="82"/>
      <c r="E30" s="82"/>
      <c r="F30" s="81"/>
      <c r="G30" s="21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7"/>
      <c r="AF30" s="33"/>
      <c r="AG30" s="33"/>
      <c r="AH30" s="33"/>
    </row>
    <row r="31" spans="1:37" ht="7.5" customHeight="1">
      <c r="A31" s="33"/>
      <c r="B31" s="32"/>
      <c r="C31" s="21"/>
      <c r="D31" s="26"/>
      <c r="E31" s="26"/>
      <c r="F31" s="81"/>
      <c r="G31" s="21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7"/>
      <c r="AF31" s="33"/>
      <c r="AG31" s="33"/>
      <c r="AH31" s="33"/>
    </row>
    <row r="32" spans="1:37" ht="15.75">
      <c r="A32" s="31"/>
      <c r="B32" s="32"/>
      <c r="C32" s="21"/>
      <c r="D32" s="26"/>
      <c r="E32" s="26"/>
      <c r="F32" s="81"/>
      <c r="G32" s="21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7"/>
      <c r="AF32" s="33"/>
      <c r="AG32" s="33"/>
      <c r="AH32" s="33"/>
    </row>
    <row r="33" spans="1:34" ht="7.5" customHeight="1">
      <c r="A33" s="33"/>
      <c r="B33" s="32"/>
      <c r="C33" s="21"/>
      <c r="D33" s="26"/>
      <c r="E33" s="26"/>
      <c r="F33" s="81"/>
      <c r="G33" s="21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7"/>
      <c r="AF33" s="33"/>
      <c r="AG33" s="33"/>
      <c r="AH33" s="33"/>
    </row>
    <row r="34" spans="1:34">
      <c r="A34" s="33"/>
      <c r="B34" s="32"/>
      <c r="C34" s="21"/>
      <c r="D34" s="26"/>
      <c r="E34" s="26"/>
      <c r="F34" s="81"/>
      <c r="G34" s="21"/>
      <c r="H34" s="26"/>
      <c r="I34" s="26"/>
      <c r="J34" s="26"/>
      <c r="K34" s="26"/>
      <c r="L34" s="26"/>
      <c r="M34" s="26"/>
      <c r="N34" s="26"/>
      <c r="O34" s="26"/>
      <c r="P34" s="6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7"/>
      <c r="AF34" s="33"/>
      <c r="AG34" s="33"/>
      <c r="AH34" s="33"/>
    </row>
    <row r="35" spans="1:34" ht="7.5" customHeight="1">
      <c r="A35" s="33"/>
      <c r="B35" s="32"/>
      <c r="C35" s="21"/>
      <c r="D35" s="26"/>
      <c r="E35" s="26"/>
      <c r="F35" s="81"/>
      <c r="G35" s="21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7"/>
      <c r="AF35" s="33"/>
      <c r="AG35" s="33"/>
      <c r="AH35" s="33"/>
    </row>
    <row r="36" spans="1:34">
      <c r="A36" s="33"/>
      <c r="B36" s="32"/>
      <c r="C36" s="21"/>
      <c r="D36" s="26"/>
      <c r="E36" s="26"/>
      <c r="F36" s="81"/>
      <c r="G36" s="21"/>
      <c r="H36" s="26"/>
      <c r="I36" s="26"/>
      <c r="J36" s="26"/>
      <c r="K36" s="26"/>
      <c r="L36" s="26"/>
      <c r="M36" s="26"/>
      <c r="N36" s="26"/>
      <c r="O36" s="26"/>
      <c r="P36" s="6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7"/>
      <c r="AF36" s="33"/>
      <c r="AG36" s="33"/>
      <c r="AH36" s="33"/>
    </row>
    <row r="37" spans="1:34" ht="7.5" customHeight="1">
      <c r="A37" s="33"/>
      <c r="B37" s="32"/>
      <c r="C37" s="21"/>
      <c r="D37" s="26"/>
      <c r="E37" s="26"/>
      <c r="F37" s="81"/>
      <c r="G37" s="21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33"/>
      <c r="AG37" s="33"/>
      <c r="AH37" s="33"/>
    </row>
    <row r="38" spans="1:34">
      <c r="A38" s="33"/>
      <c r="B38" s="32"/>
      <c r="C38" s="21"/>
      <c r="D38" s="26"/>
      <c r="E38" s="26"/>
      <c r="F38" s="81"/>
      <c r="G38" s="21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7"/>
      <c r="AF38" s="33"/>
      <c r="AG38" s="33"/>
      <c r="AH38" s="33"/>
    </row>
    <row r="39" spans="1:34" ht="7.5" customHeight="1">
      <c r="A39" s="33"/>
      <c r="B39" s="32"/>
      <c r="C39" s="21"/>
      <c r="D39" s="26"/>
      <c r="E39" s="26"/>
      <c r="F39" s="81"/>
      <c r="G39" s="21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7"/>
      <c r="AF39" s="33"/>
      <c r="AG39" s="33"/>
      <c r="AH39" s="33"/>
    </row>
    <row r="40" spans="1:34">
      <c r="A40" s="33"/>
      <c r="B40" s="32"/>
      <c r="C40" s="21"/>
      <c r="D40" s="26"/>
      <c r="E40" s="26"/>
      <c r="F40" s="81"/>
      <c r="G40" s="21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7"/>
      <c r="AF40" s="33"/>
      <c r="AG40" s="33"/>
      <c r="AH40" s="33"/>
    </row>
    <row r="41" spans="1:34" ht="7.5" customHeight="1">
      <c r="A41" s="33"/>
      <c r="B41" s="32"/>
      <c r="C41" s="21"/>
      <c r="D41" s="26"/>
      <c r="E41" s="26"/>
      <c r="F41" s="81"/>
      <c r="G41" s="21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7"/>
      <c r="AF41" s="33"/>
      <c r="AG41" s="33"/>
      <c r="AH41" s="33"/>
    </row>
    <row r="42" spans="1:34">
      <c r="A42" s="33"/>
      <c r="B42" s="32"/>
      <c r="C42" s="19"/>
      <c r="D42" s="28"/>
      <c r="E42" s="28"/>
      <c r="F42" s="81"/>
      <c r="G42" s="19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9"/>
      <c r="AF42" s="33"/>
      <c r="AG42" s="33"/>
      <c r="AH42" s="33"/>
    </row>
    <row r="43" spans="1:34" ht="7.5" customHeight="1">
      <c r="A43" s="33"/>
      <c r="B43" s="32"/>
      <c r="C43" s="33"/>
      <c r="D43" s="33"/>
      <c r="E43" s="33"/>
      <c r="F43" s="32"/>
      <c r="G43" s="33"/>
      <c r="H43" s="32"/>
      <c r="I43" s="33"/>
      <c r="J43" s="35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33"/>
      <c r="AG43" s="33"/>
      <c r="AH43" s="33"/>
    </row>
    <row r="44" spans="1:34" ht="15.75" customHeight="1">
      <c r="A44" s="31"/>
      <c r="B44" s="32"/>
      <c r="C44" s="107" t="s">
        <v>95</v>
      </c>
      <c r="D44" s="107"/>
      <c r="E44" s="107"/>
      <c r="F44" s="107"/>
      <c r="G44" s="33"/>
      <c r="H44" s="32"/>
      <c r="I44" s="33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3"/>
      <c r="AG44" s="33"/>
      <c r="AH44" s="33"/>
    </row>
    <row r="45" spans="1:34" ht="7.5" customHeight="1">
      <c r="A45" s="33"/>
      <c r="B45" s="32"/>
      <c r="C45" s="108"/>
      <c r="D45" s="108"/>
      <c r="E45" s="108"/>
      <c r="F45" s="102"/>
      <c r="G45" s="33"/>
      <c r="H45" s="32"/>
      <c r="I45" s="33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17"/>
      <c r="AG45" s="33"/>
      <c r="AH45" s="33"/>
    </row>
    <row r="46" spans="1:34" ht="16.5" thickBot="1">
      <c r="A46" s="33"/>
      <c r="B46" s="32"/>
      <c r="C46" s="18" t="s">
        <v>92</v>
      </c>
      <c r="D46" s="22"/>
      <c r="E46" s="41"/>
      <c r="F46" s="80"/>
      <c r="G46" s="18" t="s">
        <v>94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3"/>
      <c r="AF46" s="31"/>
      <c r="AG46" s="33"/>
      <c r="AH46" s="33"/>
    </row>
    <row r="47" spans="1:34" ht="7.5" customHeight="1">
      <c r="A47" s="33"/>
      <c r="B47" s="32"/>
      <c r="C47" s="20"/>
      <c r="D47" s="24"/>
      <c r="E47" s="24"/>
      <c r="F47" s="80"/>
      <c r="G47" s="20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5"/>
      <c r="AF47" s="33"/>
      <c r="AG47" s="17"/>
      <c r="AH47" s="17"/>
    </row>
    <row r="48" spans="1:34" ht="15.75">
      <c r="A48" s="33"/>
      <c r="B48" s="32"/>
      <c r="C48" s="21"/>
      <c r="D48" s="82"/>
      <c r="E48" s="82"/>
      <c r="F48" s="80"/>
      <c r="G48" s="21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33"/>
      <c r="AG48" s="31"/>
      <c r="AH48" s="31"/>
    </row>
    <row r="49" spans="1:34" ht="7.5" customHeight="1">
      <c r="A49" s="33"/>
      <c r="B49" s="32"/>
      <c r="C49" s="21"/>
      <c r="D49" s="26"/>
      <c r="E49" s="26"/>
      <c r="F49" s="80"/>
      <c r="G49" s="21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33"/>
      <c r="AG49" s="33"/>
      <c r="AH49" s="33"/>
    </row>
    <row r="50" spans="1:34">
      <c r="A50" s="33"/>
      <c r="B50" s="32"/>
      <c r="C50" s="21"/>
      <c r="D50" s="26"/>
      <c r="E50" s="26"/>
      <c r="F50" s="80"/>
      <c r="G50" s="21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33"/>
      <c r="AG50" s="33"/>
      <c r="AH50" s="33"/>
    </row>
    <row r="51" spans="1:34" ht="7.5" customHeight="1">
      <c r="A51" s="33"/>
      <c r="B51" s="32"/>
      <c r="C51" s="21"/>
      <c r="D51" s="26"/>
      <c r="E51" s="26"/>
      <c r="F51" s="80"/>
      <c r="G51" s="21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33"/>
      <c r="AG51" s="33"/>
      <c r="AH51" s="33"/>
    </row>
    <row r="52" spans="1:34">
      <c r="A52" s="33"/>
      <c r="B52" s="32"/>
      <c r="C52" s="21"/>
      <c r="D52" s="26"/>
      <c r="E52" s="26"/>
      <c r="F52" s="80"/>
      <c r="G52" s="21"/>
      <c r="H52" s="26"/>
      <c r="I52" s="26"/>
      <c r="J52" s="26"/>
      <c r="K52" s="26"/>
      <c r="L52" s="26"/>
      <c r="M52" s="26"/>
      <c r="N52" s="26"/>
      <c r="O52" s="26"/>
      <c r="P52" s="6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33"/>
      <c r="AG52" s="33"/>
      <c r="AH52" s="33"/>
    </row>
    <row r="53" spans="1:34" ht="7.5" customHeight="1">
      <c r="A53" s="33"/>
      <c r="B53" s="32"/>
      <c r="C53" s="21"/>
      <c r="D53" s="26"/>
      <c r="E53" s="26"/>
      <c r="F53" s="80"/>
      <c r="G53" s="21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33"/>
      <c r="AG53" s="33"/>
      <c r="AH53" s="33"/>
    </row>
    <row r="54" spans="1:34">
      <c r="A54" s="33"/>
      <c r="B54" s="32"/>
      <c r="C54" s="21"/>
      <c r="D54" s="26"/>
      <c r="E54" s="26"/>
      <c r="F54" s="80"/>
      <c r="G54" s="21"/>
      <c r="H54" s="26"/>
      <c r="I54" s="26"/>
      <c r="J54" s="26"/>
      <c r="K54" s="26"/>
      <c r="L54" s="26"/>
      <c r="M54" s="26"/>
      <c r="N54" s="26"/>
      <c r="O54" s="26"/>
      <c r="P54" s="6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33"/>
      <c r="AG54" s="33"/>
      <c r="AH54" s="33"/>
    </row>
    <row r="55" spans="1:34" ht="7.5" customHeight="1">
      <c r="A55" s="33"/>
      <c r="B55" s="32"/>
      <c r="C55" s="21"/>
      <c r="D55" s="26"/>
      <c r="E55" s="26"/>
      <c r="F55" s="80"/>
      <c r="G55" s="21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33"/>
      <c r="AG55" s="33"/>
      <c r="AH55" s="33"/>
    </row>
    <row r="56" spans="1:34" ht="15.75">
      <c r="A56" s="31"/>
      <c r="B56" s="32"/>
      <c r="C56" s="21"/>
      <c r="D56" s="26"/>
      <c r="E56" s="26"/>
      <c r="F56" s="80"/>
      <c r="G56" s="21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33"/>
      <c r="AG56" s="33"/>
      <c r="AH56" s="33"/>
    </row>
    <row r="57" spans="1:34" ht="7.5" customHeight="1">
      <c r="A57" s="33"/>
      <c r="B57" s="32"/>
      <c r="C57" s="21"/>
      <c r="D57" s="26"/>
      <c r="E57" s="26"/>
      <c r="F57" s="80"/>
      <c r="G57" s="21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33"/>
      <c r="AG57" s="33"/>
      <c r="AH57" s="33"/>
    </row>
    <row r="58" spans="1:34">
      <c r="A58" s="33"/>
      <c r="B58" s="32"/>
      <c r="C58" s="21"/>
      <c r="D58" s="26"/>
      <c r="E58" s="26"/>
      <c r="F58" s="80"/>
      <c r="G58" s="21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33"/>
      <c r="AG58" s="33"/>
      <c r="AH58" s="33"/>
    </row>
    <row r="59" spans="1:34" ht="7.5" customHeight="1">
      <c r="A59" s="33"/>
      <c r="B59" s="32"/>
      <c r="C59" s="21"/>
      <c r="D59" s="26"/>
      <c r="E59" s="26"/>
      <c r="F59" s="80"/>
      <c r="G59" s="21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33"/>
      <c r="AG59" s="33"/>
      <c r="AH59" s="33"/>
    </row>
    <row r="60" spans="1:34">
      <c r="A60" s="33"/>
      <c r="B60" s="32"/>
      <c r="C60" s="19"/>
      <c r="D60" s="28"/>
      <c r="E60" s="28"/>
      <c r="F60" s="80"/>
      <c r="G60" s="19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9"/>
      <c r="AF60" s="33"/>
      <c r="AG60" s="33"/>
      <c r="AH60" s="33"/>
    </row>
    <row r="61" spans="1:34" ht="7.5" customHeight="1">
      <c r="A61" s="33"/>
      <c r="B61" s="32"/>
      <c r="C61" s="33"/>
      <c r="D61" s="33"/>
      <c r="E61" s="33"/>
      <c r="F61" s="32"/>
      <c r="G61" s="33"/>
      <c r="H61" s="32"/>
      <c r="I61" s="33"/>
      <c r="J61" s="35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33"/>
      <c r="AG61" s="33"/>
      <c r="AH61" s="33"/>
    </row>
    <row r="62" spans="1:34" ht="15.75" customHeight="1">
      <c r="A62" s="33"/>
      <c r="C62" s="107" t="s">
        <v>10</v>
      </c>
      <c r="D62" s="107"/>
      <c r="E62" s="107"/>
      <c r="F62" s="107"/>
      <c r="G62" s="33"/>
      <c r="H62" s="32"/>
      <c r="I62" s="33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3"/>
      <c r="AG62" s="33"/>
      <c r="AH62" s="33"/>
    </row>
    <row r="63" spans="1:34" ht="7.5" customHeight="1">
      <c r="A63" s="33"/>
      <c r="C63" s="108"/>
      <c r="D63" s="108"/>
      <c r="E63" s="108"/>
      <c r="F63" s="102"/>
      <c r="G63" s="33"/>
      <c r="H63" s="32"/>
      <c r="I63" s="33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33"/>
      <c r="AG63" s="33"/>
      <c r="AH63" s="33"/>
    </row>
    <row r="64" spans="1:34" ht="16.5" thickBot="1">
      <c r="A64" s="33"/>
      <c r="C64" s="18" t="s">
        <v>92</v>
      </c>
      <c r="D64" s="22"/>
      <c r="E64" s="41"/>
      <c r="F64" s="80"/>
      <c r="G64" s="18" t="s">
        <v>94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3"/>
      <c r="AB64" s="37"/>
      <c r="AC64" s="18" t="s">
        <v>12</v>
      </c>
      <c r="AD64" s="22"/>
      <c r="AE64" s="23"/>
      <c r="AF64" s="33"/>
      <c r="AG64" s="33"/>
      <c r="AH64" s="33"/>
    </row>
    <row r="65" spans="1:34" ht="7.5" customHeight="1">
      <c r="A65" s="33"/>
      <c r="C65" s="20"/>
      <c r="D65" s="24"/>
      <c r="E65" s="24"/>
      <c r="F65" s="80"/>
      <c r="G65" s="20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5"/>
      <c r="AB65" s="38"/>
      <c r="AC65" s="20"/>
      <c r="AD65" s="24"/>
      <c r="AE65" s="25"/>
      <c r="AF65" s="33"/>
      <c r="AG65" s="33"/>
      <c r="AH65" s="33"/>
    </row>
    <row r="66" spans="1:34" ht="15.75">
      <c r="A66" s="33"/>
      <c r="C66" s="21"/>
      <c r="D66" s="82"/>
      <c r="E66" s="82"/>
      <c r="F66" s="80"/>
      <c r="G66" s="21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7"/>
      <c r="AB66" s="38"/>
      <c r="AC66" s="109" t="str">
        <f>TEXT(Data!BN2,"0.00")&amp; " Weeks"</f>
        <v>1.00 Weeks</v>
      </c>
      <c r="AD66" s="110"/>
      <c r="AE66" s="111"/>
      <c r="AF66" s="33"/>
      <c r="AG66" s="33"/>
      <c r="AH66" s="33"/>
    </row>
    <row r="67" spans="1:34" ht="7.5" customHeight="1">
      <c r="A67" s="33"/>
      <c r="C67" s="21"/>
      <c r="D67" s="26"/>
      <c r="E67" s="26"/>
      <c r="F67" s="80"/>
      <c r="G67" s="21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7"/>
      <c r="AB67" s="38"/>
      <c r="AC67" s="109"/>
      <c r="AD67" s="110"/>
      <c r="AE67" s="111"/>
      <c r="AF67" s="17"/>
      <c r="AG67" s="17"/>
      <c r="AH67" s="17"/>
    </row>
    <row r="68" spans="1:34" ht="15.75">
      <c r="A68" s="33"/>
      <c r="C68" s="21"/>
      <c r="D68" s="26"/>
      <c r="E68" s="26"/>
      <c r="F68" s="80"/>
      <c r="G68" s="21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7"/>
      <c r="AB68" s="38"/>
      <c r="AC68" s="109"/>
      <c r="AD68" s="110"/>
      <c r="AE68" s="111"/>
      <c r="AF68" s="31"/>
      <c r="AG68" s="31"/>
      <c r="AH68" s="31"/>
    </row>
    <row r="69" spans="1:34" ht="7.5" customHeight="1">
      <c r="A69" s="33"/>
      <c r="C69" s="21"/>
      <c r="D69" s="26"/>
      <c r="E69" s="26"/>
      <c r="F69" s="80"/>
      <c r="G69" s="21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7"/>
      <c r="AB69" s="38"/>
      <c r="AC69" s="21"/>
      <c r="AD69" s="26"/>
      <c r="AE69" s="27"/>
      <c r="AF69" s="33"/>
      <c r="AG69" s="33"/>
      <c r="AH69" s="33"/>
    </row>
    <row r="70" spans="1:34">
      <c r="A70" s="33"/>
      <c r="C70" s="21"/>
      <c r="D70" s="26"/>
      <c r="E70" s="26"/>
      <c r="F70" s="80"/>
      <c r="G70" s="21"/>
      <c r="H70" s="26"/>
      <c r="I70" s="26"/>
      <c r="J70" s="26"/>
      <c r="K70" s="26"/>
      <c r="L70" s="26"/>
      <c r="M70" s="26"/>
      <c r="N70" s="26"/>
      <c r="O70" s="26"/>
      <c r="P70" s="6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7"/>
      <c r="AB70" s="38"/>
      <c r="AC70" s="21"/>
      <c r="AD70" s="26"/>
      <c r="AE70" s="27"/>
      <c r="AF70" s="33"/>
      <c r="AG70" s="33"/>
      <c r="AH70" s="33"/>
    </row>
    <row r="71" spans="1:34" ht="7.5" customHeight="1">
      <c r="A71" s="33"/>
      <c r="C71" s="21"/>
      <c r="D71" s="26"/>
      <c r="E71" s="26"/>
      <c r="F71" s="80"/>
      <c r="G71" s="21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7"/>
      <c r="AB71" s="38"/>
      <c r="AC71" s="21"/>
      <c r="AD71" s="26"/>
      <c r="AE71" s="27"/>
      <c r="AF71" s="33"/>
      <c r="AG71" s="33"/>
      <c r="AH71" s="33"/>
    </row>
    <row r="72" spans="1:34">
      <c r="A72" s="33"/>
      <c r="C72" s="21"/>
      <c r="D72" s="26"/>
      <c r="E72" s="26"/>
      <c r="F72" s="80"/>
      <c r="G72" s="21"/>
      <c r="H72" s="26"/>
      <c r="I72" s="26"/>
      <c r="J72" s="26"/>
      <c r="K72" s="26"/>
      <c r="L72" s="26"/>
      <c r="M72" s="26"/>
      <c r="N72" s="26"/>
      <c r="O72" s="26"/>
      <c r="P72" s="6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7"/>
      <c r="AB72" s="38"/>
      <c r="AC72" s="21"/>
      <c r="AD72" s="26"/>
      <c r="AE72" s="27"/>
      <c r="AF72" s="33"/>
      <c r="AG72" s="33"/>
      <c r="AH72" s="33"/>
    </row>
    <row r="73" spans="1:34" ht="7.5" customHeight="1">
      <c r="A73" s="33"/>
      <c r="C73" s="21"/>
      <c r="D73" s="26"/>
      <c r="E73" s="26"/>
      <c r="F73" s="80"/>
      <c r="G73" s="21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7"/>
      <c r="AB73" s="38"/>
      <c r="AC73" s="21"/>
      <c r="AD73" s="26"/>
      <c r="AE73" s="27"/>
      <c r="AF73" s="33"/>
      <c r="AG73" s="33"/>
      <c r="AH73" s="33"/>
    </row>
    <row r="74" spans="1:34">
      <c r="A74" s="33"/>
      <c r="C74" s="21"/>
      <c r="D74" s="26"/>
      <c r="E74" s="26"/>
      <c r="F74" s="80"/>
      <c r="G74" s="21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7"/>
      <c r="AB74" s="38"/>
      <c r="AC74" s="21"/>
      <c r="AD74" s="26"/>
      <c r="AE74" s="27"/>
      <c r="AF74" s="33"/>
      <c r="AG74" s="33"/>
      <c r="AH74" s="33"/>
    </row>
    <row r="75" spans="1:34" ht="7.5" customHeight="1">
      <c r="A75" s="33"/>
      <c r="C75" s="21"/>
      <c r="D75" s="26"/>
      <c r="E75" s="26"/>
      <c r="F75" s="80"/>
      <c r="G75" s="21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7"/>
      <c r="AB75" s="38"/>
      <c r="AC75" s="21"/>
      <c r="AD75" s="26"/>
      <c r="AE75" s="27"/>
      <c r="AF75" s="33"/>
      <c r="AG75" s="33"/>
      <c r="AH75" s="33"/>
    </row>
    <row r="76" spans="1:34">
      <c r="A76" s="33"/>
      <c r="C76" s="21"/>
      <c r="D76" s="26"/>
      <c r="E76" s="26"/>
      <c r="F76" s="80"/>
      <c r="G76" s="21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7"/>
      <c r="AB76" s="38"/>
      <c r="AC76" s="21"/>
      <c r="AD76" s="26"/>
      <c r="AE76" s="27"/>
      <c r="AF76" s="33"/>
      <c r="AG76" s="33"/>
      <c r="AH76" s="33"/>
    </row>
    <row r="77" spans="1:34" ht="7.5" customHeight="1">
      <c r="A77" s="33"/>
      <c r="C77" s="21"/>
      <c r="D77" s="26"/>
      <c r="E77" s="26"/>
      <c r="F77" s="80"/>
      <c r="G77" s="21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7"/>
      <c r="AB77" s="38"/>
      <c r="AC77" s="21"/>
      <c r="AD77" s="26"/>
      <c r="AE77" s="27"/>
      <c r="AF77" s="33"/>
      <c r="AG77" s="33"/>
      <c r="AH77" s="33"/>
    </row>
    <row r="78" spans="1:34">
      <c r="A78" s="33"/>
      <c r="C78" s="19"/>
      <c r="D78" s="28"/>
      <c r="E78" s="28"/>
      <c r="F78" s="80"/>
      <c r="G78" s="19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9"/>
      <c r="AB78" s="38"/>
      <c r="AC78" s="19"/>
      <c r="AD78" s="28"/>
      <c r="AE78" s="29"/>
      <c r="AF78" s="33"/>
      <c r="AG78" s="33"/>
      <c r="AH78" s="33"/>
    </row>
    <row r="79" spans="1:34" ht="7.5" customHeight="1">
      <c r="A79" s="33"/>
      <c r="C79" s="33"/>
      <c r="D79" s="33"/>
      <c r="E79" s="33"/>
      <c r="F79" s="32"/>
      <c r="G79" s="33"/>
      <c r="H79" s="35"/>
      <c r="I79" s="33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33"/>
      <c r="AG79" s="33"/>
      <c r="AH79" s="33"/>
    </row>
    <row r="80" spans="1:34" ht="15.75" customHeight="1">
      <c r="A80" s="33"/>
      <c r="C80" s="107" t="s">
        <v>11</v>
      </c>
      <c r="D80" s="107"/>
      <c r="E80" s="107"/>
      <c r="F80" s="107"/>
      <c r="G80" s="33"/>
      <c r="H80" s="32"/>
      <c r="I80" s="33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3"/>
      <c r="AG80" s="33"/>
      <c r="AH80" s="33"/>
    </row>
    <row r="81" spans="1:34" ht="7.5" customHeight="1">
      <c r="A81" s="33"/>
      <c r="C81" s="108"/>
      <c r="D81" s="108"/>
      <c r="E81" s="108"/>
      <c r="F81" s="102"/>
      <c r="G81" s="33"/>
      <c r="H81" s="32"/>
      <c r="I81" s="33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17"/>
      <c r="AG81" s="33"/>
      <c r="AH81" s="33"/>
    </row>
    <row r="82" spans="1:34" ht="16.5" thickBot="1">
      <c r="A82" s="33"/>
      <c r="C82" s="18" t="s">
        <v>92</v>
      </c>
      <c r="D82" s="22"/>
      <c r="E82" s="41"/>
      <c r="F82" s="80"/>
      <c r="G82" s="18" t="s">
        <v>94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3"/>
      <c r="AF82" s="31"/>
      <c r="AG82" s="33"/>
      <c r="AH82" s="33"/>
    </row>
    <row r="83" spans="1:34" ht="7.5" customHeight="1">
      <c r="A83" s="33"/>
      <c r="C83" s="20"/>
      <c r="D83" s="24"/>
      <c r="E83" s="24"/>
      <c r="F83" s="80"/>
      <c r="G83" s="20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5"/>
      <c r="AF83" s="33"/>
      <c r="AG83" s="33"/>
      <c r="AH83" s="33"/>
    </row>
    <row r="84" spans="1:34" ht="15.75">
      <c r="A84" s="33"/>
      <c r="C84" s="21"/>
      <c r="D84" s="82"/>
      <c r="E84" s="82"/>
      <c r="F84" s="80"/>
      <c r="G84" s="21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7"/>
      <c r="AF84" s="33"/>
      <c r="AG84" s="33"/>
      <c r="AH84" s="33"/>
    </row>
    <row r="85" spans="1:34" ht="7.5" customHeight="1">
      <c r="A85" s="33"/>
      <c r="C85" s="21"/>
      <c r="D85" s="26"/>
      <c r="E85" s="26"/>
      <c r="F85" s="80"/>
      <c r="G85" s="21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7"/>
      <c r="AF85" s="33"/>
      <c r="AG85" s="33"/>
      <c r="AH85" s="33"/>
    </row>
    <row r="86" spans="1:34">
      <c r="A86" s="33"/>
      <c r="C86" s="21"/>
      <c r="D86" s="26"/>
      <c r="E86" s="26"/>
      <c r="F86" s="80"/>
      <c r="G86" s="21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7"/>
      <c r="AF86" s="33"/>
      <c r="AG86" s="33"/>
      <c r="AH86" s="33"/>
    </row>
    <row r="87" spans="1:34" ht="7.5" customHeight="1">
      <c r="A87" s="33"/>
      <c r="C87" s="21"/>
      <c r="D87" s="26"/>
      <c r="E87" s="26"/>
      <c r="F87" s="80"/>
      <c r="G87" s="21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7"/>
      <c r="AF87" s="33"/>
      <c r="AG87" s="17"/>
      <c r="AH87" s="17"/>
    </row>
    <row r="88" spans="1:34" ht="15.75">
      <c r="A88" s="33"/>
      <c r="C88" s="21"/>
      <c r="D88" s="26"/>
      <c r="E88" s="26"/>
      <c r="F88" s="80"/>
      <c r="G88" s="21"/>
      <c r="H88" s="26"/>
      <c r="I88" s="26"/>
      <c r="J88" s="26"/>
      <c r="K88" s="26"/>
      <c r="L88" s="26"/>
      <c r="M88" s="26"/>
      <c r="N88" s="26"/>
      <c r="O88" s="26"/>
      <c r="P88" s="6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7"/>
      <c r="AF88" s="33"/>
      <c r="AG88" s="31"/>
      <c r="AH88" s="31"/>
    </row>
    <row r="89" spans="1:34" ht="7.5" customHeight="1">
      <c r="A89" s="33"/>
      <c r="C89" s="21"/>
      <c r="D89" s="26"/>
      <c r="E89" s="26"/>
      <c r="F89" s="80"/>
      <c r="G89" s="21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7"/>
      <c r="AF89" s="33"/>
      <c r="AG89" s="33"/>
      <c r="AH89" s="33"/>
    </row>
    <row r="90" spans="1:34">
      <c r="A90" s="33"/>
      <c r="C90" s="21"/>
      <c r="D90" s="26"/>
      <c r="E90" s="26"/>
      <c r="F90" s="80"/>
      <c r="G90" s="21"/>
      <c r="H90" s="26"/>
      <c r="I90" s="26"/>
      <c r="J90" s="26"/>
      <c r="K90" s="26"/>
      <c r="L90" s="26"/>
      <c r="M90" s="26"/>
      <c r="N90" s="26"/>
      <c r="O90" s="26"/>
      <c r="P90" s="6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7"/>
      <c r="AF90" s="33"/>
      <c r="AG90" s="33"/>
      <c r="AH90" s="33"/>
    </row>
    <row r="91" spans="1:34" ht="7.5" customHeight="1">
      <c r="A91" s="33"/>
      <c r="C91" s="21"/>
      <c r="D91" s="26"/>
      <c r="E91" s="26"/>
      <c r="F91" s="80"/>
      <c r="G91" s="21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7"/>
      <c r="AF91" s="33"/>
      <c r="AG91" s="33"/>
      <c r="AH91" s="33"/>
    </row>
    <row r="92" spans="1:34">
      <c r="A92" s="33"/>
      <c r="C92" s="21"/>
      <c r="D92" s="26"/>
      <c r="E92" s="26"/>
      <c r="F92" s="80"/>
      <c r="G92" s="21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7"/>
      <c r="AF92" s="33"/>
      <c r="AG92" s="33"/>
      <c r="AH92" s="33"/>
    </row>
    <row r="93" spans="1:34" ht="7.5" customHeight="1">
      <c r="A93" s="33"/>
      <c r="C93" s="21"/>
      <c r="D93" s="26"/>
      <c r="E93" s="26"/>
      <c r="F93" s="80"/>
      <c r="G93" s="21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7"/>
      <c r="AF93" s="33"/>
      <c r="AG93" s="33"/>
      <c r="AH93" s="33"/>
    </row>
    <row r="94" spans="1:34">
      <c r="A94" s="33"/>
      <c r="C94" s="21"/>
      <c r="D94" s="26"/>
      <c r="E94" s="26"/>
      <c r="F94" s="80"/>
      <c r="G94" s="21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7"/>
      <c r="AF94" s="33"/>
      <c r="AG94" s="33"/>
      <c r="AH94" s="33"/>
    </row>
    <row r="95" spans="1:34" ht="7.5" customHeight="1">
      <c r="A95" s="33"/>
      <c r="C95" s="21"/>
      <c r="D95" s="26"/>
      <c r="E95" s="26"/>
      <c r="F95" s="80"/>
      <c r="G95" s="21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7"/>
      <c r="AF95" s="33"/>
      <c r="AG95" s="33"/>
      <c r="AH95" s="33"/>
    </row>
    <row r="96" spans="1:34">
      <c r="A96" s="33"/>
      <c r="C96" s="19"/>
      <c r="D96" s="28"/>
      <c r="E96" s="28"/>
      <c r="F96" s="80"/>
      <c r="G96" s="19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9"/>
      <c r="AF96" s="33"/>
      <c r="AG96" s="33"/>
      <c r="AH96" s="33"/>
    </row>
    <row r="97" spans="1:34" ht="7.5" customHeight="1">
      <c r="A97" s="33"/>
      <c r="B97" s="35"/>
      <c r="C97" s="33"/>
      <c r="D97" s="33"/>
      <c r="E97" s="33"/>
      <c r="F97" s="32"/>
      <c r="G97" s="33"/>
      <c r="H97" s="32"/>
      <c r="I97" s="33"/>
      <c r="J97" s="35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33"/>
      <c r="AG97" s="33"/>
      <c r="AH97" s="33"/>
    </row>
    <row r="98" spans="1:34">
      <c r="A98" s="33"/>
      <c r="B98" s="35"/>
      <c r="C98" s="33"/>
      <c r="D98" s="33"/>
      <c r="E98" s="33"/>
      <c r="F98" s="35"/>
      <c r="G98" s="33"/>
      <c r="H98" s="35"/>
      <c r="I98" s="33"/>
      <c r="J98" s="35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33"/>
      <c r="AG98" s="33"/>
      <c r="AH98" s="33"/>
    </row>
    <row r="99" spans="1:34" ht="7.5" customHeight="1">
      <c r="A99" s="33"/>
      <c r="B99" s="35"/>
      <c r="C99" s="33"/>
      <c r="D99" s="33"/>
      <c r="E99" s="33"/>
      <c r="F99" s="35"/>
      <c r="G99" s="33"/>
      <c r="H99" s="35"/>
      <c r="I99" s="33"/>
      <c r="J99" s="35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33"/>
      <c r="AG99" s="33"/>
      <c r="AH99" s="33"/>
    </row>
    <row r="100" spans="1:34" s="36" customFormat="1" ht="7.5" customHeight="1">
      <c r="A100" s="33"/>
      <c r="B100" s="32"/>
      <c r="C100" s="33"/>
      <c r="D100" s="33"/>
      <c r="E100" s="33"/>
      <c r="F100" s="32"/>
      <c r="G100" s="33"/>
      <c r="H100" s="32"/>
      <c r="I100" s="33"/>
      <c r="J100" s="32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33"/>
      <c r="AE100" s="33"/>
      <c r="AF100" s="33"/>
      <c r="AG100" s="33"/>
    </row>
    <row r="101" spans="1:34">
      <c r="A101" s="33"/>
      <c r="B101" s="35"/>
      <c r="C101" s="33"/>
      <c r="D101" s="33"/>
      <c r="E101" s="33"/>
      <c r="F101" s="35"/>
      <c r="G101" s="33"/>
      <c r="H101" s="35"/>
      <c r="I101" s="33"/>
      <c r="J101" s="35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33"/>
      <c r="AE101" s="33"/>
      <c r="AF101" s="33"/>
      <c r="AG101" s="33"/>
    </row>
    <row r="102" spans="1:34" s="36" customFormat="1" ht="7.5" customHeight="1">
      <c r="A102" s="33"/>
      <c r="B102" s="32"/>
      <c r="C102" s="33"/>
      <c r="D102" s="33"/>
      <c r="E102" s="33"/>
      <c r="F102" s="32"/>
      <c r="G102" s="33"/>
      <c r="H102" s="32"/>
      <c r="I102" s="33"/>
      <c r="J102" s="32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33"/>
      <c r="AE102" s="33"/>
      <c r="AF102" s="33"/>
      <c r="AG102" s="33"/>
    </row>
    <row r="103" spans="1:34">
      <c r="A103" s="33"/>
      <c r="B103" s="35"/>
      <c r="C103" s="33"/>
      <c r="D103" s="33"/>
      <c r="E103" s="33"/>
      <c r="F103" s="35"/>
      <c r="G103" s="33"/>
      <c r="H103" s="35"/>
      <c r="I103" s="33"/>
      <c r="J103" s="35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33"/>
      <c r="AE103" s="33"/>
      <c r="AF103" s="33"/>
      <c r="AG103" s="33"/>
    </row>
    <row r="104" spans="1:34" s="36" customFormat="1" ht="7.5" customHeight="1">
      <c r="A104" s="33"/>
      <c r="B104" s="32"/>
      <c r="C104" s="33"/>
      <c r="D104" s="33"/>
      <c r="E104" s="33"/>
      <c r="F104" s="32"/>
      <c r="G104" s="33"/>
      <c r="H104" s="32"/>
      <c r="I104" s="33"/>
      <c r="J104" s="32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33"/>
      <c r="AE104" s="33"/>
      <c r="AF104" s="33"/>
      <c r="AG104" s="33"/>
    </row>
    <row r="105" spans="1:34">
      <c r="A105" s="33"/>
      <c r="B105" s="35"/>
      <c r="C105" s="33"/>
      <c r="D105" s="33"/>
      <c r="E105" s="33"/>
      <c r="F105" s="35"/>
      <c r="G105" s="33"/>
      <c r="H105" s="35"/>
      <c r="I105" s="33"/>
      <c r="J105" s="35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33"/>
      <c r="AE105" s="33"/>
      <c r="AF105" s="33"/>
      <c r="AG105" s="33"/>
    </row>
    <row r="106" spans="1:34" s="11" customFormat="1" ht="7.5" customHeight="1">
      <c r="A106" s="9"/>
      <c r="C106" s="9"/>
      <c r="D106" s="10"/>
      <c r="E106" s="9"/>
      <c r="F106" s="10"/>
      <c r="G106" s="34"/>
      <c r="H106" s="10"/>
      <c r="I106" s="34"/>
      <c r="J106" s="10"/>
      <c r="K106" s="9"/>
      <c r="L106" s="10"/>
      <c r="M106" s="9"/>
      <c r="N106" s="10"/>
      <c r="O106" s="9"/>
      <c r="P106" s="10"/>
      <c r="Q106" s="9"/>
      <c r="R106" s="10"/>
      <c r="S106" s="9"/>
      <c r="T106" s="10"/>
      <c r="U106" s="9"/>
      <c r="V106" s="10"/>
      <c r="W106" s="9"/>
      <c r="X106" s="10"/>
      <c r="Y106" s="9"/>
      <c r="Z106" s="10"/>
      <c r="AA106" s="9"/>
      <c r="AB106" s="10"/>
      <c r="AC106" s="9"/>
      <c r="AD106" s="34"/>
      <c r="AE106" s="34"/>
      <c r="AF106" s="34"/>
      <c r="AG106" s="34"/>
    </row>
    <row r="107" spans="1:34" s="15" customFormat="1" ht="39.75" customHeight="1">
      <c r="A107" s="12"/>
      <c r="B107" s="12"/>
      <c r="C107" s="12"/>
      <c r="D107" s="13"/>
      <c r="E107" s="12"/>
      <c r="F107" s="13"/>
      <c r="G107" s="12"/>
      <c r="H107" s="13"/>
      <c r="I107" s="12"/>
      <c r="J107" s="13"/>
      <c r="K107" s="12"/>
      <c r="L107" s="13"/>
      <c r="M107" s="12"/>
      <c r="N107" s="13"/>
      <c r="O107" s="12"/>
      <c r="P107" s="13"/>
      <c r="Q107" s="12"/>
      <c r="R107" s="13"/>
      <c r="S107" s="12"/>
      <c r="T107" s="13"/>
      <c r="U107" s="12"/>
      <c r="V107" s="13"/>
      <c r="W107" s="12"/>
      <c r="X107" s="13"/>
      <c r="Y107" s="12"/>
      <c r="Z107" s="13"/>
      <c r="AA107" s="12"/>
      <c r="AB107" s="13"/>
      <c r="AC107" s="12"/>
      <c r="AD107" s="12"/>
      <c r="AE107" s="12"/>
      <c r="AF107" s="12"/>
      <c r="AG107" s="12"/>
    </row>
    <row r="108" spans="1:34" s="11" customFormat="1" ht="12.75"/>
  </sheetData>
  <mergeCells count="8">
    <mergeCell ref="AC66:AE68"/>
    <mergeCell ref="C80:F81"/>
    <mergeCell ref="AC1:AF1"/>
    <mergeCell ref="J6:M7"/>
    <mergeCell ref="C8:F9"/>
    <mergeCell ref="C26:F27"/>
    <mergeCell ref="C44:F45"/>
    <mergeCell ref="C62:F63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6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Q108"/>
  <sheetViews>
    <sheetView showGridLines="0" showRowColHeaders="0" zoomScale="80" zoomScaleNormal="80" zoomScaleSheetLayoutView="70" workbookViewId="0">
      <pane ySplit="6" topLeftCell="A7" activePane="bottomLeft" state="frozen"/>
      <selection activeCell="A70" sqref="A70"/>
      <selection pane="bottomLeft" activeCell="A7" sqref="A7"/>
    </sheetView>
  </sheetViews>
  <sheetFormatPr defaultRowHeight="15"/>
  <cols>
    <col min="1" max="2" width="1.42578125" customWidth="1"/>
    <col min="3" max="3" width="9.7109375" customWidth="1"/>
    <col min="4" max="4" width="1.42578125" customWidth="1"/>
    <col min="5" max="5" width="9.7109375" customWidth="1"/>
    <col min="6" max="6" width="1.42578125" customWidth="1"/>
    <col min="7" max="7" width="9.7109375" customWidth="1"/>
    <col min="8" max="8" width="1.42578125" customWidth="1"/>
    <col min="9" max="9" width="9.7109375" customWidth="1"/>
    <col min="10" max="10" width="1.42578125" customWidth="1"/>
    <col min="11" max="11" width="9.7109375" customWidth="1"/>
    <col min="12" max="12" width="1.42578125" customWidth="1"/>
    <col min="13" max="13" width="9.7109375" customWidth="1"/>
    <col min="14" max="14" width="1.42578125" customWidth="1"/>
    <col min="15" max="15" width="9.7109375" customWidth="1"/>
    <col min="16" max="16" width="1.42578125" customWidth="1"/>
    <col min="17" max="17" width="9.7109375" customWidth="1"/>
    <col min="18" max="18" width="1.42578125" customWidth="1"/>
    <col min="19" max="19" width="9.7109375" customWidth="1"/>
    <col min="20" max="20" width="1.42578125" customWidth="1"/>
    <col min="21" max="21" width="9.7109375" customWidth="1"/>
    <col min="22" max="22" width="1.42578125" customWidth="1"/>
    <col min="23" max="23" width="9.7109375" customWidth="1"/>
    <col min="24" max="24" width="1.42578125" customWidth="1"/>
    <col min="25" max="25" width="9.7109375" customWidth="1"/>
    <col min="26" max="26" width="1.42578125" customWidth="1"/>
    <col min="27" max="27" width="9.7109375" customWidth="1"/>
    <col min="28" max="28" width="1.42578125" customWidth="1"/>
    <col min="29" max="29" width="9.7109375" customWidth="1"/>
    <col min="30" max="30" width="1.42578125" customWidth="1"/>
    <col min="31" max="31" width="9.7109375" customWidth="1"/>
    <col min="32" max="33" width="1.42578125" customWidth="1"/>
  </cols>
  <sheetData>
    <row r="1" spans="1:43" s="5" customFormat="1" ht="15.75">
      <c r="A1" s="2"/>
      <c r="B1" s="2"/>
      <c r="C1" s="2"/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101">
        <f ca="1">TODAY()</f>
        <v>41837</v>
      </c>
      <c r="AD1" s="101"/>
      <c r="AE1" s="101"/>
      <c r="AF1" s="101"/>
      <c r="AG1" s="3"/>
    </row>
    <row r="2" spans="1:43" s="5" customFormat="1" ht="35.25">
      <c r="A2" s="6"/>
      <c r="B2" s="6" t="s">
        <v>7</v>
      </c>
      <c r="C2" s="6"/>
      <c r="D2" s="3"/>
      <c r="E2" s="6"/>
      <c r="F2" s="3"/>
      <c r="G2" s="6"/>
      <c r="H2" s="3"/>
      <c r="I2" s="6"/>
      <c r="J2" s="3"/>
      <c r="K2" s="6"/>
      <c r="L2" s="3"/>
      <c r="M2" s="6"/>
      <c r="N2" s="3"/>
      <c r="O2" s="6"/>
      <c r="P2" s="3"/>
      <c r="Q2" s="6"/>
      <c r="R2" s="3"/>
      <c r="S2" s="6"/>
      <c r="T2" s="3"/>
      <c r="U2" s="6"/>
      <c r="V2" s="3"/>
      <c r="W2" s="6"/>
      <c r="X2" s="3"/>
      <c r="Y2" s="6"/>
      <c r="Z2" s="3"/>
      <c r="AA2" s="6"/>
      <c r="AB2" s="3"/>
      <c r="AC2" s="6"/>
      <c r="AD2" s="3"/>
      <c r="AE2" s="6"/>
      <c r="AF2" s="3"/>
      <c r="AG2" s="3"/>
    </row>
    <row r="3" spans="1:43" s="5" customFormat="1" ht="17.25" customHeight="1" thickBot="1">
      <c r="A3" s="7"/>
      <c r="B3" s="7"/>
      <c r="C3" s="7"/>
      <c r="D3" s="8"/>
      <c r="E3" s="7"/>
      <c r="F3" s="8"/>
      <c r="G3" s="7"/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  <c r="U3" s="7"/>
      <c r="V3" s="8"/>
      <c r="W3" s="7"/>
      <c r="X3" s="8"/>
      <c r="Y3" s="7"/>
      <c r="Z3" s="8"/>
      <c r="AA3" s="7"/>
      <c r="AB3" s="8"/>
      <c r="AC3" s="7"/>
      <c r="AD3" s="8"/>
      <c r="AE3" s="7"/>
      <c r="AF3" s="8"/>
      <c r="AG3" s="8"/>
    </row>
    <row r="4" spans="1:43" s="11" customFormat="1" ht="7.5" customHeight="1">
      <c r="A4" s="9"/>
      <c r="C4" s="9"/>
      <c r="D4" s="10"/>
      <c r="E4" s="9"/>
      <c r="F4" s="10"/>
      <c r="G4" s="9"/>
      <c r="H4" s="10"/>
      <c r="I4" s="9"/>
      <c r="J4" s="10"/>
      <c r="K4" s="9"/>
      <c r="L4" s="10"/>
      <c r="M4" s="9"/>
      <c r="N4" s="10"/>
      <c r="O4" s="9"/>
      <c r="P4" s="10"/>
      <c r="Q4" s="9"/>
      <c r="R4" s="10"/>
      <c r="S4" s="9"/>
      <c r="T4" s="10"/>
      <c r="U4" s="9"/>
      <c r="V4" s="10"/>
      <c r="W4" s="9"/>
      <c r="X4" s="10"/>
      <c r="Y4" s="9"/>
      <c r="Z4" s="10"/>
      <c r="AA4" s="9"/>
      <c r="AB4" s="10"/>
      <c r="AC4" s="9"/>
      <c r="AD4" s="10"/>
      <c r="AE4" s="9"/>
      <c r="AF4" s="10"/>
      <c r="AG4" s="10"/>
    </row>
    <row r="5" spans="1:43" ht="9.75" customHeight="1">
      <c r="A5" s="17"/>
      <c r="C5" s="17"/>
      <c r="D5" s="17"/>
      <c r="F5" s="17"/>
      <c r="H5" s="17"/>
      <c r="J5" s="17"/>
      <c r="K5" s="17"/>
      <c r="M5" s="17"/>
      <c r="O5" s="17"/>
      <c r="Q5" s="17"/>
      <c r="S5" s="17"/>
      <c r="U5" s="17"/>
      <c r="W5" s="17"/>
      <c r="Y5" s="17"/>
      <c r="AA5" s="17"/>
      <c r="AC5" s="17"/>
      <c r="AE5" s="17"/>
      <c r="AI5" s="17"/>
      <c r="AK5" s="17"/>
      <c r="AM5" s="17"/>
      <c r="AO5" s="17"/>
      <c r="AQ5" s="17"/>
    </row>
    <row r="6" spans="1:43" ht="90" customHeight="1">
      <c r="A6" s="31"/>
      <c r="B6" s="32"/>
      <c r="C6" s="31"/>
      <c r="D6" s="31"/>
      <c r="E6" s="31"/>
      <c r="F6" s="32"/>
      <c r="G6" s="31"/>
      <c r="H6" s="32"/>
      <c r="I6" s="31"/>
      <c r="J6" s="102"/>
      <c r="K6" s="102"/>
      <c r="L6" s="102"/>
      <c r="M6" s="102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K6" s="78"/>
    </row>
    <row r="7" spans="1:43" ht="7.5" customHeight="1">
      <c r="A7" s="33"/>
      <c r="B7" s="32"/>
      <c r="C7" s="33"/>
      <c r="D7" s="33"/>
      <c r="E7" s="33"/>
      <c r="F7" s="32"/>
      <c r="G7" s="33"/>
      <c r="H7" s="32"/>
      <c r="I7" s="33"/>
      <c r="J7" s="102"/>
      <c r="K7" s="102"/>
      <c r="L7" s="102"/>
      <c r="M7" s="102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33"/>
      <c r="AG7" s="33"/>
      <c r="AH7" s="33"/>
    </row>
    <row r="8" spans="1:43" ht="15.75">
      <c r="A8" s="33"/>
      <c r="B8" s="32"/>
      <c r="C8" s="102" t="s">
        <v>2</v>
      </c>
      <c r="D8" s="102"/>
      <c r="E8" s="102"/>
      <c r="F8" s="102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C8" s="33"/>
      <c r="AD8" s="33"/>
      <c r="AE8" s="33"/>
      <c r="AF8" s="31"/>
      <c r="AG8" s="31"/>
      <c r="AH8" s="31"/>
      <c r="AI8" s="31"/>
      <c r="AJ8" s="31"/>
      <c r="AK8" s="31"/>
    </row>
    <row r="9" spans="1:43" ht="7.5" customHeight="1">
      <c r="A9" s="33"/>
      <c r="B9" s="32"/>
      <c r="C9" s="102"/>
      <c r="D9" s="102"/>
      <c r="E9" s="102"/>
      <c r="F9" s="102"/>
      <c r="G9" s="33"/>
      <c r="H9" s="32"/>
      <c r="I9" s="33"/>
      <c r="J9" s="26"/>
      <c r="K9" s="26"/>
      <c r="L9" s="26"/>
      <c r="M9" s="26"/>
      <c r="N9" s="3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33"/>
      <c r="AG9" s="33"/>
      <c r="AH9" s="33"/>
      <c r="AI9" s="33"/>
      <c r="AJ9" s="33"/>
      <c r="AK9" s="33"/>
    </row>
    <row r="10" spans="1:43" ht="16.5" thickBot="1">
      <c r="A10" s="33"/>
      <c r="B10" s="32"/>
      <c r="C10" s="18" t="s">
        <v>92</v>
      </c>
      <c r="D10" s="22"/>
      <c r="E10" s="42"/>
      <c r="F10" s="32"/>
      <c r="G10" s="18" t="s">
        <v>94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3"/>
      <c r="AF10" s="31"/>
      <c r="AG10" s="31"/>
      <c r="AH10" s="31"/>
      <c r="AI10" s="31"/>
      <c r="AJ10" s="31"/>
      <c r="AK10" s="31"/>
    </row>
    <row r="11" spans="1:43" ht="7.5" customHeight="1">
      <c r="A11" s="33"/>
      <c r="B11" s="32"/>
      <c r="C11" s="20"/>
      <c r="D11" s="24"/>
      <c r="E11" s="25"/>
      <c r="F11" s="32"/>
      <c r="G11" s="20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5"/>
      <c r="AF11" s="33"/>
      <c r="AG11" s="33"/>
      <c r="AH11" s="33"/>
      <c r="AI11" s="33"/>
      <c r="AJ11" s="33"/>
      <c r="AK11" s="33"/>
    </row>
    <row r="12" spans="1:43" ht="15.75">
      <c r="A12" s="33"/>
      <c r="B12" s="32"/>
      <c r="C12" s="21"/>
      <c r="D12" s="82"/>
      <c r="E12" s="40"/>
      <c r="F12" s="32"/>
      <c r="G12" s="21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7"/>
      <c r="AF12" s="33"/>
      <c r="AG12" s="33"/>
      <c r="AH12" s="33"/>
      <c r="AI12" s="33"/>
      <c r="AJ12" s="33"/>
      <c r="AK12" s="33"/>
    </row>
    <row r="13" spans="1:43" ht="7.5" customHeight="1">
      <c r="A13" s="33"/>
      <c r="B13" s="32"/>
      <c r="C13" s="21"/>
      <c r="D13" s="26"/>
      <c r="E13" s="27"/>
      <c r="F13" s="32"/>
      <c r="G13" s="21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7"/>
      <c r="AF13" s="33"/>
      <c r="AG13" s="33"/>
      <c r="AH13" s="33"/>
      <c r="AI13" s="33"/>
      <c r="AJ13" s="33"/>
      <c r="AK13" s="33"/>
    </row>
    <row r="14" spans="1:43">
      <c r="A14" s="33"/>
      <c r="B14" s="32"/>
      <c r="C14" s="21"/>
      <c r="D14" s="26"/>
      <c r="E14" s="27"/>
      <c r="F14" s="32"/>
      <c r="G14" s="21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7"/>
      <c r="AF14" s="33"/>
      <c r="AG14" s="33"/>
      <c r="AH14" s="33"/>
      <c r="AI14" s="33"/>
      <c r="AJ14" s="33"/>
      <c r="AK14" s="33"/>
    </row>
    <row r="15" spans="1:43" ht="7.5" customHeight="1">
      <c r="A15" s="33"/>
      <c r="B15" s="32"/>
      <c r="C15" s="21"/>
      <c r="D15" s="26"/>
      <c r="E15" s="27"/>
      <c r="F15" s="32"/>
      <c r="G15" s="21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7"/>
      <c r="AF15" s="33"/>
      <c r="AG15" s="33"/>
      <c r="AH15" s="33"/>
      <c r="AI15" s="33"/>
      <c r="AJ15" s="33"/>
      <c r="AK15" s="33"/>
    </row>
    <row r="16" spans="1:43">
      <c r="A16" s="33"/>
      <c r="B16" s="32"/>
      <c r="C16" s="21"/>
      <c r="D16" s="26"/>
      <c r="E16" s="27"/>
      <c r="F16" s="32"/>
      <c r="G16" s="21"/>
      <c r="H16" s="26"/>
      <c r="I16" s="26"/>
      <c r="J16" s="26"/>
      <c r="K16" s="26"/>
      <c r="L16" s="26"/>
      <c r="M16" s="26"/>
      <c r="N16" s="26"/>
      <c r="O16" s="26"/>
      <c r="P16" s="6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7"/>
      <c r="AF16" s="33"/>
      <c r="AG16" s="33"/>
      <c r="AH16" s="33"/>
      <c r="AI16" s="33"/>
      <c r="AJ16" s="33"/>
      <c r="AK16" s="33"/>
    </row>
    <row r="17" spans="1:37" ht="7.5" customHeight="1">
      <c r="A17" s="33"/>
      <c r="B17" s="32"/>
      <c r="C17" s="21"/>
      <c r="D17" s="26"/>
      <c r="E17" s="27"/>
      <c r="F17" s="32"/>
      <c r="G17" s="21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7"/>
      <c r="AF17" s="33"/>
      <c r="AG17" s="33"/>
      <c r="AH17" s="33"/>
      <c r="AI17" s="33"/>
      <c r="AJ17" s="33"/>
      <c r="AK17" s="33"/>
    </row>
    <row r="18" spans="1:37">
      <c r="A18" s="33"/>
      <c r="B18" s="32"/>
      <c r="C18" s="21"/>
      <c r="D18" s="26"/>
      <c r="E18" s="27"/>
      <c r="F18" s="32"/>
      <c r="G18" s="21"/>
      <c r="H18" s="26"/>
      <c r="I18" s="26"/>
      <c r="J18" s="26"/>
      <c r="K18" s="26"/>
      <c r="L18" s="26"/>
      <c r="M18" s="26"/>
      <c r="N18" s="26"/>
      <c r="O18" s="26"/>
      <c r="P18" s="6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7"/>
      <c r="AF18" s="33"/>
      <c r="AG18" s="33"/>
      <c r="AH18" s="33"/>
      <c r="AI18" s="33"/>
      <c r="AJ18" s="33"/>
      <c r="AK18" s="33"/>
    </row>
    <row r="19" spans="1:37" ht="7.5" customHeight="1">
      <c r="A19" s="33"/>
      <c r="B19" s="32"/>
      <c r="C19" s="21"/>
      <c r="D19" s="26"/>
      <c r="E19" s="27"/>
      <c r="F19" s="32"/>
      <c r="G19" s="21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7"/>
      <c r="AF19" s="33"/>
      <c r="AG19" s="33"/>
      <c r="AH19" s="33"/>
      <c r="AI19" s="33"/>
      <c r="AJ19" s="33"/>
      <c r="AK19" s="33"/>
    </row>
    <row r="20" spans="1:37" ht="15.75">
      <c r="A20" s="31"/>
      <c r="B20" s="32"/>
      <c r="C20" s="21"/>
      <c r="D20" s="26"/>
      <c r="E20" s="27"/>
      <c r="F20" s="32"/>
      <c r="G20" s="21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7"/>
      <c r="AF20" s="33"/>
      <c r="AG20" s="33"/>
      <c r="AH20" s="33"/>
      <c r="AI20" s="33"/>
      <c r="AJ20" s="33"/>
      <c r="AK20" s="33"/>
    </row>
    <row r="21" spans="1:37" ht="7.5" customHeight="1">
      <c r="A21" s="33"/>
      <c r="B21" s="32"/>
      <c r="C21" s="21"/>
      <c r="D21" s="26"/>
      <c r="E21" s="27"/>
      <c r="F21" s="32"/>
      <c r="G21" s="21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7"/>
      <c r="AF21" s="33"/>
      <c r="AG21" s="33"/>
      <c r="AH21" s="33"/>
      <c r="AI21" s="33"/>
      <c r="AJ21" s="33"/>
      <c r="AK21" s="33"/>
    </row>
    <row r="22" spans="1:37">
      <c r="A22" s="33"/>
      <c r="B22" s="32"/>
      <c r="C22" s="21"/>
      <c r="D22" s="26"/>
      <c r="E22" s="27"/>
      <c r="F22" s="32"/>
      <c r="G22" s="21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7"/>
      <c r="AF22" s="33"/>
      <c r="AG22" s="33"/>
      <c r="AH22" s="33"/>
      <c r="AI22" s="33"/>
      <c r="AJ22" s="33"/>
      <c r="AK22" s="33"/>
    </row>
    <row r="23" spans="1:37" ht="7.5" customHeight="1">
      <c r="A23" s="33"/>
      <c r="B23" s="32"/>
      <c r="C23" s="21"/>
      <c r="D23" s="26"/>
      <c r="E23" s="27"/>
      <c r="F23" s="32"/>
      <c r="G23" s="21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7"/>
      <c r="AF23" s="33"/>
      <c r="AG23" s="33"/>
      <c r="AH23" s="33"/>
      <c r="AI23" s="33"/>
      <c r="AJ23" s="33"/>
      <c r="AK23" s="33"/>
    </row>
    <row r="24" spans="1:37">
      <c r="A24" s="33"/>
      <c r="B24" s="32"/>
      <c r="C24" s="19"/>
      <c r="D24" s="28"/>
      <c r="E24" s="29"/>
      <c r="F24" s="32"/>
      <c r="G24" s="19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9"/>
      <c r="AF24" s="33"/>
      <c r="AG24" s="33"/>
      <c r="AH24" s="33"/>
      <c r="AI24" s="33"/>
      <c r="AJ24" s="33"/>
      <c r="AK24" s="33"/>
    </row>
    <row r="25" spans="1:37" ht="7.5" customHeight="1">
      <c r="A25" s="33"/>
      <c r="B25" s="32"/>
      <c r="C25" s="33"/>
      <c r="D25" s="33"/>
      <c r="E25" s="33"/>
      <c r="F25" s="32"/>
      <c r="G25" s="33"/>
      <c r="H25" s="32"/>
      <c r="I25" s="33"/>
      <c r="J25" s="35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33"/>
      <c r="AG25" s="33"/>
      <c r="AH25" s="33"/>
    </row>
    <row r="26" spans="1:37" ht="15.75" customHeight="1">
      <c r="A26" s="33"/>
      <c r="B26" s="32"/>
      <c r="C26" s="107" t="s">
        <v>3</v>
      </c>
      <c r="D26" s="107"/>
      <c r="E26" s="107"/>
      <c r="F26" s="107"/>
      <c r="G26" s="33"/>
      <c r="H26" s="32"/>
      <c r="I26" s="33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3"/>
      <c r="AG26" s="33"/>
      <c r="AH26" s="33"/>
    </row>
    <row r="27" spans="1:37" ht="7.5" customHeight="1">
      <c r="A27" s="33"/>
      <c r="B27" s="32"/>
      <c r="C27" s="108"/>
      <c r="D27" s="108"/>
      <c r="E27" s="108"/>
      <c r="F27" s="102"/>
      <c r="G27" s="33"/>
      <c r="H27" s="32"/>
      <c r="I27" s="33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7"/>
      <c r="AG27" s="17"/>
      <c r="AH27" s="17"/>
    </row>
    <row r="28" spans="1:37" ht="16.5" thickBot="1">
      <c r="A28" s="33"/>
      <c r="B28" s="32"/>
      <c r="C28" s="18" t="s">
        <v>92</v>
      </c>
      <c r="D28" s="22"/>
      <c r="E28" s="41"/>
      <c r="F28" s="81"/>
      <c r="G28" s="18" t="s">
        <v>94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31"/>
      <c r="AG28" s="31"/>
      <c r="AH28" s="31"/>
    </row>
    <row r="29" spans="1:37" ht="7.5" customHeight="1">
      <c r="A29" s="33"/>
      <c r="B29" s="32"/>
      <c r="C29" s="20"/>
      <c r="D29" s="24"/>
      <c r="E29" s="24"/>
      <c r="F29" s="81"/>
      <c r="G29" s="20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33"/>
      <c r="AG29" s="33"/>
      <c r="AH29" s="33"/>
    </row>
    <row r="30" spans="1:37" ht="15.75">
      <c r="A30" s="33"/>
      <c r="B30" s="32"/>
      <c r="C30" s="21"/>
      <c r="D30" s="82"/>
      <c r="E30" s="82"/>
      <c r="F30" s="81"/>
      <c r="G30" s="21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7"/>
      <c r="AF30" s="33"/>
      <c r="AG30" s="33"/>
      <c r="AH30" s="33"/>
    </row>
    <row r="31" spans="1:37" ht="7.5" customHeight="1">
      <c r="A31" s="33"/>
      <c r="B31" s="32"/>
      <c r="C31" s="21"/>
      <c r="D31" s="26"/>
      <c r="E31" s="26"/>
      <c r="F31" s="81"/>
      <c r="G31" s="21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7"/>
      <c r="AF31" s="33"/>
      <c r="AG31" s="33"/>
      <c r="AH31" s="33"/>
    </row>
    <row r="32" spans="1:37" ht="15.75">
      <c r="A32" s="31"/>
      <c r="B32" s="32"/>
      <c r="C32" s="21"/>
      <c r="D32" s="26"/>
      <c r="E32" s="26"/>
      <c r="F32" s="81"/>
      <c r="G32" s="21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7"/>
      <c r="AF32" s="33"/>
      <c r="AG32" s="33"/>
      <c r="AH32" s="33"/>
    </row>
    <row r="33" spans="1:34" ht="7.5" customHeight="1">
      <c r="A33" s="33"/>
      <c r="B33" s="32"/>
      <c r="C33" s="21"/>
      <c r="D33" s="26"/>
      <c r="E33" s="26"/>
      <c r="F33" s="81"/>
      <c r="G33" s="21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7"/>
      <c r="AF33" s="33"/>
      <c r="AG33" s="33"/>
      <c r="AH33" s="33"/>
    </row>
    <row r="34" spans="1:34">
      <c r="A34" s="33"/>
      <c r="B34" s="32"/>
      <c r="C34" s="21"/>
      <c r="D34" s="26"/>
      <c r="E34" s="26"/>
      <c r="F34" s="81"/>
      <c r="G34" s="21"/>
      <c r="H34" s="26"/>
      <c r="I34" s="26"/>
      <c r="J34" s="26"/>
      <c r="K34" s="26"/>
      <c r="L34" s="26"/>
      <c r="M34" s="26"/>
      <c r="N34" s="26"/>
      <c r="O34" s="26"/>
      <c r="P34" s="6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7"/>
      <c r="AF34" s="33"/>
      <c r="AG34" s="33"/>
      <c r="AH34" s="33"/>
    </row>
    <row r="35" spans="1:34" ht="7.5" customHeight="1">
      <c r="A35" s="33"/>
      <c r="B35" s="32"/>
      <c r="C35" s="21"/>
      <c r="D35" s="26"/>
      <c r="E35" s="26"/>
      <c r="F35" s="81"/>
      <c r="G35" s="21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7"/>
      <c r="AF35" s="33"/>
      <c r="AG35" s="33"/>
      <c r="AH35" s="33"/>
    </row>
    <row r="36" spans="1:34">
      <c r="A36" s="33"/>
      <c r="B36" s="32"/>
      <c r="C36" s="21"/>
      <c r="D36" s="26"/>
      <c r="E36" s="26"/>
      <c r="F36" s="81"/>
      <c r="G36" s="21"/>
      <c r="H36" s="26"/>
      <c r="I36" s="26"/>
      <c r="J36" s="26"/>
      <c r="K36" s="26"/>
      <c r="L36" s="26"/>
      <c r="M36" s="26"/>
      <c r="N36" s="26"/>
      <c r="O36" s="26"/>
      <c r="P36" s="6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7"/>
      <c r="AF36" s="33"/>
      <c r="AG36" s="33"/>
      <c r="AH36" s="33"/>
    </row>
    <row r="37" spans="1:34" ht="7.5" customHeight="1">
      <c r="A37" s="33"/>
      <c r="B37" s="32"/>
      <c r="C37" s="21"/>
      <c r="D37" s="26"/>
      <c r="E37" s="26"/>
      <c r="F37" s="81"/>
      <c r="G37" s="21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33"/>
      <c r="AG37" s="33"/>
      <c r="AH37" s="33"/>
    </row>
    <row r="38" spans="1:34">
      <c r="A38" s="33"/>
      <c r="B38" s="32"/>
      <c r="C38" s="21"/>
      <c r="D38" s="26"/>
      <c r="E38" s="26"/>
      <c r="F38" s="81"/>
      <c r="G38" s="21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7"/>
      <c r="AF38" s="33"/>
      <c r="AG38" s="33"/>
      <c r="AH38" s="33"/>
    </row>
    <row r="39" spans="1:34" ht="7.5" customHeight="1">
      <c r="A39" s="33"/>
      <c r="B39" s="32"/>
      <c r="C39" s="21"/>
      <c r="D39" s="26"/>
      <c r="E39" s="26"/>
      <c r="F39" s="81"/>
      <c r="G39" s="21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7"/>
      <c r="AF39" s="33"/>
      <c r="AG39" s="33"/>
      <c r="AH39" s="33"/>
    </row>
    <row r="40" spans="1:34">
      <c r="A40" s="33"/>
      <c r="B40" s="32"/>
      <c r="C40" s="21"/>
      <c r="D40" s="26"/>
      <c r="E40" s="26"/>
      <c r="F40" s="81"/>
      <c r="G40" s="21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7"/>
      <c r="AF40" s="33"/>
      <c r="AG40" s="33"/>
      <c r="AH40" s="33"/>
    </row>
    <row r="41" spans="1:34" ht="7.5" customHeight="1">
      <c r="A41" s="33"/>
      <c r="B41" s="32"/>
      <c r="C41" s="21"/>
      <c r="D41" s="26"/>
      <c r="E41" s="26"/>
      <c r="F41" s="81"/>
      <c r="G41" s="21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7"/>
      <c r="AF41" s="33"/>
      <c r="AG41" s="33"/>
      <c r="AH41" s="33"/>
    </row>
    <row r="42" spans="1:34">
      <c r="A42" s="33"/>
      <c r="B42" s="32"/>
      <c r="C42" s="19"/>
      <c r="D42" s="28"/>
      <c r="E42" s="28"/>
      <c r="F42" s="81"/>
      <c r="G42" s="19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9"/>
      <c r="AF42" s="33"/>
      <c r="AG42" s="33"/>
      <c r="AH42" s="33"/>
    </row>
    <row r="43" spans="1:34" ht="7.5" customHeight="1">
      <c r="A43" s="33"/>
      <c r="B43" s="32"/>
      <c r="C43" s="33"/>
      <c r="D43" s="33"/>
      <c r="E43" s="33"/>
      <c r="F43" s="32"/>
      <c r="G43" s="33"/>
      <c r="H43" s="32"/>
      <c r="I43" s="33"/>
      <c r="J43" s="35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33"/>
      <c r="AG43" s="33"/>
      <c r="AH43" s="33"/>
    </row>
    <row r="44" spans="1:34" ht="15.75" customHeight="1">
      <c r="A44" s="31"/>
      <c r="B44" s="32"/>
      <c r="C44" s="107" t="s">
        <v>95</v>
      </c>
      <c r="D44" s="107"/>
      <c r="E44" s="107"/>
      <c r="F44" s="107"/>
      <c r="G44" s="33"/>
      <c r="H44" s="32"/>
      <c r="I44" s="33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3"/>
      <c r="AG44" s="33"/>
      <c r="AH44" s="33"/>
    </row>
    <row r="45" spans="1:34" ht="7.5" customHeight="1">
      <c r="A45" s="33"/>
      <c r="B45" s="32"/>
      <c r="C45" s="108"/>
      <c r="D45" s="108"/>
      <c r="E45" s="108"/>
      <c r="F45" s="102"/>
      <c r="G45" s="33"/>
      <c r="H45" s="32"/>
      <c r="I45" s="33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17"/>
      <c r="AG45" s="33"/>
      <c r="AH45" s="33"/>
    </row>
    <row r="46" spans="1:34" ht="16.5" thickBot="1">
      <c r="A46" s="33"/>
      <c r="B46" s="32"/>
      <c r="C46" s="18" t="s">
        <v>92</v>
      </c>
      <c r="D46" s="22"/>
      <c r="E46" s="41"/>
      <c r="F46" s="80"/>
      <c r="G46" s="18" t="s">
        <v>94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3"/>
      <c r="AF46" s="31"/>
      <c r="AG46" s="33"/>
      <c r="AH46" s="33"/>
    </row>
    <row r="47" spans="1:34" ht="7.5" customHeight="1">
      <c r="A47" s="33"/>
      <c r="B47" s="32"/>
      <c r="C47" s="20"/>
      <c r="D47" s="24"/>
      <c r="E47" s="24"/>
      <c r="F47" s="80"/>
      <c r="G47" s="20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5"/>
      <c r="AF47" s="33"/>
      <c r="AG47" s="17"/>
      <c r="AH47" s="17"/>
    </row>
    <row r="48" spans="1:34" ht="15.75">
      <c r="A48" s="33"/>
      <c r="B48" s="32"/>
      <c r="C48" s="21"/>
      <c r="D48" s="82"/>
      <c r="E48" s="82"/>
      <c r="F48" s="80"/>
      <c r="G48" s="21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33"/>
      <c r="AG48" s="31"/>
      <c r="AH48" s="31"/>
    </row>
    <row r="49" spans="1:34" ht="7.5" customHeight="1">
      <c r="A49" s="33"/>
      <c r="B49" s="32"/>
      <c r="C49" s="21"/>
      <c r="D49" s="26"/>
      <c r="E49" s="26"/>
      <c r="F49" s="80"/>
      <c r="G49" s="21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33"/>
      <c r="AG49" s="33"/>
      <c r="AH49" s="33"/>
    </row>
    <row r="50" spans="1:34">
      <c r="A50" s="33"/>
      <c r="B50" s="32"/>
      <c r="C50" s="21"/>
      <c r="D50" s="26"/>
      <c r="E50" s="26"/>
      <c r="F50" s="80"/>
      <c r="G50" s="21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33"/>
      <c r="AG50" s="33"/>
      <c r="AH50" s="33"/>
    </row>
    <row r="51" spans="1:34" ht="7.5" customHeight="1">
      <c r="A51" s="33"/>
      <c r="B51" s="32"/>
      <c r="C51" s="21"/>
      <c r="D51" s="26"/>
      <c r="E51" s="26"/>
      <c r="F51" s="80"/>
      <c r="G51" s="21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33"/>
      <c r="AG51" s="33"/>
      <c r="AH51" s="33"/>
    </row>
    <row r="52" spans="1:34">
      <c r="A52" s="33"/>
      <c r="B52" s="32"/>
      <c r="C52" s="21"/>
      <c r="D52" s="26"/>
      <c r="E52" s="26"/>
      <c r="F52" s="80"/>
      <c r="G52" s="21"/>
      <c r="H52" s="26"/>
      <c r="I52" s="26"/>
      <c r="J52" s="26"/>
      <c r="K52" s="26"/>
      <c r="L52" s="26"/>
      <c r="M52" s="26"/>
      <c r="N52" s="26"/>
      <c r="O52" s="26"/>
      <c r="P52" s="6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7"/>
      <c r="AF52" s="33"/>
      <c r="AG52" s="33"/>
      <c r="AH52" s="33"/>
    </row>
    <row r="53" spans="1:34" ht="7.5" customHeight="1">
      <c r="A53" s="33"/>
      <c r="B53" s="32"/>
      <c r="C53" s="21"/>
      <c r="D53" s="26"/>
      <c r="E53" s="26"/>
      <c r="F53" s="80"/>
      <c r="G53" s="21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33"/>
      <c r="AG53" s="33"/>
      <c r="AH53" s="33"/>
    </row>
    <row r="54" spans="1:34">
      <c r="A54" s="33"/>
      <c r="B54" s="32"/>
      <c r="C54" s="21"/>
      <c r="D54" s="26"/>
      <c r="E54" s="26"/>
      <c r="F54" s="80"/>
      <c r="G54" s="21"/>
      <c r="H54" s="26"/>
      <c r="I54" s="26"/>
      <c r="J54" s="26"/>
      <c r="K54" s="26"/>
      <c r="L54" s="26"/>
      <c r="M54" s="26"/>
      <c r="N54" s="26"/>
      <c r="O54" s="26"/>
      <c r="P54" s="6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7"/>
      <c r="AF54" s="33"/>
      <c r="AG54" s="33"/>
      <c r="AH54" s="33"/>
    </row>
    <row r="55" spans="1:34" ht="7.5" customHeight="1">
      <c r="A55" s="33"/>
      <c r="B55" s="32"/>
      <c r="C55" s="21"/>
      <c r="D55" s="26"/>
      <c r="E55" s="26"/>
      <c r="F55" s="80"/>
      <c r="G55" s="21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33"/>
      <c r="AG55" s="33"/>
      <c r="AH55" s="33"/>
    </row>
    <row r="56" spans="1:34" ht="15.75">
      <c r="A56" s="31"/>
      <c r="B56" s="32"/>
      <c r="C56" s="21"/>
      <c r="D56" s="26"/>
      <c r="E56" s="26"/>
      <c r="F56" s="80"/>
      <c r="G56" s="21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7"/>
      <c r="AF56" s="33"/>
      <c r="AG56" s="33"/>
      <c r="AH56" s="33"/>
    </row>
    <row r="57" spans="1:34" ht="7.5" customHeight="1">
      <c r="A57" s="33"/>
      <c r="B57" s="32"/>
      <c r="C57" s="21"/>
      <c r="D57" s="26"/>
      <c r="E57" s="26"/>
      <c r="F57" s="80"/>
      <c r="G57" s="21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33"/>
      <c r="AG57" s="33"/>
      <c r="AH57" s="33"/>
    </row>
    <row r="58" spans="1:34">
      <c r="A58" s="33"/>
      <c r="B58" s="32"/>
      <c r="C58" s="21"/>
      <c r="D58" s="26"/>
      <c r="E58" s="26"/>
      <c r="F58" s="80"/>
      <c r="G58" s="21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7"/>
      <c r="AF58" s="33"/>
      <c r="AG58" s="33"/>
      <c r="AH58" s="33"/>
    </row>
    <row r="59" spans="1:34" ht="7.5" customHeight="1">
      <c r="A59" s="33"/>
      <c r="B59" s="32"/>
      <c r="C59" s="21"/>
      <c r="D59" s="26"/>
      <c r="E59" s="26"/>
      <c r="F59" s="80"/>
      <c r="G59" s="21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33"/>
      <c r="AG59" s="33"/>
      <c r="AH59" s="33"/>
    </row>
    <row r="60" spans="1:34">
      <c r="A60" s="33"/>
      <c r="B60" s="32"/>
      <c r="C60" s="19"/>
      <c r="D60" s="28"/>
      <c r="E60" s="28"/>
      <c r="F60" s="80"/>
      <c r="G60" s="19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9"/>
      <c r="AF60" s="33"/>
      <c r="AG60" s="33"/>
      <c r="AH60" s="33"/>
    </row>
    <row r="61" spans="1:34" ht="7.5" customHeight="1">
      <c r="A61" s="33"/>
      <c r="B61" s="32"/>
      <c r="C61" s="33"/>
      <c r="D61" s="33"/>
      <c r="E61" s="33"/>
      <c r="F61" s="32"/>
      <c r="G61" s="33"/>
      <c r="H61" s="32"/>
      <c r="I61" s="33"/>
      <c r="J61" s="35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33"/>
      <c r="AG61" s="33"/>
      <c r="AH61" s="33"/>
    </row>
    <row r="62" spans="1:34" ht="15.75" customHeight="1">
      <c r="A62" s="33"/>
      <c r="C62" s="107" t="s">
        <v>10</v>
      </c>
      <c r="D62" s="107"/>
      <c r="E62" s="107"/>
      <c r="F62" s="107"/>
      <c r="G62" s="33"/>
      <c r="H62" s="32"/>
      <c r="I62" s="33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3"/>
      <c r="AG62" s="33"/>
      <c r="AH62" s="33"/>
    </row>
    <row r="63" spans="1:34" ht="7.5" customHeight="1">
      <c r="A63" s="33"/>
      <c r="C63" s="108"/>
      <c r="D63" s="108"/>
      <c r="E63" s="108"/>
      <c r="F63" s="102"/>
      <c r="G63" s="33"/>
      <c r="H63" s="32"/>
      <c r="I63" s="33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33"/>
      <c r="AG63" s="33"/>
      <c r="AH63" s="33"/>
    </row>
    <row r="64" spans="1:34" ht="16.5" thickBot="1">
      <c r="A64" s="33"/>
      <c r="C64" s="18" t="s">
        <v>92</v>
      </c>
      <c r="D64" s="22"/>
      <c r="E64" s="41"/>
      <c r="F64" s="80"/>
      <c r="G64" s="18" t="s">
        <v>94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3"/>
      <c r="AB64" s="37"/>
      <c r="AC64" s="18" t="s">
        <v>12</v>
      </c>
      <c r="AD64" s="22"/>
      <c r="AE64" s="23"/>
      <c r="AF64" s="33"/>
      <c r="AG64" s="33"/>
      <c r="AH64" s="33"/>
    </row>
    <row r="65" spans="1:34" ht="7.5" customHeight="1">
      <c r="A65" s="33"/>
      <c r="C65" s="20"/>
      <c r="D65" s="24"/>
      <c r="E65" s="24"/>
      <c r="F65" s="80"/>
      <c r="G65" s="20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5"/>
      <c r="AB65" s="38"/>
      <c r="AC65" s="20"/>
      <c r="AD65" s="24"/>
      <c r="AE65" s="25"/>
      <c r="AF65" s="33"/>
      <c r="AG65" s="33"/>
      <c r="AH65" s="33"/>
    </row>
    <row r="66" spans="1:34" ht="15.75">
      <c r="A66" s="33"/>
      <c r="C66" s="21"/>
      <c r="D66" s="82"/>
      <c r="E66" s="82"/>
      <c r="F66" s="80"/>
      <c r="G66" s="21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7"/>
      <c r="AB66" s="38"/>
      <c r="AC66" s="109" t="str">
        <f>TEXT(Data!BQ2,"0.00")&amp; " Weeks"</f>
        <v>15.50 Weeks</v>
      </c>
      <c r="AD66" s="110"/>
      <c r="AE66" s="111"/>
      <c r="AF66" s="33"/>
      <c r="AG66" s="33"/>
      <c r="AH66" s="33"/>
    </row>
    <row r="67" spans="1:34" ht="7.5" customHeight="1">
      <c r="A67" s="33"/>
      <c r="C67" s="21"/>
      <c r="D67" s="26"/>
      <c r="E67" s="26"/>
      <c r="F67" s="80"/>
      <c r="G67" s="21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7"/>
      <c r="AB67" s="38"/>
      <c r="AC67" s="109"/>
      <c r="AD67" s="110"/>
      <c r="AE67" s="111"/>
      <c r="AF67" s="17"/>
      <c r="AG67" s="17"/>
      <c r="AH67" s="17"/>
    </row>
    <row r="68" spans="1:34" ht="15.75">
      <c r="A68" s="33"/>
      <c r="C68" s="21"/>
      <c r="D68" s="26"/>
      <c r="E68" s="26"/>
      <c r="F68" s="80"/>
      <c r="G68" s="21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7"/>
      <c r="AB68" s="38"/>
      <c r="AC68" s="109"/>
      <c r="AD68" s="110"/>
      <c r="AE68" s="111"/>
      <c r="AF68" s="31"/>
      <c r="AG68" s="31"/>
      <c r="AH68" s="31"/>
    </row>
    <row r="69" spans="1:34" ht="7.5" customHeight="1">
      <c r="A69" s="33"/>
      <c r="C69" s="21"/>
      <c r="D69" s="26"/>
      <c r="E69" s="26"/>
      <c r="F69" s="80"/>
      <c r="G69" s="21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7"/>
      <c r="AB69" s="38"/>
      <c r="AC69" s="21"/>
      <c r="AD69" s="26"/>
      <c r="AE69" s="27"/>
      <c r="AF69" s="33"/>
      <c r="AG69" s="33"/>
      <c r="AH69" s="33"/>
    </row>
    <row r="70" spans="1:34">
      <c r="A70" s="33"/>
      <c r="C70" s="21"/>
      <c r="D70" s="26"/>
      <c r="E70" s="26"/>
      <c r="F70" s="80"/>
      <c r="G70" s="21"/>
      <c r="H70" s="26"/>
      <c r="I70" s="26"/>
      <c r="J70" s="26"/>
      <c r="K70" s="26"/>
      <c r="L70" s="26"/>
      <c r="M70" s="26"/>
      <c r="N70" s="26"/>
      <c r="O70" s="26"/>
      <c r="P70" s="6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7"/>
      <c r="AB70" s="38"/>
      <c r="AC70" s="21"/>
      <c r="AD70" s="26"/>
      <c r="AE70" s="27"/>
      <c r="AF70" s="33"/>
      <c r="AG70" s="33"/>
      <c r="AH70" s="33"/>
    </row>
    <row r="71" spans="1:34" ht="7.5" customHeight="1">
      <c r="A71" s="33"/>
      <c r="C71" s="21"/>
      <c r="D71" s="26"/>
      <c r="E71" s="26"/>
      <c r="F71" s="80"/>
      <c r="G71" s="21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7"/>
      <c r="AB71" s="38"/>
      <c r="AC71" s="21"/>
      <c r="AD71" s="26"/>
      <c r="AE71" s="27"/>
      <c r="AF71" s="33"/>
      <c r="AG71" s="33"/>
      <c r="AH71" s="33"/>
    </row>
    <row r="72" spans="1:34">
      <c r="A72" s="33"/>
      <c r="C72" s="21"/>
      <c r="D72" s="26"/>
      <c r="E72" s="26"/>
      <c r="F72" s="80"/>
      <c r="G72" s="21"/>
      <c r="H72" s="26"/>
      <c r="I72" s="26"/>
      <c r="J72" s="26"/>
      <c r="K72" s="26"/>
      <c r="L72" s="26"/>
      <c r="M72" s="26"/>
      <c r="N72" s="26"/>
      <c r="O72" s="26"/>
      <c r="P72" s="6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7"/>
      <c r="AB72" s="38"/>
      <c r="AC72" s="21"/>
      <c r="AD72" s="26"/>
      <c r="AE72" s="27"/>
      <c r="AF72" s="33"/>
      <c r="AG72" s="33"/>
      <c r="AH72" s="33"/>
    </row>
    <row r="73" spans="1:34" ht="7.5" customHeight="1">
      <c r="A73" s="33"/>
      <c r="C73" s="21"/>
      <c r="D73" s="26"/>
      <c r="E73" s="26"/>
      <c r="F73" s="80"/>
      <c r="G73" s="21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7"/>
      <c r="AB73" s="38"/>
      <c r="AC73" s="21"/>
      <c r="AD73" s="26"/>
      <c r="AE73" s="27"/>
      <c r="AF73" s="33"/>
      <c r="AG73" s="33"/>
      <c r="AH73" s="33"/>
    </row>
    <row r="74" spans="1:34">
      <c r="A74" s="33"/>
      <c r="C74" s="21"/>
      <c r="D74" s="26"/>
      <c r="E74" s="26"/>
      <c r="F74" s="80"/>
      <c r="G74" s="21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7"/>
      <c r="AB74" s="38"/>
      <c r="AC74" s="21"/>
      <c r="AD74" s="26"/>
      <c r="AE74" s="27"/>
      <c r="AF74" s="33"/>
      <c r="AG74" s="33"/>
      <c r="AH74" s="33"/>
    </row>
    <row r="75" spans="1:34" ht="7.5" customHeight="1">
      <c r="A75" s="33"/>
      <c r="C75" s="21"/>
      <c r="D75" s="26"/>
      <c r="E75" s="26"/>
      <c r="F75" s="80"/>
      <c r="G75" s="21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7"/>
      <c r="AB75" s="38"/>
      <c r="AC75" s="21"/>
      <c r="AD75" s="26"/>
      <c r="AE75" s="27"/>
      <c r="AF75" s="33"/>
      <c r="AG75" s="33"/>
      <c r="AH75" s="33"/>
    </row>
    <row r="76" spans="1:34">
      <c r="A76" s="33"/>
      <c r="C76" s="21"/>
      <c r="D76" s="26"/>
      <c r="E76" s="26"/>
      <c r="F76" s="80"/>
      <c r="G76" s="21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7"/>
      <c r="AB76" s="38"/>
      <c r="AC76" s="21"/>
      <c r="AD76" s="26"/>
      <c r="AE76" s="27"/>
      <c r="AF76" s="33"/>
      <c r="AG76" s="33"/>
      <c r="AH76" s="33"/>
    </row>
    <row r="77" spans="1:34" ht="7.5" customHeight="1">
      <c r="A77" s="33"/>
      <c r="C77" s="21"/>
      <c r="D77" s="26"/>
      <c r="E77" s="26"/>
      <c r="F77" s="80"/>
      <c r="G77" s="21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7"/>
      <c r="AB77" s="38"/>
      <c r="AC77" s="21"/>
      <c r="AD77" s="26"/>
      <c r="AE77" s="27"/>
      <c r="AF77" s="33"/>
      <c r="AG77" s="33"/>
      <c r="AH77" s="33"/>
    </row>
    <row r="78" spans="1:34">
      <c r="A78" s="33"/>
      <c r="C78" s="19"/>
      <c r="D78" s="28"/>
      <c r="E78" s="28"/>
      <c r="F78" s="80"/>
      <c r="G78" s="19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9"/>
      <c r="AB78" s="38"/>
      <c r="AC78" s="19"/>
      <c r="AD78" s="28"/>
      <c r="AE78" s="29"/>
      <c r="AF78" s="33"/>
      <c r="AG78" s="33"/>
      <c r="AH78" s="33"/>
    </row>
    <row r="79" spans="1:34" ht="7.5" customHeight="1">
      <c r="A79" s="33"/>
      <c r="C79" s="33"/>
      <c r="D79" s="33"/>
      <c r="E79" s="33"/>
      <c r="F79" s="32"/>
      <c r="G79" s="33"/>
      <c r="H79" s="35"/>
      <c r="I79" s="33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33"/>
      <c r="AG79" s="33"/>
      <c r="AH79" s="33"/>
    </row>
    <row r="80" spans="1:34" ht="15.75" customHeight="1">
      <c r="A80" s="33"/>
      <c r="B80" s="35"/>
      <c r="C80" s="33"/>
      <c r="D80" s="33"/>
      <c r="E80" s="33"/>
      <c r="F80" s="35"/>
      <c r="G80" s="33"/>
      <c r="H80" s="35"/>
      <c r="I80" s="33"/>
      <c r="J80" s="35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33"/>
      <c r="AG80" s="33"/>
      <c r="AH80" s="33"/>
    </row>
    <row r="81" spans="1:34" ht="7.5" customHeight="1">
      <c r="A81" s="33"/>
      <c r="B81" s="35"/>
      <c r="C81" s="33"/>
      <c r="D81" s="33"/>
      <c r="E81" s="33"/>
      <c r="F81" s="35"/>
      <c r="G81" s="33"/>
      <c r="H81" s="35"/>
      <c r="I81" s="33"/>
      <c r="J81" s="35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33"/>
      <c r="AG81" s="33"/>
      <c r="AH81" s="33"/>
    </row>
    <row r="82" spans="1:34">
      <c r="A82" s="33"/>
      <c r="B82" s="35"/>
      <c r="C82" s="33"/>
      <c r="D82" s="33"/>
      <c r="E82" s="33"/>
      <c r="F82" s="35"/>
      <c r="G82" s="33"/>
      <c r="H82" s="35"/>
      <c r="I82" s="33"/>
      <c r="J82" s="35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33"/>
      <c r="AG82" s="33"/>
      <c r="AH82" s="33"/>
    </row>
    <row r="83" spans="1:34" ht="7.5" customHeight="1">
      <c r="A83" s="33"/>
      <c r="B83" s="35"/>
      <c r="C83" s="33"/>
      <c r="D83" s="33"/>
      <c r="E83" s="33"/>
      <c r="F83" s="35"/>
      <c r="G83" s="33"/>
      <c r="H83" s="35"/>
      <c r="I83" s="33"/>
      <c r="J83" s="35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33"/>
      <c r="AG83" s="33"/>
      <c r="AH83" s="33"/>
    </row>
    <row r="84" spans="1:34">
      <c r="A84" s="33"/>
      <c r="B84" s="35"/>
      <c r="C84" s="33"/>
      <c r="D84" s="33"/>
      <c r="E84" s="33"/>
      <c r="F84" s="35"/>
      <c r="G84" s="33"/>
      <c r="H84" s="35"/>
      <c r="I84" s="33"/>
      <c r="J84" s="35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33"/>
      <c r="AG84" s="33"/>
      <c r="AH84" s="33"/>
    </row>
    <row r="85" spans="1:34" ht="7.5" customHeight="1">
      <c r="A85" s="33"/>
      <c r="B85" s="35"/>
      <c r="C85" s="33"/>
      <c r="D85" s="33"/>
      <c r="E85" s="33"/>
      <c r="F85" s="35"/>
      <c r="G85" s="33"/>
      <c r="H85" s="35"/>
      <c r="I85" s="33"/>
      <c r="J85" s="35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33"/>
      <c r="AG85" s="33"/>
      <c r="AH85" s="33"/>
    </row>
    <row r="86" spans="1:34">
      <c r="A86" s="33"/>
      <c r="B86" s="35"/>
      <c r="C86" s="33"/>
      <c r="D86" s="33"/>
      <c r="E86" s="33"/>
      <c r="F86" s="35"/>
      <c r="G86" s="33"/>
      <c r="H86" s="35"/>
      <c r="I86" s="33"/>
      <c r="J86" s="35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33"/>
      <c r="AG86" s="33"/>
      <c r="AH86" s="33"/>
    </row>
    <row r="87" spans="1:34" ht="7.5" customHeight="1">
      <c r="A87" s="33"/>
      <c r="B87" s="35"/>
      <c r="C87" s="33"/>
      <c r="D87" s="33"/>
      <c r="E87" s="33"/>
      <c r="F87" s="35"/>
      <c r="G87" s="33"/>
      <c r="H87" s="35"/>
      <c r="I87" s="33"/>
      <c r="J87" s="35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33"/>
      <c r="AG87" s="33"/>
      <c r="AH87" s="33"/>
    </row>
    <row r="88" spans="1:34">
      <c r="A88" s="33"/>
      <c r="B88" s="35"/>
      <c r="C88" s="33"/>
      <c r="D88" s="33"/>
      <c r="E88" s="33"/>
      <c r="F88" s="35"/>
      <c r="G88" s="33"/>
      <c r="H88" s="35"/>
      <c r="I88" s="33"/>
      <c r="J88" s="35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33"/>
      <c r="AG88" s="33"/>
      <c r="AH88" s="33"/>
    </row>
    <row r="89" spans="1:34" ht="7.5" customHeight="1">
      <c r="A89" s="33"/>
      <c r="B89" s="35"/>
      <c r="C89" s="33"/>
      <c r="D89" s="33"/>
      <c r="E89" s="33"/>
      <c r="F89" s="35"/>
      <c r="G89" s="33"/>
      <c r="H89" s="35"/>
      <c r="I89" s="33"/>
      <c r="J89" s="35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33"/>
      <c r="AG89" s="33"/>
      <c r="AH89" s="33"/>
    </row>
    <row r="90" spans="1:34">
      <c r="A90" s="33"/>
      <c r="B90" s="35"/>
      <c r="C90" s="33"/>
      <c r="D90" s="33"/>
      <c r="E90" s="33"/>
      <c r="F90" s="35"/>
      <c r="G90" s="33"/>
      <c r="H90" s="35"/>
      <c r="I90" s="33"/>
      <c r="J90" s="35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33"/>
      <c r="AG90" s="33"/>
      <c r="AH90" s="33"/>
    </row>
    <row r="91" spans="1:34" ht="7.5" customHeight="1">
      <c r="A91" s="33"/>
      <c r="B91" s="35"/>
      <c r="C91" s="33"/>
      <c r="D91" s="33"/>
      <c r="E91" s="33"/>
      <c r="F91" s="35"/>
      <c r="G91" s="33"/>
      <c r="H91" s="35"/>
      <c r="I91" s="33"/>
      <c r="J91" s="35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33"/>
      <c r="AG91" s="33"/>
      <c r="AH91" s="33"/>
    </row>
    <row r="92" spans="1:34">
      <c r="A92" s="33"/>
      <c r="B92" s="35"/>
      <c r="C92" s="33"/>
      <c r="D92" s="33"/>
      <c r="E92" s="33"/>
      <c r="F92" s="35"/>
      <c r="G92" s="33"/>
      <c r="H92" s="35"/>
      <c r="I92" s="33"/>
      <c r="J92" s="35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33"/>
      <c r="AG92" s="33"/>
      <c r="AH92" s="33"/>
    </row>
    <row r="93" spans="1:34" ht="7.5" customHeight="1">
      <c r="A93" s="33"/>
      <c r="B93" s="35"/>
      <c r="C93" s="33"/>
      <c r="D93" s="33"/>
      <c r="E93" s="33"/>
      <c r="F93" s="35"/>
      <c r="G93" s="33"/>
      <c r="H93" s="35"/>
      <c r="I93" s="33"/>
      <c r="J93" s="35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33"/>
      <c r="AG93" s="33"/>
      <c r="AH93" s="33"/>
    </row>
    <row r="94" spans="1:34">
      <c r="A94" s="33"/>
      <c r="B94" s="35"/>
      <c r="C94" s="33"/>
      <c r="D94" s="33"/>
      <c r="E94" s="33"/>
      <c r="F94" s="35"/>
      <c r="G94" s="33"/>
      <c r="H94" s="35"/>
      <c r="I94" s="33"/>
      <c r="J94" s="35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33"/>
      <c r="AG94" s="33"/>
      <c r="AH94" s="33"/>
    </row>
    <row r="95" spans="1:34" ht="7.5" customHeight="1">
      <c r="A95" s="33"/>
      <c r="B95" s="35"/>
      <c r="C95" s="33"/>
      <c r="D95" s="33"/>
      <c r="E95" s="33"/>
      <c r="F95" s="35"/>
      <c r="G95" s="33"/>
      <c r="H95" s="35"/>
      <c r="I95" s="33"/>
      <c r="J95" s="35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33"/>
      <c r="AG95" s="33"/>
      <c r="AH95" s="33"/>
    </row>
    <row r="96" spans="1:34">
      <c r="A96" s="33"/>
      <c r="B96" s="35"/>
      <c r="C96" s="33"/>
      <c r="D96" s="33"/>
      <c r="E96" s="33"/>
      <c r="F96" s="35"/>
      <c r="G96" s="33"/>
      <c r="H96" s="35"/>
      <c r="I96" s="33"/>
      <c r="J96" s="35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33"/>
      <c r="AG96" s="33"/>
      <c r="AH96" s="33"/>
    </row>
    <row r="97" spans="1:34" ht="7.5" customHeight="1">
      <c r="A97" s="33"/>
      <c r="B97" s="35"/>
      <c r="C97" s="33"/>
      <c r="D97" s="33"/>
      <c r="E97" s="33"/>
      <c r="F97" s="35"/>
      <c r="G97" s="33"/>
      <c r="H97" s="35"/>
      <c r="I97" s="33"/>
      <c r="J97" s="35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33"/>
      <c r="AG97" s="33"/>
      <c r="AH97" s="33"/>
    </row>
    <row r="98" spans="1:34">
      <c r="A98" s="33"/>
      <c r="B98" s="35"/>
      <c r="C98" s="33"/>
      <c r="D98" s="33"/>
      <c r="E98" s="33"/>
      <c r="F98" s="35"/>
      <c r="G98" s="33"/>
      <c r="H98" s="35"/>
      <c r="I98" s="33"/>
      <c r="J98" s="35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33"/>
      <c r="AG98" s="33"/>
      <c r="AH98" s="33"/>
    </row>
    <row r="99" spans="1:34" ht="7.5" customHeight="1">
      <c r="A99" s="33"/>
      <c r="B99" s="35"/>
      <c r="C99" s="33"/>
      <c r="D99" s="33"/>
      <c r="E99" s="33"/>
      <c r="F99" s="35"/>
      <c r="G99" s="33"/>
      <c r="H99" s="35"/>
      <c r="I99" s="33"/>
      <c r="J99" s="35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33"/>
      <c r="AG99" s="33"/>
      <c r="AH99" s="33"/>
    </row>
    <row r="100" spans="1:34" s="36" customFormat="1" ht="7.5" customHeight="1">
      <c r="A100" s="33"/>
      <c r="B100" s="32"/>
      <c r="C100" s="33"/>
      <c r="D100" s="33"/>
      <c r="E100" s="33"/>
      <c r="F100" s="32"/>
      <c r="G100" s="33"/>
      <c r="H100" s="32"/>
      <c r="I100" s="33"/>
      <c r="J100" s="32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33"/>
      <c r="AE100" s="33"/>
      <c r="AF100" s="33"/>
      <c r="AG100" s="33"/>
    </row>
    <row r="101" spans="1:34">
      <c r="A101" s="33"/>
      <c r="B101" s="35"/>
      <c r="C101" s="33"/>
      <c r="D101" s="33"/>
      <c r="E101" s="33"/>
      <c r="F101" s="35"/>
      <c r="G101" s="33"/>
      <c r="H101" s="35"/>
      <c r="I101" s="33"/>
      <c r="J101" s="35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33"/>
      <c r="AE101" s="33"/>
      <c r="AF101" s="33"/>
      <c r="AG101" s="33"/>
    </row>
    <row r="102" spans="1:34" s="36" customFormat="1" ht="7.5" customHeight="1">
      <c r="A102" s="33"/>
      <c r="B102" s="32"/>
      <c r="C102" s="33"/>
      <c r="D102" s="33"/>
      <c r="E102" s="33"/>
      <c r="F102" s="32"/>
      <c r="G102" s="33"/>
      <c r="H102" s="32"/>
      <c r="I102" s="33"/>
      <c r="J102" s="32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33"/>
      <c r="AE102" s="33"/>
      <c r="AF102" s="33"/>
      <c r="AG102" s="33"/>
    </row>
    <row r="103" spans="1:34">
      <c r="A103" s="33"/>
      <c r="B103" s="35"/>
      <c r="C103" s="33"/>
      <c r="D103" s="33"/>
      <c r="E103" s="33"/>
      <c r="F103" s="35"/>
      <c r="G103" s="33"/>
      <c r="H103" s="35"/>
      <c r="I103" s="33"/>
      <c r="J103" s="35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33"/>
      <c r="AE103" s="33"/>
      <c r="AF103" s="33"/>
      <c r="AG103" s="33"/>
    </row>
    <row r="104" spans="1:34" s="36" customFormat="1" ht="7.5" customHeight="1">
      <c r="A104" s="33"/>
      <c r="B104" s="32"/>
      <c r="C104" s="33"/>
      <c r="D104" s="33"/>
      <c r="E104" s="33"/>
      <c r="F104" s="32"/>
      <c r="G104" s="33"/>
      <c r="H104" s="32"/>
      <c r="I104" s="33"/>
      <c r="J104" s="32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33"/>
      <c r="AE104" s="33"/>
      <c r="AF104" s="33"/>
      <c r="AG104" s="33"/>
    </row>
    <row r="105" spans="1:34">
      <c r="A105" s="33"/>
      <c r="B105" s="35"/>
      <c r="C105" s="33"/>
      <c r="D105" s="33"/>
      <c r="E105" s="33"/>
      <c r="F105" s="35"/>
      <c r="G105" s="33"/>
      <c r="H105" s="35"/>
      <c r="I105" s="33"/>
      <c r="J105" s="35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33"/>
      <c r="AE105" s="33"/>
      <c r="AF105" s="33"/>
      <c r="AG105" s="33"/>
    </row>
    <row r="106" spans="1:34" s="11" customFormat="1" ht="7.5" customHeight="1">
      <c r="A106" s="9"/>
      <c r="C106" s="9"/>
      <c r="D106" s="10"/>
      <c r="E106" s="9"/>
      <c r="F106" s="10"/>
      <c r="G106" s="34"/>
      <c r="H106" s="10"/>
      <c r="I106" s="34"/>
      <c r="J106" s="10"/>
      <c r="K106" s="9"/>
      <c r="L106" s="10"/>
      <c r="M106" s="9"/>
      <c r="N106" s="10"/>
      <c r="O106" s="9"/>
      <c r="P106" s="10"/>
      <c r="Q106" s="9"/>
      <c r="R106" s="10"/>
      <c r="S106" s="9"/>
      <c r="T106" s="10"/>
      <c r="U106" s="9"/>
      <c r="V106" s="10"/>
      <c r="W106" s="9"/>
      <c r="X106" s="10"/>
      <c r="Y106" s="9"/>
      <c r="Z106" s="10"/>
      <c r="AA106" s="9"/>
      <c r="AB106" s="10"/>
      <c r="AC106" s="9"/>
      <c r="AD106" s="34"/>
      <c r="AE106" s="34"/>
      <c r="AF106" s="34"/>
      <c r="AG106" s="34"/>
    </row>
    <row r="107" spans="1:34" s="15" customFormat="1" ht="39.75" customHeight="1">
      <c r="A107" s="12"/>
      <c r="B107" s="12"/>
      <c r="C107" s="12"/>
      <c r="D107" s="13"/>
      <c r="E107" s="12"/>
      <c r="F107" s="13"/>
      <c r="G107" s="12"/>
      <c r="H107" s="13"/>
      <c r="I107" s="12"/>
      <c r="J107" s="13"/>
      <c r="K107" s="12"/>
      <c r="L107" s="13"/>
      <c r="M107" s="12"/>
      <c r="N107" s="13"/>
      <c r="O107" s="12"/>
      <c r="P107" s="13"/>
      <c r="Q107" s="12"/>
      <c r="R107" s="13"/>
      <c r="S107" s="12"/>
      <c r="T107" s="13"/>
      <c r="U107" s="12"/>
      <c r="V107" s="13"/>
      <c r="W107" s="12"/>
      <c r="X107" s="13"/>
      <c r="Y107" s="12"/>
      <c r="Z107" s="13"/>
      <c r="AA107" s="12"/>
      <c r="AB107" s="13"/>
      <c r="AC107" s="12"/>
      <c r="AD107" s="12"/>
      <c r="AE107" s="12"/>
      <c r="AF107" s="12"/>
      <c r="AG107" s="12"/>
    </row>
    <row r="108" spans="1:34" s="11" customFormat="1" ht="12.75"/>
  </sheetData>
  <mergeCells count="7">
    <mergeCell ref="AC66:AE68"/>
    <mergeCell ref="AC1:AF1"/>
    <mergeCell ref="J6:M7"/>
    <mergeCell ref="C8:F9"/>
    <mergeCell ref="C26:F27"/>
    <mergeCell ref="C44:F45"/>
    <mergeCell ref="C62:F63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6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F0A09C2D01074B8D939FB0E376E799" ma:contentTypeVersion="0" ma:contentTypeDescription="Create a new document." ma:contentTypeScope="" ma:versionID="bdfc6e28939f78d31c50607c48333a14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B9D400F-F0EB-487A-98A4-3A44911047EE}">
  <ds:schemaRefs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552E80B-C80B-4AA1-B752-F677A834A6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B52390-7E20-42F1-9CA6-C2576FFBCF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Dashboard</vt:lpstr>
      <vt:lpstr>DR Defects Density</vt:lpstr>
      <vt:lpstr>DR Reopened</vt:lpstr>
      <vt:lpstr>DR Regression</vt:lpstr>
      <vt:lpstr>DR Median</vt:lpstr>
      <vt:lpstr>Dashboard!Print_Area</vt:lpstr>
      <vt:lpstr>'DR Coles'!Print_Area</vt:lpstr>
      <vt:lpstr>'DR Core'!Print_Area</vt:lpstr>
      <vt:lpstr>'DR Defects Density'!Print_Area</vt:lpstr>
      <vt:lpstr>'DR Escaping Core'!Print_Area</vt:lpstr>
      <vt:lpstr>'DR Median'!Print_Area</vt:lpstr>
      <vt:lpstr>'DR Regression'!Print_Area</vt:lpstr>
      <vt:lpstr>'DR Reopened'!Print_Area</vt:lpstr>
      <vt:lpstr>'DR SSL'!Print_Area</vt:lpstr>
      <vt:lpstr>'DR Target'!Print_Area</vt:lpstr>
      <vt:lpstr>'DR WFM'!Print_Area</vt:lpstr>
      <vt:lpstr>'DR WOW'!Print_Area</vt:lpstr>
    </vt:vector>
  </TitlesOfParts>
  <Company>Retalix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Beres</dc:creator>
  <cp:lastModifiedBy>Rony Atoun</cp:lastModifiedBy>
  <cp:lastPrinted>2014-04-23T06:55:54Z</cp:lastPrinted>
  <dcterms:created xsi:type="dcterms:W3CDTF">2014-03-09T14:04:25Z</dcterms:created>
  <dcterms:modified xsi:type="dcterms:W3CDTF">2014-07-17T13:28:20Z</dcterms:modified>
  <cp:version>2014.06.01.03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0x010100CCF0A09C2D01074B8D939FB0E376E799</vt:lpwstr>
  </property>
</Properties>
</file>