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0" yWindow="460" windowWidth="28800" windowHeight="17460" tabRatio="500"/>
  </bookViews>
  <sheets>
    <sheet name="Discos RAID" sheetId="1" r:id="rId1"/>
    <sheet name="Desorden" sheetId="2" r:id="rId2"/>
    <sheet name="Rates" sheetId="4" r:id="rId3"/>
    <sheet name="Ciclos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K4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N10" i="4"/>
  <c r="O10" i="4"/>
  <c r="P10" i="4"/>
  <c r="Q10" i="4"/>
  <c r="R10" i="4"/>
  <c r="S10" i="4"/>
  <c r="T10" i="4"/>
  <c r="M10" i="4"/>
  <c r="C25" i="4"/>
  <c r="D25" i="4"/>
  <c r="E25" i="4"/>
  <c r="F25" i="4"/>
  <c r="G25" i="4"/>
  <c r="H25" i="4"/>
  <c r="I25" i="4"/>
  <c r="J25" i="4"/>
  <c r="D24" i="4"/>
  <c r="E24" i="4"/>
  <c r="F24" i="4"/>
  <c r="G24" i="4"/>
  <c r="H24" i="4"/>
  <c r="I24" i="4"/>
  <c r="J24" i="4"/>
  <c r="C24" i="4"/>
  <c r="F4" i="4"/>
  <c r="F3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J10" i="4"/>
  <c r="D10" i="4"/>
  <c r="E10" i="4"/>
  <c r="F10" i="4"/>
  <c r="G10" i="4"/>
  <c r="H10" i="4"/>
  <c r="I10" i="4"/>
  <c r="C10" i="4"/>
  <c r="D8" i="3"/>
  <c r="D9" i="3"/>
  <c r="D10" i="3"/>
  <c r="D7" i="3"/>
  <c r="J7" i="3"/>
  <c r="J8" i="3"/>
  <c r="J9" i="3"/>
  <c r="J10" i="3"/>
  <c r="E7" i="3"/>
  <c r="F7" i="3"/>
  <c r="E8" i="3"/>
  <c r="F8" i="3"/>
  <c r="E9" i="3"/>
  <c r="F9" i="3"/>
  <c r="E10" i="3"/>
  <c r="F10" i="3"/>
  <c r="C16" i="2"/>
  <c r="D3" i="1"/>
  <c r="F9" i="1"/>
  <c r="G9" i="1"/>
  <c r="H9" i="1"/>
  <c r="I9" i="1"/>
  <c r="F8" i="1"/>
  <c r="G8" i="1"/>
  <c r="H8" i="1"/>
  <c r="I8" i="1"/>
  <c r="F22" i="2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D16" i="2"/>
  <c r="J10" i="2"/>
  <c r="F10" i="2"/>
  <c r="T10" i="2"/>
  <c r="J11" i="2"/>
  <c r="F11" i="2"/>
  <c r="T11" i="2"/>
  <c r="J9" i="2"/>
  <c r="F9" i="2"/>
  <c r="T9" i="2"/>
  <c r="J8" i="2"/>
  <c r="N8" i="2"/>
  <c r="F8" i="2"/>
  <c r="T8" i="2"/>
  <c r="J7" i="2"/>
  <c r="N7" i="2"/>
  <c r="F7" i="2"/>
  <c r="T7" i="2"/>
  <c r="J6" i="2"/>
  <c r="N6" i="2"/>
  <c r="R6" i="2"/>
  <c r="F6" i="2"/>
  <c r="T6" i="2"/>
  <c r="J5" i="2"/>
  <c r="N5" i="2"/>
  <c r="R5" i="2"/>
  <c r="F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C8" i="2"/>
  <c r="D8" i="2"/>
  <c r="R11" i="2"/>
  <c r="R10" i="2"/>
  <c r="R9" i="2"/>
  <c r="R7" i="2"/>
  <c r="N11" i="2"/>
  <c r="N10" i="2"/>
  <c r="N9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<sst xmlns="http://schemas.openxmlformats.org/spreadsheetml/2006/main" count="86" uniqueCount="52">
  <si>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</si>
  <si>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</si>
  <si>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</si>
  <si>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</si>
  <si>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</si>
  <si>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</si>
  <si>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</si>
  <si>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</si>
  <si>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</si>
  <si>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</si>
  <si>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</si>
  <si>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</si>
  <si>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</si>
  <si>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</si>
  <si>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</si>
  <si>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</si>
  <si>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</si>
  <si>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</si>
  <si>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</si>
  <si>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</si>
  <si>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</si>
  <si>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</si>
  <si>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</si>
  <si>
    <t>Intel SSD DC 3700</t>
  </si>
  <si>
    <t>HGST Ultrastar 7K6000</t>
  </si>
  <si>
    <t>Seagate Enterprise</t>
  </si>
  <si>
    <t>Caché L1</t>
  </si>
  <si>
    <t>Caché L2</t>
  </si>
  <si>
    <t>Caché L3</t>
  </si>
  <si>
    <t>Branch</t>
  </si>
  <si>
    <t>Ciclos</t>
  </si>
  <si>
    <t>Nanosegundos</t>
  </si>
  <si>
    <t>Reloj (GHz)</t>
  </si>
  <si>
    <t>% Tiempo disponible</t>
  </si>
  <si>
    <t>Tasa efectiva (Gbps)</t>
  </si>
  <si>
    <t>Tamaño paquete (Bytes)</t>
  </si>
  <si>
    <t>Tasa (Gpps)</t>
  </si>
  <si>
    <t>Tiempo entre paquetes (ns)</t>
  </si>
  <si>
    <t>Tiempo entre paquetes (ciclos)</t>
  </si>
  <si>
    <t>Tasa</t>
  </si>
  <si>
    <t>Interframe Gap</t>
  </si>
  <si>
    <t>CRC</t>
  </si>
  <si>
    <t>Total Extra</t>
  </si>
  <si>
    <t>Tamaño de paquete</t>
  </si>
  <si>
    <t>Tasa 10 GbE</t>
  </si>
  <si>
    <t>Preamble</t>
  </si>
  <si>
    <t>Calculator</t>
  </si>
  <si>
    <t>Bytes / packet</t>
  </si>
  <si>
    <t>10 GbE Mpps</t>
  </si>
  <si>
    <t>40 GbE Mpps</t>
  </si>
  <si>
    <t>Speed (Gbps)</t>
  </si>
  <si>
    <t>Tasa 40 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</si>
</sst>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#,##0.0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1" fillId="2" borderId="0" xfId="1" applyNumberFormat="1"/>
    <xf numFmtId="0" fontId="1" fillId="2" borderId="0" xfId="1"/>
    <xf numFmtId="10" fontId="1" fillId="2" borderId="0" xfId="1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D19" sqref="D19"/>
    </sheetView>
  </sheetViews>
  <sheetFormatPr baseColWidth="10" defaultRowHeight="16" x14ac:dyDescent="0.2"/>
  <cols>
    <col min="1" max="1" width="5.5" customWidth="1"/>
    <col min="2" max="2" width="19.6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2</v>
      </c>
      <c r="E6">
        <v>816</v>
      </c>
      <c r="F6">
        <f>ROUNDUP($D$3/D6, 0)</f>
        <v>106</v>
      </c>
      <c r="G6">
        <f>ROUNDUP($D$1 / (C6 * 8 / 1024), 0)</f>
        <v>5</v>
      </c>
      <c r="H6">
        <f>MAX(F6,G6)</f>
        <v>106</v>
      </c>
      <c r="I6" s="1">
        <f>E6*H6</f>
        <v>86496</v>
      </c>
    </row>
    <row r="7" spans="2:9" x14ac:dyDescent="0.2">
      <c r="B7" t="s">
        <v>23</v>
      </c>
      <c r="C7">
        <v>970</v>
      </c>
      <c r="D7">
        <v>1.6</v>
      </c>
      <c r="E7">
        <v>1200</v>
      </c>
      <c r="F7">
        <f>ROUNDUP($D$3/D7, 0)</f>
        <v>132</v>
      </c>
      <c r="G7">
        <f>ROUNDUP($D$1 / (C7 * 8 / 1024), 0)</f>
        <v>3</v>
      </c>
      <c r="H7">
        <f>MAX(F7,G7)</f>
        <v>132</v>
      </c>
      <c r="I7" s="1">
        <f>E7*H7</f>
        <v>158400</v>
      </c>
    </row>
    <row r="8" spans="2:9" x14ac:dyDescent="0.2">
      <c r="B8" t="s">
        <v>24</v>
      </c>
      <c r="C8">
        <v>220</v>
      </c>
      <c r="D8">
        <v>6</v>
      </c>
      <c r="E8">
        <v>600</v>
      </c>
      <c r="F8">
        <f>ROUNDUP($D$3/D8, 0)</f>
        <v>36</v>
      </c>
      <c r="G8">
        <f>ROUNDUP($D$1 / (C8 * 8 / 1024), 0)</f>
        <v>12</v>
      </c>
      <c r="H8">
        <f>MAX(F8,G8)</f>
        <v>36</v>
      </c>
      <c r="I8" s="1">
        <f>E8*H8</f>
        <v>21600</v>
      </c>
    </row>
    <row r="9" spans="2:9" x14ac:dyDescent="0.2">
      <c r="B9" t="s">
        <v>25</v>
      </c>
      <c r="C9">
        <v>240</v>
      </c>
      <c r="D9">
        <v>4</v>
      </c>
      <c r="E9">
        <v>500</v>
      </c>
      <c r="F9">
        <f>ROUNDUP($D$3/D9, 0)</f>
        <v>53</v>
      </c>
      <c r="G9">
        <f>ROUNDUP($D$1 / (C9 * 8 / 1024), 0)</f>
        <v>11</v>
      </c>
      <c r="H9">
        <f>MAX(F9,G9)</f>
        <v>53</v>
      </c>
      <c r="I9" s="1">
        <f>E9*H9</f>
        <v>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14" sqref="B14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18</v>
      </c>
      <c r="C1">
        <v>10000</v>
      </c>
    </row>
    <row r="3" spans="1:22" x14ac:dyDescent="0.2">
      <c r="B3" t="s">
        <v>14</v>
      </c>
      <c r="C3" s="12">
        <v>64</v>
      </c>
      <c r="D3" s="12"/>
      <c r="E3" s="12"/>
      <c r="F3" s="12"/>
      <c r="G3" s="12">
        <v>100</v>
      </c>
      <c r="H3" s="12"/>
      <c r="I3" s="12"/>
      <c r="J3" s="12"/>
      <c r="K3" s="12">
        <v>300</v>
      </c>
      <c r="L3" s="12"/>
      <c r="M3" s="12"/>
      <c r="N3" s="12"/>
      <c r="O3" s="12">
        <v>600</v>
      </c>
      <c r="P3" s="12"/>
      <c r="Q3" s="12"/>
      <c r="R3" s="12"/>
      <c r="S3" s="12"/>
      <c r="T3" s="12"/>
      <c r="U3" s="12"/>
      <c r="V3" s="12"/>
    </row>
    <row r="4" spans="1:22" x14ac:dyDescent="0.2">
      <c r="A4" s="10" t="s">
        <v>21</v>
      </c>
      <c r="B4" t="s">
        <v>12</v>
      </c>
      <c r="C4" t="s">
        <v>15</v>
      </c>
      <c r="D4" t="s">
        <v>16</v>
      </c>
      <c r="E4" t="s">
        <v>17</v>
      </c>
      <c r="F4" t="s">
        <v>13</v>
      </c>
      <c r="G4" t="s">
        <v>15</v>
      </c>
      <c r="H4" t="s">
        <v>16</v>
      </c>
      <c r="I4" t="s">
        <v>17</v>
      </c>
      <c r="J4" t="s">
        <v>13</v>
      </c>
      <c r="K4" t="s">
        <v>15</v>
      </c>
      <c r="L4" t="s">
        <v>16</v>
      </c>
      <c r="M4" t="s">
        <v>17</v>
      </c>
      <c r="N4" t="s">
        <v>13</v>
      </c>
      <c r="O4" t="s">
        <v>15</v>
      </c>
      <c r="P4" t="s">
        <v>16</v>
      </c>
      <c r="Q4" t="s">
        <v>17</v>
      </c>
      <c r="R4" t="s">
        <v>13</v>
      </c>
      <c r="S4" t="s">
        <v>19</v>
      </c>
      <c r="T4" t="s">
        <v>20</v>
      </c>
    </row>
    <row r="5" spans="1:22" x14ac:dyDescent="0.2">
      <c r="A5" s="10"/>
      <c r="B5">
        <v>1</v>
      </c>
      <c r="C5">
        <f t="shared" ref="C5:C11" si="0"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 t="shared" ref="G5:G11" si="1">G$3*$B5 * 8 / 1000</f>
        <v>0.8</v>
      </c>
      <c r="H5" s="3">
        <f>G5/40</f>
        <v>0.02</v>
      </c>
      <c r="I5">
        <v>0</v>
      </c>
      <c r="J5" s="2">
        <f>I5/$C$1</f>
        <v>0</v>
      </c>
      <c r="K5">
        <f t="shared" ref="K5:K11" si="2">K$3*$B5 * 8 / 1000</f>
        <v>2.4</v>
      </c>
      <c r="L5" s="3">
        <f>K5/40</f>
        <v>0.06</v>
      </c>
      <c r="M5">
        <v>0</v>
      </c>
      <c r="N5" s="2">
        <f>M5/$C$1</f>
        <v>0</v>
      </c>
      <c r="O5">
        <f t="shared" ref="O5:O11" si="3"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10"/>
      <c r="B6">
        <v>5</v>
      </c>
      <c r="C6">
        <f t="shared" si="0"/>
        <v>2.56</v>
      </c>
      <c r="D6" s="3">
        <f t="shared" ref="D6:D11" si="4">C6/40</f>
        <v>6.4000000000000001E-2</v>
      </c>
      <c r="E6">
        <v>452</v>
      </c>
      <c r="F6" s="2">
        <f t="shared" ref="F6:F11" si="5">E6/$C$1</f>
        <v>4.5199999999999997E-2</v>
      </c>
      <c r="G6">
        <f t="shared" si="1"/>
        <v>4</v>
      </c>
      <c r="H6" s="3">
        <f t="shared" ref="H6:H11" si="6">G6/40</f>
        <v>0.1</v>
      </c>
      <c r="I6">
        <v>19</v>
      </c>
      <c r="J6" s="2">
        <f t="shared" ref="J6:J11" si="7">I6/$C$1</f>
        <v>1.9E-3</v>
      </c>
      <c r="K6">
        <f t="shared" si="2"/>
        <v>12</v>
      </c>
      <c r="L6" s="3">
        <f t="shared" ref="L6:L11" si="8">K6/40</f>
        <v>0.3</v>
      </c>
      <c r="M6">
        <v>210</v>
      </c>
      <c r="N6" s="2">
        <f t="shared" ref="N6:N11" si="9">M6/$C$1</f>
        <v>2.1000000000000001E-2</v>
      </c>
      <c r="O6">
        <f t="shared" si="3"/>
        <v>24</v>
      </c>
      <c r="P6" s="3">
        <f t="shared" ref="P6:P11" si="10">O6/40</f>
        <v>0.6</v>
      </c>
      <c r="Q6">
        <v>40</v>
      </c>
      <c r="R6" s="2">
        <f t="shared" ref="R6:R11" si="11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10"/>
      <c r="B7">
        <v>10</v>
      </c>
      <c r="C7">
        <f t="shared" si="0"/>
        <v>5.12</v>
      </c>
      <c r="D7" s="3">
        <f t="shared" si="4"/>
        <v>0.128</v>
      </c>
      <c r="E7">
        <v>1782</v>
      </c>
      <c r="F7" s="2">
        <f t="shared" si="5"/>
        <v>0.1782</v>
      </c>
      <c r="G7">
        <f t="shared" si="1"/>
        <v>8</v>
      </c>
      <c r="H7" s="3">
        <f t="shared" si="6"/>
        <v>0.2</v>
      </c>
      <c r="I7">
        <v>1321</v>
      </c>
      <c r="J7" s="2">
        <f t="shared" si="7"/>
        <v>0.1321</v>
      </c>
      <c r="K7">
        <f t="shared" si="2"/>
        <v>24</v>
      </c>
      <c r="L7" s="3">
        <f t="shared" si="8"/>
        <v>0.6</v>
      </c>
      <c r="M7">
        <v>900</v>
      </c>
      <c r="N7" s="2">
        <f t="shared" si="9"/>
        <v>0.09</v>
      </c>
      <c r="O7" s="5">
        <f t="shared" si="3"/>
        <v>48</v>
      </c>
      <c r="P7" s="4">
        <f t="shared" si="10"/>
        <v>1.2</v>
      </c>
      <c r="Q7" s="5"/>
      <c r="R7" s="6">
        <f t="shared" si="11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10"/>
      <c r="B8">
        <v>15</v>
      </c>
      <c r="C8">
        <f t="shared" si="0"/>
        <v>7.68</v>
      </c>
      <c r="D8" s="3">
        <f>C8/40</f>
        <v>0.192</v>
      </c>
      <c r="E8">
        <v>2272</v>
      </c>
      <c r="F8" s="2">
        <f t="shared" si="5"/>
        <v>0.22720000000000001</v>
      </c>
      <c r="G8">
        <f t="shared" si="1"/>
        <v>12</v>
      </c>
      <c r="H8" s="3">
        <f>G8/40</f>
        <v>0.3</v>
      </c>
      <c r="I8">
        <v>2210</v>
      </c>
      <c r="J8" s="2">
        <f t="shared" si="7"/>
        <v>0.221</v>
      </c>
      <c r="K8">
        <f t="shared" si="2"/>
        <v>36</v>
      </c>
      <c r="L8" s="3">
        <f>K8/40</f>
        <v>0.9</v>
      </c>
      <c r="M8">
        <v>1230</v>
      </c>
      <c r="N8" s="2">
        <f t="shared" si="9"/>
        <v>0.123</v>
      </c>
      <c r="O8" s="5">
        <f t="shared" si="3"/>
        <v>72</v>
      </c>
      <c r="P8" s="4">
        <f>O8/40</f>
        <v>1.8</v>
      </c>
      <c r="Q8" s="5"/>
      <c r="R8" s="6">
        <f t="shared" si="11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10"/>
      <c r="B9">
        <v>20</v>
      </c>
      <c r="C9">
        <f t="shared" si="0"/>
        <v>10.24</v>
      </c>
      <c r="D9" s="3">
        <f t="shared" si="4"/>
        <v>0.25600000000000001</v>
      </c>
      <c r="E9">
        <v>2832</v>
      </c>
      <c r="F9" s="2">
        <f t="shared" si="5"/>
        <v>0.28320000000000001</v>
      </c>
      <c r="G9">
        <f t="shared" si="1"/>
        <v>16</v>
      </c>
      <c r="H9" s="3">
        <f t="shared" si="6"/>
        <v>0.4</v>
      </c>
      <c r="I9">
        <v>2712</v>
      </c>
      <c r="J9" s="2">
        <f t="shared" si="7"/>
        <v>0.2712</v>
      </c>
      <c r="K9" s="5">
        <f t="shared" si="2"/>
        <v>48</v>
      </c>
      <c r="L9" s="4">
        <f t="shared" si="8"/>
        <v>1.2</v>
      </c>
      <c r="M9" s="5"/>
      <c r="N9" s="6">
        <f t="shared" si="9"/>
        <v>0</v>
      </c>
      <c r="O9" s="5">
        <f t="shared" si="3"/>
        <v>96</v>
      </c>
      <c r="P9" s="4">
        <f t="shared" si="10"/>
        <v>2.4</v>
      </c>
      <c r="Q9" s="5"/>
      <c r="R9" s="6">
        <f t="shared" si="11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10"/>
      <c r="B10">
        <v>25</v>
      </c>
      <c r="C10">
        <f t="shared" si="0"/>
        <v>12.8</v>
      </c>
      <c r="D10" s="3">
        <f t="shared" si="4"/>
        <v>0.32</v>
      </c>
      <c r="E10">
        <v>3032</v>
      </c>
      <c r="F10" s="2">
        <f t="shared" si="5"/>
        <v>0.30320000000000003</v>
      </c>
      <c r="G10">
        <f t="shared" si="1"/>
        <v>20</v>
      </c>
      <c r="H10" s="3">
        <f t="shared" si="6"/>
        <v>0.5</v>
      </c>
      <c r="I10">
        <v>2912</v>
      </c>
      <c r="J10" s="2">
        <f t="shared" si="7"/>
        <v>0.29120000000000001</v>
      </c>
      <c r="K10" s="5">
        <f t="shared" si="2"/>
        <v>60</v>
      </c>
      <c r="L10" s="4">
        <f t="shared" si="8"/>
        <v>1.5</v>
      </c>
      <c r="M10" s="5"/>
      <c r="N10" s="6">
        <f t="shared" si="9"/>
        <v>0</v>
      </c>
      <c r="O10" s="5">
        <f t="shared" si="3"/>
        <v>120</v>
      </c>
      <c r="P10" s="4">
        <f t="shared" si="10"/>
        <v>3</v>
      </c>
      <c r="Q10" s="5"/>
      <c r="R10" s="6">
        <f t="shared" si="11"/>
        <v>0</v>
      </c>
      <c r="S10" s="2">
        <f>AVERAGE(J10,F10)</f>
        <v>0.29720000000000002</v>
      </c>
      <c r="T10" s="2">
        <f>_xlfn.STDEV.P(F10,J10)</f>
        <v>6.0000000000000053E-3</v>
      </c>
    </row>
    <row r="11" spans="1:22" x14ac:dyDescent="0.2">
      <c r="A11" s="10"/>
      <c r="B11">
        <v>30</v>
      </c>
      <c r="C11">
        <f t="shared" si="0"/>
        <v>15.36</v>
      </c>
      <c r="D11" s="3">
        <f t="shared" si="4"/>
        <v>0.38400000000000001</v>
      </c>
      <c r="E11">
        <v>3111</v>
      </c>
      <c r="F11" s="2">
        <f t="shared" si="5"/>
        <v>0.31109999999999999</v>
      </c>
      <c r="G11">
        <f t="shared" si="1"/>
        <v>24</v>
      </c>
      <c r="H11" s="3">
        <f t="shared" si="6"/>
        <v>0.6</v>
      </c>
      <c r="I11">
        <v>3012</v>
      </c>
      <c r="J11" s="2">
        <f t="shared" si="7"/>
        <v>0.30120000000000002</v>
      </c>
      <c r="K11" s="5">
        <f t="shared" si="2"/>
        <v>72</v>
      </c>
      <c r="L11" s="4">
        <f t="shared" si="8"/>
        <v>1.8</v>
      </c>
      <c r="M11" s="5"/>
      <c r="N11" s="6">
        <f t="shared" si="9"/>
        <v>0</v>
      </c>
      <c r="O11" s="5">
        <f t="shared" si="3"/>
        <v>144</v>
      </c>
      <c r="P11" s="4">
        <f t="shared" si="10"/>
        <v>3.6</v>
      </c>
      <c r="Q11" s="5"/>
      <c r="R11" s="6">
        <f t="shared" si="11"/>
        <v>0</v>
      </c>
      <c r="S11" s="2">
        <f>AVERAGE(J11,F11)</f>
        <v>0.30615000000000003</v>
      </c>
      <c r="T11" s="2">
        <f>_xlfn.STDEV.P(F11,J11)</f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14</v>
      </c>
      <c r="C14" s="12">
        <v>64</v>
      </c>
      <c r="D14" s="12"/>
      <c r="E14" s="12"/>
      <c r="F14" s="12"/>
      <c r="G14" s="12">
        <v>100</v>
      </c>
      <c r="H14" s="12"/>
      <c r="I14" s="12"/>
      <c r="J14" s="12"/>
      <c r="K14" s="12">
        <v>300</v>
      </c>
      <c r="L14" s="12"/>
      <c r="M14" s="12"/>
      <c r="N14" s="12"/>
      <c r="O14" s="12">
        <v>600</v>
      </c>
      <c r="P14" s="12"/>
      <c r="Q14" s="12"/>
      <c r="R14" s="12"/>
      <c r="S14" s="12"/>
      <c r="T14" s="12"/>
    </row>
    <row r="15" spans="1:22" x14ac:dyDescent="0.2">
      <c r="A15" s="11" t="s">
        <v>22</v>
      </c>
      <c r="B15" t="s">
        <v>12</v>
      </c>
      <c r="C15" t="s">
        <v>15</v>
      </c>
      <c r="D15" t="s">
        <v>16</v>
      </c>
      <c r="E15" t="s">
        <v>17</v>
      </c>
      <c r="F15" t="s">
        <v>13</v>
      </c>
      <c r="G15" t="s">
        <v>15</v>
      </c>
      <c r="H15" t="s">
        <v>16</v>
      </c>
      <c r="I15" t="s">
        <v>17</v>
      </c>
      <c r="J15" t="s">
        <v>13</v>
      </c>
      <c r="K15" t="s">
        <v>15</v>
      </c>
      <c r="L15" t="s">
        <v>16</v>
      </c>
      <c r="M15" t="s">
        <v>17</v>
      </c>
      <c r="N15" t="s">
        <v>13</v>
      </c>
      <c r="O15" t="s">
        <v>15</v>
      </c>
      <c r="P15" t="s">
        <v>16</v>
      </c>
      <c r="Q15" t="s">
        <v>17</v>
      </c>
      <c r="R15" t="s">
        <v>13</v>
      </c>
      <c r="S15" t="s">
        <v>19</v>
      </c>
      <c r="T15" t="s">
        <v>20</v>
      </c>
    </row>
    <row r="16" spans="1:22" x14ac:dyDescent="0.2">
      <c r="A16" s="11"/>
      <c r="B16">
        <v>1</v>
      </c>
      <c r="C16">
        <f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 t="shared" ref="G16:G22" si="12"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 t="shared" ref="K16:K22" si="13"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 t="shared" ref="O16:O22" si="14"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11"/>
      <c r="B17">
        <v>5</v>
      </c>
      <c r="C17">
        <f t="shared" ref="C17:C22" si="15">C$3*$B17 * 8 / 1000</f>
        <v>2.56</v>
      </c>
      <c r="D17" s="3">
        <f t="shared" ref="D17:D22" si="16">C17/40</f>
        <v>6.4000000000000001E-2</v>
      </c>
      <c r="E17">
        <v>39</v>
      </c>
      <c r="F17" s="2">
        <f t="shared" ref="F17:F22" si="17">E17/$C$1</f>
        <v>3.8999999999999998E-3</v>
      </c>
      <c r="G17">
        <f t="shared" si="12"/>
        <v>4</v>
      </c>
      <c r="H17" s="3">
        <f t="shared" ref="H17:H22" si="18">G17/40</f>
        <v>0.1</v>
      </c>
      <c r="I17">
        <v>411</v>
      </c>
      <c r="J17" s="2">
        <f t="shared" ref="J17:J22" si="19">I17/$C$1</f>
        <v>4.1099999999999998E-2</v>
      </c>
      <c r="K17">
        <f t="shared" si="13"/>
        <v>12</v>
      </c>
      <c r="L17" s="3">
        <f t="shared" ref="L17:L22" si="20">K17/40</f>
        <v>0.3</v>
      </c>
      <c r="M17">
        <v>2301</v>
      </c>
      <c r="N17" s="2">
        <f t="shared" ref="N17:N22" si="21">M17/$C$1</f>
        <v>0.2301</v>
      </c>
      <c r="O17">
        <f t="shared" si="14"/>
        <v>24</v>
      </c>
      <c r="P17" s="3">
        <f t="shared" ref="P17:P22" si="22">O17/40</f>
        <v>0.6</v>
      </c>
      <c r="Q17">
        <v>2210</v>
      </c>
      <c r="R17" s="2">
        <f t="shared" ref="R17:R22" si="23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11"/>
      <c r="B18">
        <v>10</v>
      </c>
      <c r="C18">
        <f t="shared" si="15"/>
        <v>5.12</v>
      </c>
      <c r="D18" s="3">
        <f t="shared" si="16"/>
        <v>0.128</v>
      </c>
      <c r="E18">
        <v>2539</v>
      </c>
      <c r="F18" s="2">
        <f t="shared" si="17"/>
        <v>0.25390000000000001</v>
      </c>
      <c r="G18">
        <f t="shared" si="12"/>
        <v>8</v>
      </c>
      <c r="H18" s="3">
        <f t="shared" si="18"/>
        <v>0.2</v>
      </c>
      <c r="I18">
        <v>3367</v>
      </c>
      <c r="J18" s="2">
        <f t="shared" si="19"/>
        <v>0.3367</v>
      </c>
      <c r="K18">
        <f t="shared" si="13"/>
        <v>24</v>
      </c>
      <c r="L18" s="3">
        <f t="shared" si="20"/>
        <v>0.6</v>
      </c>
      <c r="M18">
        <v>3213</v>
      </c>
      <c r="N18" s="2">
        <f t="shared" si="21"/>
        <v>0.32129999999999997</v>
      </c>
      <c r="O18" s="5">
        <f t="shared" si="14"/>
        <v>48</v>
      </c>
      <c r="P18" s="4">
        <f t="shared" si="22"/>
        <v>1.2</v>
      </c>
      <c r="Q18" s="5"/>
      <c r="R18" s="6">
        <f t="shared" si="23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11"/>
      <c r="B19">
        <v>15</v>
      </c>
      <c r="C19">
        <f t="shared" si="15"/>
        <v>7.68</v>
      </c>
      <c r="D19" s="3">
        <f t="shared" si="16"/>
        <v>0.192</v>
      </c>
      <c r="E19">
        <v>3949</v>
      </c>
      <c r="F19" s="2">
        <f t="shared" si="17"/>
        <v>0.39489999999999997</v>
      </c>
      <c r="G19">
        <f t="shared" si="12"/>
        <v>12</v>
      </c>
      <c r="H19" s="3">
        <f t="shared" si="18"/>
        <v>0.3</v>
      </c>
      <c r="I19">
        <v>3871</v>
      </c>
      <c r="J19" s="2">
        <f t="shared" si="19"/>
        <v>0.3871</v>
      </c>
      <c r="K19">
        <f t="shared" si="13"/>
        <v>36</v>
      </c>
      <c r="L19" s="3">
        <f t="shared" si="20"/>
        <v>0.9</v>
      </c>
      <c r="M19">
        <v>3701</v>
      </c>
      <c r="N19" s="2">
        <f t="shared" si="21"/>
        <v>0.37009999999999998</v>
      </c>
      <c r="O19" s="5">
        <f t="shared" si="14"/>
        <v>72</v>
      </c>
      <c r="P19" s="4">
        <f t="shared" si="22"/>
        <v>1.8</v>
      </c>
      <c r="Q19" s="5"/>
      <c r="R19" s="6">
        <f t="shared" si="23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11"/>
      <c r="B20">
        <v>20</v>
      </c>
      <c r="C20">
        <f t="shared" si="15"/>
        <v>10.24</v>
      </c>
      <c r="D20" s="3">
        <f t="shared" si="16"/>
        <v>0.25600000000000001</v>
      </c>
      <c r="E20">
        <v>4381</v>
      </c>
      <c r="F20" s="2">
        <f t="shared" si="17"/>
        <v>0.43809999999999999</v>
      </c>
      <c r="G20">
        <f t="shared" si="12"/>
        <v>16</v>
      </c>
      <c r="H20" s="3">
        <f t="shared" si="18"/>
        <v>0.4</v>
      </c>
      <c r="I20">
        <v>4121</v>
      </c>
      <c r="J20" s="2">
        <f t="shared" si="19"/>
        <v>0.41210000000000002</v>
      </c>
      <c r="K20" s="5">
        <f t="shared" si="13"/>
        <v>48</v>
      </c>
      <c r="L20" s="4">
        <f t="shared" si="20"/>
        <v>1.2</v>
      </c>
      <c r="M20" s="5"/>
      <c r="N20" s="6">
        <f t="shared" si="21"/>
        <v>0</v>
      </c>
      <c r="O20" s="5">
        <f t="shared" si="14"/>
        <v>96</v>
      </c>
      <c r="P20" s="4">
        <f t="shared" si="22"/>
        <v>2.4</v>
      </c>
      <c r="Q20" s="5"/>
      <c r="R20" s="6">
        <f t="shared" si="23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11"/>
      <c r="B21">
        <v>25</v>
      </c>
      <c r="C21">
        <f t="shared" si="15"/>
        <v>12.8</v>
      </c>
      <c r="D21" s="3">
        <f t="shared" si="16"/>
        <v>0.32</v>
      </c>
      <c r="E21">
        <v>3975</v>
      </c>
      <c r="F21" s="2">
        <f t="shared" si="17"/>
        <v>0.39750000000000002</v>
      </c>
      <c r="G21">
        <f t="shared" si="12"/>
        <v>20</v>
      </c>
      <c r="H21" s="3">
        <f t="shared" si="18"/>
        <v>0.5</v>
      </c>
      <c r="I21">
        <v>4890</v>
      </c>
      <c r="J21" s="2">
        <f t="shared" si="19"/>
        <v>0.48899999999999999</v>
      </c>
      <c r="K21" s="5">
        <f t="shared" si="13"/>
        <v>60</v>
      </c>
      <c r="L21" s="4">
        <f t="shared" si="20"/>
        <v>1.5</v>
      </c>
      <c r="M21" s="5"/>
      <c r="N21" s="6">
        <f t="shared" si="21"/>
        <v>0</v>
      </c>
      <c r="O21" s="5">
        <f t="shared" si="14"/>
        <v>120</v>
      </c>
      <c r="P21" s="4">
        <f t="shared" si="22"/>
        <v>3</v>
      </c>
      <c r="Q21" s="5"/>
      <c r="R21" s="6">
        <f t="shared" si="23"/>
        <v>0</v>
      </c>
      <c r="S21" s="2">
        <f>AVERAGE(J21,F21)</f>
        <v>0.44325000000000003</v>
      </c>
      <c r="T21" s="2">
        <f>_xlfn.STDEV.P(F21,J21)</f>
        <v>4.5749999999999916E-2</v>
      </c>
    </row>
    <row r="22" spans="1:20" x14ac:dyDescent="0.2">
      <c r="A22" s="11"/>
      <c r="B22">
        <v>30</v>
      </c>
      <c r="C22">
        <f t="shared" si="15"/>
        <v>15.36</v>
      </c>
      <c r="D22" s="3">
        <f t="shared" si="16"/>
        <v>0.38400000000000001</v>
      </c>
      <c r="E22">
        <v>4326</v>
      </c>
      <c r="F22" s="2">
        <f t="shared" si="17"/>
        <v>0.43259999999999998</v>
      </c>
      <c r="G22">
        <f t="shared" si="12"/>
        <v>24</v>
      </c>
      <c r="H22" s="3">
        <f t="shared" si="18"/>
        <v>0.6</v>
      </c>
      <c r="I22">
        <v>4753</v>
      </c>
      <c r="J22" s="2">
        <f t="shared" si="19"/>
        <v>0.4753</v>
      </c>
      <c r="K22" s="5">
        <f t="shared" si="13"/>
        <v>72</v>
      </c>
      <c r="L22" s="4">
        <f t="shared" si="20"/>
        <v>1.8</v>
      </c>
      <c r="M22" s="5"/>
      <c r="N22" s="6">
        <f t="shared" si="21"/>
        <v>0</v>
      </c>
      <c r="O22" s="5">
        <f t="shared" si="14"/>
        <v>144</v>
      </c>
      <c r="P22" s="4">
        <f t="shared" si="22"/>
        <v>3.6</v>
      </c>
      <c r="Q22" s="5"/>
      <c r="R22" s="6">
        <f t="shared" si="23"/>
        <v>0</v>
      </c>
      <c r="S22" s="2">
        <f>AVERAGE(J22,F22)</f>
        <v>0.45394999999999996</v>
      </c>
      <c r="T22" s="2">
        <f>_xlfn.STDEV.P(F22,J22)</f>
        <v>2.1350000000000008E-2</v>
      </c>
    </row>
    <row r="23" spans="1:20" x14ac:dyDescent="0.2">
      <c r="F23" s="2"/>
    </row>
  </sheetData>
  <mergeCells count="12">
    <mergeCell ref="O14:R14"/>
    <mergeCell ref="S14:T14"/>
    <mergeCell ref="C3:F3"/>
    <mergeCell ref="G3:J3"/>
    <mergeCell ref="K3:N3"/>
    <mergeCell ref="O3:R3"/>
    <mergeCell ref="S3:V3"/>
    <mergeCell ref="A4:A11"/>
    <mergeCell ref="A15:A22"/>
    <mergeCell ref="C14:F14"/>
    <mergeCell ref="G14:J14"/>
    <mergeCell ref="K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J5" sqref="J5"/>
    </sheetView>
  </sheetViews>
  <sheetFormatPr baseColWidth="10" defaultRowHeight="16" x14ac:dyDescent="0.2"/>
  <cols>
    <col min="9" max="9" width="11.83203125" bestFit="1" customWidth="1"/>
    <col min="10" max="10" width="12.6640625" bestFit="1" customWidth="1"/>
    <col min="11" max="12" width="11.83203125" bestFit="1" customWidth="1"/>
  </cols>
  <sheetData>
    <row r="2" spans="2:20" x14ac:dyDescent="0.2">
      <c r="B2" t="s">
        <v>39</v>
      </c>
      <c r="C2" t="s">
        <v>45</v>
      </c>
      <c r="D2" t="s">
        <v>40</v>
      </c>
      <c r="E2" t="s">
        <v>41</v>
      </c>
      <c r="F2" t="s">
        <v>42</v>
      </c>
      <c r="I2" t="s">
        <v>46</v>
      </c>
    </row>
    <row r="3" spans="2:20" x14ac:dyDescent="0.2">
      <c r="B3">
        <v>10</v>
      </c>
      <c r="C3">
        <v>8</v>
      </c>
      <c r="D3">
        <v>12</v>
      </c>
      <c r="E3">
        <v>4</v>
      </c>
      <c r="F3">
        <f>C3+D3+E3</f>
        <v>24</v>
      </c>
      <c r="I3" t="s">
        <v>50</v>
      </c>
      <c r="J3" t="s">
        <v>47</v>
      </c>
      <c r="K3" t="s">
        <v>48</v>
      </c>
      <c r="L3" t="s">
        <v>49</v>
      </c>
    </row>
    <row r="4" spans="2:20" x14ac:dyDescent="0.2">
      <c r="B4">
        <v>40</v>
      </c>
      <c r="C4">
        <v>8</v>
      </c>
      <c r="D4">
        <v>12</v>
      </c>
      <c r="E4">
        <v>4</v>
      </c>
      <c r="F4">
        <f>C4+D4+E4</f>
        <v>24</v>
      </c>
      <c r="I4">
        <v>1</v>
      </c>
      <c r="J4">
        <v>10</v>
      </c>
      <c r="K4" s="9">
        <f>1000 * (I4 / 8) / ($F$3 +J4)</f>
        <v>3.6764705882352939</v>
      </c>
      <c r="L4" s="9">
        <f>1000 * (I4 / 8) / ($F$4 +J4)</f>
        <v>3.6764705882352939</v>
      </c>
    </row>
    <row r="9" spans="2:20" x14ac:dyDescent="0.2">
      <c r="C9">
        <v>64</v>
      </c>
      <c r="D9">
        <v>80</v>
      </c>
      <c r="E9">
        <v>100</v>
      </c>
      <c r="F9">
        <v>200</v>
      </c>
      <c r="G9">
        <v>300</v>
      </c>
      <c r="H9">
        <v>600</v>
      </c>
      <c r="I9">
        <v>1000</v>
      </c>
      <c r="J9">
        <v>1514</v>
      </c>
      <c r="M9">
        <v>64</v>
      </c>
      <c r="N9">
        <v>80</v>
      </c>
      <c r="O9">
        <v>100</v>
      </c>
      <c r="P9">
        <v>200</v>
      </c>
      <c r="Q9">
        <v>300</v>
      </c>
      <c r="R9">
        <v>600</v>
      </c>
      <c r="S9">
        <v>1000</v>
      </c>
      <c r="T9">
        <v>1514</v>
      </c>
    </row>
    <row r="10" spans="2:20" x14ac:dyDescent="0.2">
      <c r="B10">
        <v>1</v>
      </c>
      <c r="C10" s="9">
        <f t="shared" ref="C10:J19" si="0">1000 * ($B10 / 8) / ($F$3 + C$9)</f>
        <v>1.4204545454545454</v>
      </c>
      <c r="D10" s="9">
        <f t="shared" si="0"/>
        <v>1.2019230769230769</v>
      </c>
      <c r="E10" s="9">
        <f t="shared" si="0"/>
        <v>1.0080645161290323</v>
      </c>
      <c r="F10" s="9">
        <f t="shared" si="0"/>
        <v>0.5580357142857143</v>
      </c>
      <c r="G10" s="9">
        <f t="shared" si="0"/>
        <v>0.38580246913580246</v>
      </c>
      <c r="H10" s="9">
        <f t="shared" si="0"/>
        <v>0.20032051282051283</v>
      </c>
      <c r="I10" s="9">
        <f t="shared" si="0"/>
        <v>0.1220703125</v>
      </c>
      <c r="J10" s="9">
        <f t="shared" si="0"/>
        <v>8.1274382314694402E-2</v>
      </c>
      <c r="L10">
        <v>5</v>
      </c>
      <c r="M10" s="9">
        <f>1000 * ($L10 / 8) / ($F$4 + M$9)</f>
        <v>7.1022727272727275</v>
      </c>
      <c r="N10" s="9">
        <f t="shared" ref="N10:T17" si="1">1000 * ($L10 / 8) / ($F$4 + N$9)</f>
        <v>6.009615384615385</v>
      </c>
      <c r="O10" s="9">
        <f t="shared" si="1"/>
        <v>5.040322580645161</v>
      </c>
      <c r="P10" s="9">
        <f t="shared" si="1"/>
        <v>2.7901785714285716</v>
      </c>
      <c r="Q10" s="9">
        <f t="shared" si="1"/>
        <v>1.9290123456790123</v>
      </c>
      <c r="R10" s="9">
        <f t="shared" si="1"/>
        <v>1.0016025641025641</v>
      </c>
      <c r="S10" s="9">
        <f t="shared" si="1"/>
        <v>0.6103515625</v>
      </c>
      <c r="T10" s="9">
        <f t="shared" si="1"/>
        <v>0.40637191157347202</v>
      </c>
    </row>
    <row r="11" spans="2:20" x14ac:dyDescent="0.2">
      <c r="B11">
        <v>2</v>
      </c>
      <c r="C11" s="9">
        <f t="shared" si="0"/>
        <v>2.8409090909090908</v>
      </c>
      <c r="D11" s="9">
        <f t="shared" si="0"/>
        <v>2.4038461538461537</v>
      </c>
      <c r="E11" s="9">
        <f t="shared" si="0"/>
        <v>2.0161290322580645</v>
      </c>
      <c r="F11" s="9">
        <f t="shared" si="0"/>
        <v>1.1160714285714286</v>
      </c>
      <c r="G11" s="9">
        <f t="shared" si="0"/>
        <v>0.77160493827160492</v>
      </c>
      <c r="H11" s="9">
        <f t="shared" si="0"/>
        <v>0.40064102564102566</v>
      </c>
      <c r="I11" s="9">
        <f t="shared" si="0"/>
        <v>0.244140625</v>
      </c>
      <c r="J11" s="9">
        <f t="shared" si="0"/>
        <v>0.1625487646293888</v>
      </c>
      <c r="L11">
        <v>10</v>
      </c>
      <c r="M11" s="9">
        <f t="shared" ref="M11:M17" si="2">1000 * ($L11 / 8) / ($F$4 + M$9)</f>
        <v>14.204545454545455</v>
      </c>
      <c r="N11" s="9">
        <f t="shared" si="1"/>
        <v>12.01923076923077</v>
      </c>
      <c r="O11" s="9">
        <f t="shared" si="1"/>
        <v>10.080645161290322</v>
      </c>
      <c r="P11" s="9">
        <f t="shared" si="1"/>
        <v>5.5803571428571432</v>
      </c>
      <c r="Q11" s="9">
        <f t="shared" si="1"/>
        <v>3.8580246913580245</v>
      </c>
      <c r="R11" s="9">
        <f t="shared" si="1"/>
        <v>2.0032051282051282</v>
      </c>
      <c r="S11" s="9">
        <f t="shared" si="1"/>
        <v>1.220703125</v>
      </c>
      <c r="T11" s="9">
        <f t="shared" si="1"/>
        <v>0.81274382314694404</v>
      </c>
    </row>
    <row r="12" spans="2:20" x14ac:dyDescent="0.2">
      <c r="B12">
        <v>3</v>
      </c>
      <c r="C12" s="9">
        <f t="shared" si="0"/>
        <v>4.2613636363636367</v>
      </c>
      <c r="D12" s="9">
        <f t="shared" si="0"/>
        <v>3.6057692307692308</v>
      </c>
      <c r="E12" s="9">
        <f t="shared" si="0"/>
        <v>3.024193548387097</v>
      </c>
      <c r="F12" s="9">
        <f t="shared" si="0"/>
        <v>1.6741071428571428</v>
      </c>
      <c r="G12" s="9">
        <f t="shared" si="0"/>
        <v>1.1574074074074074</v>
      </c>
      <c r="H12" s="9">
        <f t="shared" si="0"/>
        <v>0.60096153846153844</v>
      </c>
      <c r="I12" s="9">
        <f t="shared" si="0"/>
        <v>0.3662109375</v>
      </c>
      <c r="J12" s="9">
        <f t="shared" si="0"/>
        <v>0.24382314694408322</v>
      </c>
      <c r="L12">
        <v>15</v>
      </c>
      <c r="M12" s="9">
        <f t="shared" si="2"/>
        <v>21.306818181818183</v>
      </c>
      <c r="N12" s="9">
        <f t="shared" si="1"/>
        <v>18.028846153846153</v>
      </c>
      <c r="O12" s="9">
        <f t="shared" si="1"/>
        <v>15.120967741935484</v>
      </c>
      <c r="P12" s="9">
        <f t="shared" si="1"/>
        <v>8.3705357142857135</v>
      </c>
      <c r="Q12" s="9">
        <f t="shared" si="1"/>
        <v>5.7870370370370372</v>
      </c>
      <c r="R12" s="9">
        <f t="shared" si="1"/>
        <v>3.0048076923076925</v>
      </c>
      <c r="S12" s="9">
        <f t="shared" si="1"/>
        <v>1.8310546875</v>
      </c>
      <c r="T12" s="9">
        <f t="shared" si="1"/>
        <v>1.2191157347204162</v>
      </c>
    </row>
    <row r="13" spans="2:20" x14ac:dyDescent="0.2">
      <c r="B13">
        <v>4</v>
      </c>
      <c r="C13" s="9">
        <f t="shared" si="0"/>
        <v>5.6818181818181817</v>
      </c>
      <c r="D13" s="9">
        <f t="shared" si="0"/>
        <v>4.8076923076923075</v>
      </c>
      <c r="E13" s="9">
        <f t="shared" si="0"/>
        <v>4.032258064516129</v>
      </c>
      <c r="F13" s="9">
        <f t="shared" si="0"/>
        <v>2.2321428571428572</v>
      </c>
      <c r="G13" s="9">
        <f t="shared" si="0"/>
        <v>1.5432098765432098</v>
      </c>
      <c r="H13" s="9">
        <f t="shared" si="0"/>
        <v>0.80128205128205132</v>
      </c>
      <c r="I13" s="9">
        <f t="shared" si="0"/>
        <v>0.48828125</v>
      </c>
      <c r="J13" s="9">
        <f t="shared" si="0"/>
        <v>0.32509752925877761</v>
      </c>
      <c r="L13">
        <v>20</v>
      </c>
      <c r="M13" s="9">
        <f t="shared" si="2"/>
        <v>28.40909090909091</v>
      </c>
      <c r="N13" s="9">
        <f t="shared" si="1"/>
        <v>24.03846153846154</v>
      </c>
      <c r="O13" s="9">
        <f t="shared" si="1"/>
        <v>20.161290322580644</v>
      </c>
      <c r="P13" s="9">
        <f t="shared" si="1"/>
        <v>11.160714285714286</v>
      </c>
      <c r="Q13" s="9">
        <f t="shared" si="1"/>
        <v>7.716049382716049</v>
      </c>
      <c r="R13" s="9">
        <f t="shared" si="1"/>
        <v>4.0064102564102564</v>
      </c>
      <c r="S13" s="9">
        <f t="shared" si="1"/>
        <v>2.44140625</v>
      </c>
      <c r="T13" s="9">
        <f t="shared" si="1"/>
        <v>1.6254876462938881</v>
      </c>
    </row>
    <row r="14" spans="2:20" x14ac:dyDescent="0.2">
      <c r="B14">
        <v>5</v>
      </c>
      <c r="C14" s="9">
        <f t="shared" si="0"/>
        <v>7.1022727272727275</v>
      </c>
      <c r="D14" s="9">
        <f t="shared" si="0"/>
        <v>6.009615384615385</v>
      </c>
      <c r="E14" s="9">
        <f t="shared" si="0"/>
        <v>5.040322580645161</v>
      </c>
      <c r="F14" s="9">
        <f t="shared" si="0"/>
        <v>2.7901785714285716</v>
      </c>
      <c r="G14" s="9">
        <f t="shared" si="0"/>
        <v>1.9290123456790123</v>
      </c>
      <c r="H14" s="9">
        <f t="shared" si="0"/>
        <v>1.0016025641025641</v>
      </c>
      <c r="I14" s="9">
        <f t="shared" si="0"/>
        <v>0.6103515625</v>
      </c>
      <c r="J14" s="9">
        <f t="shared" si="0"/>
        <v>0.40637191157347202</v>
      </c>
      <c r="L14">
        <v>25</v>
      </c>
      <c r="M14" s="9">
        <f t="shared" si="2"/>
        <v>35.511363636363633</v>
      </c>
      <c r="N14" s="9">
        <f t="shared" si="1"/>
        <v>30.048076923076923</v>
      </c>
      <c r="O14" s="9">
        <f t="shared" si="1"/>
        <v>25.201612903225808</v>
      </c>
      <c r="P14" s="9">
        <f t="shared" si="1"/>
        <v>13.950892857142858</v>
      </c>
      <c r="Q14" s="9">
        <f t="shared" si="1"/>
        <v>9.6450617283950617</v>
      </c>
      <c r="R14" s="9">
        <f t="shared" si="1"/>
        <v>5.0080128205128203</v>
      </c>
      <c r="S14" s="9">
        <f t="shared" si="1"/>
        <v>3.0517578125</v>
      </c>
      <c r="T14" s="9">
        <f t="shared" si="1"/>
        <v>2.0318595578673602</v>
      </c>
    </row>
    <row r="15" spans="2:20" x14ac:dyDescent="0.2">
      <c r="B15">
        <v>6</v>
      </c>
      <c r="C15" s="9">
        <f t="shared" si="0"/>
        <v>8.5227272727272734</v>
      </c>
      <c r="D15" s="9">
        <f t="shared" si="0"/>
        <v>7.2115384615384617</v>
      </c>
      <c r="E15" s="9">
        <f t="shared" si="0"/>
        <v>6.0483870967741939</v>
      </c>
      <c r="F15" s="9">
        <f t="shared" si="0"/>
        <v>3.3482142857142856</v>
      </c>
      <c r="G15" s="9">
        <f t="shared" si="0"/>
        <v>2.3148148148148149</v>
      </c>
      <c r="H15" s="9">
        <f t="shared" si="0"/>
        <v>1.2019230769230769</v>
      </c>
      <c r="I15" s="9">
        <f t="shared" si="0"/>
        <v>0.732421875</v>
      </c>
      <c r="J15" s="9">
        <f t="shared" si="0"/>
        <v>0.48764629388816644</v>
      </c>
      <c r="L15">
        <v>30</v>
      </c>
      <c r="M15" s="9">
        <f t="shared" si="2"/>
        <v>42.613636363636367</v>
      </c>
      <c r="N15" s="9">
        <f t="shared" si="1"/>
        <v>36.057692307692307</v>
      </c>
      <c r="O15" s="9">
        <f t="shared" si="1"/>
        <v>30.241935483870968</v>
      </c>
      <c r="P15" s="9">
        <f t="shared" si="1"/>
        <v>16.741071428571427</v>
      </c>
      <c r="Q15" s="9">
        <f t="shared" si="1"/>
        <v>11.574074074074074</v>
      </c>
      <c r="R15" s="9">
        <f t="shared" si="1"/>
        <v>6.009615384615385</v>
      </c>
      <c r="S15" s="9">
        <f t="shared" si="1"/>
        <v>3.662109375</v>
      </c>
      <c r="T15" s="9">
        <f t="shared" si="1"/>
        <v>2.4382314694408325</v>
      </c>
    </row>
    <row r="16" spans="2:20" x14ac:dyDescent="0.2">
      <c r="B16">
        <v>7</v>
      </c>
      <c r="C16" s="9">
        <f t="shared" si="0"/>
        <v>9.9431818181818183</v>
      </c>
      <c r="D16" s="9">
        <f t="shared" si="0"/>
        <v>8.4134615384615383</v>
      </c>
      <c r="E16" s="9">
        <f t="shared" si="0"/>
        <v>7.056451612903226</v>
      </c>
      <c r="F16" s="9">
        <f t="shared" si="0"/>
        <v>3.90625</v>
      </c>
      <c r="G16" s="9">
        <f t="shared" si="0"/>
        <v>2.7006172839506171</v>
      </c>
      <c r="H16" s="9">
        <f t="shared" si="0"/>
        <v>1.4022435897435896</v>
      </c>
      <c r="I16" s="9">
        <f t="shared" si="0"/>
        <v>0.8544921875</v>
      </c>
      <c r="J16" s="9">
        <f t="shared" si="0"/>
        <v>0.56892067620286091</v>
      </c>
      <c r="L16">
        <v>35</v>
      </c>
      <c r="M16" s="9">
        <f t="shared" si="2"/>
        <v>49.715909090909093</v>
      </c>
      <c r="N16" s="9">
        <f t="shared" si="1"/>
        <v>42.067307692307693</v>
      </c>
      <c r="O16" s="9">
        <f t="shared" si="1"/>
        <v>35.282258064516128</v>
      </c>
      <c r="P16" s="9">
        <f t="shared" si="1"/>
        <v>19.53125</v>
      </c>
      <c r="Q16" s="9">
        <f t="shared" si="1"/>
        <v>13.503086419753087</v>
      </c>
      <c r="R16" s="9">
        <f t="shared" si="1"/>
        <v>7.0112179487179489</v>
      </c>
      <c r="S16" s="9">
        <f t="shared" si="1"/>
        <v>4.2724609375</v>
      </c>
      <c r="T16" s="9">
        <f t="shared" si="1"/>
        <v>2.8446033810143043</v>
      </c>
    </row>
    <row r="17" spans="1:20" x14ac:dyDescent="0.2">
      <c r="B17">
        <v>8</v>
      </c>
      <c r="C17" s="9">
        <f t="shared" si="0"/>
        <v>11.363636363636363</v>
      </c>
      <c r="D17" s="9">
        <f t="shared" si="0"/>
        <v>9.615384615384615</v>
      </c>
      <c r="E17" s="9">
        <f t="shared" si="0"/>
        <v>8.064516129032258</v>
      </c>
      <c r="F17" s="9">
        <f t="shared" si="0"/>
        <v>4.4642857142857144</v>
      </c>
      <c r="G17" s="9">
        <f t="shared" si="0"/>
        <v>3.0864197530864197</v>
      </c>
      <c r="H17" s="9">
        <f t="shared" si="0"/>
        <v>1.6025641025641026</v>
      </c>
      <c r="I17" s="9">
        <f t="shared" si="0"/>
        <v>0.9765625</v>
      </c>
      <c r="J17" s="9">
        <f t="shared" si="0"/>
        <v>0.65019505851755521</v>
      </c>
      <c r="L17">
        <v>40</v>
      </c>
      <c r="M17" s="9">
        <f t="shared" si="2"/>
        <v>56.81818181818182</v>
      </c>
      <c r="N17" s="9">
        <f t="shared" si="1"/>
        <v>48.07692307692308</v>
      </c>
      <c r="O17" s="9">
        <f t="shared" si="1"/>
        <v>40.322580645161288</v>
      </c>
      <c r="P17" s="9">
        <f t="shared" si="1"/>
        <v>22.321428571428573</v>
      </c>
      <c r="Q17" s="9">
        <f t="shared" si="1"/>
        <v>15.432098765432098</v>
      </c>
      <c r="R17" s="9">
        <f t="shared" si="1"/>
        <v>8.0128205128205128</v>
      </c>
      <c r="S17" s="9">
        <f t="shared" si="1"/>
        <v>4.8828125</v>
      </c>
      <c r="T17" s="9">
        <f t="shared" si="1"/>
        <v>3.2509752925877762</v>
      </c>
    </row>
    <row r="18" spans="1:20" x14ac:dyDescent="0.2">
      <c r="B18">
        <v>9</v>
      </c>
      <c r="C18" s="9">
        <f t="shared" si="0"/>
        <v>12.784090909090908</v>
      </c>
      <c r="D18" s="9">
        <f t="shared" si="0"/>
        <v>10.817307692307692</v>
      </c>
      <c r="E18" s="9">
        <f t="shared" si="0"/>
        <v>9.07258064516129</v>
      </c>
      <c r="F18" s="9">
        <f t="shared" si="0"/>
        <v>5.0223214285714288</v>
      </c>
      <c r="G18" s="9">
        <f t="shared" si="0"/>
        <v>3.4722222222222223</v>
      </c>
      <c r="H18" s="9">
        <f t="shared" si="0"/>
        <v>1.8028846153846154</v>
      </c>
      <c r="I18" s="9">
        <f t="shared" si="0"/>
        <v>1.0986328125</v>
      </c>
      <c r="J18" s="9">
        <f t="shared" si="0"/>
        <v>0.73146944083224963</v>
      </c>
      <c r="M18" s="9"/>
      <c r="N18" s="9"/>
      <c r="O18" s="9"/>
      <c r="P18" s="9"/>
      <c r="Q18" s="9"/>
      <c r="R18" s="9"/>
      <c r="S18" s="9"/>
      <c r="T18" s="9"/>
    </row>
    <row r="19" spans="1:20" x14ac:dyDescent="0.2">
      <c r="B19">
        <v>10</v>
      </c>
      <c r="C19" s="9">
        <f t="shared" si="0"/>
        <v>14.204545454545455</v>
      </c>
      <c r="D19" s="9">
        <f t="shared" si="0"/>
        <v>12.01923076923077</v>
      </c>
      <c r="E19" s="9">
        <f t="shared" si="0"/>
        <v>10.080645161290322</v>
      </c>
      <c r="F19" s="9">
        <f t="shared" si="0"/>
        <v>5.5803571428571432</v>
      </c>
      <c r="G19" s="9">
        <f t="shared" si="0"/>
        <v>3.8580246913580245</v>
      </c>
      <c r="H19" s="9">
        <f t="shared" si="0"/>
        <v>2.0032051282051282</v>
      </c>
      <c r="I19" s="9">
        <f t="shared" si="0"/>
        <v>1.220703125</v>
      </c>
      <c r="J19" s="9">
        <f t="shared" si="0"/>
        <v>0.81274382314694404</v>
      </c>
      <c r="M19" s="9"/>
      <c r="N19" s="9"/>
      <c r="O19" s="9"/>
      <c r="P19" s="9"/>
      <c r="Q19" s="9"/>
      <c r="R19" s="9"/>
      <c r="S19" s="9"/>
      <c r="T19" s="9"/>
    </row>
    <row r="23" spans="1:20" x14ac:dyDescent="0.2">
      <c r="B23" t="s">
        <v>43</v>
      </c>
      <c r="C23">
        <v>64</v>
      </c>
      <c r="D23">
        <v>80</v>
      </c>
      <c r="E23">
        <v>100</v>
      </c>
      <c r="F23">
        <v>200</v>
      </c>
      <c r="G23">
        <v>300</v>
      </c>
      <c r="H23">
        <v>600</v>
      </c>
      <c r="I23">
        <v>1000</v>
      </c>
      <c r="J23">
        <v>1514</v>
      </c>
    </row>
    <row r="24" spans="1:20" x14ac:dyDescent="0.2">
      <c r="A24">
        <v>10</v>
      </c>
      <c r="B24" t="s">
        <v>44</v>
      </c>
      <c r="C24" s="7">
        <f xml:space="preserve"> $A24 * C$23/ (C$23 + $F3)</f>
        <v>7.2727272727272725</v>
      </c>
      <c r="D24" s="7">
        <f t="shared" ref="D24:J25" si="3" xml:space="preserve"> $A24 * D$23/ (D$23 + $F3)</f>
        <v>7.6923076923076925</v>
      </c>
      <c r="E24" s="7">
        <f t="shared" si="3"/>
        <v>8.064516129032258</v>
      </c>
      <c r="F24" s="7">
        <f t="shared" si="3"/>
        <v>8.9285714285714288</v>
      </c>
      <c r="G24" s="7">
        <f t="shared" si="3"/>
        <v>9.2592592592592595</v>
      </c>
      <c r="H24" s="7">
        <f t="shared" si="3"/>
        <v>9.615384615384615</v>
      </c>
      <c r="I24" s="7">
        <f t="shared" si="3"/>
        <v>9.765625</v>
      </c>
      <c r="J24" s="7">
        <f t="shared" si="3"/>
        <v>9.8439531859557867</v>
      </c>
    </row>
    <row r="25" spans="1:20" x14ac:dyDescent="0.2">
      <c r="A25">
        <v>40</v>
      </c>
      <c r="B25" t="s">
        <v>51</v>
      </c>
      <c r="C25" s="7">
        <f xml:space="preserve"> $A25 * C$23/ (C$23 + $F4)</f>
        <v>29.09090909090909</v>
      </c>
      <c r="D25" s="7">
        <f t="shared" si="3"/>
        <v>30.76923076923077</v>
      </c>
      <c r="E25" s="7">
        <f t="shared" si="3"/>
        <v>32.258064516129032</v>
      </c>
      <c r="F25" s="7">
        <f t="shared" si="3"/>
        <v>35.714285714285715</v>
      </c>
      <c r="G25" s="7">
        <f t="shared" si="3"/>
        <v>37.037037037037038</v>
      </c>
      <c r="H25" s="7">
        <f t="shared" si="3"/>
        <v>38.46153846153846</v>
      </c>
      <c r="I25" s="7">
        <f t="shared" si="3"/>
        <v>39.0625</v>
      </c>
      <c r="J25" s="7">
        <f t="shared" si="3"/>
        <v>39.375812743823147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H25" sqref="H25"/>
    </sheetView>
  </sheetViews>
  <sheetFormatPr baseColWidth="10" defaultRowHeight="16" x14ac:dyDescent="0.2"/>
  <cols>
    <col min="4" max="4" width="13.1640625" bestFit="1" customWidth="1"/>
    <col min="9" max="9" width="26.1640625" bestFit="1" customWidth="1"/>
  </cols>
  <sheetData>
    <row r="4" spans="2:10" x14ac:dyDescent="0.2">
      <c r="B4" t="s">
        <v>32</v>
      </c>
      <c r="C4">
        <v>3.4</v>
      </c>
      <c r="I4" t="s">
        <v>15</v>
      </c>
      <c r="J4">
        <v>40</v>
      </c>
    </row>
    <row r="5" spans="2:10" x14ac:dyDescent="0.2">
      <c r="E5" s="12" t="s">
        <v>33</v>
      </c>
      <c r="F5" s="12"/>
      <c r="I5" t="s">
        <v>32</v>
      </c>
      <c r="J5">
        <v>3.4</v>
      </c>
    </row>
    <row r="6" spans="2:10" x14ac:dyDescent="0.2">
      <c r="C6" t="s">
        <v>30</v>
      </c>
      <c r="D6" t="s">
        <v>31</v>
      </c>
      <c r="E6">
        <v>64</v>
      </c>
      <c r="F6">
        <v>120</v>
      </c>
      <c r="I6" t="s">
        <v>35</v>
      </c>
      <c r="J6">
        <v>64</v>
      </c>
    </row>
    <row r="7" spans="2:10" x14ac:dyDescent="0.2">
      <c r="B7" t="s">
        <v>26</v>
      </c>
      <c r="C7">
        <v>4</v>
      </c>
      <c r="D7" s="7">
        <f xml:space="preserve"> C7 / $C$4</f>
        <v>1.1764705882352942</v>
      </c>
      <c r="E7" s="2">
        <f xml:space="preserve">  D7 / (1/( (40 * E$6 / (8 * (E$6 + 20))) / E$6))</f>
        <v>7.0028011204481794E-2</v>
      </c>
      <c r="F7" s="2">
        <f xml:space="preserve">  E7 / (1/( (40 * F$6 / (8 * (F$6 + 20))) / F$6))</f>
        <v>2.5010004001600641E-3</v>
      </c>
      <c r="I7" t="s">
        <v>34</v>
      </c>
      <c r="J7" s="7">
        <f xml:space="preserve"> J4 * J6 / ( J6 + 20)</f>
        <v>30.476190476190474</v>
      </c>
    </row>
    <row r="8" spans="2:10" x14ac:dyDescent="0.2">
      <c r="B8" t="s">
        <v>27</v>
      </c>
      <c r="C8">
        <v>12</v>
      </c>
      <c r="D8" s="7">
        <f xml:space="preserve"> C8 / $C$4</f>
        <v>3.5294117647058822</v>
      </c>
      <c r="E8" s="2">
        <f t="shared" ref="E8:F10" si="0" xml:space="preserve">  D8 / (1/( (40 * E$6 / (8 * (E$6 + 20))) / E$6))</f>
        <v>0.21008403361344535</v>
      </c>
      <c r="F8" s="2">
        <f t="shared" si="0"/>
        <v>7.5030012004801911E-3</v>
      </c>
      <c r="I8" t="s">
        <v>36</v>
      </c>
      <c r="J8" s="8">
        <f>J7 / (8 * J6)</f>
        <v>5.9523809523809521E-2</v>
      </c>
    </row>
    <row r="9" spans="2:10" x14ac:dyDescent="0.2">
      <c r="B9" t="s">
        <v>28</v>
      </c>
      <c r="C9">
        <v>44</v>
      </c>
      <c r="D9" s="7">
        <f xml:space="preserve"> C9 / $C$4</f>
        <v>12.941176470588236</v>
      </c>
      <c r="E9" s="2">
        <f t="shared" si="0"/>
        <v>0.77030812324929965</v>
      </c>
      <c r="F9" s="2">
        <f t="shared" si="0"/>
        <v>2.7511004401760703E-2</v>
      </c>
      <c r="I9" t="s">
        <v>37</v>
      </c>
      <c r="J9">
        <f xml:space="preserve"> 1 / J8</f>
        <v>16.8</v>
      </c>
    </row>
    <row r="10" spans="2:10" x14ac:dyDescent="0.2">
      <c r="B10" t="s">
        <v>29</v>
      </c>
      <c r="C10">
        <v>16</v>
      </c>
      <c r="D10" s="7">
        <f xml:space="preserve"> C10 / $C$4</f>
        <v>4.7058823529411766</v>
      </c>
      <c r="E10" s="2">
        <f t="shared" si="0"/>
        <v>0.28011204481792717</v>
      </c>
      <c r="F10" s="2">
        <f t="shared" si="0"/>
        <v>1.0004001600640256E-2</v>
      </c>
      <c r="I10" t="s">
        <v>38</v>
      </c>
      <c r="J10">
        <f xml:space="preserve"> J5 * J9</f>
        <v>57.12</v>
      </c>
    </row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Discos RAID</vt:lpstr>
      <vt:lpstr>Desorden</vt:lpstr>
      <vt:lpstr>Rates</vt:lpstr>
      <vt:lpstr>Ciclos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2016-07-13T13:52:26Z</dcterms:modified>
</cp:coreProperties>
</file>