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Август" sheetId="1" state="visible" r:id="rId2"/>
    <sheet name="сентябрь" sheetId="2" state="visible" r:id="rId3"/>
    <sheet name="октябрь" sheetId="3" state="visible" r:id="rId4"/>
    <sheet name="Декабрь" sheetId="4" state="visible" r:id="rId5"/>
    <sheet name="Январь 2023" sheetId="5" state="visible" r:id="rId6"/>
    <sheet name="Март 2023" sheetId="6" state="visible" r:id="rId7"/>
    <sheet name="Май 2023" sheetId="7" state="visible" r:id="rId8"/>
    <sheet name="июнь 2023" sheetId="8" state="visible" r:id="rId9"/>
    <sheet name="июль 2023" sheetId="9" state="visible" r:id="rId10"/>
    <sheet name="август 2023" sheetId="10" state="visible" r:id="rId11"/>
    <sheet name="Сентябрь 2023" sheetId="11" state="visible" r:id="rId12"/>
    <sheet name="Октябрь 2023" sheetId="12" state="visible" r:id="rId13"/>
    <sheet name="Ноябрь 2023" sheetId="13" state="visible" r:id="rId14"/>
    <sheet name="Декабрь 2023" sheetId="14" state="visible" r:id="rId15"/>
    <sheet name="Январь 2024" sheetId="15" state="visible" r:id="rId16"/>
    <sheet name="Февраль 2024" sheetId="16" state="visible" r:id="rId17"/>
    <sheet name="март 2024" sheetId="17" state="visible" r:id="rId18"/>
    <sheet name="Апрель 2024" sheetId="18" state="visible" r:id="rId19"/>
    <sheet name="Май 2024" sheetId="19" state="visible" r:id="rId20"/>
    <sheet name="Июнь 2024" sheetId="20" state="visible" r:id="rId21"/>
    <sheet name="Июль2024" sheetId="21" state="visible" r:id="rId22"/>
    <sheet name="Август 2024" sheetId="22" state="visible" r:id="rId23"/>
    <sheet name="Sentyabr2024" sheetId="23" state="visible" r:id="rId24"/>
    <sheet name="Oktyabr 2024" sheetId="24" state="visible" r:id="rId25"/>
    <sheet name="Noyabr2024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<sst xmlns="http://schemas.openxmlformats.org/spreadsheetml/2006/main" count="1503" uniqueCount="67">
  <si>
    <t xml:space="preserve">Август</t>
  </si>
  <si>
    <t xml:space="preserve">V018 Яккасарайский р-н ул.Кушбеги 30Б</t>
  </si>
  <si>
    <t xml:space="preserve">День
нед</t>
  </si>
  <si>
    <t xml:space="preserve">рабочие дни</t>
  </si>
  <si>
    <t xml:space="preserve">Сумма
выручки по Z-отчету</t>
  </si>
  <si>
    <t xml:space="preserve">Усредненный план по дням</t>
  </si>
  <si>
    <t xml:space="preserve">Колличество чеков</t>
  </si>
  <si>
    <t xml:space="preserve">Ср. чек</t>
  </si>
  <si>
    <t xml:space="preserve">кол-во  проданного товара</t>
  </si>
  <si>
    <t xml:space="preserve">Кол-во товаров в чеке шт.</t>
  </si>
  <si>
    <t xml:space="preserve">Средняя цена 1 проданного товара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</si>
  <si>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</si>
  <si>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</si>
  <si>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</si>
  <si>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</si>
  <si>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</si>
  <si>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</si>
  <si>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</si>
  <si>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СРЕДНЕЕ</t>
  </si>
  <si>
    <t xml:space="preserve">ИТОГО</t>
  </si>
  <si>
    <t xml:space="preserve">ПЛАН</t>
  </si>
  <si>
    <t xml:space="preserve">% вып плана</t>
  </si>
  <si>
    <t xml:space="preserve">Рабочих дней магазина в месяце</t>
  </si>
  <si>
    <t xml:space="preserve">Прошло дней  с начала месяца</t>
  </si>
  <si>
    <t xml:space="preserve">План</t>
  </si>
  <si>
    <t xml:space="preserve">Осталось до плана</t>
  </si>
  <si>
    <t xml:space="preserve">Прогноз выручка</t>
  </si>
  <si>
    <t xml:space="preserve">Недовыполнение/Перевыполнение (по прогнозу)</t>
  </si>
  <si>
    <t xml:space="preserve">Необходимая среднедневная выручка</t>
  </si>
  <si>
    <t xml:space="preserve">Фактическая среднедневная выручка</t>
  </si>
  <si>
    <t xml:space="preserve">Кол-во чеков в день план</t>
  </si>
  <si>
    <t xml:space="preserve">Кол-во чеков в день ФАКТ</t>
  </si>
  <si>
    <t xml:space="preserve">Среднедневной чек</t>
  </si>
  <si>
    <t xml:space="preserve">Среднедневное отклонение</t>
  </si>
  <si>
    <t xml:space="preserve">Прогноз выручка (%)</t>
  </si>
  <si>
    <t xml:space="preserve">Выполнение плана накопительно</t>
  </si>
  <si>
    <t xml:space="preserve">сентябрь</t>
  </si>
  <si>
    <t xml:space="preserve">октябрь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</si>
  <si>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</si>
  <si>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</si>
  <si>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</si>
  <si>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</si>
  <si>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</si>
  <si>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</si>
  <si>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</si>
  <si>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Декабрь</t>
  </si>
  <si>
    <t xml:space="preserve">МАРТ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</si>
  <si>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</si>
  <si>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</si>
  <si>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</si>
  <si>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</si>
  <si>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</si>
  <si>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</si>
  <si>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                                                                                                                                    </t>
  </si>
  <si>
    <t xml:space="preserve">Ноябрь</t>
  </si>
  <si>
    <t xml:space="preserve">Dekabr </t>
  </si>
  <si>
    <t xml:space="preserve">Январь </t>
  </si>
  <si>
    <t xml:space="preserve">Февраль </t>
  </si>
  <si>
    <t xml:space="preserve">Март</t>
  </si>
  <si>
    <t xml:space="preserve">сб </t>
  </si>
  <si>
    <t xml:space="preserve">cб</t>
  </si>
  <si>
    <t xml:space="preserve">Апрель</t>
  </si>
  <si>
    <t xml:space="preserve">Июль</t>
  </si>
  <si>
    <t xml:space="preserve">Август </t>
  </si>
  <si>
    <t xml:space="preserve">Sentyabr</t>
  </si>
  <si>
    <t xml:space="preserve">Oktyabr</t>
  </si>
  <si>
    <t xml:space="preserve">Noyabr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</si>
</sst>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;@"/>
    <numFmt numFmtId="166" formatCode="#,##0.00"/>
    <numFmt numFmtId="167" formatCode="#,##0"/>
    <numFmt numFmtId="168" formatCode="DD/MM/YY"/>
    <numFmt numFmtId="169" formatCode="General"/>
    <numFmt numFmtId="170" formatCode="0%"/>
    <numFmt numFmtId="171" formatCode="#,##0;[RED]#,##0"/>
    <numFmt numFmtId="172" formatCode="#,##0\ ;[RED]\-#,##0\ "/>
  </numFmts>
  <fonts count="22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i val="true"/>
      <sz val="14"/>
      <color rgb="FF000000"/>
      <name val="Calibri"/>
      <family val="2"/>
      <charset val="204"/>
    </font>
    <font>
      <b val="true"/>
      <sz val="8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8"/>
      <color rgb="FFFF000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00B050"/>
        <bgColor rgb="FF008080"/>
      </patternFill>
    </fill>
    <fill>
      <patternFill patternType="solid">
        <fgColor rgb="FF548235"/>
        <bgColor rgb="FF808080"/>
      </patternFill>
    </fill>
    <fill>
      <patternFill patternType="solid">
        <fgColor rgb="FFA9D18E"/>
        <bgColor rgb="FF92D050"/>
      </patternFill>
    </fill>
    <fill>
      <patternFill patternType="solid">
        <fgColor rgb="FFC9C9C9"/>
        <bgColor rgb="FFCCCCFF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7" fontId="10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12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2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4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4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7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5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6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3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4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14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11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0" fillId="9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9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8" fillId="10" borderId="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14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0" borderId="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0" fillId="10" borderId="7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0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2" fontId="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1" borderId="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5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1" borderId="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11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1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0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6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3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4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9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9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4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1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1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55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B14" activeCellId="0" sqref="B14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"/>
    <col collapsed="false" customWidth="true" hidden="false" outlineLevel="0" max="3" min="3" style="0" width="9.33"/>
    <col collapsed="false" customWidth="true" hidden="false" outlineLevel="0" max="4" min="4" style="0" width="11.5"/>
    <col collapsed="false" customWidth="true" hidden="false" outlineLevel="0" max="6" min="5" style="0" width="11.17"/>
    <col collapsed="false" customWidth="true" hidden="false" outlineLevel="0" max="7" min="7" style="0" width="7.84"/>
    <col collapsed="false" customWidth="true" hidden="false" outlineLevel="0" max="8" min="8" style="0" width="11.83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4" customFormat="false" ht="17.35" hidden="false" customHeight="false" outlineLevel="0" collapsed="false">
      <c r="B4" s="1" t="s">
        <v>0</v>
      </c>
      <c r="C4" s="2"/>
      <c r="D4" s="3" t="s">
        <v>1</v>
      </c>
      <c r="E4" s="3"/>
      <c r="F4" s="3"/>
      <c r="G4" s="3"/>
      <c r="H4" s="3"/>
      <c r="I4" s="3"/>
      <c r="J4" s="3"/>
    </row>
    <row r="5" customFormat="false" ht="30.55" hidden="false" customHeight="false" outlineLevel="0" collapsed="false">
      <c r="B5" s="4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 t="s">
        <v>8</v>
      </c>
      <c r="I5" s="8" t="s">
        <v>9</v>
      </c>
      <c r="J5" s="8" t="s">
        <v>10</v>
      </c>
    </row>
    <row r="6" customFormat="false" ht="15" hidden="false" customHeight="false" outlineLevel="0" collapsed="false">
      <c r="B6" s="9" t="s">
        <v>11</v>
      </c>
      <c r="C6" s="10" t="n">
        <v>44774</v>
      </c>
      <c r="D6" s="11"/>
      <c r="E6" s="12" t="n">
        <f aca="false">IF(D6&gt;0, D6,(H$45/(H$42-H$43)))</f>
        <v>0</v>
      </c>
      <c r="F6" s="13"/>
      <c r="G6" s="14" t="n">
        <f aca="false">IF(F6&gt;0,D6/F6, )</f>
        <v>0</v>
      </c>
      <c r="H6" s="13"/>
      <c r="I6" s="14" t="n">
        <f aca="false">IF(H6&gt;0,H6/F6,  )</f>
        <v>0</v>
      </c>
      <c r="J6" s="14" t="n">
        <f aca="false">IF(I6&gt;0,G6/I6,  )</f>
        <v>0</v>
      </c>
    </row>
    <row r="7" customFormat="false" ht="15" hidden="false" customHeight="false" outlineLevel="0" collapsed="false">
      <c r="B7" s="9" t="s">
        <v>12</v>
      </c>
      <c r="C7" s="10" t="n">
        <v>44775</v>
      </c>
      <c r="D7" s="11"/>
      <c r="E7" s="12" t="n">
        <f aca="false">IF(D7&gt;0, D7,(H$45/(H$42-H$43)))</f>
        <v>0</v>
      </c>
      <c r="F7" s="13"/>
      <c r="G7" s="14" t="n">
        <f aca="false">IF(F7&gt;0,D7/F7, )</f>
        <v>0</v>
      </c>
      <c r="H7" s="13"/>
      <c r="I7" s="14" t="n">
        <f aca="false">IF(H7&gt;0,H7/F7,  )</f>
        <v>0</v>
      </c>
      <c r="J7" s="14" t="n">
        <f aca="false">IF(I7&gt;0,G7/I7,  )</f>
        <v>0</v>
      </c>
    </row>
    <row r="8" customFormat="false" ht="15" hidden="false" customHeight="false" outlineLevel="0" collapsed="false">
      <c r="B8" s="9" t="s">
        <v>13</v>
      </c>
      <c r="C8" s="10" t="n">
        <v>44776</v>
      </c>
      <c r="D8" s="11"/>
      <c r="E8" s="12" t="n">
        <f aca="false">IF(D8&gt;0, D8,(H$45/(H$42-H$43)))</f>
        <v>0</v>
      </c>
      <c r="F8" s="13"/>
      <c r="G8" s="14" t="n">
        <f aca="false">IF(F8&gt;0,D8/F8, )</f>
        <v>0</v>
      </c>
      <c r="H8" s="13"/>
      <c r="I8" s="14" t="n">
        <f aca="false">IF(H8&gt;0,H8/F8,  )</f>
        <v>0</v>
      </c>
      <c r="J8" s="14" t="n">
        <f aca="false">IF(I8&gt;0,G8/I8,  )</f>
        <v>0</v>
      </c>
    </row>
    <row r="9" customFormat="false" ht="15" hidden="false" customHeight="false" outlineLevel="0" collapsed="false">
      <c r="B9" s="9" t="s">
        <v>14</v>
      </c>
      <c r="C9" s="10" t="n">
        <v>44777</v>
      </c>
      <c r="D9" s="15"/>
      <c r="E9" s="12" t="n">
        <f aca="false">IF(D9&gt;0, D9,(H$45/(H$42-H$43)))</f>
        <v>0</v>
      </c>
      <c r="F9" s="16"/>
      <c r="G9" s="17" t="n">
        <f aca="false">IF(F9&gt;0,D9/F9, )</f>
        <v>0</v>
      </c>
      <c r="H9" s="16"/>
      <c r="I9" s="17" t="n">
        <f aca="false">IF(H9&gt;0,H9/F9,  )</f>
        <v>0</v>
      </c>
      <c r="J9" s="17" t="n">
        <f aca="false">IF(I9&gt;0,G9/I9,  )</f>
        <v>0</v>
      </c>
    </row>
    <row r="10" customFormat="false" ht="15" hidden="false" customHeight="false" outlineLevel="0" collapsed="false">
      <c r="B10" s="9" t="s">
        <v>15</v>
      </c>
      <c r="C10" s="10" t="n">
        <v>44778</v>
      </c>
      <c r="D10" s="15"/>
      <c r="E10" s="12" t="n">
        <f aca="false">IF(D10&gt;0, D10,(H$45/(H$42-H$43)))</f>
        <v>0</v>
      </c>
      <c r="F10" s="16"/>
      <c r="G10" s="17" t="n">
        <f aca="false">IF(F10&gt;0,D10/F10, )</f>
        <v>0</v>
      </c>
      <c r="H10" s="16"/>
      <c r="I10" s="17" t="n">
        <f aca="false">IF(H10&gt;0,H10/F10,  )</f>
        <v>0</v>
      </c>
      <c r="J10" s="17" t="n">
        <f aca="false">IF(I10&gt;0,G10/I10,  )</f>
        <v>0</v>
      </c>
    </row>
    <row r="11" customFormat="false" ht="15" hidden="false" customHeight="false" outlineLevel="0" collapsed="false">
      <c r="B11" s="9" t="s">
        <v>16</v>
      </c>
      <c r="C11" s="10" t="n">
        <v>44779</v>
      </c>
      <c r="D11" s="11"/>
      <c r="E11" s="12" t="n">
        <f aca="false">IF(D11&gt;0, D11,(H$45/(H$42-H$43)))</f>
        <v>0</v>
      </c>
      <c r="F11" s="13"/>
      <c r="G11" s="14" t="n">
        <f aca="false">IF(F11&gt;0,D11/F11, )</f>
        <v>0</v>
      </c>
      <c r="H11" s="13"/>
      <c r="I11" s="14" t="n">
        <f aca="false">IF(H11&gt;0,H11/F11,  )</f>
        <v>0</v>
      </c>
      <c r="J11" s="14" t="n">
        <f aca="false">IF(I11&gt;0,G11/I11,  )</f>
        <v>0</v>
      </c>
    </row>
    <row r="12" customFormat="false" ht="15" hidden="false" customHeight="false" outlineLevel="0" collapsed="false">
      <c r="B12" s="9" t="s">
        <v>17</v>
      </c>
      <c r="C12" s="10" t="n">
        <v>44780</v>
      </c>
      <c r="D12" s="11"/>
      <c r="E12" s="12" t="n">
        <f aca="false">IF(D12&gt;0, D12,(H$45/(H$42-H$43)))</f>
        <v>0</v>
      </c>
      <c r="F12" s="13"/>
      <c r="G12" s="14" t="n">
        <f aca="false">IF(F12&gt;0,D12/F12, )</f>
        <v>0</v>
      </c>
      <c r="H12" s="13"/>
      <c r="I12" s="14" t="n">
        <f aca="false">IF(H12&gt;0,H12/F12,  )</f>
        <v>0</v>
      </c>
      <c r="J12" s="14" t="n">
        <f aca="false">IF(I12&gt;0,G12/I12,  )</f>
        <v>0</v>
      </c>
    </row>
    <row r="13" customFormat="false" ht="15" hidden="false" customHeight="false" outlineLevel="0" collapsed="false">
      <c r="B13" s="9" t="s">
        <v>11</v>
      </c>
      <c r="C13" s="10" t="n">
        <v>44781</v>
      </c>
      <c r="D13" s="11"/>
      <c r="E13" s="12" t="n">
        <f aca="false">IF(D13&gt;0, D13,(H$45/(H$42-H$43)))</f>
        <v>0</v>
      </c>
      <c r="F13" s="13"/>
      <c r="G13" s="14" t="n">
        <f aca="false">IF(F13&gt;0,D13/F13, )</f>
        <v>0</v>
      </c>
      <c r="H13" s="13"/>
      <c r="I13" s="14" t="n">
        <f aca="false">IF(H13&gt;0,H13/F13,  )</f>
        <v>0</v>
      </c>
      <c r="J13" s="14" t="n">
        <f aca="false">IF(I13&gt;0,G13/I13,  )</f>
        <v>0</v>
      </c>
    </row>
    <row r="14" customFormat="false" ht="15" hidden="false" customHeight="false" outlineLevel="0" collapsed="false">
      <c r="B14" s="9" t="s">
        <v>12</v>
      </c>
      <c r="C14" s="10" t="n">
        <v>44782</v>
      </c>
      <c r="D14" s="11"/>
      <c r="E14" s="12" t="n">
        <f aca="false">IF(D14&gt;0, D14,(H$45/(H$42-H$43)))</f>
        <v>0</v>
      </c>
      <c r="F14" s="13"/>
      <c r="G14" s="14" t="n">
        <f aca="false">IF(F14&gt;0,D14/F14, )</f>
        <v>0</v>
      </c>
      <c r="H14" s="13"/>
      <c r="I14" s="14" t="n">
        <f aca="false">IF(H14&gt;0,H14/F14,  )</f>
        <v>0</v>
      </c>
      <c r="J14" s="14" t="n">
        <f aca="false">IF(I14&gt;0,G14/I14,  )</f>
        <v>0</v>
      </c>
    </row>
    <row r="15" customFormat="false" ht="15" hidden="false" customHeight="false" outlineLevel="0" collapsed="false">
      <c r="B15" s="9" t="s">
        <v>13</v>
      </c>
      <c r="C15" s="10" t="n">
        <v>44783</v>
      </c>
      <c r="D15" s="11"/>
      <c r="E15" s="12" t="n">
        <f aca="false">IF(D15&gt;0, D15,(H$45/(H$42-H$43)))</f>
        <v>0</v>
      </c>
      <c r="F15" s="13"/>
      <c r="G15" s="14" t="n">
        <f aca="false">IF(F15&gt;0,D15/F15, )</f>
        <v>0</v>
      </c>
      <c r="H15" s="13"/>
      <c r="I15" s="14" t="n">
        <f aca="false">IF(H15&gt;0,H15/F15,  )</f>
        <v>0</v>
      </c>
      <c r="J15" s="14" t="n">
        <f aca="false">IF(I15&gt;0,G15/I15,  )</f>
        <v>0</v>
      </c>
    </row>
    <row r="16" customFormat="false" ht="15" hidden="false" customHeight="false" outlineLevel="0" collapsed="false">
      <c r="B16" s="9" t="s">
        <v>14</v>
      </c>
      <c r="C16" s="10" t="n">
        <v>44784</v>
      </c>
      <c r="D16" s="15"/>
      <c r="E16" s="12" t="n">
        <f aca="false">IF(D16&gt;0, D16,(H$45/(H$42-H$43)))</f>
        <v>0</v>
      </c>
      <c r="F16" s="16"/>
      <c r="G16" s="17" t="n">
        <f aca="false">IF(F16&gt;0,D16/F16, )</f>
        <v>0</v>
      </c>
      <c r="H16" s="16"/>
      <c r="I16" s="17" t="n">
        <f aca="false">IF(H16&gt;0,H16/F16,  )</f>
        <v>0</v>
      </c>
      <c r="J16" s="17" t="n">
        <f aca="false">IF(I16&gt;0,G16/I16,  )</f>
        <v>0</v>
      </c>
    </row>
    <row r="17" customFormat="false" ht="15" hidden="false" customHeight="false" outlineLevel="0" collapsed="false">
      <c r="B17" s="9" t="s">
        <v>15</v>
      </c>
      <c r="C17" s="10" t="n">
        <v>44785</v>
      </c>
      <c r="D17" s="15"/>
      <c r="E17" s="12" t="n">
        <f aca="false">IF(D17&gt;0, D17,(H$45/(H$42-H$43)))</f>
        <v>0</v>
      </c>
      <c r="F17" s="16"/>
      <c r="G17" s="17" t="n">
        <f aca="false">IF(F17&gt;0,D17/F17, )</f>
        <v>0</v>
      </c>
      <c r="H17" s="16"/>
      <c r="I17" s="17" t="n">
        <f aca="false">IF(H17&gt;0,H17/F17,  )</f>
        <v>0</v>
      </c>
      <c r="J17" s="17" t="n">
        <f aca="false">IF(I17&gt;0,G17/I17,  )</f>
        <v>0</v>
      </c>
    </row>
    <row r="18" customFormat="false" ht="15" hidden="false" customHeight="false" outlineLevel="0" collapsed="false">
      <c r="B18" s="9" t="s">
        <v>16</v>
      </c>
      <c r="C18" s="10" t="n">
        <v>44786</v>
      </c>
      <c r="D18" s="11"/>
      <c r="E18" s="12" t="n">
        <f aca="false">IF(D18&gt;0, D18,(H$45/(H$42-H$43)))</f>
        <v>0</v>
      </c>
      <c r="F18" s="13"/>
      <c r="G18" s="14" t="n">
        <f aca="false">IF(F18&gt;0,D18/F18, )</f>
        <v>0</v>
      </c>
      <c r="H18" s="13"/>
      <c r="I18" s="14" t="n">
        <f aca="false">IF(H18&gt;0,H18/F18,  )</f>
        <v>0</v>
      </c>
      <c r="J18" s="14" t="n">
        <f aca="false">IF(I18&gt;0,G18/I18,  )</f>
        <v>0</v>
      </c>
    </row>
    <row r="19" customFormat="false" ht="15" hidden="false" customHeight="false" outlineLevel="0" collapsed="false">
      <c r="B19" s="9" t="s">
        <v>17</v>
      </c>
      <c r="C19" s="10" t="n">
        <v>44787</v>
      </c>
      <c r="D19" s="11"/>
      <c r="E19" s="12" t="n">
        <f aca="false">IF(D19&gt;0, D19,(H$45/(H$42-H$43)))</f>
        <v>0</v>
      </c>
      <c r="F19" s="13"/>
      <c r="G19" s="14" t="n">
        <f aca="false">IF(F19&gt;0,D19/F19, )</f>
        <v>0</v>
      </c>
      <c r="H19" s="13"/>
      <c r="I19" s="14" t="n">
        <f aca="false">IF(H19&gt;0,H19/F19,  )</f>
        <v>0</v>
      </c>
      <c r="J19" s="14" t="n">
        <f aca="false">IF(I19&gt;0,G19/I19,  )</f>
        <v>0</v>
      </c>
      <c r="L19" s="18"/>
    </row>
    <row r="20" customFormat="false" ht="15" hidden="false" customHeight="false" outlineLevel="0" collapsed="false">
      <c r="B20" s="9" t="s">
        <v>11</v>
      </c>
      <c r="C20" s="10" t="n">
        <v>44788</v>
      </c>
      <c r="D20" s="11"/>
      <c r="E20" s="12" t="n">
        <f aca="false">IF(D20&gt;0, D20,(H$45/(H$42-H$43)))</f>
        <v>0</v>
      </c>
      <c r="F20" s="13"/>
      <c r="G20" s="14" t="n">
        <f aca="false">IF(F20&gt;0,D20/F20, )</f>
        <v>0</v>
      </c>
      <c r="H20" s="13"/>
      <c r="I20" s="14" t="n">
        <f aca="false">IF(H20&gt;0,H20/F20,  )</f>
        <v>0</v>
      </c>
      <c r="J20" s="14" t="n">
        <f aca="false">IF(I20&gt;0,G20/I20,  )</f>
        <v>0</v>
      </c>
      <c r="L20" s="18"/>
    </row>
    <row r="21" customFormat="false" ht="15" hidden="false" customHeight="false" outlineLevel="0" collapsed="false">
      <c r="B21" s="9" t="s">
        <v>12</v>
      </c>
      <c r="C21" s="10" t="n">
        <v>44789</v>
      </c>
      <c r="D21" s="11"/>
      <c r="E21" s="12" t="n">
        <f aca="false">IF(D21&gt;0, D21,(H$45/(H$42-H$43)))</f>
        <v>0</v>
      </c>
      <c r="F21" s="13"/>
      <c r="G21" s="14" t="n">
        <f aca="false">IF(F21&gt;0,D21/F21, )</f>
        <v>0</v>
      </c>
      <c r="H21" s="13"/>
      <c r="I21" s="14" t="n">
        <f aca="false">IF(H21&gt;0,H21/F21,  )</f>
        <v>0</v>
      </c>
      <c r="J21" s="14" t="n">
        <f aca="false">IF(I21&gt;0,G21/I21,  )</f>
        <v>0</v>
      </c>
      <c r="L21" s="18"/>
    </row>
    <row r="22" customFormat="false" ht="15" hidden="false" customHeight="false" outlineLevel="0" collapsed="false">
      <c r="B22" s="9" t="s">
        <v>13</v>
      </c>
      <c r="C22" s="10" t="n">
        <v>44790</v>
      </c>
      <c r="D22" s="11"/>
      <c r="E22" s="12" t="n">
        <f aca="false">IF(D22&gt;0, D22,(H$45/(H$42-H$43)))</f>
        <v>0</v>
      </c>
      <c r="F22" s="13"/>
      <c r="G22" s="14" t="n">
        <f aca="false">IF(F22&gt;0,D22/F22, )</f>
        <v>0</v>
      </c>
      <c r="H22" s="13"/>
      <c r="I22" s="14" t="n">
        <f aca="false">IF(H22&gt;0,H22/F22,  )</f>
        <v>0</v>
      </c>
      <c r="J22" s="14" t="n">
        <f aca="false">IF(I22&gt;0,G22/I22,  )</f>
        <v>0</v>
      </c>
      <c r="L22" s="18"/>
    </row>
    <row r="23" customFormat="false" ht="15" hidden="false" customHeight="false" outlineLevel="0" collapsed="false">
      <c r="B23" s="9" t="s">
        <v>14</v>
      </c>
      <c r="C23" s="10" t="n">
        <v>44791</v>
      </c>
      <c r="D23" s="15" t="n">
        <v>0</v>
      </c>
      <c r="E23" s="12" t="n">
        <f aca="false">IF(D23&gt;0, D23,(H$45/(H$42-H$43)))</f>
        <v>0</v>
      </c>
      <c r="F23" s="16"/>
      <c r="G23" s="17" t="n">
        <f aca="false">IF(F23&gt;0,D23/F23, )</f>
        <v>0</v>
      </c>
      <c r="H23" s="16"/>
      <c r="I23" s="17" t="n">
        <f aca="false">IF(H23&gt;0,H23/F23,  )</f>
        <v>0</v>
      </c>
      <c r="J23" s="17" t="n">
        <f aca="false">IF(I23&gt;0,G23/I23,  )</f>
        <v>0</v>
      </c>
      <c r="L23" s="18"/>
    </row>
    <row r="24" customFormat="false" ht="15" hidden="false" customHeight="false" outlineLevel="0" collapsed="false">
      <c r="B24" s="9" t="s">
        <v>15</v>
      </c>
      <c r="C24" s="10" t="n">
        <v>44792</v>
      </c>
      <c r="D24" s="15" t="n">
        <v>1540200</v>
      </c>
      <c r="E24" s="12" t="n">
        <f aca="false">IF(D24&gt;0, D24,(H$45/(H$42-H$43)))</f>
        <v>1540200</v>
      </c>
      <c r="F24" s="16" t="n">
        <v>52</v>
      </c>
      <c r="G24" s="17" t="n">
        <f aca="false">IF(F24&gt;0,D24/F24, )</f>
        <v>29619.2307692308</v>
      </c>
      <c r="H24" s="16" t="n">
        <v>155</v>
      </c>
      <c r="I24" s="17" t="n">
        <f aca="false">IF(H24&gt;0,H24/F24,  )</f>
        <v>2.98076923076923</v>
      </c>
      <c r="J24" s="17" t="n">
        <f aca="false">IF(I24&gt;0,G24/I24,  )</f>
        <v>9936.77419354839</v>
      </c>
      <c r="L24" s="18"/>
    </row>
    <row r="25" customFormat="false" ht="15" hidden="false" customHeight="false" outlineLevel="0" collapsed="false">
      <c r="B25" s="9" t="s">
        <v>16</v>
      </c>
      <c r="C25" s="10" t="n">
        <v>44793</v>
      </c>
      <c r="D25" s="11" t="n">
        <v>3389950</v>
      </c>
      <c r="E25" s="12" t="n">
        <f aca="false">IF(D25&gt;0, D25,(H$45/(H$42-H$43)))</f>
        <v>3389950</v>
      </c>
      <c r="F25" s="19" t="n">
        <f aca="false">16+67</f>
        <v>83</v>
      </c>
      <c r="G25" s="14" t="n">
        <f aca="false">IF(F25&gt;0,D25/F25, )</f>
        <v>40842.7710843374</v>
      </c>
      <c r="H25" s="16" t="n">
        <v>266</v>
      </c>
      <c r="I25" s="14" t="n">
        <f aca="false">IF(H25&gt;0,H25/F25,  )</f>
        <v>3.20481927710843</v>
      </c>
      <c r="J25" s="14" t="n">
        <f aca="false">IF(I25&gt;0,G25/I25,  )</f>
        <v>12744.1729323308</v>
      </c>
      <c r="L25" s="18"/>
    </row>
    <row r="26" customFormat="false" ht="15" hidden="false" customHeight="false" outlineLevel="0" collapsed="false">
      <c r="B26" s="9" t="s">
        <v>17</v>
      </c>
      <c r="C26" s="10" t="n">
        <v>44794</v>
      </c>
      <c r="D26" s="11" t="n">
        <v>3276300</v>
      </c>
      <c r="E26" s="12" t="n">
        <f aca="false">IF(D26&gt;0, D26,(H$45/(H$42-H$43)))</f>
        <v>3276300</v>
      </c>
      <c r="F26" s="13" t="n">
        <v>73</v>
      </c>
      <c r="G26" s="14" t="n">
        <f aca="false">IF(F26&gt;0,D26/F26, )</f>
        <v>44880.8219178082</v>
      </c>
      <c r="H26" s="16" t="n">
        <v>283</v>
      </c>
      <c r="I26" s="14" t="n">
        <f aca="false">IF(H26&gt;0,H26/F26,  )</f>
        <v>3.87671232876712</v>
      </c>
      <c r="J26" s="14" t="n">
        <f aca="false">IF(I26&gt;0,G26/I26,  )</f>
        <v>11577.0318021201</v>
      </c>
      <c r="L26" s="18"/>
    </row>
    <row r="27" customFormat="false" ht="15" hidden="false" customHeight="false" outlineLevel="0" collapsed="false">
      <c r="B27" s="9" t="s">
        <v>11</v>
      </c>
      <c r="C27" s="10" t="n">
        <v>44795</v>
      </c>
      <c r="D27" s="11" t="n">
        <v>1958850</v>
      </c>
      <c r="E27" s="12" t="n">
        <f aca="false">IF(D27&gt;0, D27,(H$45/(H$42-H$43)))</f>
        <v>1958850</v>
      </c>
      <c r="F27" s="13" t="n">
        <v>55</v>
      </c>
      <c r="G27" s="14" t="n">
        <f aca="false">IF(F27&gt;0,D27/F27, )</f>
        <v>35615.4545454545</v>
      </c>
      <c r="H27" s="16" t="n">
        <v>165</v>
      </c>
      <c r="I27" s="14" t="n">
        <f aca="false">IF(H27&gt;0,H27/F27,  )</f>
        <v>3</v>
      </c>
      <c r="J27" s="14" t="n">
        <f aca="false">IF(I27&gt;0,G27/I27,  )</f>
        <v>11871.8181818182</v>
      </c>
      <c r="L27" s="18"/>
    </row>
    <row r="28" customFormat="false" ht="15" hidden="false" customHeight="false" outlineLevel="0" collapsed="false">
      <c r="B28" s="9" t="s">
        <v>12</v>
      </c>
      <c r="C28" s="10" t="n">
        <v>44796</v>
      </c>
      <c r="D28" s="11" t="n">
        <v>3948150</v>
      </c>
      <c r="E28" s="12" t="n">
        <f aca="false">IF(D28&gt;0, D28,(H$45/(H$42-H$43)))</f>
        <v>3948150</v>
      </c>
      <c r="F28" s="13" t="n">
        <v>80</v>
      </c>
      <c r="G28" s="14" t="n">
        <f aca="false">IF(F28&gt;0,D28/F28, )</f>
        <v>49351.875</v>
      </c>
      <c r="H28" s="16" t="n">
        <v>333</v>
      </c>
      <c r="I28" s="14" t="n">
        <f aca="false">IF(H28&gt;0,H28/F28,  )</f>
        <v>4.1625</v>
      </c>
      <c r="J28" s="14" t="n">
        <f aca="false">IF(I28&gt;0,G28/I28,  )</f>
        <v>11856.3063063063</v>
      </c>
      <c r="L28" s="18"/>
    </row>
    <row r="29" customFormat="false" ht="15" hidden="false" customHeight="false" outlineLevel="0" collapsed="false">
      <c r="B29" s="9" t="s">
        <v>13</v>
      </c>
      <c r="C29" s="10" t="n">
        <v>44797</v>
      </c>
      <c r="D29" s="11" t="n">
        <v>1223950</v>
      </c>
      <c r="E29" s="12" t="n">
        <f aca="false">IF(D29&gt;0, D29,(H$45/(H$42-H$43)))</f>
        <v>1223950</v>
      </c>
      <c r="F29" s="13" t="n">
        <v>50</v>
      </c>
      <c r="G29" s="14" t="n">
        <f aca="false">IF(F29&gt;0,D29/F29, )</f>
        <v>24479</v>
      </c>
      <c r="H29" s="16" t="n">
        <v>119</v>
      </c>
      <c r="I29" s="14" t="n">
        <f aca="false">IF(H29&gt;0,H29/F29,  )</f>
        <v>2.38</v>
      </c>
      <c r="J29" s="14" t="n">
        <f aca="false">IF(I29&gt;0,G29/I29,  )</f>
        <v>10285.2941176471</v>
      </c>
      <c r="L29" s="18"/>
    </row>
    <row r="30" customFormat="false" ht="15" hidden="false" customHeight="false" outlineLevel="0" collapsed="false">
      <c r="B30" s="9" t="s">
        <v>14</v>
      </c>
      <c r="C30" s="10" t="n">
        <v>44798</v>
      </c>
      <c r="D30" s="15" t="n">
        <v>2651500</v>
      </c>
      <c r="E30" s="12" t="n">
        <f aca="false">IF(D30&gt;0, D30,(H$45/(H$42-H$43)))</f>
        <v>2651500</v>
      </c>
      <c r="F30" s="16" t="n">
        <v>77</v>
      </c>
      <c r="G30" s="17" t="n">
        <f aca="false">IF(F30&gt;0,D30/F30, )</f>
        <v>34435.0649350649</v>
      </c>
      <c r="H30" s="16" t="n">
        <v>248</v>
      </c>
      <c r="I30" s="17" t="n">
        <f aca="false">IF(H30&gt;0,H30/F30,  )</f>
        <v>3.22077922077922</v>
      </c>
      <c r="J30" s="17" t="n">
        <f aca="false">IF(I30&gt;0,G30/I30,  )</f>
        <v>10691.5322580645</v>
      </c>
      <c r="L30" s="18"/>
    </row>
    <row r="31" customFormat="false" ht="15" hidden="false" customHeight="false" outlineLevel="0" collapsed="false">
      <c r="B31" s="9" t="s">
        <v>15</v>
      </c>
      <c r="C31" s="10" t="n">
        <v>44799</v>
      </c>
      <c r="D31" s="15" t="n">
        <v>2820200</v>
      </c>
      <c r="E31" s="12" t="n">
        <f aca="false">IF(D31&gt;0, D31,(H$45/(H$42-H$43)))</f>
        <v>2820200</v>
      </c>
      <c r="F31" s="16" t="n">
        <v>72</v>
      </c>
      <c r="G31" s="17" t="n">
        <f aca="false">IF(F31&gt;0,D31/F31, )</f>
        <v>39169.4444444444</v>
      </c>
      <c r="H31" s="16" t="n">
        <v>275</v>
      </c>
      <c r="I31" s="17" t="n">
        <f aca="false">IF(H31&gt;0,H31/F31,  )</f>
        <v>3.81944444444444</v>
      </c>
      <c r="J31" s="17" t="n">
        <f aca="false">IF(I31&gt;0,G31/I31,  )</f>
        <v>10255.2727272727</v>
      </c>
      <c r="L31" s="18"/>
    </row>
    <row r="32" customFormat="false" ht="15" hidden="false" customHeight="false" outlineLevel="0" collapsed="false">
      <c r="B32" s="9" t="s">
        <v>16</v>
      </c>
      <c r="C32" s="10" t="n">
        <v>44800</v>
      </c>
      <c r="D32" s="11" t="n">
        <v>2586450</v>
      </c>
      <c r="E32" s="12" t="n">
        <f aca="false">IF(D32&gt;0, D32,(H$45/(H$42-H$43)))</f>
        <v>2586450</v>
      </c>
      <c r="F32" s="13" t="n">
        <v>61</v>
      </c>
      <c r="G32" s="14" t="n">
        <f aca="false">IF(F32&gt;0,D32/F32, )</f>
        <v>42400.8196721312</v>
      </c>
      <c r="H32" s="16" t="n">
        <v>207</v>
      </c>
      <c r="I32" s="14" t="n">
        <f aca="false">IF(H32&gt;0,H32/F32,  )</f>
        <v>3.39344262295082</v>
      </c>
      <c r="J32" s="14" t="n">
        <f aca="false">IF(I32&gt;0,G32/I32,  )</f>
        <v>12494.9275362319</v>
      </c>
    </row>
    <row r="33" customFormat="false" ht="15" hidden="false" customHeight="false" outlineLevel="0" collapsed="false">
      <c r="B33" s="9" t="s">
        <v>17</v>
      </c>
      <c r="C33" s="10" t="n">
        <v>44801</v>
      </c>
      <c r="D33" s="11" t="n">
        <v>2065250</v>
      </c>
      <c r="E33" s="12" t="n">
        <f aca="false">IF(D33&gt;0, D33,(H$45/(H$42-H$43)))</f>
        <v>2065250</v>
      </c>
      <c r="F33" s="13" t="n">
        <v>56</v>
      </c>
      <c r="G33" s="14" t="n">
        <f aca="false">IF(F33&gt;0,D33/F33, )</f>
        <v>36879.4642857143</v>
      </c>
      <c r="H33" s="16" t="n">
        <v>141</v>
      </c>
      <c r="I33" s="14" t="n">
        <f aca="false">IF(H33&gt;0,H33/F33,  )</f>
        <v>2.51785714285714</v>
      </c>
      <c r="J33" s="14" t="n">
        <f aca="false">IF(I33&gt;0,G33/I33,  )</f>
        <v>14647.1631205674</v>
      </c>
      <c r="L33" s="20"/>
    </row>
    <row r="34" customFormat="false" ht="15" hidden="false" customHeight="false" outlineLevel="0" collapsed="false">
      <c r="B34" s="9" t="s">
        <v>11</v>
      </c>
      <c r="C34" s="10" t="n">
        <v>44802</v>
      </c>
      <c r="D34" s="11" t="n">
        <v>2223000</v>
      </c>
      <c r="E34" s="12" t="n">
        <f aca="false">IF(D34&gt;0, D34,(H$45/(H$42-H$43)))</f>
        <v>2223000</v>
      </c>
      <c r="F34" s="13" t="n">
        <v>54</v>
      </c>
      <c r="G34" s="14" t="n">
        <f aca="false">IF(F34&gt;0,D34/F34, )</f>
        <v>41166.6666666667</v>
      </c>
      <c r="H34" s="16" t="n">
        <v>169</v>
      </c>
      <c r="I34" s="14" t="n">
        <f aca="false">IF(H34&gt;0,H34/F34,  )</f>
        <v>3.12962962962963</v>
      </c>
      <c r="J34" s="14" t="n">
        <f aca="false">IF(I34&gt;0,G34/I34,  )</f>
        <v>13153.8461538462</v>
      </c>
    </row>
    <row r="35" customFormat="false" ht="15" hidden="false" customHeight="false" outlineLevel="0" collapsed="false">
      <c r="B35" s="9" t="s">
        <v>12</v>
      </c>
      <c r="C35" s="10" t="n">
        <v>44803</v>
      </c>
      <c r="D35" s="11" t="n">
        <v>2097000</v>
      </c>
      <c r="E35" s="12" t="n">
        <f aca="false">IF(D35&gt;0, D35,(H$45/(H$42-H$43)))</f>
        <v>2097000</v>
      </c>
      <c r="F35" s="13" t="n">
        <v>61</v>
      </c>
      <c r="G35" s="14" t="n">
        <f aca="false">IF(F35&gt;0,D35/F35, )</f>
        <v>34377.0491803279</v>
      </c>
      <c r="H35" s="16" t="n">
        <v>264</v>
      </c>
      <c r="I35" s="14" t="n">
        <f aca="false">IF(H35&gt;0,H35/F35,  )</f>
        <v>4.32786885245902</v>
      </c>
      <c r="J35" s="14" t="n">
        <f aca="false">IF(I35&gt;0,G35/I35,  )</f>
        <v>7943.18181818182</v>
      </c>
    </row>
    <row r="36" customFormat="false" ht="15" hidden="false" customHeight="false" outlineLevel="0" collapsed="false">
      <c r="B36" s="9" t="s">
        <v>13</v>
      </c>
      <c r="C36" s="10" t="n">
        <v>44804</v>
      </c>
      <c r="D36" s="11" t="n">
        <v>2307450</v>
      </c>
      <c r="E36" s="12" t="n">
        <f aca="false">IF(D36&gt;0, D36,(H$45/(H$42-H$43)))</f>
        <v>2307450</v>
      </c>
      <c r="F36" s="13" t="n">
        <v>52</v>
      </c>
      <c r="G36" s="14" t="n">
        <f aca="false">IF(F36&gt;0,D36/F36, )</f>
        <v>44374.0384615385</v>
      </c>
      <c r="H36" s="16" t="n">
        <v>160</v>
      </c>
      <c r="I36" s="14" t="n">
        <f aca="false">IF(H36&gt;0,H36/F36,  )</f>
        <v>3.07692307692308</v>
      </c>
      <c r="J36" s="14" t="n">
        <f aca="false">IF(I36&gt;0,G36/I36,  )</f>
        <v>14421.5625</v>
      </c>
    </row>
    <row r="37" customFormat="false" ht="15" hidden="false" customHeight="false" outlineLevel="0" collapsed="false">
      <c r="B37" s="21" t="s">
        <v>18</v>
      </c>
      <c r="C37" s="22"/>
      <c r="D37" s="23" t="n">
        <f aca="false">AVERAGE(D6:D36)</f>
        <v>2292017.85714286</v>
      </c>
      <c r="E37" s="23"/>
      <c r="F37" s="24" t="n">
        <f aca="false">AVERAGE(F6:F36)</f>
        <v>63.5384615384615</v>
      </c>
      <c r="G37" s="23" t="n">
        <f aca="false">D37/F37</f>
        <v>36072.9202698028</v>
      </c>
      <c r="H37" s="24" t="n">
        <f aca="false">AVERAGE(H6:H36)</f>
        <v>214.230769230769</v>
      </c>
      <c r="I37" s="24" t="n">
        <f aca="false">IF(H37&gt;0,H37/F37,  )</f>
        <v>3.37167070217918</v>
      </c>
      <c r="J37" s="25" t="n">
        <f aca="false">IF(I37&gt;0,G37/I37,  )</f>
        <v>10698.8266222108</v>
      </c>
    </row>
    <row r="38" customFormat="false" ht="15" hidden="false" customHeight="false" outlineLevel="0" collapsed="false">
      <c r="B38" s="26" t="s">
        <v>19</v>
      </c>
      <c r="C38" s="27"/>
      <c r="D38" s="28" t="n">
        <f aca="false">SUM(D6:D36)</f>
        <v>32088250</v>
      </c>
      <c r="E38" s="28"/>
      <c r="F38" s="29" t="n">
        <f aca="false">SUM(F6:F36)</f>
        <v>826</v>
      </c>
      <c r="G38" s="30"/>
      <c r="H38" s="29" t="n">
        <f aca="false">SUM(H6:H36)</f>
        <v>2785</v>
      </c>
      <c r="I38" s="29"/>
      <c r="J38" s="29"/>
    </row>
    <row r="39" customFormat="false" ht="15" hidden="false" customHeight="false" outlineLevel="0" collapsed="false">
      <c r="B39" s="31" t="s">
        <v>20</v>
      </c>
      <c r="C39" s="32"/>
      <c r="D39" s="33" t="n">
        <v>32088250</v>
      </c>
      <c r="E39" s="34"/>
      <c r="F39" s="35"/>
      <c r="G39" s="36"/>
      <c r="H39" s="35"/>
      <c r="I39" s="35"/>
      <c r="J39" s="35"/>
    </row>
    <row r="40" customFormat="false" ht="15" hidden="false" customHeight="false" outlineLevel="0" collapsed="false">
      <c r="B40" s="37" t="s">
        <v>21</v>
      </c>
      <c r="C40" s="38"/>
      <c r="D40" s="39" t="n">
        <f aca="false">D38/D39</f>
        <v>1</v>
      </c>
      <c r="E40" s="39"/>
      <c r="F40" s="40"/>
      <c r="G40" s="41"/>
      <c r="H40" s="42"/>
      <c r="I40" s="42"/>
      <c r="J40" s="42"/>
    </row>
    <row r="42" customFormat="false" ht="15" hidden="false" customHeight="false" outlineLevel="0" collapsed="false">
      <c r="E42" s="43" t="s">
        <v>22</v>
      </c>
      <c r="F42" s="43"/>
      <c r="G42" s="43"/>
      <c r="H42" s="44" t="n">
        <f aca="false">COUNTA(C6:C36)</f>
        <v>31</v>
      </c>
    </row>
    <row r="43" customFormat="false" ht="15" hidden="false" customHeight="false" outlineLevel="0" collapsed="false">
      <c r="E43" s="45" t="s">
        <v>23</v>
      </c>
      <c r="F43" s="45"/>
      <c r="G43" s="45"/>
      <c r="H43" s="46" t="n">
        <f aca="false">COUNTA(D6:D36)</f>
        <v>14</v>
      </c>
    </row>
    <row r="44" customFormat="false" ht="15" hidden="false" customHeight="false" outlineLevel="0" collapsed="false">
      <c r="E44" s="47" t="s">
        <v>24</v>
      </c>
      <c r="F44" s="47"/>
      <c r="G44" s="47"/>
      <c r="H44" s="48" t="n">
        <f aca="false">D39</f>
        <v>32088250</v>
      </c>
    </row>
    <row r="45" customFormat="false" ht="15" hidden="false" customHeight="false" outlineLevel="0" collapsed="false">
      <c r="E45" s="49" t="s">
        <v>25</v>
      </c>
      <c r="F45" s="49"/>
      <c r="G45" s="49"/>
      <c r="H45" s="50" t="n">
        <f aca="false">D39-D38</f>
        <v>0</v>
      </c>
    </row>
    <row r="46" customFormat="false" ht="15" hidden="false" customHeight="false" outlineLevel="0" collapsed="false">
      <c r="E46" s="49" t="s">
        <v>26</v>
      </c>
      <c r="F46" s="49"/>
      <c r="G46" s="49"/>
      <c r="H46" s="51" t="n">
        <f aca="false">H49*H42</f>
        <v>71052553.5714286</v>
      </c>
    </row>
    <row r="47" customFormat="false" ht="15" hidden="false" customHeight="false" outlineLevel="0" collapsed="false">
      <c r="E47" s="52" t="s">
        <v>27</v>
      </c>
      <c r="F47" s="52"/>
      <c r="G47" s="52"/>
      <c r="H47" s="53" t="n">
        <f aca="false">H46-H44</f>
        <v>38964303.5714286</v>
      </c>
    </row>
    <row r="48" customFormat="false" ht="15" hidden="false" customHeight="false" outlineLevel="0" collapsed="false">
      <c r="E48" s="54" t="s">
        <v>28</v>
      </c>
      <c r="F48" s="54"/>
      <c r="G48" s="54"/>
      <c r="H48" s="55" t="n">
        <f aca="false">H44/H42</f>
        <v>1035104.83870968</v>
      </c>
    </row>
    <row r="49" customFormat="false" ht="15" hidden="false" customHeight="false" outlineLevel="0" collapsed="false">
      <c r="E49" s="56" t="s">
        <v>29</v>
      </c>
      <c r="F49" s="56"/>
      <c r="G49" s="56"/>
      <c r="H49" s="57" t="n">
        <f aca="false">AVERAGE(D6:D36)</f>
        <v>2292017.85714286</v>
      </c>
    </row>
    <row r="50" customFormat="false" ht="15" hidden="false" customHeight="false" outlineLevel="0" collapsed="false">
      <c r="E50" s="56" t="s">
        <v>30</v>
      </c>
      <c r="F50" s="56"/>
      <c r="G50" s="56"/>
      <c r="H50" s="58" t="n">
        <f aca="false">(H44/H52)/H42</f>
        <v>28.6947890818859</v>
      </c>
    </row>
    <row r="51" customFormat="false" ht="15" hidden="false" customHeight="false" outlineLevel="0" collapsed="false">
      <c r="E51" s="56" t="s">
        <v>31</v>
      </c>
      <c r="F51" s="56"/>
      <c r="G51" s="56"/>
      <c r="H51" s="57" t="n">
        <f aca="false">F37</f>
        <v>63.5384615384615</v>
      </c>
    </row>
    <row r="52" customFormat="false" ht="15" hidden="false" customHeight="false" outlineLevel="0" collapsed="false">
      <c r="E52" s="56" t="s">
        <v>32</v>
      </c>
      <c r="F52" s="56"/>
      <c r="G52" s="56"/>
      <c r="H52" s="59" t="n">
        <f aca="false">G37</f>
        <v>36072.9202698028</v>
      </c>
    </row>
    <row r="53" customFormat="false" ht="15" hidden="false" customHeight="false" outlineLevel="0" collapsed="false">
      <c r="E53" s="56" t="s">
        <v>33</v>
      </c>
      <c r="F53" s="56"/>
      <c r="G53" s="56"/>
      <c r="H53" s="60" t="n">
        <f aca="false">H49-H48</f>
        <v>1256913.01843318</v>
      </c>
    </row>
    <row r="54" customFormat="false" ht="15" hidden="false" customHeight="false" outlineLevel="0" collapsed="false">
      <c r="E54" s="56" t="s">
        <v>34</v>
      </c>
      <c r="F54" s="56"/>
      <c r="G54" s="56"/>
      <c r="H54" s="61" t="n">
        <f aca="false">H46/H44</f>
        <v>2.21428571428571</v>
      </c>
    </row>
    <row r="55" customFormat="false" ht="15" hidden="false" customHeight="false" outlineLevel="0" collapsed="false">
      <c r="E55" s="62" t="s">
        <v>35</v>
      </c>
      <c r="F55" s="62"/>
      <c r="G55" s="62"/>
      <c r="H55" s="63" t="n">
        <f aca="false">D38/H44</f>
        <v>1</v>
      </c>
    </row>
  </sheetData>
  <mergeCells count="15">
    <mergeCell ref="D4:J4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6" activeCellId="0" sqref="D36"/>
    </sheetView>
  </sheetViews>
  <sheetFormatPr defaultColWidth="10.25" defaultRowHeight="15" zeroHeight="false" outlineLevelRow="0" outlineLevelCol="0"/>
  <cols>
    <col collapsed="false" customWidth="true" hidden="false" outlineLevel="0" max="1" min="1" style="71" width="23.51"/>
    <col collapsed="false" customWidth="true" hidden="false" outlineLevel="0" max="2" min="2" style="71" width="11.59"/>
    <col collapsed="false" customWidth="true" hidden="false" outlineLevel="0" max="3" min="3" style="71" width="9.18"/>
    <col collapsed="false" customWidth="true" hidden="false" outlineLevel="0" max="8" min="4" style="71" width="14.54"/>
    <col collapsed="false" customWidth="true" hidden="false" outlineLevel="0" max="9" min="9" style="71" width="13.33"/>
    <col collapsed="false" customWidth="true" hidden="false" outlineLevel="0" max="10" min="10" style="71" width="12.5"/>
    <col collapsed="false" customWidth="false" hidden="false" outlineLevel="0" max="64" min="11" style="71" width="10.27"/>
  </cols>
  <sheetData>
    <row r="1" customFormat="false" ht="23.1" hidden="false" customHeight="true" outlineLevel="0" collapsed="false">
      <c r="B1" s="128" t="s">
        <v>50</v>
      </c>
      <c r="C1" s="100"/>
      <c r="D1" s="129" t="s">
        <v>1</v>
      </c>
      <c r="E1" s="129"/>
      <c r="F1" s="129"/>
      <c r="G1" s="129"/>
      <c r="H1" s="129"/>
      <c r="I1" s="129"/>
      <c r="J1" s="129"/>
    </row>
    <row r="2" customFormat="false" ht="30.55" hidden="false" customHeight="true" outlineLevel="0" collapsed="false">
      <c r="B2" s="130" t="s">
        <v>2</v>
      </c>
      <c r="C2" s="131" t="s">
        <v>3</v>
      </c>
      <c r="D2" s="132" t="s">
        <v>4</v>
      </c>
      <c r="E2" s="132" t="s">
        <v>5</v>
      </c>
      <c r="F2" s="132" t="s">
        <v>6</v>
      </c>
      <c r="G2" s="133" t="s">
        <v>7</v>
      </c>
      <c r="H2" s="134" t="s">
        <v>8</v>
      </c>
      <c r="I2" s="134" t="s">
        <v>9</v>
      </c>
      <c r="J2" s="134" t="s">
        <v>10</v>
      </c>
    </row>
    <row r="3" customFormat="false" ht="12.75" hidden="false" customHeight="true" outlineLevel="0" collapsed="false">
      <c r="B3" s="77" t="s">
        <v>40</v>
      </c>
      <c r="C3" s="78" t="n">
        <v>45139</v>
      </c>
      <c r="D3" s="67" t="n">
        <v>3641600</v>
      </c>
      <c r="E3" s="79" t="n">
        <f aca="false">IF(D3&gt;0, D3,(H$42/(H$39-H$40)))</f>
        <v>3641600</v>
      </c>
      <c r="F3" s="69" t="n">
        <v>104</v>
      </c>
      <c r="G3" s="80" t="n">
        <f aca="false">IF(F3&gt;0,D3/F3, )</f>
        <v>35015.3846153846</v>
      </c>
      <c r="H3" s="69" t="n">
        <v>293</v>
      </c>
      <c r="I3" s="80" t="n">
        <f aca="false">IF(H3&gt;0,H3/F3,  )</f>
        <v>2.81730769230769</v>
      </c>
      <c r="J3" s="80" t="n">
        <f aca="false">IF(I3&gt;0,G3/I3,  )</f>
        <v>12428.6689419795</v>
      </c>
    </row>
    <row r="4" customFormat="false" ht="12.75" hidden="false" customHeight="true" outlineLevel="0" collapsed="false">
      <c r="B4" s="77" t="s">
        <v>41</v>
      </c>
      <c r="C4" s="78" t="n">
        <v>45140</v>
      </c>
      <c r="D4" s="67" t="n">
        <v>4818550</v>
      </c>
      <c r="E4" s="79" t="n">
        <f aca="false">IF(D4&gt;0, D4,(H$42/(H$39-H$40)))</f>
        <v>4818550</v>
      </c>
      <c r="F4" s="69" t="n">
        <v>129</v>
      </c>
      <c r="G4" s="80" t="n">
        <f aca="false">IF(F4&gt;0,D4/F4, )</f>
        <v>37353.1007751938</v>
      </c>
      <c r="H4" s="69" t="n">
        <v>417</v>
      </c>
      <c r="I4" s="80" t="n">
        <f aca="false">IF(H4&gt;0,H4/F4,  )</f>
        <v>3.23255813953488</v>
      </c>
      <c r="J4" s="80" t="n">
        <f aca="false">IF(I4&gt;0,G4/I4,  )</f>
        <v>11555.2757793765</v>
      </c>
    </row>
    <row r="5" customFormat="false" ht="12.75" hidden="false" customHeight="true" outlineLevel="0" collapsed="false">
      <c r="B5" s="77" t="s">
        <v>42</v>
      </c>
      <c r="C5" s="78" t="n">
        <v>45141</v>
      </c>
      <c r="D5" s="67" t="n">
        <v>2942000</v>
      </c>
      <c r="E5" s="79" t="n">
        <f aca="false">IF(D5&gt;0, D5,(H$42/(H$39-H$40)))</f>
        <v>2942000</v>
      </c>
      <c r="F5" s="69" t="n">
        <v>99</v>
      </c>
      <c r="G5" s="80" t="n">
        <f aca="false">IF(F5&gt;0,D5/F5, )</f>
        <v>29717.1717171717</v>
      </c>
      <c r="H5" s="69" t="n">
        <v>261</v>
      </c>
      <c r="I5" s="80" t="n">
        <f aca="false">IF(H5&gt;0,H5/F5,  )</f>
        <v>2.63636363636364</v>
      </c>
      <c r="J5" s="80" t="n">
        <f aca="false">IF(I5&gt;0,G5/I5,  )</f>
        <v>11272.030651341</v>
      </c>
    </row>
    <row r="6" customFormat="false" ht="12.75" hidden="false" customHeight="true" outlineLevel="0" collapsed="false">
      <c r="B6" s="77" t="s">
        <v>43</v>
      </c>
      <c r="C6" s="78" t="n">
        <v>45142</v>
      </c>
      <c r="D6" s="67" t="n">
        <v>5208550</v>
      </c>
      <c r="E6" s="79" t="n">
        <f aca="false">IF(D6&gt;0, D6,(H$42/(H$39-H$40)))</f>
        <v>5208550</v>
      </c>
      <c r="F6" s="69" t="n">
        <v>138</v>
      </c>
      <c r="G6" s="80" t="n">
        <f aca="false">IF(F6&gt;0,D6/F6, )</f>
        <v>37743.115942029</v>
      </c>
      <c r="H6" s="69" t="n">
        <v>466</v>
      </c>
      <c r="I6" s="80" t="n">
        <f aca="false">IF(H6&gt;0,H6/F6,  )</f>
        <v>3.3768115942029</v>
      </c>
      <c r="J6" s="80" t="n">
        <f aca="false">IF(I6&gt;0,G6/I6,  )</f>
        <v>11177.1459227468</v>
      </c>
    </row>
    <row r="7" customFormat="false" ht="12.75" hidden="false" customHeight="true" outlineLevel="0" collapsed="false">
      <c r="B7" s="77" t="s">
        <v>44</v>
      </c>
      <c r="C7" s="78" t="n">
        <v>45143</v>
      </c>
      <c r="D7" s="67" t="n">
        <v>3528750</v>
      </c>
      <c r="E7" s="79" t="n">
        <f aca="false">IF(D7&gt;0, D7,(H$42/(H$39-H$40)))</f>
        <v>3528750</v>
      </c>
      <c r="F7" s="69" t="n">
        <v>105</v>
      </c>
      <c r="G7" s="80" t="n">
        <f aca="false">IF(F7&gt;0,D7/F7, )</f>
        <v>33607.1428571429</v>
      </c>
      <c r="H7" s="69" t="n">
        <v>307</v>
      </c>
      <c r="I7" s="80" t="n">
        <f aca="false">IF(H7&gt;0,H7/F7,  )</f>
        <v>2.92380952380952</v>
      </c>
      <c r="J7" s="80" t="n">
        <f aca="false">IF(I7&gt;0,G7/I7,  )</f>
        <v>11494.2996742671</v>
      </c>
    </row>
    <row r="8" customFormat="false" ht="12.75" hidden="false" customHeight="true" outlineLevel="0" collapsed="false">
      <c r="B8" s="77" t="s">
        <v>38</v>
      </c>
      <c r="C8" s="78" t="n">
        <v>45144</v>
      </c>
      <c r="D8" s="67" t="n">
        <v>6816050</v>
      </c>
      <c r="E8" s="79" t="n">
        <f aca="false">IF(D8&gt;0, D8,(H$42/(H$39-H$40)))</f>
        <v>6816050</v>
      </c>
      <c r="F8" s="69" t="n">
        <v>118</v>
      </c>
      <c r="G8" s="80" t="n">
        <f aca="false">IF(F8&gt;0,D8/F8, )</f>
        <v>57763.1355932203</v>
      </c>
      <c r="H8" s="69" t="n">
        <v>525</v>
      </c>
      <c r="I8" s="80" t="n">
        <f aca="false">IF(H8&gt;0,H8/F8,  )</f>
        <v>4.44915254237288</v>
      </c>
      <c r="J8" s="80" t="n">
        <f aca="false">IF(I8&gt;0,G8/I8,  )</f>
        <v>12982.9523809524</v>
      </c>
    </row>
    <row r="9" customFormat="false" ht="12.75" hidden="false" customHeight="true" outlineLevel="0" collapsed="false">
      <c r="B9" s="77" t="s">
        <v>39</v>
      </c>
      <c r="C9" s="78" t="n">
        <v>45145</v>
      </c>
      <c r="D9" s="67" t="n">
        <v>5268750</v>
      </c>
      <c r="E9" s="79" t="n">
        <f aca="false">IF(D9&gt;0, D9,(H$42/(H$39-H$40)))</f>
        <v>5268750</v>
      </c>
      <c r="F9" s="69" t="n">
        <f aca="false">91+22</f>
        <v>113</v>
      </c>
      <c r="G9" s="80" t="n">
        <f aca="false">IF(F9&gt;0,D9/F9, )</f>
        <v>46626.1061946903</v>
      </c>
      <c r="H9" s="69" t="n">
        <v>396</v>
      </c>
      <c r="I9" s="80" t="n">
        <f aca="false">IF(H9&gt;0,H9/F9,  )</f>
        <v>3.50442477876106</v>
      </c>
      <c r="J9" s="80" t="n">
        <f aca="false">IF(I9&gt;0,G9/I9,  )</f>
        <v>13304.9242424242</v>
      </c>
    </row>
    <row r="10" customFormat="false" ht="12.75" hidden="false" customHeight="true" outlineLevel="0" collapsed="false">
      <c r="B10" s="77" t="s">
        <v>40</v>
      </c>
      <c r="C10" s="78" t="n">
        <v>45146</v>
      </c>
      <c r="D10" s="67" t="n">
        <v>4891850</v>
      </c>
      <c r="E10" s="79" t="n">
        <f aca="false">IF(D10&gt;0, D10,(H$42/(H$39-H$40)))</f>
        <v>4891850</v>
      </c>
      <c r="F10" s="69" t="n">
        <v>125</v>
      </c>
      <c r="G10" s="80" t="n">
        <f aca="false">IF(F10&gt;0,D10/F10, )</f>
        <v>39134.8</v>
      </c>
      <c r="H10" s="69" t="n">
        <v>397</v>
      </c>
      <c r="I10" s="80" t="n">
        <f aca="false">IF(H10&gt;0,H10/F10,  )</f>
        <v>3.176</v>
      </c>
      <c r="J10" s="80" t="n">
        <f aca="false">IF(I10&gt;0,G10/I10,  )</f>
        <v>12322.040302267</v>
      </c>
    </row>
    <row r="11" customFormat="false" ht="12.75" hidden="false" customHeight="true" outlineLevel="0" collapsed="false">
      <c r="B11" s="77" t="s">
        <v>41</v>
      </c>
      <c r="C11" s="78" t="n">
        <v>45147</v>
      </c>
      <c r="D11" s="67" t="n">
        <v>4557050</v>
      </c>
      <c r="E11" s="79" t="n">
        <f aca="false">IF(D11&gt;0, D11,(H$42/(H$39-H$40)))</f>
        <v>4557050</v>
      </c>
      <c r="F11" s="69" t="n">
        <v>108</v>
      </c>
      <c r="G11" s="80" t="n">
        <f aca="false">IF(F11&gt;0,D11/F11, )</f>
        <v>42194.9074074074</v>
      </c>
      <c r="H11" s="69" t="n">
        <v>379</v>
      </c>
      <c r="I11" s="80" t="n">
        <f aca="false">IF(H11&gt;0,H11/F11,  )</f>
        <v>3.50925925925926</v>
      </c>
      <c r="J11" s="80" t="n">
        <f aca="false">IF(I11&gt;0,G11/I11,  )</f>
        <v>12023.8786279683</v>
      </c>
    </row>
    <row r="12" customFormat="false" ht="12.75" hidden="false" customHeight="true" outlineLevel="0" collapsed="false">
      <c r="B12" s="77" t="s">
        <v>42</v>
      </c>
      <c r="C12" s="78" t="n">
        <v>45148</v>
      </c>
      <c r="D12" s="67" t="n">
        <v>3267600</v>
      </c>
      <c r="E12" s="79" t="n">
        <f aca="false">IF(D12&gt;0, D12,(H$42/(H$39-H$40)))</f>
        <v>3267600</v>
      </c>
      <c r="F12" s="69" t="n">
        <v>111</v>
      </c>
      <c r="G12" s="80" t="n">
        <f aca="false">IF(F12&gt;0,D12/F12, )</f>
        <v>29437.8378378378</v>
      </c>
      <c r="H12" s="69" t="n">
        <v>313</v>
      </c>
      <c r="I12" s="80" t="n">
        <f aca="false">IF(H12&gt;0,H12/F12,  )</f>
        <v>2.81981981981982</v>
      </c>
      <c r="J12" s="80" t="n">
        <f aca="false">IF(I12&gt;0,G12/I12,  )</f>
        <v>10439.6166134185</v>
      </c>
    </row>
    <row r="13" customFormat="false" ht="12.75" hidden="false" customHeight="true" outlineLevel="0" collapsed="false">
      <c r="B13" s="77" t="s">
        <v>43</v>
      </c>
      <c r="C13" s="78" t="n">
        <v>45149</v>
      </c>
      <c r="D13" s="67" t="n">
        <v>1256800</v>
      </c>
      <c r="E13" s="79" t="n">
        <f aca="false">IF(D13&gt;0, D13,(H$42/(H$39-H$40)))</f>
        <v>1256800</v>
      </c>
      <c r="F13" s="69" t="n">
        <v>33</v>
      </c>
      <c r="G13" s="80" t="n">
        <f aca="false">IF(F13&gt;0,D13/F13, )</f>
        <v>38084.8484848485</v>
      </c>
      <c r="H13" s="69" t="n">
        <v>116</v>
      </c>
      <c r="I13" s="80" t="n">
        <f aca="false">IF(H13&gt;0,H13/F13,  )</f>
        <v>3.51515151515152</v>
      </c>
      <c r="J13" s="80" t="n">
        <f aca="false">IF(I13&gt;0,G13/I13,  )</f>
        <v>10834.4827586207</v>
      </c>
    </row>
    <row r="14" customFormat="false" ht="12.75" hidden="false" customHeight="true" outlineLevel="0" collapsed="false">
      <c r="B14" s="77" t="s">
        <v>44</v>
      </c>
      <c r="C14" s="78" t="n">
        <v>45150</v>
      </c>
      <c r="D14" s="67" t="n">
        <v>3885350</v>
      </c>
      <c r="E14" s="79" t="n">
        <f aca="false">IF(D14&gt;0, D14,(H$42/(H$39-H$40)))</f>
        <v>3885350</v>
      </c>
      <c r="F14" s="69" t="n">
        <v>80</v>
      </c>
      <c r="G14" s="80" t="n">
        <f aca="false">IF(F14&gt;0,D14/F14, )</f>
        <v>48566.875</v>
      </c>
      <c r="H14" s="69" t="n">
        <v>327</v>
      </c>
      <c r="I14" s="80" t="n">
        <f aca="false">IF(H14&gt;0,H14/F14,  )</f>
        <v>4.0875</v>
      </c>
      <c r="J14" s="80" t="n">
        <f aca="false">IF(I14&gt;0,G14/I14,  )</f>
        <v>11881.8042813456</v>
      </c>
    </row>
    <row r="15" customFormat="false" ht="12.75" hidden="false" customHeight="true" outlineLevel="0" collapsed="false">
      <c r="B15" s="77" t="s">
        <v>38</v>
      </c>
      <c r="C15" s="78" t="n">
        <v>45151</v>
      </c>
      <c r="D15" s="67" t="n">
        <v>3851450</v>
      </c>
      <c r="E15" s="79" t="n">
        <f aca="false">IF(D15&gt;0, D15,(H$42/(H$39-H$40)))</f>
        <v>3851450</v>
      </c>
      <c r="F15" s="69" t="n">
        <v>65</v>
      </c>
      <c r="G15" s="80" t="n">
        <f aca="false">IF(F15&gt;0,D15/F15, )</f>
        <v>59253.0769230769</v>
      </c>
      <c r="H15" s="69" t="n">
        <v>257</v>
      </c>
      <c r="I15" s="80" t="n">
        <f aca="false">IF(H15&gt;0,H15/F15,  )</f>
        <v>3.95384615384615</v>
      </c>
      <c r="J15" s="80" t="n">
        <f aca="false">IF(I15&gt;0,G15/I15,  )</f>
        <v>14986.186770428</v>
      </c>
    </row>
    <row r="16" customFormat="false" ht="12.75" hidden="false" customHeight="true" outlineLevel="0" collapsed="false">
      <c r="B16" s="77" t="s">
        <v>39</v>
      </c>
      <c r="C16" s="78" t="n">
        <v>45152</v>
      </c>
      <c r="D16" s="67" t="n">
        <v>4884600</v>
      </c>
      <c r="E16" s="79" t="n">
        <f aca="false">IF(D16&gt;0, D16,(H$42/(H$39-H$40)))</f>
        <v>4884600</v>
      </c>
      <c r="F16" s="69" t="n">
        <v>108</v>
      </c>
      <c r="G16" s="80" t="n">
        <f aca="false">IF(F16&gt;0,D16/F16, )</f>
        <v>45227.7777777778</v>
      </c>
      <c r="H16" s="69" t="n">
        <v>364</v>
      </c>
      <c r="I16" s="80" t="n">
        <f aca="false">IF(H16&gt;0,H16/F16,  )</f>
        <v>3.37037037037037</v>
      </c>
      <c r="J16" s="80" t="n">
        <f aca="false">IF(I16&gt;0,G16/I16,  )</f>
        <v>13419.2307692308</v>
      </c>
    </row>
    <row r="17" customFormat="false" ht="12.75" hidden="false" customHeight="true" outlineLevel="0" collapsed="false">
      <c r="B17" s="77" t="s">
        <v>40</v>
      </c>
      <c r="C17" s="78" t="n">
        <v>45153</v>
      </c>
      <c r="D17" s="67" t="n">
        <v>4422800</v>
      </c>
      <c r="E17" s="79" t="n">
        <f aca="false">IF(D17&gt;0, D17,(H$42/(H$39-H$40)))</f>
        <v>4422800</v>
      </c>
      <c r="F17" s="69" t="n">
        <v>114</v>
      </c>
      <c r="G17" s="80" t="n">
        <f aca="false">IF(F17&gt;0,D17/F17, )</f>
        <v>38796.4912280702</v>
      </c>
      <c r="H17" s="69" t="n">
        <v>398</v>
      </c>
      <c r="I17" s="80" t="n">
        <f aca="false">IF(H17&gt;0,H17/F17,  )</f>
        <v>3.49122807017544</v>
      </c>
      <c r="J17" s="80" t="n">
        <f aca="false">IF(I17&gt;0,G17/I17,  )</f>
        <v>11112.5628140704</v>
      </c>
    </row>
    <row r="18" customFormat="false" ht="12.75" hidden="false" customHeight="true" outlineLevel="0" collapsed="false">
      <c r="B18" s="77" t="s">
        <v>41</v>
      </c>
      <c r="C18" s="78" t="n">
        <v>45154</v>
      </c>
      <c r="D18" s="67" t="n">
        <v>5009300</v>
      </c>
      <c r="E18" s="79" t="n">
        <f aca="false">IF(D18&gt;0, D18,(H$42/(H$39-H$40)))</f>
        <v>5009300</v>
      </c>
      <c r="F18" s="69" t="n">
        <v>114</v>
      </c>
      <c r="G18" s="80" t="n">
        <f aca="false">IF(F18&gt;0,D18/F18, )</f>
        <v>43941.2280701754</v>
      </c>
      <c r="H18" s="69" t="n">
        <v>461</v>
      </c>
      <c r="I18" s="80" t="n">
        <f aca="false">IF(H18&gt;0,H18/F18,  )</f>
        <v>4.04385964912281</v>
      </c>
      <c r="J18" s="80" t="n">
        <f aca="false">IF(I18&gt;0,G18/I18,  )</f>
        <v>10866.1605206074</v>
      </c>
    </row>
    <row r="19" customFormat="false" ht="12.75" hidden="false" customHeight="true" outlineLevel="0" collapsed="false">
      <c r="B19" s="77" t="s">
        <v>42</v>
      </c>
      <c r="C19" s="78" t="n">
        <v>45155</v>
      </c>
      <c r="D19" s="67" t="n">
        <v>6112100</v>
      </c>
      <c r="E19" s="79" t="n">
        <f aca="false">IF(D19&gt;0, D19,(H$42/(H$39-H$40)))</f>
        <v>6112100</v>
      </c>
      <c r="F19" s="69" t="n">
        <v>121</v>
      </c>
      <c r="G19" s="80" t="n">
        <f aca="false">IF(F19&gt;0,D19/F19, )</f>
        <v>50513.2231404959</v>
      </c>
      <c r="H19" s="69" t="n">
        <v>490</v>
      </c>
      <c r="I19" s="80" t="n">
        <f aca="false">IF(H19&gt;0,H19/F19,  )</f>
        <v>4.0495867768595</v>
      </c>
      <c r="J19" s="80" t="n">
        <f aca="false">IF(I19&gt;0,G19/I19,  )</f>
        <v>12473.6734693878</v>
      </c>
    </row>
    <row r="20" customFormat="false" ht="12.75" hidden="false" customHeight="true" outlineLevel="0" collapsed="false">
      <c r="B20" s="77" t="s">
        <v>43</v>
      </c>
      <c r="C20" s="78" t="n">
        <v>45156</v>
      </c>
      <c r="D20" s="67" t="n">
        <v>4185850</v>
      </c>
      <c r="E20" s="79" t="n">
        <f aca="false">IF(D20&gt;0, D20,(H$42/(H$39-H$40)))</f>
        <v>4185850</v>
      </c>
      <c r="F20" s="69" t="n">
        <v>113</v>
      </c>
      <c r="G20" s="80" t="n">
        <f aca="false">IF(F20&gt;0,D20/F20, )</f>
        <v>37042.9203539823</v>
      </c>
      <c r="H20" s="69" t="n">
        <v>427</v>
      </c>
      <c r="I20" s="80" t="n">
        <f aca="false">IF(H20&gt;0,H20/F20,  )</f>
        <v>3.7787610619469</v>
      </c>
      <c r="J20" s="80" t="n">
        <f aca="false">IF(I20&gt;0,G20/I20,  )</f>
        <v>9802.92740046838</v>
      </c>
    </row>
    <row r="21" customFormat="false" ht="12.75" hidden="false" customHeight="true" outlineLevel="0" collapsed="false">
      <c r="B21" s="77" t="s">
        <v>44</v>
      </c>
      <c r="C21" s="78" t="n">
        <v>45157</v>
      </c>
      <c r="D21" s="67" t="n">
        <v>4307550</v>
      </c>
      <c r="E21" s="79" t="n">
        <f aca="false">IF(D21&gt;0, D21,(H$42/(H$39-H$40)))</f>
        <v>4307550</v>
      </c>
      <c r="F21" s="69" t="n">
        <v>94</v>
      </c>
      <c r="G21" s="80" t="n">
        <f aca="false">IF(F21&gt;0,D21/F21, )</f>
        <v>45825</v>
      </c>
      <c r="H21" s="69" t="n">
        <v>355</v>
      </c>
      <c r="I21" s="80" t="n">
        <f aca="false">IF(H21&gt;0,H21/F21,  )</f>
        <v>3.77659574468085</v>
      </c>
      <c r="J21" s="80" t="n">
        <f aca="false">IF(I21&gt;0,G21/I21,  )</f>
        <v>12133.9436619718</v>
      </c>
    </row>
    <row r="22" customFormat="false" ht="12.75" hidden="false" customHeight="true" outlineLevel="0" collapsed="false">
      <c r="B22" s="77" t="s">
        <v>38</v>
      </c>
      <c r="C22" s="78" t="n">
        <v>45158</v>
      </c>
      <c r="D22" s="67" t="n">
        <v>4884800</v>
      </c>
      <c r="E22" s="79" t="n">
        <f aca="false">IF(D22&gt;0, D22,(H$42/(H$39-H$40)))</f>
        <v>4884800</v>
      </c>
      <c r="F22" s="81" t="n">
        <v>96</v>
      </c>
      <c r="G22" s="80" t="n">
        <f aca="false">IF(F22&gt;0,D22/F22, )</f>
        <v>50883.3333333333</v>
      </c>
      <c r="H22" s="69" t="n">
        <v>455</v>
      </c>
      <c r="I22" s="80" t="n">
        <f aca="false">IF(H22&gt;0,H22/F22,  )</f>
        <v>4.73958333333333</v>
      </c>
      <c r="J22" s="80" t="n">
        <f aca="false">IF(I22&gt;0,G22/I22,  )</f>
        <v>10735.8241758242</v>
      </c>
    </row>
    <row r="23" customFormat="false" ht="12.75" hidden="false" customHeight="true" outlineLevel="0" collapsed="false">
      <c r="B23" s="77" t="s">
        <v>39</v>
      </c>
      <c r="C23" s="78" t="n">
        <v>45159</v>
      </c>
      <c r="D23" s="67" t="n">
        <v>4162700</v>
      </c>
      <c r="E23" s="79" t="n">
        <f aca="false">IF(D23&gt;0, D23,(H$42/(H$39-H$40)))</f>
        <v>4162700</v>
      </c>
      <c r="F23" s="69" t="n">
        <v>118</v>
      </c>
      <c r="G23" s="80" t="n">
        <f aca="false">IF(F23&gt;0,D23/F23, )</f>
        <v>35277.1186440678</v>
      </c>
      <c r="H23" s="69" t="n">
        <v>473</v>
      </c>
      <c r="I23" s="80" t="n">
        <f aca="false">IF(H23&gt;0,H23/F23,  )</f>
        <v>4.00847457627119</v>
      </c>
      <c r="J23" s="80" t="n">
        <f aca="false">IF(I23&gt;0,G23/I23,  )</f>
        <v>8800.63424947146</v>
      </c>
    </row>
    <row r="24" customFormat="false" ht="12.75" hidden="false" customHeight="true" outlineLevel="0" collapsed="false">
      <c r="B24" s="77" t="s">
        <v>40</v>
      </c>
      <c r="C24" s="78" t="n">
        <v>45160</v>
      </c>
      <c r="D24" s="67" t="n">
        <v>5126500</v>
      </c>
      <c r="E24" s="79" t="n">
        <f aca="false">IF(D24&gt;0, D24,(H$42/(H$39-H$40)))</f>
        <v>5126500</v>
      </c>
      <c r="F24" s="69" t="n">
        <v>132</v>
      </c>
      <c r="G24" s="80" t="n">
        <f aca="false">IF(F24&gt;0,D24/F24, )</f>
        <v>38837.1212121212</v>
      </c>
      <c r="H24" s="69" t="n">
        <v>504</v>
      </c>
      <c r="I24" s="80" t="n">
        <f aca="false">IF(H24&gt;0,H24/F24,  )</f>
        <v>3.81818181818182</v>
      </c>
      <c r="J24" s="80" t="n">
        <f aca="false">IF(I24&gt;0,G24/I24,  )</f>
        <v>10171.626984127</v>
      </c>
    </row>
    <row r="25" customFormat="false" ht="12.75" hidden="false" customHeight="true" outlineLevel="0" collapsed="false">
      <c r="B25" s="77" t="s">
        <v>41</v>
      </c>
      <c r="C25" s="78" t="n">
        <v>45161</v>
      </c>
      <c r="D25" s="67" t="n">
        <v>1334100</v>
      </c>
      <c r="E25" s="79" t="n">
        <f aca="false">IF(D25&gt;0, D25,(H$42/(H$39-H$40)))</f>
        <v>1334100</v>
      </c>
      <c r="F25" s="69" t="n">
        <v>65</v>
      </c>
      <c r="G25" s="80" t="n">
        <f aca="false">IF(F25&gt;0,D25/F25, )</f>
        <v>20524.6153846154</v>
      </c>
      <c r="H25" s="69" t="n">
        <v>197</v>
      </c>
      <c r="I25" s="80" t="n">
        <f aca="false">IF(H25&gt;0,H25/F25,  )</f>
        <v>3.03076923076923</v>
      </c>
      <c r="J25" s="80" t="n">
        <f aca="false">IF(I25&gt;0,G25/I25,  )</f>
        <v>6772.08121827411</v>
      </c>
    </row>
    <row r="26" customFormat="false" ht="12.75" hidden="false" customHeight="true" outlineLevel="0" collapsed="false">
      <c r="B26" s="77" t="s">
        <v>42</v>
      </c>
      <c r="C26" s="78" t="n">
        <v>45162</v>
      </c>
      <c r="D26" s="67" t="n">
        <v>5445000</v>
      </c>
      <c r="E26" s="79" t="n">
        <f aca="false">IF(D26&gt;0, D26,(H$42/(H$39-H$40)))</f>
        <v>5445000</v>
      </c>
      <c r="F26" s="69" t="n">
        <v>121</v>
      </c>
      <c r="G26" s="80" t="n">
        <f aca="false">IF(F26&gt;0,D26/F26, )</f>
        <v>45000</v>
      </c>
      <c r="H26" s="69" t="n">
        <v>523</v>
      </c>
      <c r="I26" s="80" t="n">
        <f aca="false">IF(H26&gt;0,H26/F26,  )</f>
        <v>4.32231404958678</v>
      </c>
      <c r="J26" s="80" t="n">
        <f aca="false">IF(I26&gt;0,G26/I26,  )</f>
        <v>10411.0898661568</v>
      </c>
    </row>
    <row r="27" customFormat="false" ht="12.75" hidden="false" customHeight="true" outlineLevel="0" collapsed="false">
      <c r="B27" s="77" t="s">
        <v>43</v>
      </c>
      <c r="C27" s="78" t="n">
        <v>45163</v>
      </c>
      <c r="D27" s="67" t="n">
        <v>4960550</v>
      </c>
      <c r="E27" s="79" t="n">
        <f aca="false">IF(D27&gt;0, D27,(H$42/(H$39-H$40)))</f>
        <v>4960550</v>
      </c>
      <c r="F27" s="69" t="n">
        <v>139</v>
      </c>
      <c r="G27" s="80" t="n">
        <f aca="false">IF(F27&gt;0,D27/F27, )</f>
        <v>35687.4100719424</v>
      </c>
      <c r="H27" s="69" t="n">
        <v>416</v>
      </c>
      <c r="I27" s="80" t="n">
        <f aca="false">IF(H27&gt;0,H27/F27,  )</f>
        <v>2.99280575539568</v>
      </c>
      <c r="J27" s="80" t="n">
        <f aca="false">IF(I27&gt;0,G27/I27,  )</f>
        <v>11924.3990384615</v>
      </c>
    </row>
    <row r="28" customFormat="false" ht="12.75" hidden="false" customHeight="true" outlineLevel="0" collapsed="false">
      <c r="B28" s="77" t="s">
        <v>44</v>
      </c>
      <c r="C28" s="78" t="n">
        <v>45164</v>
      </c>
      <c r="D28" s="67" t="n">
        <v>4559900</v>
      </c>
      <c r="E28" s="79" t="n">
        <f aca="false">IF(D28&gt;0, D28,(H$42/(H$39-H$40)))</f>
        <v>4559900</v>
      </c>
      <c r="F28" s="69" t="n">
        <v>117</v>
      </c>
      <c r="G28" s="80" t="n">
        <f aca="false">IF(F28&gt;0,D28/F28, )</f>
        <v>38973.5042735043</v>
      </c>
      <c r="H28" s="69" t="n">
        <v>411</v>
      </c>
      <c r="I28" s="80" t="n">
        <f aca="false">IF(H28&gt;0,H28/F28,  )</f>
        <v>3.51282051282051</v>
      </c>
      <c r="J28" s="80" t="n">
        <f aca="false">IF(I28&gt;0,G28/I28,  )</f>
        <v>11094.6472019465</v>
      </c>
    </row>
    <row r="29" customFormat="false" ht="12.75" hidden="false" customHeight="true" outlineLevel="0" collapsed="false">
      <c r="B29" s="77" t="s">
        <v>38</v>
      </c>
      <c r="C29" s="78" t="n">
        <v>45165</v>
      </c>
      <c r="D29" s="67" t="n">
        <v>3784250</v>
      </c>
      <c r="E29" s="79" t="n">
        <f aca="false">IF(D29&gt;0, D29,(H$42/(H$39-H$40)))</f>
        <v>3784250</v>
      </c>
      <c r="F29" s="69" t="n">
        <v>87</v>
      </c>
      <c r="G29" s="80" t="n">
        <f aca="false">IF(F29&gt;0,D29/F29, )</f>
        <v>43497.1264367816</v>
      </c>
      <c r="H29" s="69" t="n">
        <v>361</v>
      </c>
      <c r="I29" s="80" t="n">
        <f aca="false">IF(H29&gt;0,H29/F29,  )</f>
        <v>4.14942528735632</v>
      </c>
      <c r="J29" s="80" t="n">
        <f aca="false">IF(I29&gt;0,G29/I29,  )</f>
        <v>10482.6869806094</v>
      </c>
    </row>
    <row r="30" customFormat="false" ht="12.75" hidden="false" customHeight="true" outlineLevel="0" collapsed="false">
      <c r="B30" s="77" t="s">
        <v>39</v>
      </c>
      <c r="C30" s="78" t="n">
        <v>45166</v>
      </c>
      <c r="D30" s="67" t="n">
        <v>4226650</v>
      </c>
      <c r="E30" s="79" t="n">
        <f aca="false">IF(D30&gt;0, D30,(H$42/(H$39-H$40)))</f>
        <v>4226650</v>
      </c>
      <c r="F30" s="69" t="n">
        <v>123</v>
      </c>
      <c r="G30" s="80" t="n">
        <f aca="false">IF(F30&gt;0,D30/F30, )</f>
        <v>34363.0081300813</v>
      </c>
      <c r="H30" s="69" t="n">
        <v>383</v>
      </c>
      <c r="I30" s="80" t="n">
        <f aca="false">IF(H30&gt;0,H30/F30,  )</f>
        <v>3.11382113821138</v>
      </c>
      <c r="J30" s="80" t="n">
        <f aca="false">IF(I30&gt;0,G30/I30,  )</f>
        <v>11035.6396866841</v>
      </c>
      <c r="L30" s="82"/>
    </row>
    <row r="31" customFormat="false" ht="12.75" hidden="false" customHeight="true" outlineLevel="0" collapsed="false">
      <c r="B31" s="77" t="s">
        <v>40</v>
      </c>
      <c r="C31" s="78" t="n">
        <v>45167</v>
      </c>
      <c r="D31" s="67" t="n">
        <v>5042200</v>
      </c>
      <c r="E31" s="79" t="n">
        <f aca="false">IF(D31&gt;0, D31,(H$42/(H$39-H$40)))</f>
        <v>5042200</v>
      </c>
      <c r="F31" s="69" t="n">
        <v>126</v>
      </c>
      <c r="G31" s="80" t="n">
        <f aca="false">IF(F31&gt;0,D31/F31, )</f>
        <v>40017.4603174603</v>
      </c>
      <c r="H31" s="69" t="n">
        <v>416</v>
      </c>
      <c r="I31" s="80" t="n">
        <f aca="false">IF(H31&gt;0,H31/F31,  )</f>
        <v>3.3015873015873</v>
      </c>
      <c r="J31" s="80" t="n">
        <f aca="false">IF(I31&gt;0,G31/I31,  )</f>
        <v>12120.6730769231</v>
      </c>
    </row>
    <row r="32" customFormat="false" ht="12.75" hidden="false" customHeight="true" outlineLevel="0" collapsed="false">
      <c r="B32" s="77" t="s">
        <v>41</v>
      </c>
      <c r="C32" s="78" t="n">
        <v>45168</v>
      </c>
      <c r="D32" s="67" t="n">
        <v>6428950</v>
      </c>
      <c r="E32" s="79" t="n">
        <f aca="false">IF(D32&gt;0, D32,(H$42/(H$39-H$40)))</f>
        <v>6428950</v>
      </c>
      <c r="F32" s="69" t="n">
        <v>142</v>
      </c>
      <c r="G32" s="80" t="n">
        <f aca="false">IF(F32&gt;0,D32/F32, )</f>
        <v>45274.2957746479</v>
      </c>
      <c r="H32" s="69" t="n">
        <v>621</v>
      </c>
      <c r="I32" s="80" t="n">
        <f aca="false">IF(H32&gt;0,H32/F32,  )</f>
        <v>4.37323943661972</v>
      </c>
      <c r="J32" s="80" t="n">
        <f aca="false">IF(I32&gt;0,G32/I32,  )</f>
        <v>10352.576489533</v>
      </c>
    </row>
    <row r="33" customFormat="false" ht="12.75" hidden="false" customHeight="true" outlineLevel="0" collapsed="false">
      <c r="B33" s="77" t="s">
        <v>42</v>
      </c>
      <c r="C33" s="78" t="n">
        <v>45169</v>
      </c>
      <c r="D33" s="67" t="n">
        <v>6736200</v>
      </c>
      <c r="E33" s="79" t="n">
        <f aca="false">IF(D33&gt;0, D33,(H$42/(H$39-H$40)))</f>
        <v>6736200</v>
      </c>
      <c r="F33" s="69" t="n">
        <v>132</v>
      </c>
      <c r="G33" s="80" t="n">
        <f aca="false">IF(F33&gt;0,D33/F33, )</f>
        <v>51031.8181818182</v>
      </c>
      <c r="H33" s="69" t="n">
        <v>519</v>
      </c>
      <c r="I33" s="80" t="n">
        <f aca="false">IF(H33&gt;0,H33/F33,  )</f>
        <v>3.93181818181818</v>
      </c>
      <c r="J33" s="80" t="n">
        <f aca="false">IF(I33&gt;0,G33/I33,  )</f>
        <v>12979.1907514451</v>
      </c>
    </row>
    <row r="34" customFormat="false" ht="12.75" hidden="false" customHeight="true" outlineLevel="0" collapsed="false">
      <c r="B34" s="83" t="s">
        <v>18</v>
      </c>
      <c r="C34" s="84"/>
      <c r="D34" s="85" t="n">
        <f aca="false">AVERAGE(D3:D33)</f>
        <v>4501559.67741936</v>
      </c>
      <c r="E34" s="85"/>
      <c r="F34" s="86" t="n">
        <f aca="false">AVERAGE(F3:F33)</f>
        <v>109.354838709677</v>
      </c>
      <c r="G34" s="85" t="n">
        <f aca="false">D34/F34</f>
        <v>41164.7050147493</v>
      </c>
      <c r="H34" s="86" t="n">
        <f aca="false">AVERAGE(H3:H33)</f>
        <v>394.451612903226</v>
      </c>
      <c r="I34" s="86" t="n">
        <f aca="false">IF(H34&gt;0,H34/F34,  )</f>
        <v>3.6070796460177</v>
      </c>
      <c r="J34" s="87" t="n">
        <f aca="false">IF(I34&gt;0,G34/I34,  )</f>
        <v>11412.1974157671</v>
      </c>
    </row>
    <row r="35" customFormat="false" ht="12.75" hidden="false" customHeight="true" outlineLevel="0" collapsed="false">
      <c r="B35" s="88" t="s">
        <v>19</v>
      </c>
      <c r="C35" s="89"/>
      <c r="D35" s="90" t="n">
        <f aca="false">SUM(D3:D33)</f>
        <v>139548350</v>
      </c>
      <c r="E35" s="90"/>
      <c r="F35" s="91" t="n">
        <f aca="false">SUM(F3:F33)</f>
        <v>3390</v>
      </c>
      <c r="G35" s="92"/>
      <c r="H35" s="91" t="n">
        <f aca="false">SUM(H3:H33)</f>
        <v>12228</v>
      </c>
      <c r="I35" s="91"/>
      <c r="J35" s="91"/>
    </row>
    <row r="36" customFormat="false" ht="12.75" hidden="false" customHeight="true" outlineLevel="0" collapsed="false">
      <c r="B36" s="93" t="s">
        <v>20</v>
      </c>
      <c r="C36" s="94"/>
      <c r="D36" s="95" t="n">
        <v>130000000</v>
      </c>
      <c r="E36" s="96"/>
      <c r="F36" s="97"/>
      <c r="G36" s="98"/>
      <c r="H36" s="97"/>
      <c r="I36" s="97"/>
      <c r="J36" s="97"/>
    </row>
    <row r="37" customFormat="false" ht="12.75" hidden="false" customHeight="true" outlineLevel="0" collapsed="false">
      <c r="B37" s="99" t="s">
        <v>21</v>
      </c>
      <c r="C37" s="100"/>
      <c r="D37" s="101" t="n">
        <f aca="false">D35/D36</f>
        <v>1.07344884615385</v>
      </c>
      <c r="E37" s="101"/>
      <c r="F37" s="102"/>
      <c r="G37" s="103"/>
      <c r="H37" s="104"/>
      <c r="I37" s="104"/>
      <c r="J37" s="104"/>
    </row>
    <row r="39" customFormat="false" ht="12.75" hidden="false" customHeight="true" outlineLevel="0" collapsed="false">
      <c r="E39" s="107" t="s">
        <v>22</v>
      </c>
      <c r="F39" s="107"/>
      <c r="G39" s="107"/>
      <c r="H39" s="108" t="n">
        <f aca="false">COUNTA(C3:C33)</f>
        <v>31</v>
      </c>
    </row>
    <row r="40" customFormat="false" ht="12.75" hidden="false" customHeight="true" outlineLevel="0" collapsed="false">
      <c r="E40" s="109" t="s">
        <v>23</v>
      </c>
      <c r="F40" s="109"/>
      <c r="G40" s="109"/>
      <c r="H40" s="110" t="n">
        <f aca="false">COUNTA(D3:D33)</f>
        <v>31</v>
      </c>
    </row>
    <row r="41" customFormat="false" ht="12.75" hidden="false" customHeight="true" outlineLevel="0" collapsed="false">
      <c r="E41" s="111" t="s">
        <v>24</v>
      </c>
      <c r="F41" s="111"/>
      <c r="G41" s="111"/>
      <c r="H41" s="112" t="n">
        <f aca="false">D36</f>
        <v>130000000</v>
      </c>
    </row>
    <row r="42" customFormat="false" ht="12.75" hidden="false" customHeight="true" outlineLevel="0" collapsed="false">
      <c r="E42" s="113" t="s">
        <v>25</v>
      </c>
      <c r="F42" s="113"/>
      <c r="G42" s="113"/>
      <c r="H42" s="114" t="n">
        <f aca="false">D36-D35</f>
        <v>-9548350</v>
      </c>
    </row>
    <row r="43" customFormat="false" ht="12.75" hidden="false" customHeight="true" outlineLevel="0" collapsed="false">
      <c r="E43" s="113" t="s">
        <v>26</v>
      </c>
      <c r="F43" s="113"/>
      <c r="G43" s="113"/>
      <c r="H43" s="115" t="n">
        <f aca="false">H46*H39</f>
        <v>139548350</v>
      </c>
    </row>
    <row r="44" customFormat="false" ht="12.75" hidden="false" customHeight="true" outlineLevel="0" collapsed="false">
      <c r="E44" s="116" t="s">
        <v>27</v>
      </c>
      <c r="F44" s="116"/>
      <c r="G44" s="116"/>
      <c r="H44" s="117" t="n">
        <f aca="false">H43-H41</f>
        <v>9548350</v>
      </c>
    </row>
    <row r="45" customFormat="false" ht="12.75" hidden="false" customHeight="true" outlineLevel="0" collapsed="false">
      <c r="E45" s="118" t="s">
        <v>28</v>
      </c>
      <c r="F45" s="118"/>
      <c r="G45" s="118"/>
      <c r="H45" s="119" t="n">
        <f aca="false">H41/H39</f>
        <v>4193548.38709677</v>
      </c>
    </row>
    <row r="46" customFormat="false" ht="12.75" hidden="false" customHeight="true" outlineLevel="0" collapsed="false">
      <c r="E46" s="120" t="s">
        <v>29</v>
      </c>
      <c r="F46" s="120"/>
      <c r="G46" s="120"/>
      <c r="H46" s="121" t="n">
        <f aca="false">AVERAGE(D3:D33)</f>
        <v>4501559.67741936</v>
      </c>
    </row>
    <row r="47" customFormat="false" ht="12.75" hidden="false" customHeight="true" outlineLevel="0" collapsed="false">
      <c r="E47" s="120" t="s">
        <v>30</v>
      </c>
      <c r="F47" s="120"/>
      <c r="G47" s="120"/>
      <c r="H47" s="122" t="n">
        <f aca="false">(H41/H49)/H39</f>
        <v>101.872426526419</v>
      </c>
    </row>
    <row r="48" customFormat="false" ht="12.75" hidden="false" customHeight="true" outlineLevel="0" collapsed="false">
      <c r="E48" s="120" t="s">
        <v>31</v>
      </c>
      <c r="F48" s="120"/>
      <c r="G48" s="120"/>
      <c r="H48" s="121" t="n">
        <f aca="false">F34</f>
        <v>109.354838709677</v>
      </c>
    </row>
    <row r="49" customFormat="false" ht="12.75" hidden="false" customHeight="true" outlineLevel="0" collapsed="false">
      <c r="E49" s="120" t="s">
        <v>32</v>
      </c>
      <c r="F49" s="120"/>
      <c r="G49" s="120"/>
      <c r="H49" s="123" t="n">
        <f aca="false">G34</f>
        <v>41164.7050147493</v>
      </c>
    </row>
    <row r="50" customFormat="false" ht="12.75" hidden="false" customHeight="true" outlineLevel="0" collapsed="false">
      <c r="E50" s="120" t="s">
        <v>33</v>
      </c>
      <c r="F50" s="120"/>
      <c r="G50" s="120"/>
      <c r="H50" s="124" t="n">
        <f aca="false">H46-H45</f>
        <v>308011.290322581</v>
      </c>
    </row>
    <row r="51" customFormat="false" ht="12.75" hidden="false" customHeight="true" outlineLevel="0" collapsed="false">
      <c r="E51" s="120" t="s">
        <v>34</v>
      </c>
      <c r="F51" s="120"/>
      <c r="G51" s="120"/>
      <c r="H51" s="125" t="n">
        <f aca="false">H43/H41</f>
        <v>1.07344884615385</v>
      </c>
    </row>
    <row r="52" customFormat="false" ht="12.75" hidden="false" customHeight="true" outlineLevel="0" collapsed="false">
      <c r="E52" s="126" t="s">
        <v>35</v>
      </c>
      <c r="F52" s="126"/>
      <c r="G52" s="126"/>
      <c r="H52" s="127" t="n">
        <f aca="false">D35/H41</f>
        <v>1.07344884615385</v>
      </c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25" defaultRowHeight="15" zeroHeight="false" outlineLevelRow="0" outlineLevelCol="0"/>
  <cols>
    <col collapsed="false" customWidth="true" hidden="false" outlineLevel="0" max="1" min="1" style="71" width="23.51"/>
    <col collapsed="false" customWidth="true" hidden="false" outlineLevel="0" max="2" min="2" style="71" width="11.59"/>
    <col collapsed="false" customWidth="true" hidden="false" outlineLevel="0" max="3" min="3" style="71" width="9.18"/>
    <col collapsed="false" customWidth="true" hidden="false" outlineLevel="0" max="8" min="4" style="71" width="14.54"/>
    <col collapsed="false" customWidth="true" hidden="false" outlineLevel="0" max="9" min="9" style="71" width="13.33"/>
    <col collapsed="false" customWidth="true" hidden="false" outlineLevel="0" max="10" min="10" style="71" width="12.5"/>
    <col collapsed="false" customWidth="false" hidden="false" outlineLevel="0" max="64" min="11" style="71" width="10.27"/>
  </cols>
  <sheetData>
    <row r="1" customFormat="false" ht="23.1" hidden="false" customHeight="true" outlineLevel="0" collapsed="false">
      <c r="B1" s="128" t="s">
        <v>51</v>
      </c>
      <c r="C1" s="100"/>
      <c r="D1" s="129" t="s">
        <v>1</v>
      </c>
      <c r="E1" s="129"/>
      <c r="F1" s="129"/>
      <c r="G1" s="129"/>
      <c r="H1" s="129"/>
      <c r="I1" s="129"/>
      <c r="J1" s="129"/>
    </row>
    <row r="2" customFormat="false" ht="30.55" hidden="false" customHeight="true" outlineLevel="0" collapsed="false">
      <c r="B2" s="130" t="s">
        <v>2</v>
      </c>
      <c r="C2" s="131" t="s">
        <v>3</v>
      </c>
      <c r="D2" s="132" t="s">
        <v>4</v>
      </c>
      <c r="E2" s="132" t="s">
        <v>5</v>
      </c>
      <c r="F2" s="132" t="s">
        <v>6</v>
      </c>
      <c r="G2" s="133" t="s">
        <v>7</v>
      </c>
      <c r="H2" s="134" t="s">
        <v>8</v>
      </c>
      <c r="I2" s="134" t="s">
        <v>9</v>
      </c>
      <c r="J2" s="134" t="s">
        <v>10</v>
      </c>
    </row>
    <row r="3" customFormat="false" ht="12.75" hidden="false" customHeight="true" outlineLevel="0" collapsed="false">
      <c r="B3" s="77" t="s">
        <v>43</v>
      </c>
      <c r="C3" s="78" t="n">
        <v>45139</v>
      </c>
      <c r="D3" s="67" t="n">
        <v>5650400</v>
      </c>
      <c r="E3" s="79" t="n">
        <f aca="false">IF(D3&gt;0, D3,(H$41/(H$38-H$39)))</f>
        <v>5650400</v>
      </c>
      <c r="F3" s="69" t="n">
        <v>119</v>
      </c>
      <c r="G3" s="80" t="n">
        <f aca="false">IF(F3&gt;0,D3/F3, )</f>
        <v>47482.3529411765</v>
      </c>
      <c r="H3" s="69" t="n">
        <v>480</v>
      </c>
      <c r="I3" s="80" t="n">
        <f aca="false">IF(H3&gt;0,H3/F3,  )</f>
        <v>4.03361344537815</v>
      </c>
      <c r="J3" s="80" t="n">
        <f aca="false">IF(I3&gt;0,G3/I3,  )</f>
        <v>11771.6666666667</v>
      </c>
    </row>
    <row r="4" customFormat="false" ht="12.75" hidden="false" customHeight="true" outlineLevel="0" collapsed="false">
      <c r="B4" s="77" t="s">
        <v>44</v>
      </c>
      <c r="C4" s="78" t="n">
        <v>45140</v>
      </c>
      <c r="D4" s="67" t="n">
        <v>5826100</v>
      </c>
      <c r="E4" s="79" t="n">
        <f aca="false">IF(D4&gt;0, D4,(H$41/(H$38-H$39)))</f>
        <v>5826100</v>
      </c>
      <c r="F4" s="69" t="n">
        <v>137</v>
      </c>
      <c r="G4" s="80" t="n">
        <f aca="false">IF(F4&gt;0,D4/F4, )</f>
        <v>42526.2773722628</v>
      </c>
      <c r="H4" s="69" t="n">
        <v>537</v>
      </c>
      <c r="I4" s="80" t="n">
        <f aca="false">IF(H4&gt;0,H4/F4,  )</f>
        <v>3.91970802919708</v>
      </c>
      <c r="J4" s="80" t="n">
        <f aca="false">IF(I4&gt;0,G4/I4,  )</f>
        <v>10849.3482309125</v>
      </c>
    </row>
    <row r="5" customFormat="false" ht="12.75" hidden="false" customHeight="true" outlineLevel="0" collapsed="false">
      <c r="B5" s="77" t="s">
        <v>38</v>
      </c>
      <c r="C5" s="78" t="n">
        <v>45141</v>
      </c>
      <c r="D5" s="67" t="n">
        <v>6366050</v>
      </c>
      <c r="E5" s="79" t="n">
        <f aca="false">IF(D5&gt;0, D5,(H$41/(H$38-H$39)))</f>
        <v>6366050</v>
      </c>
      <c r="F5" s="69" t="n">
        <v>148</v>
      </c>
      <c r="G5" s="80" t="n">
        <f aca="false">IF(F5&gt;0,D5/F5, )</f>
        <v>43013.8513513514</v>
      </c>
      <c r="H5" s="69" t="n">
        <v>681</v>
      </c>
      <c r="I5" s="80" t="n">
        <f aca="false">IF(H5&gt;0,H5/F5,  )</f>
        <v>4.60135135135135</v>
      </c>
      <c r="J5" s="80" t="n">
        <f aca="false">IF(I5&gt;0,G5/I5,  )</f>
        <v>9348.09104258443</v>
      </c>
    </row>
    <row r="6" customFormat="false" ht="12.75" hidden="false" customHeight="true" outlineLevel="0" collapsed="false">
      <c r="B6" s="77" t="s">
        <v>39</v>
      </c>
      <c r="C6" s="78" t="n">
        <v>45142</v>
      </c>
      <c r="D6" s="67" t="n">
        <v>4847900</v>
      </c>
      <c r="E6" s="79" t="n">
        <f aca="false">IF(D6&gt;0, D6,(H$41/(H$38-H$39)))</f>
        <v>4847900</v>
      </c>
      <c r="F6" s="69" t="n">
        <v>126</v>
      </c>
      <c r="G6" s="80" t="n">
        <f aca="false">IF(F6&gt;0,D6/F6, )</f>
        <v>38475.3968253968</v>
      </c>
      <c r="H6" s="69" t="n">
        <v>432</v>
      </c>
      <c r="I6" s="80" t="n">
        <f aca="false">IF(H6&gt;0,H6/F6,  )</f>
        <v>3.42857142857143</v>
      </c>
      <c r="J6" s="80" t="n">
        <f aca="false">IF(I6&gt;0,G6/I6,  )</f>
        <v>11221.9907407407</v>
      </c>
    </row>
    <row r="7" customFormat="false" ht="12.75" hidden="false" customHeight="true" outlineLevel="0" collapsed="false">
      <c r="B7" s="77" t="s">
        <v>40</v>
      </c>
      <c r="C7" s="78" t="n">
        <v>45143</v>
      </c>
      <c r="D7" s="67" t="n">
        <v>4419400</v>
      </c>
      <c r="E7" s="79" t="n">
        <f aca="false">IF(D7&gt;0, D7,(H$41/(H$38-H$39)))</f>
        <v>4419400</v>
      </c>
      <c r="F7" s="69" t="n">
        <v>134</v>
      </c>
      <c r="G7" s="80" t="n">
        <f aca="false">IF(F7&gt;0,D7/F7, )</f>
        <v>32980.5970149254</v>
      </c>
      <c r="H7" s="69" t="n">
        <v>435</v>
      </c>
      <c r="I7" s="80" t="n">
        <f aca="false">IF(H7&gt;0,H7/F7,  )</f>
        <v>3.24626865671642</v>
      </c>
      <c r="J7" s="80" t="n">
        <f aca="false">IF(I7&gt;0,G7/I7,  )</f>
        <v>10159.5402298851</v>
      </c>
    </row>
    <row r="8" customFormat="false" ht="12.75" hidden="false" customHeight="true" outlineLevel="0" collapsed="false">
      <c r="B8" s="77" t="s">
        <v>41</v>
      </c>
      <c r="C8" s="78" t="n">
        <v>45144</v>
      </c>
      <c r="D8" s="67" t="n">
        <v>4507600</v>
      </c>
      <c r="E8" s="79" t="n">
        <f aca="false">IF(D8&gt;0, D8,(H$41/(H$38-H$39)))</f>
        <v>4507600</v>
      </c>
      <c r="F8" s="69" t="n">
        <v>126</v>
      </c>
      <c r="G8" s="80" t="n">
        <f aca="false">IF(F8&gt;0,D8/F8, )</f>
        <v>35774.6031746032</v>
      </c>
      <c r="H8" s="69" t="n">
        <v>457</v>
      </c>
      <c r="I8" s="80" t="n">
        <f aca="false">IF(H8&gt;0,H8/F8,  )</f>
        <v>3.62698412698413</v>
      </c>
      <c r="J8" s="80" t="n">
        <f aca="false">IF(I8&gt;0,G8/I8,  )</f>
        <v>9863.45733041576</v>
      </c>
    </row>
    <row r="9" customFormat="false" ht="12.75" hidden="false" customHeight="true" outlineLevel="0" collapsed="false">
      <c r="B9" s="77" t="s">
        <v>42</v>
      </c>
      <c r="C9" s="78" t="n">
        <v>45145</v>
      </c>
      <c r="D9" s="67" t="n">
        <v>4782000</v>
      </c>
      <c r="E9" s="79" t="n">
        <f aca="false">IF(D9&gt;0, D9,(H$41/(H$38-H$39)))</f>
        <v>4782000</v>
      </c>
      <c r="F9" s="69" t="n">
        <v>119</v>
      </c>
      <c r="G9" s="80" t="n">
        <f aca="false">IF(F9&gt;0,D9/F9, )</f>
        <v>40184.8739495798</v>
      </c>
      <c r="H9" s="69" t="n">
        <v>421</v>
      </c>
      <c r="I9" s="80" t="n">
        <f aca="false">IF(H9&gt;0,H9/F9,  )</f>
        <v>3.53781512605042</v>
      </c>
      <c r="J9" s="80" t="n">
        <f aca="false">IF(I9&gt;0,G9/I9,  )</f>
        <v>11358.6698337292</v>
      </c>
    </row>
    <row r="10" customFormat="false" ht="12.75" hidden="false" customHeight="true" outlineLevel="0" collapsed="false">
      <c r="B10" s="77" t="s">
        <v>43</v>
      </c>
      <c r="C10" s="78" t="n">
        <v>45146</v>
      </c>
      <c r="D10" s="67" t="n">
        <v>4623250</v>
      </c>
      <c r="E10" s="79" t="n">
        <f aca="false">IF(D10&gt;0, D10,(H$41/(H$38-H$39)))</f>
        <v>4623250</v>
      </c>
      <c r="F10" s="69" t="n">
        <v>129</v>
      </c>
      <c r="G10" s="80" t="n">
        <f aca="false">IF(F10&gt;0,D10/F10, )</f>
        <v>35839.1472868217</v>
      </c>
      <c r="H10" s="69" t="n">
        <v>457</v>
      </c>
      <c r="I10" s="80" t="n">
        <f aca="false">IF(H10&gt;0,H10/F10,  )</f>
        <v>3.54263565891473</v>
      </c>
      <c r="J10" s="80" t="n">
        <f aca="false">IF(I10&gt;0,G10/I10,  )</f>
        <v>10116.5207877462</v>
      </c>
    </row>
    <row r="11" customFormat="false" ht="12.75" hidden="false" customHeight="true" outlineLevel="0" collapsed="false">
      <c r="B11" s="77" t="s">
        <v>44</v>
      </c>
      <c r="C11" s="78" t="n">
        <v>45147</v>
      </c>
      <c r="D11" s="67" t="n">
        <v>4587700</v>
      </c>
      <c r="E11" s="79" t="n">
        <f aca="false">IF(D11&gt;0, D11,(H$41/(H$38-H$39)))</f>
        <v>4587700</v>
      </c>
      <c r="F11" s="69" t="n">
        <v>146</v>
      </c>
      <c r="G11" s="80" t="n">
        <f aca="false">IF(F11&gt;0,D11/F11, )</f>
        <v>31422.602739726</v>
      </c>
      <c r="H11" s="69" t="n">
        <v>449</v>
      </c>
      <c r="I11" s="80" t="n">
        <f aca="false">IF(H11&gt;0,H11/F11,  )</f>
        <v>3.07534246575342</v>
      </c>
      <c r="J11" s="80" t="n">
        <f aca="false">IF(I11&gt;0,G11/I11,  )</f>
        <v>10217.5946547884</v>
      </c>
    </row>
    <row r="12" customFormat="false" ht="12.75" hidden="false" customHeight="true" outlineLevel="0" collapsed="false">
      <c r="B12" s="77" t="s">
        <v>38</v>
      </c>
      <c r="C12" s="78" t="n">
        <v>45148</v>
      </c>
      <c r="D12" s="67" t="n">
        <v>5052400</v>
      </c>
      <c r="E12" s="79" t="n">
        <f aca="false">IF(D12&gt;0, D12,(H$41/(H$38-H$39)))</f>
        <v>5052400</v>
      </c>
      <c r="F12" s="69" t="n">
        <v>132</v>
      </c>
      <c r="G12" s="80" t="n">
        <f aca="false">IF(F12&gt;0,D12/F12, )</f>
        <v>38275.7575757576</v>
      </c>
      <c r="H12" s="69" t="n">
        <v>464</v>
      </c>
      <c r="I12" s="80" t="n">
        <f aca="false">IF(H12&gt;0,H12/F12,  )</f>
        <v>3.51515151515152</v>
      </c>
      <c r="J12" s="80" t="n">
        <f aca="false">IF(I12&gt;0,G12/I12,  )</f>
        <v>10888.7931034483</v>
      </c>
    </row>
    <row r="13" customFormat="false" ht="12.75" hidden="false" customHeight="true" outlineLevel="0" collapsed="false">
      <c r="B13" s="77" t="s">
        <v>39</v>
      </c>
      <c r="C13" s="78" t="n">
        <v>45149</v>
      </c>
      <c r="D13" s="67" t="n">
        <v>1965300</v>
      </c>
      <c r="E13" s="79" t="n">
        <f aca="false">IF(D13&gt;0, D13,(H$41/(H$38-H$39)))</f>
        <v>1965300</v>
      </c>
      <c r="F13" s="69" t="n">
        <v>50</v>
      </c>
      <c r="G13" s="80" t="n">
        <f aca="false">IF(F13&gt;0,D13/F13, )</f>
        <v>39306</v>
      </c>
      <c r="H13" s="69" t="n">
        <v>172</v>
      </c>
      <c r="I13" s="80" t="n">
        <f aca="false">IF(H13&gt;0,H13/F13,  )</f>
        <v>3.44</v>
      </c>
      <c r="J13" s="80" t="n">
        <f aca="false">IF(I13&gt;0,G13/I13,  )</f>
        <v>11426.1627906977</v>
      </c>
    </row>
    <row r="14" customFormat="false" ht="12.75" hidden="false" customHeight="true" outlineLevel="0" collapsed="false">
      <c r="B14" s="77" t="s">
        <v>40</v>
      </c>
      <c r="C14" s="78" t="n">
        <v>45150</v>
      </c>
      <c r="D14" s="67" t="n">
        <v>6632250</v>
      </c>
      <c r="E14" s="79" t="n">
        <f aca="false">IF(D14&gt;0, D14,(H$41/(H$38-H$39)))</f>
        <v>6632250</v>
      </c>
      <c r="F14" s="69" t="n">
        <v>136</v>
      </c>
      <c r="G14" s="80" t="n">
        <f aca="false">IF(F14&gt;0,D14/F14, )</f>
        <v>48766.5441176471</v>
      </c>
      <c r="H14" s="69" t="n">
        <v>524</v>
      </c>
      <c r="I14" s="80" t="n">
        <f aca="false">IF(H14&gt;0,H14/F14,  )</f>
        <v>3.85294117647059</v>
      </c>
      <c r="J14" s="80" t="n">
        <f aca="false">IF(I14&gt;0,G14/I14,  )</f>
        <v>12656.965648855</v>
      </c>
    </row>
    <row r="15" customFormat="false" ht="12.75" hidden="false" customHeight="true" outlineLevel="0" collapsed="false">
      <c r="B15" s="77" t="s">
        <v>41</v>
      </c>
      <c r="C15" s="78" t="n">
        <v>45151</v>
      </c>
      <c r="D15" s="67" t="n">
        <v>4828350</v>
      </c>
      <c r="E15" s="79" t="n">
        <f aca="false">IF(D15&gt;0, D15,(H$41/(H$38-H$39)))</f>
        <v>4828350</v>
      </c>
      <c r="F15" s="69" t="n">
        <v>132</v>
      </c>
      <c r="G15" s="80" t="n">
        <f aca="false">IF(F15&gt;0,D15/F15, )</f>
        <v>36578.4090909091</v>
      </c>
      <c r="H15" s="69" t="n">
        <v>413</v>
      </c>
      <c r="I15" s="80" t="n">
        <f aca="false">IF(H15&gt;0,H15/F15,  )</f>
        <v>3.12878787878788</v>
      </c>
      <c r="J15" s="80" t="n">
        <f aca="false">IF(I15&gt;0,G15/I15,  )</f>
        <v>11690.9200968523</v>
      </c>
    </row>
    <row r="16" customFormat="false" ht="12.75" hidden="false" customHeight="true" outlineLevel="0" collapsed="false">
      <c r="B16" s="77" t="s">
        <v>42</v>
      </c>
      <c r="C16" s="78" t="n">
        <v>45152</v>
      </c>
      <c r="D16" s="67" t="n">
        <v>4186050</v>
      </c>
      <c r="E16" s="79" t="n">
        <f aca="false">IF(D16&gt;0, D16,(H$41/(H$38-H$39)))</f>
        <v>4186050</v>
      </c>
      <c r="F16" s="69" t="n">
        <v>138</v>
      </c>
      <c r="G16" s="80" t="n">
        <f aca="false">IF(F16&gt;0,D16/F16, )</f>
        <v>30333.6956521739</v>
      </c>
      <c r="H16" s="69" t="n">
        <v>417</v>
      </c>
      <c r="I16" s="80" t="n">
        <f aca="false">IF(H16&gt;0,H16/F16,  )</f>
        <v>3.02173913043478</v>
      </c>
      <c r="J16" s="80" t="n">
        <f aca="false">IF(I16&gt;0,G16/I16,  )</f>
        <v>10038.4892086331</v>
      </c>
    </row>
    <row r="17" customFormat="false" ht="12.75" hidden="false" customHeight="true" outlineLevel="0" collapsed="false">
      <c r="B17" s="77" t="s">
        <v>43</v>
      </c>
      <c r="C17" s="78" t="n">
        <v>45153</v>
      </c>
      <c r="D17" s="67" t="n">
        <v>6204250</v>
      </c>
      <c r="E17" s="79" t="n">
        <f aca="false">IF(D17&gt;0, D17,(H$41/(H$38-H$39)))</f>
        <v>6204250</v>
      </c>
      <c r="F17" s="69" t="n">
        <v>136</v>
      </c>
      <c r="G17" s="80" t="n">
        <f aca="false">IF(F17&gt;0,D17/F17, )</f>
        <v>45619.4852941177</v>
      </c>
      <c r="H17" s="69" t="n">
        <v>488</v>
      </c>
      <c r="I17" s="80" t="n">
        <f aca="false">IF(H17&gt;0,H17/F17,  )</f>
        <v>3.58823529411765</v>
      </c>
      <c r="J17" s="80" t="n">
        <f aca="false">IF(I17&gt;0,G17/I17,  )</f>
        <v>12713.6270491803</v>
      </c>
    </row>
    <row r="18" customFormat="false" ht="12.75" hidden="false" customHeight="true" outlineLevel="0" collapsed="false">
      <c r="B18" s="77" t="s">
        <v>44</v>
      </c>
      <c r="C18" s="78" t="n">
        <v>45154</v>
      </c>
      <c r="D18" s="67" t="n">
        <v>7708550</v>
      </c>
      <c r="E18" s="79" t="n">
        <f aca="false">IF(D18&gt;0, D18,(H$41/(H$38-H$39)))</f>
        <v>7708550</v>
      </c>
      <c r="F18" s="69" t="n">
        <v>141</v>
      </c>
      <c r="G18" s="80" t="n">
        <f aca="false">IF(F18&gt;0,D18/F18, )</f>
        <v>54670.5673758865</v>
      </c>
      <c r="H18" s="69" t="n">
        <v>610</v>
      </c>
      <c r="I18" s="80" t="n">
        <f aca="false">IF(H18&gt;0,H18/F18,  )</f>
        <v>4.32624113475177</v>
      </c>
      <c r="J18" s="80" t="n">
        <f aca="false">IF(I18&gt;0,G18/I18,  )</f>
        <v>12636.9672131148</v>
      </c>
    </row>
    <row r="19" customFormat="false" ht="12.75" hidden="false" customHeight="true" outlineLevel="0" collapsed="false">
      <c r="B19" s="77" t="s">
        <v>38</v>
      </c>
      <c r="C19" s="78" t="n">
        <v>45155</v>
      </c>
      <c r="D19" s="67" t="n">
        <v>3713200</v>
      </c>
      <c r="E19" s="79" t="n">
        <f aca="false">IF(D19&gt;0, D19,(H$41/(H$38-H$39)))</f>
        <v>3713200</v>
      </c>
      <c r="F19" s="69" t="n">
        <v>90</v>
      </c>
      <c r="G19" s="80" t="n">
        <f aca="false">IF(F19&gt;0,D19/F19, )</f>
        <v>41257.7777777778</v>
      </c>
      <c r="H19" s="69" t="n">
        <v>291</v>
      </c>
      <c r="I19" s="80" t="n">
        <f aca="false">IF(H19&gt;0,H19/F19,  )</f>
        <v>3.23333333333333</v>
      </c>
      <c r="J19" s="80" t="n">
        <f aca="false">IF(I19&gt;0,G19/I19,  )</f>
        <v>12760.1374570447</v>
      </c>
    </row>
    <row r="20" customFormat="false" ht="12.75" hidden="false" customHeight="true" outlineLevel="0" collapsed="false">
      <c r="B20" s="77" t="s">
        <v>39</v>
      </c>
      <c r="C20" s="78" t="n">
        <v>45156</v>
      </c>
      <c r="D20" s="67" t="n">
        <v>3452250</v>
      </c>
      <c r="E20" s="79" t="n">
        <f aca="false">IF(D20&gt;0, D20,(H$41/(H$38-H$39)))</f>
        <v>3452250</v>
      </c>
      <c r="F20" s="69" t="n">
        <v>96</v>
      </c>
      <c r="G20" s="80" t="n">
        <f aca="false">IF(F20&gt;0,D20/F20, )</f>
        <v>35960.9375</v>
      </c>
      <c r="H20" s="69" t="n">
        <v>321</v>
      </c>
      <c r="I20" s="80" t="n">
        <f aca="false">IF(H20&gt;0,H20/F20,  )</f>
        <v>3.34375</v>
      </c>
      <c r="J20" s="80" t="n">
        <f aca="false">IF(I20&gt;0,G20/I20,  )</f>
        <v>10754.6728971963</v>
      </c>
    </row>
    <row r="21" customFormat="false" ht="12.75" hidden="false" customHeight="true" outlineLevel="0" collapsed="false">
      <c r="B21" s="77" t="s">
        <v>40</v>
      </c>
      <c r="C21" s="78" t="n">
        <v>45157</v>
      </c>
      <c r="D21" s="67" t="n">
        <v>5091550</v>
      </c>
      <c r="E21" s="79" t="n">
        <f aca="false">IF(D21&gt;0, D21,(H$41/(H$38-H$39)))</f>
        <v>5091550</v>
      </c>
      <c r="F21" s="69" t="n">
        <v>116</v>
      </c>
      <c r="G21" s="80" t="n">
        <f aca="false">IF(F21&gt;0,D21/F21, )</f>
        <v>43892.6724137931</v>
      </c>
      <c r="H21" s="69" t="n">
        <v>406</v>
      </c>
      <c r="I21" s="80" t="n">
        <f aca="false">IF(H21&gt;0,H21/F21,  )</f>
        <v>3.5</v>
      </c>
      <c r="J21" s="80" t="n">
        <f aca="false">IF(I21&gt;0,G21/I21,  )</f>
        <v>12540.763546798</v>
      </c>
    </row>
    <row r="22" customFormat="false" ht="12.75" hidden="false" customHeight="true" outlineLevel="0" collapsed="false">
      <c r="B22" s="77" t="s">
        <v>41</v>
      </c>
      <c r="C22" s="78" t="n">
        <v>45158</v>
      </c>
      <c r="D22" s="67" t="n">
        <v>4260850</v>
      </c>
      <c r="E22" s="79" t="n">
        <f aca="false">IF(D22&gt;0, D22,(H$41/(H$38-H$39)))</f>
        <v>4260850</v>
      </c>
      <c r="F22" s="81" t="n">
        <v>105</v>
      </c>
      <c r="G22" s="80" t="n">
        <f aca="false">IF(F22&gt;0,D22/F22, )</f>
        <v>40579.5238095238</v>
      </c>
      <c r="H22" s="69" t="n">
        <v>327</v>
      </c>
      <c r="I22" s="80" t="n">
        <f aca="false">IF(H22&gt;0,H22/F22,  )</f>
        <v>3.11428571428571</v>
      </c>
      <c r="J22" s="80" t="n">
        <f aca="false">IF(I22&gt;0,G22/I22,  )</f>
        <v>13030.122324159</v>
      </c>
    </row>
    <row r="23" customFormat="false" ht="12.75" hidden="false" customHeight="true" outlineLevel="0" collapsed="false">
      <c r="B23" s="77" t="s">
        <v>42</v>
      </c>
      <c r="C23" s="78" t="n">
        <v>45159</v>
      </c>
      <c r="D23" s="67" t="n">
        <v>4754000</v>
      </c>
      <c r="E23" s="79" t="n">
        <f aca="false">IF(D23&gt;0, D23,(H$41/(H$38-H$39)))</f>
        <v>4754000</v>
      </c>
      <c r="F23" s="69" t="n">
        <v>92</v>
      </c>
      <c r="G23" s="80" t="n">
        <f aca="false">IF(F23&gt;0,D23/F23, )</f>
        <v>51673.9130434783</v>
      </c>
      <c r="H23" s="69" t="n">
        <v>366</v>
      </c>
      <c r="I23" s="80" t="n">
        <f aca="false">IF(H23&gt;0,H23/F23,  )</f>
        <v>3.97826086956522</v>
      </c>
      <c r="J23" s="80" t="n">
        <f aca="false">IF(I23&gt;0,G23/I23,  )</f>
        <v>12989.0710382514</v>
      </c>
    </row>
    <row r="24" customFormat="false" ht="12.75" hidden="false" customHeight="true" outlineLevel="0" collapsed="false">
      <c r="B24" s="77" t="s">
        <v>43</v>
      </c>
      <c r="C24" s="78" t="n">
        <v>45160</v>
      </c>
      <c r="D24" s="67" t="n">
        <v>3607150</v>
      </c>
      <c r="E24" s="79" t="n">
        <f aca="false">IF(D24&gt;0, D24,(H$41/(H$38-H$39)))</f>
        <v>3607150</v>
      </c>
      <c r="F24" s="69" t="n">
        <v>116</v>
      </c>
      <c r="G24" s="80" t="n">
        <f aca="false">IF(F24&gt;0,D24/F24, )</f>
        <v>31096.1206896552</v>
      </c>
      <c r="H24" s="69" t="n">
        <v>326</v>
      </c>
      <c r="I24" s="80" t="n">
        <f aca="false">IF(H24&gt;0,H24/F24,  )</f>
        <v>2.81034482758621</v>
      </c>
      <c r="J24" s="80" t="n">
        <f aca="false">IF(I24&gt;0,G24/I24,  )</f>
        <v>11064.8773006135</v>
      </c>
    </row>
    <row r="25" customFormat="false" ht="12.75" hidden="false" customHeight="true" outlineLevel="0" collapsed="false">
      <c r="B25" s="77" t="s">
        <v>44</v>
      </c>
      <c r="C25" s="78" t="n">
        <v>45161</v>
      </c>
      <c r="D25" s="67" t="n">
        <v>4944350</v>
      </c>
      <c r="E25" s="79" t="n">
        <f aca="false">IF(D25&gt;0, D25,(H$41/(H$38-H$39)))</f>
        <v>4944350</v>
      </c>
      <c r="F25" s="69" t="n">
        <v>132</v>
      </c>
      <c r="G25" s="80" t="n">
        <f aca="false">IF(F25&gt;0,D25/F25, )</f>
        <v>37457.196969697</v>
      </c>
      <c r="H25" s="69" t="n">
        <v>447</v>
      </c>
      <c r="I25" s="80" t="n">
        <f aca="false">IF(H25&gt;0,H25/F25,  )</f>
        <v>3.38636363636364</v>
      </c>
      <c r="J25" s="80" t="n">
        <f aca="false">IF(I25&gt;0,G25/I25,  )</f>
        <v>11061.1856823266</v>
      </c>
    </row>
    <row r="26" customFormat="false" ht="12.75" hidden="false" customHeight="true" outlineLevel="0" collapsed="false">
      <c r="B26" s="77" t="s">
        <v>38</v>
      </c>
      <c r="C26" s="78" t="n">
        <v>45162</v>
      </c>
      <c r="D26" s="67" t="n">
        <v>5029950</v>
      </c>
      <c r="E26" s="79" t="n">
        <f aca="false">IF(D26&gt;0, D26,(H$41/(H$38-H$39)))</f>
        <v>5029950</v>
      </c>
      <c r="F26" s="69" t="n">
        <v>120</v>
      </c>
      <c r="G26" s="80" t="n">
        <f aca="false">IF(F26&gt;0,D26/F26, )</f>
        <v>41916.25</v>
      </c>
      <c r="H26" s="69" t="n">
        <v>409</v>
      </c>
      <c r="I26" s="80" t="n">
        <f aca="false">IF(H26&gt;0,H26/F26,  )</f>
        <v>3.40833333333333</v>
      </c>
      <c r="J26" s="80" t="n">
        <f aca="false">IF(I26&gt;0,G26/I26,  )</f>
        <v>12298.1662591687</v>
      </c>
    </row>
    <row r="27" customFormat="false" ht="12.75" hidden="false" customHeight="true" outlineLevel="0" collapsed="false">
      <c r="B27" s="77" t="s">
        <v>39</v>
      </c>
      <c r="C27" s="78" t="n">
        <v>45163</v>
      </c>
      <c r="D27" s="67" t="n">
        <v>4621350</v>
      </c>
      <c r="E27" s="79" t="n">
        <f aca="false">IF(D27&gt;0, D27,(H$41/(H$38-H$39)))</f>
        <v>4621350</v>
      </c>
      <c r="F27" s="69" t="n">
        <v>134</v>
      </c>
      <c r="G27" s="80" t="n">
        <f aca="false">IF(F27&gt;0,D27/F27, )</f>
        <v>34487.6865671642</v>
      </c>
      <c r="H27" s="69" t="n">
        <v>415</v>
      </c>
      <c r="I27" s="80" t="n">
        <f aca="false">IF(H27&gt;0,H27/F27,  )</f>
        <v>3.09701492537313</v>
      </c>
      <c r="J27" s="80" t="n">
        <f aca="false">IF(I27&gt;0,G27/I27,  )</f>
        <v>11135.7831325301</v>
      </c>
    </row>
    <row r="28" customFormat="false" ht="12.75" hidden="false" customHeight="true" outlineLevel="0" collapsed="false">
      <c r="B28" s="77" t="s">
        <v>40</v>
      </c>
      <c r="C28" s="78" t="n">
        <v>45164</v>
      </c>
      <c r="D28" s="67" t="n">
        <v>5057950</v>
      </c>
      <c r="E28" s="79" t="n">
        <f aca="false">IF(D28&gt;0, D28,(H$41/(H$38-H$39)))</f>
        <v>5057950</v>
      </c>
      <c r="F28" s="69" t="n">
        <v>124</v>
      </c>
      <c r="G28" s="80" t="n">
        <f aca="false">IF(F28&gt;0,D28/F28, )</f>
        <v>40789.9193548387</v>
      </c>
      <c r="H28" s="69" t="n">
        <v>428</v>
      </c>
      <c r="I28" s="80" t="n">
        <f aca="false">IF(H28&gt;0,H28/F28,  )</f>
        <v>3.45161290322581</v>
      </c>
      <c r="J28" s="80" t="n">
        <f aca="false">IF(I28&gt;0,G28/I28,  )</f>
        <v>11817.6401869159</v>
      </c>
    </row>
    <row r="29" customFormat="false" ht="12.75" hidden="false" customHeight="true" outlineLevel="0" collapsed="false">
      <c r="B29" s="77" t="s">
        <v>41</v>
      </c>
      <c r="C29" s="78" t="n">
        <v>45165</v>
      </c>
      <c r="D29" s="67" t="n">
        <v>3568500</v>
      </c>
      <c r="E29" s="79" t="n">
        <f aca="false">IF(D29&gt;0, D29,(H$41/(H$38-H$39)))</f>
        <v>3568500</v>
      </c>
      <c r="F29" s="69" t="n">
        <v>108</v>
      </c>
      <c r="G29" s="80" t="n">
        <f aca="false">IF(F29&gt;0,D29/F29, )</f>
        <v>33041.6666666667</v>
      </c>
      <c r="H29" s="69" t="n">
        <v>300</v>
      </c>
      <c r="I29" s="80" t="n">
        <f aca="false">IF(H29&gt;0,H29/F29,  )</f>
        <v>2.77777777777778</v>
      </c>
      <c r="J29" s="80" t="n">
        <f aca="false">IF(I29&gt;0,G29/I29,  )</f>
        <v>11895</v>
      </c>
    </row>
    <row r="30" customFormat="false" ht="12.75" hidden="false" customHeight="true" outlineLevel="0" collapsed="false">
      <c r="B30" s="77" t="s">
        <v>42</v>
      </c>
      <c r="C30" s="78" t="n">
        <v>45166</v>
      </c>
      <c r="D30" s="67" t="n">
        <v>5258650</v>
      </c>
      <c r="E30" s="79" t="n">
        <f aca="false">IF(D30&gt;0, D30,(H$41/(H$38-H$39)))</f>
        <v>5258650</v>
      </c>
      <c r="F30" s="69" t="n">
        <v>138</v>
      </c>
      <c r="G30" s="80" t="n">
        <f aca="false">IF(F30&gt;0,D30/F30, )</f>
        <v>38106.1594202899</v>
      </c>
      <c r="H30" s="69" t="n">
        <v>404</v>
      </c>
      <c r="I30" s="80" t="n">
        <f aca="false">IF(H30&gt;0,H30/F30,  )</f>
        <v>2.92753623188406</v>
      </c>
      <c r="J30" s="80" t="n">
        <f aca="false">IF(I30&gt;0,G30/I30,  )</f>
        <v>13016.4603960396</v>
      </c>
      <c r="L30" s="82"/>
    </row>
    <row r="31" customFormat="false" ht="12.75" hidden="false" customHeight="true" outlineLevel="0" collapsed="false">
      <c r="B31" s="77" t="s">
        <v>43</v>
      </c>
      <c r="C31" s="78" t="n">
        <v>45167</v>
      </c>
      <c r="D31" s="67" t="n">
        <v>5281850</v>
      </c>
      <c r="E31" s="79" t="n">
        <f aca="false">IF(D31&gt;0, D31,(H$41/(H$38-H$39)))</f>
        <v>5281850</v>
      </c>
      <c r="F31" s="69" t="n">
        <v>140</v>
      </c>
      <c r="G31" s="80" t="n">
        <f aca="false">IF(F31&gt;0,D31/F31, )</f>
        <v>37727.5</v>
      </c>
      <c r="H31" s="69" t="n">
        <v>437</v>
      </c>
      <c r="I31" s="80" t="n">
        <f aca="false">IF(H31&gt;0,H31/F31,  )</f>
        <v>3.12142857142857</v>
      </c>
      <c r="J31" s="80" t="n">
        <f aca="false">IF(I31&gt;0,G31/I31,  )</f>
        <v>12086.6132723112</v>
      </c>
    </row>
    <row r="32" customFormat="false" ht="12.75" hidden="false" customHeight="true" outlineLevel="0" collapsed="false">
      <c r="B32" s="77" t="s">
        <v>44</v>
      </c>
      <c r="C32" s="78" t="n">
        <v>45168</v>
      </c>
      <c r="D32" s="67" t="n">
        <v>5418300</v>
      </c>
      <c r="E32" s="79" t="n">
        <f aca="false">IF(D32&gt;0, D32,(H$41/(H$38-H$39)))</f>
        <v>5418300</v>
      </c>
      <c r="F32" s="69" t="n">
        <v>118</v>
      </c>
      <c r="G32" s="80" t="n">
        <f aca="false">IF(F32&gt;0,D32/F32, )</f>
        <v>45917.7966101695</v>
      </c>
      <c r="H32" s="69" t="n">
        <v>452</v>
      </c>
      <c r="I32" s="80" t="n">
        <f aca="false">IF(H32&gt;0,H32/F32,  )</f>
        <v>3.83050847457627</v>
      </c>
      <c r="J32" s="80" t="n">
        <f aca="false">IF(I32&gt;0,G32/I32,  )</f>
        <v>11987.389380531</v>
      </c>
    </row>
    <row r="33" customFormat="false" ht="12.75" hidden="false" customHeight="true" outlineLevel="0" collapsed="false">
      <c r="B33" s="83" t="s">
        <v>18</v>
      </c>
      <c r="C33" s="84"/>
      <c r="D33" s="85" t="n">
        <f aca="false">AVERAGE(D3:D32)</f>
        <v>4874915</v>
      </c>
      <c r="E33" s="85"/>
      <c r="F33" s="86" t="n">
        <f aca="false">AVERAGE(F3:F32)</f>
        <v>122.6</v>
      </c>
      <c r="G33" s="85" t="n">
        <f aca="false">D33/F33</f>
        <v>39762.7650897227</v>
      </c>
      <c r="H33" s="86" t="n">
        <f aca="false">AVERAGE(H3:H32)</f>
        <v>425.533333333333</v>
      </c>
      <c r="I33" s="86" t="n">
        <f aca="false">IF(H33&gt;0,H33/F33,  )</f>
        <v>3.47090810222947</v>
      </c>
      <c r="J33" s="87" t="n">
        <f aca="false">IF(I33&gt;0,G33/I33,  )</f>
        <v>11456.0120632931</v>
      </c>
    </row>
    <row r="34" customFormat="false" ht="12.75" hidden="false" customHeight="true" outlineLevel="0" collapsed="false">
      <c r="B34" s="88" t="s">
        <v>19</v>
      </c>
      <c r="C34" s="89"/>
      <c r="D34" s="90" t="n">
        <f aca="false">SUM(D3:D32)</f>
        <v>146247450</v>
      </c>
      <c r="E34" s="90"/>
      <c r="F34" s="91" t="n">
        <f aca="false">SUM(F3:F32)</f>
        <v>3678</v>
      </c>
      <c r="G34" s="92"/>
      <c r="H34" s="91" t="n">
        <f aca="false">SUM(H3:H32)</f>
        <v>12766</v>
      </c>
      <c r="I34" s="91"/>
      <c r="J34" s="91"/>
    </row>
    <row r="35" customFormat="false" ht="12.75" hidden="false" customHeight="true" outlineLevel="0" collapsed="false">
      <c r="B35" s="93" t="s">
        <v>20</v>
      </c>
      <c r="C35" s="94"/>
      <c r="D35" s="95" t="n">
        <v>153000000</v>
      </c>
      <c r="E35" s="96"/>
      <c r="F35" s="97"/>
      <c r="G35" s="98"/>
      <c r="H35" s="97"/>
      <c r="I35" s="97"/>
      <c r="J35" s="97"/>
    </row>
    <row r="36" customFormat="false" ht="12.75" hidden="false" customHeight="true" outlineLevel="0" collapsed="false">
      <c r="B36" s="99" t="s">
        <v>21</v>
      </c>
      <c r="C36" s="100"/>
      <c r="D36" s="101" t="n">
        <f aca="false">D34/D35</f>
        <v>0.95586568627451</v>
      </c>
      <c r="E36" s="101"/>
      <c r="F36" s="102"/>
      <c r="G36" s="103"/>
      <c r="H36" s="104"/>
      <c r="I36" s="104"/>
      <c r="J36" s="104"/>
    </row>
    <row r="38" customFormat="false" ht="12.75" hidden="false" customHeight="true" outlineLevel="0" collapsed="false">
      <c r="E38" s="107" t="s">
        <v>22</v>
      </c>
      <c r="F38" s="107"/>
      <c r="G38" s="107"/>
      <c r="H38" s="108" t="n">
        <f aca="false">COUNTA(C3:C32)</f>
        <v>30</v>
      </c>
    </row>
    <row r="39" customFormat="false" ht="12.75" hidden="false" customHeight="true" outlineLevel="0" collapsed="false">
      <c r="E39" s="109" t="s">
        <v>23</v>
      </c>
      <c r="F39" s="109"/>
      <c r="G39" s="109"/>
      <c r="H39" s="110" t="n">
        <f aca="false">COUNTA(D3:D32)</f>
        <v>30</v>
      </c>
    </row>
    <row r="40" customFormat="false" ht="12.75" hidden="false" customHeight="true" outlineLevel="0" collapsed="false">
      <c r="E40" s="111" t="s">
        <v>24</v>
      </c>
      <c r="F40" s="111"/>
      <c r="G40" s="111"/>
      <c r="H40" s="112" t="n">
        <f aca="false">D35</f>
        <v>153000000</v>
      </c>
    </row>
    <row r="41" customFormat="false" ht="12.75" hidden="false" customHeight="true" outlineLevel="0" collapsed="false">
      <c r="E41" s="113" t="s">
        <v>25</v>
      </c>
      <c r="F41" s="113"/>
      <c r="G41" s="113"/>
      <c r="H41" s="114" t="n">
        <f aca="false">D35-D34</f>
        <v>6752550</v>
      </c>
    </row>
    <row r="42" customFormat="false" ht="12.75" hidden="false" customHeight="true" outlineLevel="0" collapsed="false">
      <c r="E42" s="113" t="s">
        <v>26</v>
      </c>
      <c r="F42" s="113"/>
      <c r="G42" s="113"/>
      <c r="H42" s="115" t="n">
        <f aca="false">H45*H38</f>
        <v>146247450</v>
      </c>
    </row>
    <row r="43" customFormat="false" ht="12.75" hidden="false" customHeight="true" outlineLevel="0" collapsed="false">
      <c r="E43" s="116" t="s">
        <v>27</v>
      </c>
      <c r="F43" s="116"/>
      <c r="G43" s="116"/>
      <c r="H43" s="117" t="n">
        <f aca="false">H42-H40</f>
        <v>-6752550</v>
      </c>
    </row>
    <row r="44" customFormat="false" ht="12.75" hidden="false" customHeight="true" outlineLevel="0" collapsed="false">
      <c r="E44" s="118" t="s">
        <v>28</v>
      </c>
      <c r="F44" s="118"/>
      <c r="G44" s="118"/>
      <c r="H44" s="119" t="n">
        <f aca="false">H40/H38</f>
        <v>5100000</v>
      </c>
    </row>
    <row r="45" customFormat="false" ht="12.75" hidden="false" customHeight="true" outlineLevel="0" collapsed="false">
      <c r="E45" s="120" t="s">
        <v>29</v>
      </c>
      <c r="F45" s="120"/>
      <c r="G45" s="120"/>
      <c r="H45" s="121" t="n">
        <f aca="false">AVERAGE(D3:D32)</f>
        <v>4874915</v>
      </c>
    </row>
    <row r="46" customFormat="false" ht="12.75" hidden="false" customHeight="true" outlineLevel="0" collapsed="false">
      <c r="E46" s="120" t="s">
        <v>30</v>
      </c>
      <c r="F46" s="120"/>
      <c r="G46" s="120"/>
      <c r="H46" s="122" t="n">
        <f aca="false">(H40/H48)/H38</f>
        <v>128.260697878835</v>
      </c>
    </row>
    <row r="47" customFormat="false" ht="12.75" hidden="false" customHeight="true" outlineLevel="0" collapsed="false">
      <c r="E47" s="120" t="s">
        <v>31</v>
      </c>
      <c r="F47" s="120"/>
      <c r="G47" s="120"/>
      <c r="H47" s="121" t="n">
        <f aca="false">F33</f>
        <v>122.6</v>
      </c>
    </row>
    <row r="48" customFormat="false" ht="12.75" hidden="false" customHeight="true" outlineLevel="0" collapsed="false">
      <c r="E48" s="120" t="s">
        <v>32</v>
      </c>
      <c r="F48" s="120"/>
      <c r="G48" s="120"/>
      <c r="H48" s="123" t="n">
        <f aca="false">G33</f>
        <v>39762.7650897227</v>
      </c>
    </row>
    <row r="49" customFormat="false" ht="12.75" hidden="false" customHeight="true" outlineLevel="0" collapsed="false">
      <c r="E49" s="120" t="s">
        <v>33</v>
      </c>
      <c r="F49" s="120"/>
      <c r="G49" s="120"/>
      <c r="H49" s="124" t="n">
        <f aca="false">H45-H44</f>
        <v>-225085</v>
      </c>
    </row>
    <row r="50" customFormat="false" ht="12.75" hidden="false" customHeight="true" outlineLevel="0" collapsed="false">
      <c r="E50" s="120" t="s">
        <v>34</v>
      </c>
      <c r="F50" s="120"/>
      <c r="G50" s="120"/>
      <c r="H50" s="125" t="n">
        <f aca="false">H42/H40</f>
        <v>0.95586568627451</v>
      </c>
    </row>
    <row r="51" customFormat="false" ht="12.75" hidden="false" customHeight="true" outlineLevel="0" collapsed="false">
      <c r="E51" s="126" t="s">
        <v>35</v>
      </c>
      <c r="F51" s="126"/>
      <c r="G51" s="126"/>
      <c r="H51" s="127" t="n">
        <f aca="false">D34/H40</f>
        <v>0.95586568627451</v>
      </c>
    </row>
  </sheetData>
  <mergeCells count="15">
    <mergeCell ref="D1:J1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6" activeCellId="0" sqref="D36"/>
    </sheetView>
  </sheetViews>
  <sheetFormatPr defaultColWidth="10.25" defaultRowHeight="15" zeroHeight="false" outlineLevelRow="0" outlineLevelCol="0"/>
  <cols>
    <col collapsed="false" customWidth="true" hidden="false" outlineLevel="0" max="10" min="2" style="0" width="12.8"/>
  </cols>
  <sheetData>
    <row r="1" customFormat="false" ht="17.35" hidden="false" customHeight="false" outlineLevel="0" collapsed="false">
      <c r="A1" s="71"/>
      <c r="B1" s="128" t="s">
        <v>52</v>
      </c>
      <c r="C1" s="100"/>
      <c r="D1" s="129" t="s">
        <v>1</v>
      </c>
      <c r="E1" s="129"/>
      <c r="F1" s="129"/>
      <c r="G1" s="129"/>
      <c r="H1" s="129"/>
      <c r="I1" s="129"/>
      <c r="J1" s="129"/>
      <c r="K1" s="71"/>
    </row>
    <row r="2" customFormat="false" ht="30.55" hidden="false" customHeight="false" outlineLevel="0" collapsed="false">
      <c r="A2" s="71"/>
      <c r="B2" s="130" t="s">
        <v>2</v>
      </c>
      <c r="C2" s="131" t="s">
        <v>3</v>
      </c>
      <c r="D2" s="132" t="s">
        <v>4</v>
      </c>
      <c r="E2" s="132" t="s">
        <v>5</v>
      </c>
      <c r="F2" s="132" t="s">
        <v>6</v>
      </c>
      <c r="G2" s="133" t="s">
        <v>7</v>
      </c>
      <c r="H2" s="134" t="s">
        <v>8</v>
      </c>
      <c r="I2" s="134" t="s">
        <v>9</v>
      </c>
      <c r="J2" s="134" t="s">
        <v>10</v>
      </c>
      <c r="K2" s="71"/>
    </row>
    <row r="3" customFormat="false" ht="15" hidden="false" customHeight="false" outlineLevel="0" collapsed="false">
      <c r="A3" s="71"/>
      <c r="B3" s="135" t="s">
        <v>17</v>
      </c>
      <c r="C3" s="78" t="n">
        <v>45200</v>
      </c>
      <c r="D3" s="67" t="n">
        <v>5770550</v>
      </c>
      <c r="E3" s="79" t="n">
        <f aca="false">IF(D3&gt;0, D3,(H$42/(H$39-H$40)))</f>
        <v>5770550</v>
      </c>
      <c r="F3" s="69" t="n">
        <v>120</v>
      </c>
      <c r="G3" s="80" t="n">
        <f aca="false">IF(F3&gt;0,D3/F3, )</f>
        <v>48087.9166666667</v>
      </c>
      <c r="H3" s="69" t="n">
        <v>406</v>
      </c>
      <c r="I3" s="80" t="n">
        <f aca="false">IF(H3&gt;0,H3/F3,  )</f>
        <v>3.38333333333333</v>
      </c>
      <c r="J3" s="80" t="n">
        <f aca="false">IF(I3&gt;0,G3/I3,  )</f>
        <v>14213.1773399015</v>
      </c>
      <c r="K3" s="71"/>
    </row>
    <row r="4" customFormat="false" ht="15" hidden="false" customHeight="false" outlineLevel="0" collapsed="false">
      <c r="A4" s="71"/>
      <c r="B4" s="136" t="s">
        <v>11</v>
      </c>
      <c r="C4" s="78" t="n">
        <v>45201</v>
      </c>
      <c r="D4" s="67" t="n">
        <v>6281100</v>
      </c>
      <c r="E4" s="79" t="n">
        <f aca="false">IF(D4&gt;0, D4,(H$42/(H$39-H$40)))</f>
        <v>6281100</v>
      </c>
      <c r="F4" s="69" t="n">
        <v>136</v>
      </c>
      <c r="G4" s="80" t="n">
        <f aca="false">IF(F4&gt;0,D4/F4, )</f>
        <v>46184.5588235294</v>
      </c>
      <c r="H4" s="69" t="n">
        <v>482</v>
      </c>
      <c r="I4" s="80" t="n">
        <f aca="false">IF(H4&gt;0,H4/F4,  )</f>
        <v>3.54411764705882</v>
      </c>
      <c r="J4" s="80" t="n">
        <f aca="false">IF(I4&gt;0,G4/I4,  )</f>
        <v>13031.3278008299</v>
      </c>
      <c r="K4" s="71"/>
    </row>
    <row r="5" customFormat="false" ht="15" hidden="false" customHeight="false" outlineLevel="0" collapsed="false">
      <c r="A5" s="71"/>
      <c r="B5" s="136" t="s">
        <v>12</v>
      </c>
      <c r="C5" s="78" t="n">
        <v>45202</v>
      </c>
      <c r="D5" s="67" t="n">
        <v>5935600</v>
      </c>
      <c r="E5" s="79" t="n">
        <f aca="false">IF(D5&gt;0, D5,(H$42/(H$39-H$40)))</f>
        <v>5935600</v>
      </c>
      <c r="F5" s="69" t="n">
        <v>128</v>
      </c>
      <c r="G5" s="80" t="n">
        <f aca="false">IF(F5&gt;0,D5/F5, )</f>
        <v>46371.875</v>
      </c>
      <c r="H5" s="69" t="n">
        <v>468</v>
      </c>
      <c r="I5" s="80" t="n">
        <f aca="false">IF(H5&gt;0,H5/F5,  )</f>
        <v>3.65625</v>
      </c>
      <c r="J5" s="80" t="n">
        <f aca="false">IF(I5&gt;0,G5/I5,  )</f>
        <v>12682.905982906</v>
      </c>
      <c r="K5" s="71"/>
    </row>
    <row r="6" customFormat="false" ht="15" hidden="false" customHeight="false" outlineLevel="0" collapsed="false">
      <c r="A6" s="71"/>
      <c r="B6" s="136" t="s">
        <v>13</v>
      </c>
      <c r="C6" s="78" t="n">
        <v>45203</v>
      </c>
      <c r="D6" s="67" t="n">
        <v>7310950</v>
      </c>
      <c r="E6" s="79" t="n">
        <f aca="false">IF(D6&gt;0, D6,(H$42/(H$39-H$40)))</f>
        <v>7310950</v>
      </c>
      <c r="F6" s="69" t="n">
        <v>151</v>
      </c>
      <c r="G6" s="80" t="n">
        <f aca="false">IF(F6&gt;0,D6/F6, )</f>
        <v>48416.8874172186</v>
      </c>
      <c r="H6" s="69" t="n">
        <v>610</v>
      </c>
      <c r="I6" s="80" t="n">
        <f aca="false">IF(H6&gt;0,H6/F6,  )</f>
        <v>4.03973509933775</v>
      </c>
      <c r="J6" s="80" t="n">
        <f aca="false">IF(I6&gt;0,G6/I6,  )</f>
        <v>11985.1639344262</v>
      </c>
      <c r="K6" s="71"/>
    </row>
    <row r="7" customFormat="false" ht="15" hidden="false" customHeight="false" outlineLevel="0" collapsed="false">
      <c r="A7" s="71"/>
      <c r="B7" s="136" t="s">
        <v>14</v>
      </c>
      <c r="C7" s="78" t="n">
        <v>45204</v>
      </c>
      <c r="D7" s="67" t="n">
        <v>5012200</v>
      </c>
      <c r="E7" s="79" t="n">
        <f aca="false">IF(D7&gt;0, D7,(H$42/(H$39-H$40)))</f>
        <v>5012200</v>
      </c>
      <c r="F7" s="69" t="n">
        <v>123</v>
      </c>
      <c r="G7" s="80" t="n">
        <f aca="false">IF(F7&gt;0,D7/F7, )</f>
        <v>40749.593495935</v>
      </c>
      <c r="H7" s="69" t="n">
        <v>424</v>
      </c>
      <c r="I7" s="80" t="n">
        <f aca="false">IF(H7&gt;0,H7/F7,  )</f>
        <v>3.44715447154472</v>
      </c>
      <c r="J7" s="80" t="n">
        <f aca="false">IF(I7&gt;0,G7/I7,  )</f>
        <v>11821.2264150943</v>
      </c>
      <c r="K7" s="71"/>
    </row>
    <row r="8" customFormat="false" ht="15" hidden="false" customHeight="false" outlineLevel="0" collapsed="false">
      <c r="A8" s="71"/>
      <c r="B8" s="136" t="s">
        <v>15</v>
      </c>
      <c r="C8" s="78" t="n">
        <v>45205</v>
      </c>
      <c r="D8" s="67" t="n">
        <v>5669800</v>
      </c>
      <c r="E8" s="79" t="n">
        <f aca="false">IF(D8&gt;0, D8,(H$42/(H$39-H$40)))</f>
        <v>5669800</v>
      </c>
      <c r="F8" s="69" t="n">
        <v>135</v>
      </c>
      <c r="G8" s="80" t="n">
        <f aca="false">IF(F8&gt;0,D8/F8, )</f>
        <v>41998.5185185185</v>
      </c>
      <c r="H8" s="69" t="n">
        <v>478</v>
      </c>
      <c r="I8" s="80" t="n">
        <f aca="false">IF(H8&gt;0,H8/F8,  )</f>
        <v>3.54074074074074</v>
      </c>
      <c r="J8" s="80" t="n">
        <f aca="false">IF(I8&gt;0,G8/I8,  )</f>
        <v>11861.5062761506</v>
      </c>
      <c r="K8" s="71"/>
    </row>
    <row r="9" customFormat="false" ht="15" hidden="false" customHeight="false" outlineLevel="0" collapsed="false">
      <c r="A9" s="71"/>
      <c r="B9" s="136" t="s">
        <v>16</v>
      </c>
      <c r="C9" s="78" t="n">
        <v>45206</v>
      </c>
      <c r="D9" s="67" t="n">
        <v>6465400</v>
      </c>
      <c r="E9" s="79" t="n">
        <f aca="false">IF(D9&gt;0, D9,(H$42/(H$39-H$40)))</f>
        <v>6465400</v>
      </c>
      <c r="F9" s="69" t="n">
        <v>141</v>
      </c>
      <c r="G9" s="80" t="n">
        <f aca="false">IF(F9&gt;0,D9/F9, )</f>
        <v>45853.9007092199</v>
      </c>
      <c r="H9" s="69" t="n">
        <v>452</v>
      </c>
      <c r="I9" s="80" t="n">
        <f aca="false">IF(H9&gt;0,H9/F9,  )</f>
        <v>3.20567375886525</v>
      </c>
      <c r="J9" s="80" t="n">
        <f aca="false">IF(I9&gt;0,G9/I9,  )</f>
        <v>14303.982300885</v>
      </c>
      <c r="K9" s="71"/>
    </row>
    <row r="10" customFormat="false" ht="15" hidden="false" customHeight="false" outlineLevel="0" collapsed="false">
      <c r="A10" s="71"/>
      <c r="B10" s="136" t="s">
        <v>17</v>
      </c>
      <c r="C10" s="78" t="n">
        <v>45207</v>
      </c>
      <c r="D10" s="67" t="n">
        <v>4726950</v>
      </c>
      <c r="E10" s="79" t="n">
        <f aca="false">IF(D10&gt;0, D10,(H$42/(H$39-H$40)))</f>
        <v>4726950</v>
      </c>
      <c r="F10" s="69" t="n">
        <v>122</v>
      </c>
      <c r="G10" s="80" t="n">
        <f aca="false">IF(F10&gt;0,D10/F10, )</f>
        <v>38745.4918032787</v>
      </c>
      <c r="H10" s="69" t="n">
        <v>383</v>
      </c>
      <c r="I10" s="80" t="n">
        <f aca="false">IF(H10&gt;0,H10/F10,  )</f>
        <v>3.13934426229508</v>
      </c>
      <c r="J10" s="80" t="n">
        <f aca="false">IF(I10&gt;0,G10/I10,  )</f>
        <v>12341.9060052219</v>
      </c>
      <c r="K10" s="71"/>
    </row>
    <row r="11" customFormat="false" ht="15" hidden="false" customHeight="false" outlineLevel="0" collapsed="false">
      <c r="A11" s="71"/>
      <c r="B11" s="136" t="s">
        <v>39</v>
      </c>
      <c r="C11" s="78" t="n">
        <v>45208</v>
      </c>
      <c r="D11" s="67" t="n">
        <v>5619650</v>
      </c>
      <c r="E11" s="79" t="n">
        <f aca="false">IF(D11&gt;0, D11,(H$42/(H$39-H$40)))</f>
        <v>5619650</v>
      </c>
      <c r="F11" s="69" t="n">
        <v>136</v>
      </c>
      <c r="G11" s="80" t="n">
        <f aca="false">IF(F11&gt;0,D11/F11, )</f>
        <v>41320.955882353</v>
      </c>
      <c r="H11" s="69" t="n">
        <v>464</v>
      </c>
      <c r="I11" s="80" t="n">
        <f aca="false">IF(H11&gt;0,H11/F11,  )</f>
        <v>3.41176470588235</v>
      </c>
      <c r="J11" s="80" t="n">
        <f aca="false">IF(I11&gt;0,G11/I11,  )</f>
        <v>12111.3146551724</v>
      </c>
      <c r="K11" s="71"/>
    </row>
    <row r="12" customFormat="false" ht="15" hidden="false" customHeight="false" outlineLevel="0" collapsed="false">
      <c r="A12" s="71"/>
      <c r="B12" s="136" t="s">
        <v>40</v>
      </c>
      <c r="C12" s="78" t="n">
        <v>45209</v>
      </c>
      <c r="D12" s="67" t="n">
        <v>5450450</v>
      </c>
      <c r="E12" s="79" t="n">
        <f aca="false">IF(D12&gt;0, D12,(H$42/(H$39-H$40)))</f>
        <v>5450450</v>
      </c>
      <c r="F12" s="69" t="n">
        <v>133</v>
      </c>
      <c r="G12" s="80" t="n">
        <f aca="false">IF(F12&gt;0,D12/F12, )</f>
        <v>40980.8270676692</v>
      </c>
      <c r="H12" s="69" t="n">
        <v>430</v>
      </c>
      <c r="I12" s="80" t="n">
        <f aca="false">IF(H12&gt;0,H12/F12,  )</f>
        <v>3.23308270676692</v>
      </c>
      <c r="J12" s="80" t="n">
        <f aca="false">IF(I12&gt;0,G12/I12,  )</f>
        <v>12675.4651162791</v>
      </c>
      <c r="K12" s="71"/>
    </row>
    <row r="13" customFormat="false" ht="15" hidden="false" customHeight="false" outlineLevel="0" collapsed="false">
      <c r="A13" s="71"/>
      <c r="B13" s="136" t="s">
        <v>41</v>
      </c>
      <c r="C13" s="78" t="n">
        <v>45210</v>
      </c>
      <c r="D13" s="67" t="n">
        <v>5341650</v>
      </c>
      <c r="E13" s="79" t="n">
        <f aca="false">IF(D13&gt;0, D13,(H$42/(H$39-H$40)))</f>
        <v>5341650</v>
      </c>
      <c r="F13" s="69" t="n">
        <v>143</v>
      </c>
      <c r="G13" s="80" t="n">
        <f aca="false">IF(F13&gt;0,D13/F13, )</f>
        <v>37354.1958041958</v>
      </c>
      <c r="H13" s="69" t="n">
        <v>471</v>
      </c>
      <c r="I13" s="80" t="n">
        <f aca="false">IF(H13&gt;0,H13/F13,  )</f>
        <v>3.29370629370629</v>
      </c>
      <c r="J13" s="80" t="n">
        <f aca="false">IF(I13&gt;0,G13/I13,  )</f>
        <v>11341.0828025478</v>
      </c>
      <c r="K13" s="71"/>
    </row>
    <row r="14" customFormat="false" ht="15" hidden="false" customHeight="false" outlineLevel="0" collapsed="false">
      <c r="A14" s="71"/>
      <c r="B14" s="136" t="s">
        <v>42</v>
      </c>
      <c r="C14" s="78" t="n">
        <v>45211</v>
      </c>
      <c r="D14" s="67" t="n">
        <v>4897950</v>
      </c>
      <c r="E14" s="79" t="n">
        <f aca="false">IF(D14&gt;0, D14,(H$42/(H$39-H$40)))</f>
        <v>4897950</v>
      </c>
      <c r="F14" s="69" t="n">
        <v>138</v>
      </c>
      <c r="G14" s="80" t="n">
        <f aca="false">IF(F14&gt;0,D14/F14, )</f>
        <v>35492.3913043478</v>
      </c>
      <c r="H14" s="69" t="n">
        <v>400</v>
      </c>
      <c r="I14" s="80" t="n">
        <f aca="false">IF(H14&gt;0,H14/F14,  )</f>
        <v>2.89855072463768</v>
      </c>
      <c r="J14" s="80" t="n">
        <f aca="false">IF(I14&gt;0,G14/I14,  )</f>
        <v>12244.875</v>
      </c>
      <c r="K14" s="71"/>
    </row>
    <row r="15" customFormat="false" ht="15" hidden="false" customHeight="false" outlineLevel="0" collapsed="false">
      <c r="A15" s="71"/>
      <c r="B15" s="136" t="s">
        <v>43</v>
      </c>
      <c r="C15" s="78" t="n">
        <v>45212</v>
      </c>
      <c r="D15" s="67" t="n">
        <v>4386200</v>
      </c>
      <c r="E15" s="79" t="n">
        <f aca="false">IF(D15&gt;0, D15,(H$42/(H$39-H$40)))</f>
        <v>4386200</v>
      </c>
      <c r="F15" s="69" t="n">
        <v>133</v>
      </c>
      <c r="G15" s="80" t="n">
        <f aca="false">IF(F15&gt;0,D15/F15, )</f>
        <v>32978.9473684211</v>
      </c>
      <c r="H15" s="69" t="n">
        <v>351</v>
      </c>
      <c r="I15" s="80" t="n">
        <f aca="false">IF(H15&gt;0,H15/F15,  )</f>
        <v>2.6390977443609</v>
      </c>
      <c r="J15" s="80" t="n">
        <f aca="false">IF(I15&gt;0,G15/I15,  )</f>
        <v>12496.2962962963</v>
      </c>
      <c r="K15" s="71"/>
    </row>
    <row r="16" customFormat="false" ht="15" hidden="false" customHeight="false" outlineLevel="0" collapsed="false">
      <c r="A16" s="71"/>
      <c r="B16" s="136" t="s">
        <v>44</v>
      </c>
      <c r="C16" s="78" t="n">
        <v>45213</v>
      </c>
      <c r="D16" s="67" t="n">
        <v>5834100</v>
      </c>
      <c r="E16" s="79" t="n">
        <f aca="false">IF(D16&gt;0, D16,(H$42/(H$39-H$40)))</f>
        <v>5834100</v>
      </c>
      <c r="F16" s="69" t="n">
        <v>121</v>
      </c>
      <c r="G16" s="80" t="n">
        <f aca="false">IF(F16&gt;0,D16/F16, )</f>
        <v>48215.7024793388</v>
      </c>
      <c r="H16" s="69" t="n">
        <v>431</v>
      </c>
      <c r="I16" s="80" t="n">
        <f aca="false">IF(H16&gt;0,H16/F16,  )</f>
        <v>3.56198347107438</v>
      </c>
      <c r="J16" s="80" t="n">
        <f aca="false">IF(I16&gt;0,G16/I16,  )</f>
        <v>13536.1948955916</v>
      </c>
      <c r="K16" s="71"/>
    </row>
    <row r="17" customFormat="false" ht="15" hidden="false" customHeight="false" outlineLevel="0" collapsed="false">
      <c r="A17" s="71"/>
      <c r="B17" s="136" t="s">
        <v>38</v>
      </c>
      <c r="C17" s="78" t="n">
        <v>45214</v>
      </c>
      <c r="D17" s="67" t="n">
        <v>4344200</v>
      </c>
      <c r="E17" s="79" t="n">
        <f aca="false">IF(D17&gt;0, D17,(H$42/(H$39-H$40)))</f>
        <v>4344200</v>
      </c>
      <c r="F17" s="69" t="n">
        <v>110</v>
      </c>
      <c r="G17" s="80" t="n">
        <f aca="false">IF(F17&gt;0,D17/F17, )</f>
        <v>39492.7272727273</v>
      </c>
      <c r="H17" s="69" t="n">
        <v>375</v>
      </c>
      <c r="I17" s="80" t="n">
        <f aca="false">IF(H17&gt;0,H17/F17,  )</f>
        <v>3.40909090909091</v>
      </c>
      <c r="J17" s="80" t="n">
        <f aca="false">IF(I17&gt;0,G17/I17,  )</f>
        <v>11584.5333333333</v>
      </c>
      <c r="K17" s="71"/>
    </row>
    <row r="18" customFormat="false" ht="15" hidden="false" customHeight="false" outlineLevel="0" collapsed="false">
      <c r="A18" s="71"/>
      <c r="B18" s="136" t="s">
        <v>39</v>
      </c>
      <c r="C18" s="78" t="n">
        <v>45215</v>
      </c>
      <c r="D18" s="67" t="n">
        <v>5485000</v>
      </c>
      <c r="E18" s="79" t="n">
        <f aca="false">IF(D18&gt;0, D18,(H$42/(H$39-H$40)))</f>
        <v>5485000</v>
      </c>
      <c r="F18" s="69" t="n">
        <v>121</v>
      </c>
      <c r="G18" s="80" t="n">
        <f aca="false">IF(F18&gt;0,D18/F18, )</f>
        <v>45330.5785123967</v>
      </c>
      <c r="H18" s="69" t="n">
        <v>432</v>
      </c>
      <c r="I18" s="80" t="n">
        <f aca="false">IF(H18&gt;0,H18/F18,  )</f>
        <v>3.5702479338843</v>
      </c>
      <c r="J18" s="80" t="n">
        <f aca="false">IF(I18&gt;0,G18/I18,  )</f>
        <v>12696.7592592593</v>
      </c>
      <c r="K18" s="71"/>
    </row>
    <row r="19" customFormat="false" ht="15" hidden="false" customHeight="false" outlineLevel="0" collapsed="false">
      <c r="A19" s="71"/>
      <c r="B19" s="136" t="s">
        <v>40</v>
      </c>
      <c r="C19" s="78" t="n">
        <v>45216</v>
      </c>
      <c r="D19" s="67" t="n">
        <v>4253900</v>
      </c>
      <c r="E19" s="79" t="n">
        <f aca="false">IF(D19&gt;0, D19,(H$42/(H$39-H$40)))</f>
        <v>4253900</v>
      </c>
      <c r="F19" s="69" t="n">
        <v>113</v>
      </c>
      <c r="G19" s="80" t="n">
        <f aca="false">IF(F19&gt;0,D19/F19, )</f>
        <v>37645.1327433628</v>
      </c>
      <c r="H19" s="69" t="n">
        <v>347</v>
      </c>
      <c r="I19" s="80" t="n">
        <f aca="false">IF(H19&gt;0,H19/F19,  )</f>
        <v>3.07079646017699</v>
      </c>
      <c r="J19" s="80" t="n">
        <f aca="false">IF(I19&gt;0,G19/I19,  )</f>
        <v>12259.0778097983</v>
      </c>
      <c r="K19" s="71"/>
    </row>
    <row r="20" customFormat="false" ht="15" hidden="false" customHeight="false" outlineLevel="0" collapsed="false">
      <c r="A20" s="71"/>
      <c r="B20" s="136" t="s">
        <v>41</v>
      </c>
      <c r="C20" s="78" t="n">
        <v>45217</v>
      </c>
      <c r="D20" s="67" t="n">
        <v>5491150</v>
      </c>
      <c r="E20" s="79" t="n">
        <f aca="false">IF(D20&gt;0, D20,(H$42/(H$39-H$40)))</f>
        <v>5491150</v>
      </c>
      <c r="F20" s="69" t="n">
        <v>124</v>
      </c>
      <c r="G20" s="80" t="n">
        <f aca="false">IF(F20&gt;0,D20/F20, )</f>
        <v>44283.4677419355</v>
      </c>
      <c r="H20" s="69" t="n">
        <v>422</v>
      </c>
      <c r="I20" s="80" t="n">
        <f aca="false">IF(H20&gt;0,H20/F20,  )</f>
        <v>3.40322580645161</v>
      </c>
      <c r="J20" s="80" t="n">
        <f aca="false">IF(I20&gt;0,G20/I20,  )</f>
        <v>13012.2037914692</v>
      </c>
      <c r="K20" s="71"/>
    </row>
    <row r="21" customFormat="false" ht="15" hidden="false" customHeight="false" outlineLevel="0" collapsed="false">
      <c r="A21" s="71"/>
      <c r="B21" s="136" t="s">
        <v>42</v>
      </c>
      <c r="C21" s="78" t="n">
        <v>45218</v>
      </c>
      <c r="D21" s="67" t="n">
        <v>5491150</v>
      </c>
      <c r="E21" s="79" t="n">
        <f aca="false">IF(D21&gt;0, D21,(H$42/(H$39-H$40)))</f>
        <v>5491150</v>
      </c>
      <c r="F21" s="69" t="n">
        <v>124</v>
      </c>
      <c r="G21" s="80" t="n">
        <f aca="false">IF(F21&gt;0,D21/F21, )</f>
        <v>44283.4677419355</v>
      </c>
      <c r="H21" s="69" t="n">
        <v>422</v>
      </c>
      <c r="I21" s="80" t="n">
        <f aca="false">IF(H21&gt;0,H21/F21,  )</f>
        <v>3.40322580645161</v>
      </c>
      <c r="J21" s="80" t="n">
        <f aca="false">IF(I21&gt;0,G21/I21,  )</f>
        <v>13012.2037914692</v>
      </c>
      <c r="K21" s="71"/>
    </row>
    <row r="22" customFormat="false" ht="15" hidden="false" customHeight="false" outlineLevel="0" collapsed="false">
      <c r="A22" s="71"/>
      <c r="B22" s="136" t="s">
        <v>43</v>
      </c>
      <c r="C22" s="78" t="n">
        <v>45219</v>
      </c>
      <c r="D22" s="67" t="n">
        <v>6087800</v>
      </c>
      <c r="E22" s="79" t="n">
        <f aca="false">IF(D22&gt;0, D22,(H$42/(H$39-H$40)))</f>
        <v>6087800</v>
      </c>
      <c r="F22" s="81" t="n">
        <v>119</v>
      </c>
      <c r="G22" s="80" t="n">
        <f aca="false">IF(F22&gt;0,D22/F22, )</f>
        <v>51157.9831932773</v>
      </c>
      <c r="H22" s="69" t="n">
        <v>523</v>
      </c>
      <c r="I22" s="80" t="n">
        <f aca="false">IF(H22&gt;0,H22/F22,  )</f>
        <v>4.39495798319328</v>
      </c>
      <c r="J22" s="80" t="n">
        <f aca="false">IF(I22&gt;0,G22/I22,  )</f>
        <v>11640.1529636711</v>
      </c>
      <c r="K22" s="71"/>
    </row>
    <row r="23" customFormat="false" ht="15" hidden="false" customHeight="false" outlineLevel="0" collapsed="false">
      <c r="A23" s="71"/>
      <c r="B23" s="136" t="s">
        <v>44</v>
      </c>
      <c r="C23" s="78" t="n">
        <v>45220</v>
      </c>
      <c r="D23" s="67" t="n">
        <v>5978400</v>
      </c>
      <c r="E23" s="79" t="n">
        <f aca="false">IF(D23&gt;0, D23,(H$42/(H$39-H$40)))</f>
        <v>5978400</v>
      </c>
      <c r="F23" s="69" t="n">
        <v>117</v>
      </c>
      <c r="G23" s="80" t="n">
        <f aca="false">IF(F23&gt;0,D23/F23, )</f>
        <v>51097.4358974359</v>
      </c>
      <c r="H23" s="69" t="n">
        <v>448</v>
      </c>
      <c r="I23" s="80" t="n">
        <f aca="false">IF(H23&gt;0,H23/F23,  )</f>
        <v>3.82905982905983</v>
      </c>
      <c r="J23" s="80" t="n">
        <f aca="false">IF(I23&gt;0,G23/I23,  )</f>
        <v>13344.6428571429</v>
      </c>
      <c r="K23" s="71"/>
    </row>
    <row r="24" customFormat="false" ht="15" hidden="false" customHeight="false" outlineLevel="0" collapsed="false">
      <c r="A24" s="71"/>
      <c r="B24" s="136" t="s">
        <v>38</v>
      </c>
      <c r="C24" s="78" t="n">
        <v>45221</v>
      </c>
      <c r="D24" s="67" t="n">
        <v>4773450</v>
      </c>
      <c r="E24" s="79" t="n">
        <f aca="false">IF(D24&gt;0, D24,(H$42/(H$39-H$40)))</f>
        <v>4773450</v>
      </c>
      <c r="F24" s="69" t="n">
        <v>120</v>
      </c>
      <c r="G24" s="80" t="n">
        <f aca="false">IF(F24&gt;0,D24/F24, )</f>
        <v>39778.75</v>
      </c>
      <c r="H24" s="69" t="n">
        <v>379</v>
      </c>
      <c r="I24" s="80" t="n">
        <f aca="false">IF(H24&gt;0,H24/F24,  )</f>
        <v>3.15833333333333</v>
      </c>
      <c r="J24" s="80" t="n">
        <f aca="false">IF(I24&gt;0,G24/I24,  )</f>
        <v>12594.8548812665</v>
      </c>
      <c r="K24" s="71"/>
    </row>
    <row r="25" customFormat="false" ht="15" hidden="false" customHeight="false" outlineLevel="0" collapsed="false">
      <c r="A25" s="71"/>
      <c r="B25" s="136" t="s">
        <v>39</v>
      </c>
      <c r="C25" s="78" t="n">
        <v>45222</v>
      </c>
      <c r="D25" s="67" t="n">
        <v>4610300</v>
      </c>
      <c r="E25" s="79" t="n">
        <f aca="false">IF(D25&gt;0, D25,(H$42/(H$39-H$40)))</f>
        <v>4610300</v>
      </c>
      <c r="F25" s="69" t="n">
        <v>109</v>
      </c>
      <c r="G25" s="80" t="n">
        <f aca="false">IF(F25&gt;0,D25/F25, )</f>
        <v>42296.3302752294</v>
      </c>
      <c r="H25" s="69" t="n">
        <v>384</v>
      </c>
      <c r="I25" s="80" t="n">
        <f aca="false">IF(H25&gt;0,H25/F25,  )</f>
        <v>3.52293577981651</v>
      </c>
      <c r="J25" s="80" t="n">
        <f aca="false">IF(I25&gt;0,G25/I25,  )</f>
        <v>12005.9895833333</v>
      </c>
      <c r="K25" s="71"/>
    </row>
    <row r="26" customFormat="false" ht="15" hidden="false" customHeight="false" outlineLevel="0" collapsed="false">
      <c r="A26" s="71"/>
      <c r="B26" s="136" t="s">
        <v>40</v>
      </c>
      <c r="C26" s="78" t="n">
        <v>45223</v>
      </c>
      <c r="D26" s="67" t="n">
        <v>5754550</v>
      </c>
      <c r="E26" s="79" t="n">
        <f aca="false">IF(D26&gt;0, D26,(H$42/(H$39-H$40)))</f>
        <v>5754550</v>
      </c>
      <c r="F26" s="69" t="n">
        <v>138</v>
      </c>
      <c r="G26" s="80" t="n">
        <f aca="false">IF(F26&gt;0,D26/F26, )</f>
        <v>41699.6376811594</v>
      </c>
      <c r="H26" s="69" t="n">
        <v>471</v>
      </c>
      <c r="I26" s="80" t="n">
        <f aca="false">IF(H26&gt;0,H26/F26,  )</f>
        <v>3.41304347826087</v>
      </c>
      <c r="J26" s="80" t="n">
        <f aca="false">IF(I26&gt;0,G26/I26,  )</f>
        <v>12217.7282377919</v>
      </c>
      <c r="K26" s="71"/>
    </row>
    <row r="27" customFormat="false" ht="15" hidden="false" customHeight="false" outlineLevel="0" collapsed="false">
      <c r="A27" s="71"/>
      <c r="B27" s="136" t="s">
        <v>41</v>
      </c>
      <c r="C27" s="78" t="n">
        <v>45224</v>
      </c>
      <c r="D27" s="67" t="n">
        <v>4760050</v>
      </c>
      <c r="E27" s="79" t="n">
        <f aca="false">IF(D27&gt;0, D27,(H$42/(H$39-H$40)))</f>
        <v>4760050</v>
      </c>
      <c r="F27" s="69" t="n">
        <v>117</v>
      </c>
      <c r="G27" s="80" t="n">
        <f aca="false">IF(F27&gt;0,D27/F27, )</f>
        <v>40684.188034188</v>
      </c>
      <c r="H27" s="69" t="n">
        <v>400</v>
      </c>
      <c r="I27" s="80" t="n">
        <f aca="false">IF(H27&gt;0,H27/F27,  )</f>
        <v>3.41880341880342</v>
      </c>
      <c r="J27" s="80" t="n">
        <f aca="false">IF(I27&gt;0,G27/I27,  )</f>
        <v>11900.125</v>
      </c>
      <c r="K27" s="71"/>
    </row>
    <row r="28" customFormat="false" ht="15" hidden="false" customHeight="false" outlineLevel="0" collapsed="false">
      <c r="A28" s="71"/>
      <c r="B28" s="136" t="s">
        <v>42</v>
      </c>
      <c r="C28" s="78" t="n">
        <v>45225</v>
      </c>
      <c r="D28" s="67" t="n">
        <v>3822650</v>
      </c>
      <c r="E28" s="79" t="n">
        <f aca="false">IF(D28&gt;0, D28,(H$42/(H$39-H$40)))</f>
        <v>3822650</v>
      </c>
      <c r="F28" s="69" t="n">
        <v>97</v>
      </c>
      <c r="G28" s="80" t="n">
        <f aca="false">IF(F28&gt;0,D28/F28, )</f>
        <v>39408.7628865979</v>
      </c>
      <c r="H28" s="69" t="n">
        <v>321</v>
      </c>
      <c r="I28" s="80" t="n">
        <f aca="false">IF(H28&gt;0,H28/F28,  )</f>
        <v>3.30927835051546</v>
      </c>
      <c r="J28" s="80" t="n">
        <f aca="false">IF(I28&gt;0,G28/I28,  )</f>
        <v>11908.5669781931</v>
      </c>
      <c r="K28" s="71"/>
    </row>
    <row r="29" customFormat="false" ht="15" hidden="false" customHeight="false" outlineLevel="0" collapsed="false">
      <c r="A29" s="71"/>
      <c r="B29" s="136" t="s">
        <v>43</v>
      </c>
      <c r="C29" s="78" t="n">
        <v>45226</v>
      </c>
      <c r="D29" s="67" t="n">
        <v>5406350</v>
      </c>
      <c r="E29" s="79" t="n">
        <f aca="false">IF(D29&gt;0, D29,(H$42/(H$39-H$40)))</f>
        <v>5406350</v>
      </c>
      <c r="F29" s="69" t="n">
        <v>128</v>
      </c>
      <c r="G29" s="80" t="n">
        <f aca="false">IF(F29&gt;0,D29/F29, )</f>
        <v>42237.109375</v>
      </c>
      <c r="H29" s="69" t="n">
        <v>456</v>
      </c>
      <c r="I29" s="80" t="n">
        <f aca="false">IF(H29&gt;0,H29/F29,  )</f>
        <v>3.5625</v>
      </c>
      <c r="J29" s="80" t="n">
        <f aca="false">IF(I29&gt;0,G29/I29,  )</f>
        <v>11856.0307017544</v>
      </c>
      <c r="K29" s="71"/>
    </row>
    <row r="30" customFormat="false" ht="15" hidden="false" customHeight="false" outlineLevel="0" collapsed="false">
      <c r="A30" s="71"/>
      <c r="B30" s="136" t="s">
        <v>44</v>
      </c>
      <c r="C30" s="78" t="n">
        <v>45227</v>
      </c>
      <c r="D30" s="67" t="n">
        <v>4048850</v>
      </c>
      <c r="E30" s="79" t="n">
        <f aca="false">IF(D30&gt;0, D30,(H$42/(H$39-H$40)))</f>
        <v>4048850</v>
      </c>
      <c r="F30" s="69" t="n">
        <v>103</v>
      </c>
      <c r="G30" s="80" t="n">
        <f aca="false">IF(F30&gt;0,D30/F30, )</f>
        <v>39309.2233009709</v>
      </c>
      <c r="H30" s="69" t="n">
        <v>355</v>
      </c>
      <c r="I30" s="80" t="n">
        <f aca="false">IF(H30&gt;0,H30/F30,  )</f>
        <v>3.44660194174757</v>
      </c>
      <c r="J30" s="80" t="n">
        <f aca="false">IF(I30&gt;0,G30/I30,  )</f>
        <v>11405.2112676056</v>
      </c>
      <c r="K30" s="71"/>
    </row>
    <row r="31" customFormat="false" ht="15" hidden="false" customHeight="false" outlineLevel="0" collapsed="false">
      <c r="A31" s="71"/>
      <c r="B31" s="136" t="s">
        <v>38</v>
      </c>
      <c r="C31" s="78" t="n">
        <v>45228</v>
      </c>
      <c r="D31" s="67" t="n">
        <v>4842350</v>
      </c>
      <c r="E31" s="79" t="n">
        <f aca="false">IF(D31&gt;0, D31,(H$42/(H$39-H$40)))</f>
        <v>4842350</v>
      </c>
      <c r="F31" s="69" t="n">
        <v>102</v>
      </c>
      <c r="G31" s="80" t="n">
        <f aca="false">IF(F31&gt;0,D31/F31, )</f>
        <v>47474.0196078431</v>
      </c>
      <c r="H31" s="69" t="n">
        <v>360</v>
      </c>
      <c r="I31" s="80" t="n">
        <f aca="false">IF(H31&gt;0,H31/F31,  )</f>
        <v>3.52941176470588</v>
      </c>
      <c r="J31" s="80" t="n">
        <f aca="false">IF(I31&gt;0,G31/I31,  )</f>
        <v>13450.9722222222</v>
      </c>
      <c r="K31" s="71"/>
    </row>
    <row r="32" customFormat="false" ht="15" hidden="false" customHeight="false" outlineLevel="0" collapsed="false">
      <c r="A32" s="71"/>
      <c r="B32" s="136" t="s">
        <v>39</v>
      </c>
      <c r="C32" s="78" t="n">
        <v>45229</v>
      </c>
      <c r="D32" s="67" t="n">
        <v>5210000</v>
      </c>
      <c r="E32" s="79" t="n">
        <f aca="false">IF(D32&gt;0, D32,(H$42/(H$39-H$40)))</f>
        <v>5210000</v>
      </c>
      <c r="F32" s="69" t="n">
        <v>128</v>
      </c>
      <c r="G32" s="80" t="n">
        <f aca="false">IF(F32&gt;0,D32/F32, )</f>
        <v>40703.125</v>
      </c>
      <c r="H32" s="69" t="n">
        <v>232</v>
      </c>
      <c r="I32" s="80" t="n">
        <f aca="false">IF(H32&gt;0,H32/F32,  )</f>
        <v>1.8125</v>
      </c>
      <c r="J32" s="80" t="n">
        <f aca="false">IF(I32&gt;0,G32/I32,  )</f>
        <v>22456.8965517241</v>
      </c>
      <c r="K32" s="71"/>
    </row>
    <row r="33" customFormat="false" ht="15" hidden="false" customHeight="false" outlineLevel="0" collapsed="false">
      <c r="A33" s="71"/>
      <c r="B33" s="136" t="s">
        <v>40</v>
      </c>
      <c r="C33" s="78" t="n">
        <v>45230</v>
      </c>
      <c r="D33" s="67" t="n">
        <v>4284300</v>
      </c>
      <c r="E33" s="79" t="n">
        <f aca="false">IF(D33&gt;0, D33,(H$42/(H$39-H$40)))</f>
        <v>4284300</v>
      </c>
      <c r="F33" s="69" t="n">
        <v>130</v>
      </c>
      <c r="G33" s="80" t="n">
        <f aca="false">IF(F33&gt;0,D33/F33, )</f>
        <v>32956.1538461538</v>
      </c>
      <c r="H33" s="69" t="n">
        <v>361</v>
      </c>
      <c r="I33" s="80" t="n">
        <f aca="false">IF(H33&gt;0,H33/F33,  )</f>
        <v>2.77692307692308</v>
      </c>
      <c r="J33" s="80" t="n">
        <f aca="false">IF(I33&gt;0,G33/I33,  )</f>
        <v>11867.8670360111</v>
      </c>
      <c r="K33" s="71"/>
    </row>
    <row r="34" customFormat="false" ht="15" hidden="false" customHeight="false" outlineLevel="0" collapsed="false">
      <c r="A34" s="71"/>
      <c r="B34" s="83" t="s">
        <v>18</v>
      </c>
      <c r="C34" s="84"/>
      <c r="D34" s="85" t="n">
        <f aca="false">AVERAGE(D3:D33)</f>
        <v>5269258.06451613</v>
      </c>
      <c r="E34" s="85"/>
      <c r="F34" s="86" t="s">
        <v>53</v>
      </c>
      <c r="G34" s="85" t="e">
        <f aca="false">D34/F34</f>
        <v>#VALUE!</v>
      </c>
      <c r="H34" s="86" t="n">
        <f aca="false">AVERAGE(H3:H33)</f>
        <v>417.354838709677</v>
      </c>
      <c r="I34" s="86" t="e">
        <f aca="false">IF(H34&gt;0,H34/F34,  )</f>
        <v>#VALUE!</v>
      </c>
      <c r="J34" s="87" t="e">
        <f aca="false">IF(I34&gt;0,G34/I34,  )</f>
        <v>#VALUE!</v>
      </c>
      <c r="K34" s="71"/>
    </row>
    <row r="35" customFormat="false" ht="15" hidden="false" customHeight="false" outlineLevel="0" collapsed="false">
      <c r="A35" s="71"/>
      <c r="B35" s="88" t="s">
        <v>19</v>
      </c>
      <c r="C35" s="89"/>
      <c r="D35" s="90" t="n">
        <f aca="false">SUM(D3:D33)</f>
        <v>163347000</v>
      </c>
      <c r="E35" s="90"/>
      <c r="F35" s="91" t="n">
        <f aca="false">SUM(F3:F33)</f>
        <v>3860</v>
      </c>
      <c r="G35" s="92"/>
      <c r="H35" s="91" t="n">
        <f aca="false">SUM(H3:H33)</f>
        <v>12938</v>
      </c>
      <c r="I35" s="91"/>
      <c r="J35" s="91"/>
      <c r="K35" s="71"/>
    </row>
    <row r="36" customFormat="false" ht="15" hidden="false" customHeight="false" outlineLevel="0" collapsed="false">
      <c r="A36" s="71"/>
      <c r="B36" s="93" t="s">
        <v>20</v>
      </c>
      <c r="C36" s="94"/>
      <c r="D36" s="95" t="n">
        <v>175000000</v>
      </c>
      <c r="E36" s="96"/>
      <c r="F36" s="97"/>
      <c r="G36" s="98"/>
      <c r="H36" s="97"/>
      <c r="I36" s="97"/>
      <c r="J36" s="97"/>
      <c r="K36" s="71"/>
    </row>
    <row r="37" customFormat="false" ht="15" hidden="false" customHeight="false" outlineLevel="0" collapsed="false">
      <c r="A37" s="71"/>
      <c r="B37" s="99" t="s">
        <v>21</v>
      </c>
      <c r="C37" s="100"/>
      <c r="D37" s="101" t="n">
        <f aca="false">D35/D36</f>
        <v>0.933411428571429</v>
      </c>
      <c r="E37" s="101"/>
      <c r="F37" s="102"/>
      <c r="G37" s="103"/>
      <c r="H37" s="104"/>
      <c r="I37" s="104"/>
      <c r="J37" s="104"/>
      <c r="K37" s="71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</row>
    <row r="39" customFormat="false" ht="15" hidden="false" customHeight="false" outlineLevel="0" collapsed="false">
      <c r="A39" s="71"/>
      <c r="B39" s="71"/>
      <c r="C39" s="71"/>
      <c r="D39" s="71"/>
      <c r="E39" s="107" t="s">
        <v>22</v>
      </c>
      <c r="F39" s="107"/>
      <c r="G39" s="107"/>
      <c r="H39" s="108" t="n">
        <f aca="false">COUNTA(C3:C33)</f>
        <v>31</v>
      </c>
      <c r="I39" s="71"/>
      <c r="J39" s="71"/>
      <c r="K39" s="71"/>
    </row>
    <row r="40" customFormat="false" ht="15" hidden="false" customHeight="false" outlineLevel="0" collapsed="false">
      <c r="A40" s="71"/>
      <c r="B40" s="71"/>
      <c r="C40" s="71"/>
      <c r="D40" s="71"/>
      <c r="E40" s="109" t="s">
        <v>23</v>
      </c>
      <c r="F40" s="109"/>
      <c r="G40" s="109"/>
      <c r="H40" s="110" t="n">
        <f aca="false">COUNTA(D3:D33)</f>
        <v>31</v>
      </c>
      <c r="I40" s="71"/>
      <c r="J40" s="71"/>
      <c r="K40" s="71"/>
    </row>
    <row r="41" customFormat="false" ht="15" hidden="false" customHeight="false" outlineLevel="0" collapsed="false">
      <c r="A41" s="71"/>
      <c r="B41" s="71"/>
      <c r="C41" s="71"/>
      <c r="D41" s="71"/>
      <c r="E41" s="111" t="s">
        <v>24</v>
      </c>
      <c r="F41" s="111"/>
      <c r="G41" s="111"/>
      <c r="H41" s="112" t="n">
        <f aca="false">D36</f>
        <v>175000000</v>
      </c>
      <c r="I41" s="71"/>
      <c r="J41" s="71"/>
      <c r="K41" s="71"/>
    </row>
    <row r="42" customFormat="false" ht="15" hidden="false" customHeight="false" outlineLevel="0" collapsed="false">
      <c r="A42" s="71"/>
      <c r="B42" s="71"/>
      <c r="C42" s="71"/>
      <c r="D42" s="71"/>
      <c r="E42" s="113" t="s">
        <v>25</v>
      </c>
      <c r="F42" s="113"/>
      <c r="G42" s="113"/>
      <c r="H42" s="114" t="n">
        <f aca="false">D36-D35</f>
        <v>11653000</v>
      </c>
      <c r="I42" s="71"/>
      <c r="J42" s="71"/>
      <c r="K42" s="71"/>
    </row>
    <row r="43" customFormat="false" ht="15" hidden="false" customHeight="false" outlineLevel="0" collapsed="false">
      <c r="A43" s="71"/>
      <c r="B43" s="71"/>
      <c r="C43" s="71"/>
      <c r="D43" s="71"/>
      <c r="E43" s="113" t="s">
        <v>26</v>
      </c>
      <c r="F43" s="113"/>
      <c r="G43" s="113"/>
      <c r="H43" s="115" t="n">
        <f aca="false">H46*H39</f>
        <v>163347000</v>
      </c>
      <c r="I43" s="71"/>
      <c r="J43" s="71"/>
      <c r="K43" s="71"/>
    </row>
    <row r="44" customFormat="false" ht="15" hidden="false" customHeight="false" outlineLevel="0" collapsed="false">
      <c r="A44" s="71"/>
      <c r="B44" s="71"/>
      <c r="C44" s="71"/>
      <c r="D44" s="71"/>
      <c r="E44" s="116" t="s">
        <v>27</v>
      </c>
      <c r="F44" s="116"/>
      <c r="G44" s="116"/>
      <c r="H44" s="117" t="n">
        <f aca="false">H43-H41</f>
        <v>-11653000</v>
      </c>
      <c r="I44" s="71"/>
      <c r="J44" s="71"/>
      <c r="K44" s="71"/>
    </row>
    <row r="45" customFormat="false" ht="15" hidden="false" customHeight="false" outlineLevel="0" collapsed="false">
      <c r="A45" s="71"/>
      <c r="B45" s="71"/>
      <c r="C45" s="71"/>
      <c r="D45" s="71"/>
      <c r="E45" s="118" t="s">
        <v>28</v>
      </c>
      <c r="F45" s="118"/>
      <c r="G45" s="118"/>
      <c r="H45" s="119" t="n">
        <f aca="false">H41/H39</f>
        <v>5645161.29032258</v>
      </c>
      <c r="I45" s="71"/>
      <c r="J45" s="71"/>
      <c r="K45" s="71"/>
    </row>
    <row r="46" customFormat="false" ht="15" hidden="false" customHeight="false" outlineLevel="0" collapsed="false">
      <c r="A46" s="71"/>
      <c r="B46" s="71"/>
      <c r="C46" s="71"/>
      <c r="D46" s="71"/>
      <c r="E46" s="120" t="s">
        <v>29</v>
      </c>
      <c r="F46" s="120"/>
      <c r="G46" s="120"/>
      <c r="H46" s="121" t="n">
        <f aca="false">AVERAGE(D3:D33)</f>
        <v>5269258.06451613</v>
      </c>
      <c r="I46" s="71"/>
      <c r="J46" s="71"/>
      <c r="K46" s="71"/>
    </row>
    <row r="47" customFormat="false" ht="15" hidden="false" customHeight="false" outlineLevel="0" collapsed="false">
      <c r="A47" s="71"/>
      <c r="B47" s="71"/>
      <c r="C47" s="71"/>
      <c r="D47" s="71"/>
      <c r="E47" s="120" t="s">
        <v>30</v>
      </c>
      <c r="F47" s="120"/>
      <c r="G47" s="120"/>
      <c r="H47" s="122" t="e">
        <f aca="false">(H41/H49)/H39</f>
        <v>#VALUE!</v>
      </c>
      <c r="I47" s="71"/>
      <c r="J47" s="71"/>
      <c r="K47" s="71"/>
    </row>
    <row r="48" customFormat="false" ht="15" hidden="false" customHeight="false" outlineLevel="0" collapsed="false">
      <c r="A48" s="71"/>
      <c r="B48" s="71"/>
      <c r="C48" s="71"/>
      <c r="D48" s="71"/>
      <c r="E48" s="120" t="s">
        <v>31</v>
      </c>
      <c r="F48" s="120"/>
      <c r="G48" s="120"/>
      <c r="H48" s="121" t="str">
        <f aca="false">F34</f>
        <v>                                                                                                                                    </v>
      </c>
      <c r="I48" s="71"/>
      <c r="J48" s="71"/>
      <c r="K48" s="71"/>
    </row>
    <row r="49" customFormat="false" ht="15" hidden="false" customHeight="false" outlineLevel="0" collapsed="false">
      <c r="A49" s="71"/>
      <c r="B49" s="71"/>
      <c r="C49" s="71"/>
      <c r="D49" s="71"/>
      <c r="E49" s="120" t="s">
        <v>32</v>
      </c>
      <c r="F49" s="120"/>
      <c r="G49" s="120"/>
      <c r="H49" s="123" t="e">
        <f aca="false">G34</f>
        <v>#VALUE!</v>
      </c>
      <c r="I49" s="71"/>
      <c r="J49" s="71"/>
      <c r="K49" s="71"/>
    </row>
    <row r="50" customFormat="false" ht="15" hidden="false" customHeight="false" outlineLevel="0" collapsed="false">
      <c r="A50" s="71"/>
      <c r="B50" s="71"/>
      <c r="C50" s="71"/>
      <c r="D50" s="71"/>
      <c r="E50" s="120" t="s">
        <v>33</v>
      </c>
      <c r="F50" s="120"/>
      <c r="G50" s="120"/>
      <c r="H50" s="124" t="n">
        <f aca="false">H46-H45</f>
        <v>-375903.225806451</v>
      </c>
      <c r="I50" s="71"/>
      <c r="J50" s="71"/>
      <c r="K50" s="71"/>
    </row>
    <row r="51" customFormat="false" ht="15" hidden="false" customHeight="false" outlineLevel="0" collapsed="false">
      <c r="A51" s="71"/>
      <c r="B51" s="71"/>
      <c r="C51" s="71"/>
      <c r="D51" s="71"/>
      <c r="E51" s="120" t="s">
        <v>34</v>
      </c>
      <c r="F51" s="120"/>
      <c r="G51" s="120"/>
      <c r="H51" s="125" t="n">
        <f aca="false">H43/H41</f>
        <v>0.933411428571429</v>
      </c>
      <c r="I51" s="71"/>
      <c r="J51" s="71"/>
      <c r="K51" s="71"/>
    </row>
    <row r="52" customFormat="false" ht="15" hidden="false" customHeight="false" outlineLevel="0" collapsed="false">
      <c r="A52" s="71"/>
      <c r="B52" s="71"/>
      <c r="C52" s="71"/>
      <c r="D52" s="71"/>
      <c r="E52" s="126" t="s">
        <v>35</v>
      </c>
      <c r="F52" s="126"/>
      <c r="G52" s="126"/>
      <c r="H52" s="127" t="n">
        <f aca="false">D35/H41</f>
        <v>0.933411428571429</v>
      </c>
      <c r="I52" s="71"/>
      <c r="J52" s="71"/>
      <c r="K52" s="71"/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5" activeCellId="0" sqref="C35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3.3"/>
  </cols>
  <sheetData>
    <row r="1" customFormat="false" ht="17.35" hidden="false" customHeight="false" outlineLevel="0" collapsed="false">
      <c r="A1" s="128" t="s">
        <v>54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5" t="s">
        <v>13</v>
      </c>
      <c r="B3" s="78" t="n">
        <v>45231</v>
      </c>
      <c r="C3" s="67" t="n">
        <v>6414200</v>
      </c>
      <c r="D3" s="79" t="n">
        <f aca="false">IF(C3&gt;0, C3,(G$42/(G$39-G$40)))</f>
        <v>6414200</v>
      </c>
      <c r="E3" s="69" t="n">
        <v>133</v>
      </c>
      <c r="F3" s="80" t="n">
        <f aca="false">IF(E3&gt;0,C3/E3, )</f>
        <v>48227.0676691729</v>
      </c>
      <c r="G3" s="69" t="n">
        <v>852</v>
      </c>
      <c r="H3" s="80" t="n">
        <f aca="false">IF(G3&gt;0,G3/E3,  )</f>
        <v>6.40601503759399</v>
      </c>
      <c r="I3" s="80" t="n">
        <f aca="false">IF(H3&gt;0,F3/H3,  )</f>
        <v>7528.40375586854</v>
      </c>
    </row>
    <row r="4" customFormat="false" ht="15" hidden="false" customHeight="false" outlineLevel="0" collapsed="false">
      <c r="A4" s="136" t="s">
        <v>14</v>
      </c>
      <c r="B4" s="78" t="n">
        <v>45232</v>
      </c>
      <c r="C4" s="67" t="n">
        <v>8905950</v>
      </c>
      <c r="D4" s="79" t="n">
        <f aca="false">IF(C4&gt;0, C4,(G$42/(G$39-G$40)))</f>
        <v>8905950</v>
      </c>
      <c r="E4" s="69" t="n">
        <v>143</v>
      </c>
      <c r="F4" s="80" t="n">
        <f aca="false">IF(E4&gt;0,C4/E4, )</f>
        <v>62279.3706293706</v>
      </c>
      <c r="G4" s="69" t="n">
        <v>659</v>
      </c>
      <c r="H4" s="80" t="n">
        <f aca="false">IF(G4&gt;0,G4/E4,  )</f>
        <v>4.60839160839161</v>
      </c>
      <c r="I4" s="80" t="n">
        <f aca="false">IF(H4&gt;0,F4/H4,  )</f>
        <v>13514.339908953</v>
      </c>
    </row>
    <row r="5" customFormat="false" ht="15" hidden="false" customHeight="false" outlineLevel="0" collapsed="false">
      <c r="A5" s="136" t="s">
        <v>15</v>
      </c>
      <c r="B5" s="78" t="n">
        <v>45233</v>
      </c>
      <c r="C5" s="67" t="n">
        <v>6668750</v>
      </c>
      <c r="D5" s="79" t="n">
        <f aca="false">IF(C5&gt;0, C5,(G$42/(G$39-G$40)))</f>
        <v>6668750</v>
      </c>
      <c r="E5" s="69" t="n">
        <v>152</v>
      </c>
      <c r="F5" s="80" t="n">
        <f aca="false">IF(E5&gt;0,C5/E5, )</f>
        <v>43873.3552631579</v>
      </c>
      <c r="G5" s="69" t="n">
        <v>506</v>
      </c>
      <c r="H5" s="80" t="n">
        <f aca="false">IF(G5&gt;0,G5/E5,  )</f>
        <v>3.32894736842105</v>
      </c>
      <c r="I5" s="80" t="n">
        <f aca="false">IF(H5&gt;0,F5/H5,  )</f>
        <v>13179.347826087</v>
      </c>
    </row>
    <row r="6" customFormat="false" ht="15" hidden="false" customHeight="false" outlineLevel="0" collapsed="false">
      <c r="A6" s="136" t="s">
        <v>16</v>
      </c>
      <c r="B6" s="78" t="n">
        <v>45234</v>
      </c>
      <c r="C6" s="67" t="n">
        <v>7480150</v>
      </c>
      <c r="D6" s="79" t="n">
        <f aca="false">IF(C6&gt;0, C6,(G$42/(G$39-G$40)))</f>
        <v>7480150</v>
      </c>
      <c r="E6" s="69" t="n">
        <v>128</v>
      </c>
      <c r="F6" s="80" t="n">
        <f aca="false">IF(E6&gt;0,C6/E6, )</f>
        <v>58438.671875</v>
      </c>
      <c r="G6" s="69" t="n">
        <v>580</v>
      </c>
      <c r="H6" s="80" t="n">
        <f aca="false">IF(G6&gt;0,G6/E6,  )</f>
        <v>4.53125</v>
      </c>
      <c r="I6" s="80" t="n">
        <f aca="false">IF(H6&gt;0,F6/H6,  )</f>
        <v>12896.8103448276</v>
      </c>
    </row>
    <row r="7" customFormat="false" ht="15" hidden="false" customHeight="false" outlineLevel="0" collapsed="false">
      <c r="A7" s="136" t="s">
        <v>17</v>
      </c>
      <c r="B7" s="78" t="n">
        <v>45235</v>
      </c>
      <c r="C7" s="67" t="n">
        <v>7287200</v>
      </c>
      <c r="D7" s="79" t="n">
        <f aca="false">IF(C7&gt;0, C7,(G$42/(G$39-G$40)))</f>
        <v>7287200</v>
      </c>
      <c r="E7" s="69" t="n">
        <v>153</v>
      </c>
      <c r="F7" s="80" t="n">
        <f aca="false">IF(E7&gt;0,C7/E7, )</f>
        <v>47628.7581699346</v>
      </c>
      <c r="G7" s="69" t="n">
        <v>585</v>
      </c>
      <c r="H7" s="80" t="n">
        <f aca="false">IF(G7&gt;0,G7/E7,  )</f>
        <v>3.82352941176471</v>
      </c>
      <c r="I7" s="80" t="n">
        <f aca="false">IF(H7&gt;0,F7/H7,  )</f>
        <v>12456.7521367521</v>
      </c>
    </row>
    <row r="8" customFormat="false" ht="15" hidden="false" customHeight="false" outlineLevel="0" collapsed="false">
      <c r="A8" s="136" t="s">
        <v>11</v>
      </c>
      <c r="B8" s="78" t="n">
        <v>45236</v>
      </c>
      <c r="C8" s="67" t="n">
        <v>5710050</v>
      </c>
      <c r="D8" s="79" t="n">
        <f aca="false">IF(C8&gt;0, C8,(G$42/(G$39-G$40)))</f>
        <v>5710050</v>
      </c>
      <c r="E8" s="69" t="n">
        <v>149</v>
      </c>
      <c r="F8" s="80" t="n">
        <f aca="false">IF(E8&gt;0,C8/E8, )</f>
        <v>38322.4832214765</v>
      </c>
      <c r="G8" s="69" t="n">
        <v>455</v>
      </c>
      <c r="H8" s="80" t="n">
        <f aca="false">IF(G8&gt;0,G8/E8,  )</f>
        <v>3.05369127516779</v>
      </c>
      <c r="I8" s="80" t="n">
        <f aca="false">IF(H8&gt;0,F8/H8,  )</f>
        <v>12549.5604395604</v>
      </c>
    </row>
    <row r="9" customFormat="false" ht="15" hidden="false" customHeight="false" outlineLevel="0" collapsed="false">
      <c r="A9" s="136" t="s">
        <v>40</v>
      </c>
      <c r="B9" s="78" t="n">
        <v>45237</v>
      </c>
      <c r="C9" s="67" t="n">
        <v>5303550</v>
      </c>
      <c r="D9" s="79" t="n">
        <f aca="false">IF(C9&gt;0, C9,(G$42/(G$39-G$40)))</f>
        <v>5303550</v>
      </c>
      <c r="E9" s="69" t="n">
        <v>141</v>
      </c>
      <c r="F9" s="80" t="n">
        <f aca="false">IF(E9&gt;0,C9/E9, )</f>
        <v>37613.829787234</v>
      </c>
      <c r="G9" s="69" t="n">
        <v>434</v>
      </c>
      <c r="H9" s="80" t="n">
        <f aca="false">IF(G9&gt;0,G9/E9,  )</f>
        <v>3.07801418439716</v>
      </c>
      <c r="I9" s="80" t="n">
        <f aca="false">IF(H9&gt;0,F9/H9,  )</f>
        <v>12220.1612903226</v>
      </c>
    </row>
    <row r="10" customFormat="false" ht="15" hidden="false" customHeight="false" outlineLevel="0" collapsed="false">
      <c r="A10" s="136" t="s">
        <v>41</v>
      </c>
      <c r="B10" s="78" t="n">
        <v>45238</v>
      </c>
      <c r="C10" s="67" t="n">
        <v>5030500</v>
      </c>
      <c r="D10" s="79" t="n">
        <f aca="false">IF(C10&gt;0, C10,(G$42/(G$39-G$40)))</f>
        <v>5030500</v>
      </c>
      <c r="E10" s="69" t="n">
        <v>107</v>
      </c>
      <c r="F10" s="80" t="n">
        <f aca="false">IF(E10&gt;0,C10/E10, )</f>
        <v>47014.0186915888</v>
      </c>
      <c r="G10" s="69" t="n">
        <v>389</v>
      </c>
      <c r="H10" s="80" t="n">
        <f aca="false">IF(G10&gt;0,G10/E10,  )</f>
        <v>3.63551401869159</v>
      </c>
      <c r="I10" s="80" t="n">
        <f aca="false">IF(H10&gt;0,F10/H10,  )</f>
        <v>12931.8766066838</v>
      </c>
    </row>
    <row r="11" customFormat="false" ht="15" hidden="false" customHeight="false" outlineLevel="0" collapsed="false">
      <c r="A11" s="136" t="s">
        <v>42</v>
      </c>
      <c r="B11" s="78" t="n">
        <v>45239</v>
      </c>
      <c r="C11" s="67" t="n">
        <v>7476650</v>
      </c>
      <c r="D11" s="79" t="n">
        <f aca="false">IF(C11&gt;0, C11,(G$42/(G$39-G$40)))</f>
        <v>7476650</v>
      </c>
      <c r="E11" s="69" t="n">
        <v>155</v>
      </c>
      <c r="F11" s="80" t="n">
        <f aca="false">IF(E11&gt;0,C11/E11, )</f>
        <v>48236.4516129032</v>
      </c>
      <c r="G11" s="69" t="n">
        <v>596</v>
      </c>
      <c r="H11" s="80" t="n">
        <f aca="false">IF(G11&gt;0,G11/E11,  )</f>
        <v>3.84516129032258</v>
      </c>
      <c r="I11" s="80" t="n">
        <f aca="false">IF(H11&gt;0,F11/H11,  )</f>
        <v>12544.7147651007</v>
      </c>
    </row>
    <row r="12" customFormat="false" ht="15" hidden="false" customHeight="false" outlineLevel="0" collapsed="false">
      <c r="A12" s="136" t="s">
        <v>43</v>
      </c>
      <c r="B12" s="78" t="n">
        <v>45240</v>
      </c>
      <c r="C12" s="67" t="n">
        <v>9554050</v>
      </c>
      <c r="D12" s="79" t="n">
        <f aca="false">IF(C12&gt;0, C12,(G$42/(G$39-G$40)))</f>
        <v>9554050</v>
      </c>
      <c r="E12" s="69" t="n">
        <v>181</v>
      </c>
      <c r="F12" s="80" t="n">
        <f aca="false">IF(E12&gt;0,C12/E12, )</f>
        <v>52784.8066298343</v>
      </c>
      <c r="G12" s="69" t="n">
        <v>889</v>
      </c>
      <c r="H12" s="80" t="n">
        <f aca="false">IF(G12&gt;0,G12/E12,  )</f>
        <v>4.91160220994475</v>
      </c>
      <c r="I12" s="80" t="n">
        <f aca="false">IF(H12&gt;0,F12/H12,  )</f>
        <v>10746.96287964</v>
      </c>
    </row>
    <row r="13" customFormat="false" ht="15" hidden="false" customHeight="false" outlineLevel="0" collapsed="false">
      <c r="A13" s="136" t="s">
        <v>44</v>
      </c>
      <c r="B13" s="78" t="n">
        <v>45241</v>
      </c>
      <c r="C13" s="67" t="n">
        <v>10419050</v>
      </c>
      <c r="D13" s="79" t="n">
        <f aca="false">IF(C13&gt;0, C13,(G$42/(G$39-G$40)))</f>
        <v>10419050</v>
      </c>
      <c r="E13" s="69" t="n">
        <v>191</v>
      </c>
      <c r="F13" s="80" t="n">
        <f aca="false">IF(E13&gt;0,C13/E13, )</f>
        <v>54550</v>
      </c>
      <c r="G13" s="69" t="n">
        <v>872</v>
      </c>
      <c r="H13" s="80" t="n">
        <f aca="false">IF(G13&gt;0,G13/E13,  )</f>
        <v>4.56544502617801</v>
      </c>
      <c r="I13" s="80" t="n">
        <f aca="false">IF(H13&gt;0,F13/H13,  )</f>
        <v>11948.4518348624</v>
      </c>
    </row>
    <row r="14" customFormat="false" ht="15" hidden="false" customHeight="false" outlineLevel="0" collapsed="false">
      <c r="A14" s="136" t="s">
        <v>38</v>
      </c>
      <c r="B14" s="78" t="n">
        <v>45242</v>
      </c>
      <c r="C14" s="67" t="n">
        <v>12739550</v>
      </c>
      <c r="D14" s="79" t="n">
        <f aca="false">IF(C14&gt;0, C14,(G$42/(G$39-G$40)))</f>
        <v>12739550</v>
      </c>
      <c r="E14" s="69" t="n">
        <v>204</v>
      </c>
      <c r="F14" s="80" t="n">
        <f aca="false">IF(E14&gt;0,C14/E14, )</f>
        <v>62448.7745098039</v>
      </c>
      <c r="G14" s="69" t="n">
        <v>1086</v>
      </c>
      <c r="H14" s="80" t="n">
        <f aca="false">IF(G14&gt;0,G14/E14,  )</f>
        <v>5.32352941176471</v>
      </c>
      <c r="I14" s="80" t="n">
        <f aca="false">IF(H14&gt;0,F14/H14,  )</f>
        <v>11730.7090239411</v>
      </c>
    </row>
    <row r="15" customFormat="false" ht="15" hidden="false" customHeight="false" outlineLevel="0" collapsed="false">
      <c r="A15" s="136" t="s">
        <v>39</v>
      </c>
      <c r="B15" s="78" t="n">
        <v>45243</v>
      </c>
      <c r="C15" s="67" t="n">
        <v>5680550</v>
      </c>
      <c r="D15" s="79" t="n">
        <f aca="false">IF(C15&gt;0, C15,(G$42/(G$39-G$40)))</f>
        <v>5680550</v>
      </c>
      <c r="E15" s="69" t="n">
        <v>128</v>
      </c>
      <c r="F15" s="80" t="n">
        <f aca="false">IF(E15&gt;0,C15/E15, )</f>
        <v>44379.296875</v>
      </c>
      <c r="G15" s="69" t="n">
        <v>435</v>
      </c>
      <c r="H15" s="80" t="n">
        <f aca="false">IF(G15&gt;0,G15/E15,  )</f>
        <v>3.3984375</v>
      </c>
      <c r="I15" s="80" t="n">
        <f aca="false">IF(H15&gt;0,F15/H15,  )</f>
        <v>13058.7356321839</v>
      </c>
    </row>
    <row r="16" customFormat="false" ht="15" hidden="false" customHeight="false" outlineLevel="0" collapsed="false">
      <c r="A16" s="136" t="s">
        <v>40</v>
      </c>
      <c r="B16" s="78" t="n">
        <v>45244</v>
      </c>
      <c r="C16" s="67" t="n">
        <v>8255950</v>
      </c>
      <c r="D16" s="79" t="n">
        <f aca="false">IF(C16&gt;0, C16,(G$42/(G$39-G$40)))</f>
        <v>8255950</v>
      </c>
      <c r="E16" s="69" t="n">
        <v>150</v>
      </c>
      <c r="F16" s="80" t="n">
        <f aca="false">IF(E16&gt;0,C16/E16, )</f>
        <v>55039.6666666667</v>
      </c>
      <c r="G16" s="69" t="n">
        <v>580</v>
      </c>
      <c r="H16" s="80" t="n">
        <f aca="false">IF(G16&gt;0,G16/E16,  )</f>
        <v>3.86666666666667</v>
      </c>
      <c r="I16" s="80" t="n">
        <f aca="false">IF(H16&gt;0,F16/H16,  )</f>
        <v>14234.3965517241</v>
      </c>
    </row>
    <row r="17" customFormat="false" ht="15" hidden="false" customHeight="false" outlineLevel="0" collapsed="false">
      <c r="A17" s="136" t="s">
        <v>41</v>
      </c>
      <c r="B17" s="78" t="n">
        <v>45245</v>
      </c>
      <c r="C17" s="67" t="n">
        <v>6623750</v>
      </c>
      <c r="D17" s="79" t="n">
        <f aca="false">IF(C17&gt;0, C17,(G$42/(G$39-G$40)))</f>
        <v>6623750</v>
      </c>
      <c r="E17" s="69" t="n">
        <v>139</v>
      </c>
      <c r="F17" s="80" t="n">
        <f aca="false">IF(E17&gt;0,C17/E17, )</f>
        <v>47652.8776978417</v>
      </c>
      <c r="G17" s="69" t="n">
        <v>556</v>
      </c>
      <c r="H17" s="80" t="n">
        <f aca="false">IF(G17&gt;0,G17/E17,  )</f>
        <v>4</v>
      </c>
      <c r="I17" s="80" t="n">
        <f aca="false">IF(H17&gt;0,F17/H17,  )</f>
        <v>11913.2194244604</v>
      </c>
    </row>
    <row r="18" customFormat="false" ht="15" hidden="false" customHeight="false" outlineLevel="0" collapsed="false">
      <c r="A18" s="136" t="s">
        <v>42</v>
      </c>
      <c r="B18" s="78" t="n">
        <v>45246</v>
      </c>
      <c r="C18" s="67" t="n">
        <v>6934650</v>
      </c>
      <c r="D18" s="79" t="n">
        <f aca="false">IF(C18&gt;0, C18,(G$42/(G$39-G$40)))</f>
        <v>6934650</v>
      </c>
      <c r="E18" s="69" t="n">
        <v>130</v>
      </c>
      <c r="F18" s="80" t="n">
        <f aca="false">IF(E18&gt;0,C18/E18, )</f>
        <v>53343.4615384615</v>
      </c>
      <c r="G18" s="69" t="n">
        <v>518</v>
      </c>
      <c r="H18" s="80" t="n">
        <f aca="false">IF(G18&gt;0,G18/E18,  )</f>
        <v>3.98461538461538</v>
      </c>
      <c r="I18" s="80" t="n">
        <f aca="false">IF(H18&gt;0,F18/H18,  )</f>
        <v>13387.3552123552</v>
      </c>
    </row>
    <row r="19" customFormat="false" ht="15" hidden="false" customHeight="false" outlineLevel="0" collapsed="false">
      <c r="A19" s="136" t="s">
        <v>43</v>
      </c>
      <c r="B19" s="78" t="n">
        <v>45247</v>
      </c>
      <c r="C19" s="67" t="n">
        <v>6877650</v>
      </c>
      <c r="D19" s="79" t="n">
        <f aca="false">IF(C19&gt;0, C19,(G$42/(G$39-G$40)))</f>
        <v>6877650</v>
      </c>
      <c r="E19" s="69" t="n">
        <v>153</v>
      </c>
      <c r="F19" s="80" t="n">
        <f aca="false">IF(E19&gt;0,C19/E19, )</f>
        <v>44951.9607843137</v>
      </c>
      <c r="G19" s="69" t="n">
        <v>560</v>
      </c>
      <c r="H19" s="80" t="n">
        <f aca="false">IF(G19&gt;0,G19/E19,  )</f>
        <v>3.66013071895425</v>
      </c>
      <c r="I19" s="80" t="n">
        <f aca="false">IF(H19&gt;0,F19/H19,  )</f>
        <v>12281.5178571429</v>
      </c>
    </row>
    <row r="20" customFormat="false" ht="15" hidden="false" customHeight="false" outlineLevel="0" collapsed="false">
      <c r="A20" s="136" t="s">
        <v>44</v>
      </c>
      <c r="B20" s="78" t="n">
        <v>45248</v>
      </c>
      <c r="C20" s="67" t="n">
        <v>7437850</v>
      </c>
      <c r="D20" s="79" t="n">
        <f aca="false">IF(C20&gt;0, C20,(G$42/(G$39-G$40)))</f>
        <v>7437850</v>
      </c>
      <c r="E20" s="69" t="n">
        <v>150</v>
      </c>
      <c r="F20" s="80" t="n">
        <f aca="false">IF(E20&gt;0,C20/E20, )</f>
        <v>49585.6666666667</v>
      </c>
      <c r="G20" s="69" t="n">
        <v>552</v>
      </c>
      <c r="H20" s="80" t="n">
        <f aca="false">IF(G20&gt;0,G20/E20,  )</f>
        <v>3.68</v>
      </c>
      <c r="I20" s="80" t="n">
        <f aca="false">IF(H20&gt;0,F20/H20,  )</f>
        <v>13474.365942029</v>
      </c>
    </row>
    <row r="21" customFormat="false" ht="15" hidden="false" customHeight="false" outlineLevel="0" collapsed="false">
      <c r="A21" s="136" t="s">
        <v>38</v>
      </c>
      <c r="B21" s="78" t="n">
        <v>45249</v>
      </c>
      <c r="C21" s="67" t="n">
        <v>5208600</v>
      </c>
      <c r="D21" s="79" t="n">
        <f aca="false">IF(C21&gt;0, C21,(G$42/(G$39-G$40)))</f>
        <v>5208600</v>
      </c>
      <c r="E21" s="69" t="n">
        <v>117</v>
      </c>
      <c r="F21" s="80" t="n">
        <f aca="false">IF(E21&gt;0,C21/E21, )</f>
        <v>44517.9487179487</v>
      </c>
      <c r="G21" s="69" t="n">
        <v>430</v>
      </c>
      <c r="H21" s="80" t="n">
        <f aca="false">IF(G21&gt;0,G21/E21,  )</f>
        <v>3.67521367521367</v>
      </c>
      <c r="I21" s="80" t="n">
        <f aca="false">IF(H21&gt;0,F21/H21,  )</f>
        <v>12113.023255814</v>
      </c>
    </row>
    <row r="22" customFormat="false" ht="15" hidden="false" customHeight="false" outlineLevel="0" collapsed="false">
      <c r="A22" s="136" t="s">
        <v>39</v>
      </c>
      <c r="B22" s="78" t="n">
        <v>45250</v>
      </c>
      <c r="C22" s="67" t="n">
        <v>6830900</v>
      </c>
      <c r="D22" s="79" t="n">
        <f aca="false">IF(C22&gt;0, C22,(G$42/(G$39-G$40)))</f>
        <v>6830900</v>
      </c>
      <c r="E22" s="81" t="n">
        <v>142</v>
      </c>
      <c r="F22" s="80" t="n">
        <f aca="false">IF(E22&gt;0,C22/E22, )</f>
        <v>48104.9295774648</v>
      </c>
      <c r="G22" s="69" t="n">
        <v>475</v>
      </c>
      <c r="H22" s="80" t="n">
        <f aca="false">IF(G22&gt;0,G22/E22,  )</f>
        <v>3.34507042253521</v>
      </c>
      <c r="I22" s="80" t="n">
        <f aca="false">IF(H22&gt;0,F22/H22,  )</f>
        <v>14380.8421052632</v>
      </c>
    </row>
    <row r="23" customFormat="false" ht="15" hidden="false" customHeight="false" outlineLevel="0" collapsed="false">
      <c r="A23" s="136" t="s">
        <v>40</v>
      </c>
      <c r="B23" s="78" t="n">
        <v>45251</v>
      </c>
      <c r="C23" s="67" t="n">
        <v>7349200</v>
      </c>
      <c r="D23" s="79" t="n">
        <f aca="false">IF(C23&gt;0, C23,(G$42/(G$39-G$40)))</f>
        <v>7349200</v>
      </c>
      <c r="E23" s="69" t="n">
        <v>164</v>
      </c>
      <c r="F23" s="80" t="n">
        <f aca="false">IF(E23&gt;0,C23/E23, )</f>
        <v>44812.1951219512</v>
      </c>
      <c r="G23" s="69" t="n">
        <v>572</v>
      </c>
      <c r="H23" s="80" t="n">
        <f aca="false">IF(G23&gt;0,G23/E23,  )</f>
        <v>3.48780487804878</v>
      </c>
      <c r="I23" s="80" t="n">
        <f aca="false">IF(H23&gt;0,F23/H23,  )</f>
        <v>12848.2517482517</v>
      </c>
    </row>
    <row r="24" customFormat="false" ht="15" hidden="false" customHeight="false" outlineLevel="0" collapsed="false">
      <c r="A24" s="136" t="s">
        <v>41</v>
      </c>
      <c r="B24" s="78" t="n">
        <v>45252</v>
      </c>
      <c r="C24" s="67" t="n">
        <v>4300800</v>
      </c>
      <c r="D24" s="79" t="n">
        <f aca="false">IF(C24&gt;0, C24,(G$42/(G$39-G$40)))</f>
        <v>4300800</v>
      </c>
      <c r="E24" s="69" t="n">
        <v>101</v>
      </c>
      <c r="F24" s="80" t="n">
        <f aca="false">IF(E24&gt;0,C24/E24, )</f>
        <v>42582.1782178218</v>
      </c>
      <c r="G24" s="69" t="n">
        <v>362</v>
      </c>
      <c r="H24" s="80" t="n">
        <f aca="false">IF(G24&gt;0,G24/E24,  )</f>
        <v>3.58415841584158</v>
      </c>
      <c r="I24" s="80" t="n">
        <f aca="false">IF(H24&gt;0,F24/H24,  )</f>
        <v>11880.6629834254</v>
      </c>
    </row>
    <row r="25" customFormat="false" ht="15" hidden="false" customHeight="false" outlineLevel="0" collapsed="false">
      <c r="A25" s="136" t="s">
        <v>42</v>
      </c>
      <c r="B25" s="78" t="n">
        <v>45253</v>
      </c>
      <c r="C25" s="67" t="n">
        <v>5778400</v>
      </c>
      <c r="D25" s="79" t="n">
        <f aca="false">IF(C25&gt;0, C25,(G$42/(G$39-G$40)))</f>
        <v>5778400</v>
      </c>
      <c r="E25" s="69" t="n">
        <v>144</v>
      </c>
      <c r="F25" s="80" t="n">
        <f aca="false">IF(E25&gt;0,C25/E25, )</f>
        <v>40127.7777777778</v>
      </c>
      <c r="G25" s="69" t="n">
        <v>498</v>
      </c>
      <c r="H25" s="80" t="n">
        <f aca="false">IF(G25&gt;0,G25/E25,  )</f>
        <v>3.45833333333333</v>
      </c>
      <c r="I25" s="80" t="n">
        <f aca="false">IF(H25&gt;0,F25/H25,  )</f>
        <v>11603.2128514056</v>
      </c>
    </row>
    <row r="26" customFormat="false" ht="15" hidden="false" customHeight="false" outlineLevel="0" collapsed="false">
      <c r="A26" s="136" t="s">
        <v>43</v>
      </c>
      <c r="B26" s="78" t="n">
        <v>45254</v>
      </c>
      <c r="C26" s="67" t="n">
        <v>33786650</v>
      </c>
      <c r="D26" s="79" t="n">
        <f aca="false">IF(C26&gt;0, C26,(G$42/(G$39-G$40)))</f>
        <v>33786650</v>
      </c>
      <c r="E26" s="69" t="n">
        <v>453</v>
      </c>
      <c r="F26" s="80" t="n">
        <f aca="false">IF(E26&gt;0,C26/E26, )</f>
        <v>74584.2163355408</v>
      </c>
      <c r="G26" s="69" t="n">
        <v>3074</v>
      </c>
      <c r="H26" s="80" t="n">
        <f aca="false">IF(G26&gt;0,G26/E26,  )</f>
        <v>6.78587196467991</v>
      </c>
      <c r="I26" s="80" t="n">
        <f aca="false">IF(H26&gt;0,F26/H26,  )</f>
        <v>10991.1027976578</v>
      </c>
    </row>
    <row r="27" customFormat="false" ht="15" hidden="false" customHeight="false" outlineLevel="0" collapsed="false">
      <c r="A27" s="136" t="s">
        <v>44</v>
      </c>
      <c r="B27" s="78" t="n">
        <v>45255</v>
      </c>
      <c r="C27" s="67" t="n">
        <v>9577350</v>
      </c>
      <c r="D27" s="79" t="n">
        <f aca="false">IF(C27&gt;0, C27,(G$42/(G$39-G$40)))</f>
        <v>9577350</v>
      </c>
      <c r="E27" s="69" t="n">
        <v>168</v>
      </c>
      <c r="F27" s="80" t="n">
        <f aca="false">IF(E27&gt;0,C27/E27, )</f>
        <v>57008.0357142857</v>
      </c>
      <c r="G27" s="69" t="n">
        <v>661</v>
      </c>
      <c r="H27" s="80" t="n">
        <f aca="false">IF(G27&gt;0,G27/E27,  )</f>
        <v>3.93452380952381</v>
      </c>
      <c r="I27" s="80" t="n">
        <f aca="false">IF(H27&gt;0,F27/H27,  )</f>
        <v>14489.1830559758</v>
      </c>
    </row>
    <row r="28" customFormat="false" ht="15" hidden="false" customHeight="false" outlineLevel="0" collapsed="false">
      <c r="A28" s="136" t="s">
        <v>38</v>
      </c>
      <c r="B28" s="78" t="n">
        <v>45256</v>
      </c>
      <c r="C28" s="67" t="n">
        <v>6238300</v>
      </c>
      <c r="D28" s="79" t="n">
        <f aca="false">IF(C28&gt;0, C28,(G$42/(G$39-G$40)))</f>
        <v>6238300</v>
      </c>
      <c r="E28" s="69" t="n">
        <v>133</v>
      </c>
      <c r="F28" s="80" t="n">
        <f aca="false">IF(E28&gt;0,C28/E28, )</f>
        <v>46904.5112781955</v>
      </c>
      <c r="G28" s="69" t="n">
        <v>485</v>
      </c>
      <c r="H28" s="80" t="n">
        <f aca="false">IF(G28&gt;0,G28/E28,  )</f>
        <v>3.64661654135338</v>
      </c>
      <c r="I28" s="80" t="n">
        <f aca="false">IF(H28&gt;0,F28/H28,  )</f>
        <v>12862.4742268041</v>
      </c>
    </row>
    <row r="29" customFormat="false" ht="15" hidden="false" customHeight="false" outlineLevel="0" collapsed="false">
      <c r="A29" s="136" t="s">
        <v>39</v>
      </c>
      <c r="B29" s="78" t="n">
        <v>45257</v>
      </c>
      <c r="C29" s="67" t="n">
        <v>5625800</v>
      </c>
      <c r="D29" s="79" t="n">
        <f aca="false">IF(C29&gt;0, C29,(G$42/(G$39-G$40)))</f>
        <v>5625800</v>
      </c>
      <c r="E29" s="69" t="n">
        <v>141</v>
      </c>
      <c r="F29" s="80" t="n">
        <f aca="false">IF(E29&gt;0,C29/E29, )</f>
        <v>39899.2907801418</v>
      </c>
      <c r="G29" s="69" t="n">
        <v>444</v>
      </c>
      <c r="H29" s="80" t="n">
        <f aca="false">IF(G29&gt;0,G29/E29,  )</f>
        <v>3.14893617021277</v>
      </c>
      <c r="I29" s="80" t="n">
        <f aca="false">IF(H29&gt;0,F29/H29,  )</f>
        <v>12670.7207207207</v>
      </c>
    </row>
    <row r="30" customFormat="false" ht="15" hidden="false" customHeight="false" outlineLevel="0" collapsed="false">
      <c r="A30" s="136" t="s">
        <v>40</v>
      </c>
      <c r="B30" s="78" t="n">
        <v>45258</v>
      </c>
      <c r="C30" s="67" t="n">
        <v>6033400</v>
      </c>
      <c r="D30" s="79" t="n">
        <f aca="false">IF(C30&gt;0, C30,(G$42/(G$39-G$40)))</f>
        <v>6033400</v>
      </c>
      <c r="E30" s="69" t="n">
        <v>141</v>
      </c>
      <c r="F30" s="80" t="n">
        <f aca="false">IF(E30&gt;0,C30/E30, )</f>
        <v>42790.0709219858</v>
      </c>
      <c r="G30" s="69" t="n">
        <v>486</v>
      </c>
      <c r="H30" s="80" t="n">
        <f aca="false">IF(G30&gt;0,G30/E30,  )</f>
        <v>3.4468085106383</v>
      </c>
      <c r="I30" s="80" t="n">
        <f aca="false">IF(H30&gt;0,F30/H30,  )</f>
        <v>12414.4032921811</v>
      </c>
    </row>
    <row r="31" customFormat="false" ht="15" hidden="false" customHeight="false" outlineLevel="0" collapsed="false">
      <c r="A31" s="136" t="s">
        <v>41</v>
      </c>
      <c r="B31" s="78" t="n">
        <v>45259</v>
      </c>
      <c r="C31" s="67" t="n">
        <v>6022550</v>
      </c>
      <c r="D31" s="79" t="n">
        <f aca="false">IF(C31&gt;0, C31,(G$42/(G$39-G$40)))</f>
        <v>6022550</v>
      </c>
      <c r="E31" s="69" t="n">
        <v>140</v>
      </c>
      <c r="F31" s="80" t="n">
        <f aca="false">IF(E31&gt;0,C31/E31, )</f>
        <v>43018.2142857143</v>
      </c>
      <c r="G31" s="69" t="n">
        <v>492</v>
      </c>
      <c r="H31" s="80" t="n">
        <f aca="false">IF(G31&gt;0,G31/E31,  )</f>
        <v>3.51428571428571</v>
      </c>
      <c r="I31" s="80" t="n">
        <f aca="false">IF(H31&gt;0,F31/H31,  )</f>
        <v>12240.9552845528</v>
      </c>
    </row>
    <row r="32" customFormat="false" ht="15" hidden="false" customHeight="false" outlineLevel="0" collapsed="false">
      <c r="A32" s="136" t="s">
        <v>42</v>
      </c>
      <c r="B32" s="78" t="n">
        <v>45260</v>
      </c>
      <c r="C32" s="67" t="n">
        <v>9083050</v>
      </c>
      <c r="D32" s="79" t="n">
        <f aca="false">IF(C32&gt;0, C32,(G$42/(G$39-G$40)))</f>
        <v>9083050</v>
      </c>
      <c r="E32" s="69" t="n">
        <f aca="false">132+11</f>
        <v>143</v>
      </c>
      <c r="F32" s="80" t="n">
        <f aca="false">IF(E32&gt;0,C32/E32, )</f>
        <v>63517.8321678322</v>
      </c>
      <c r="G32" s="69" t="n">
        <v>680</v>
      </c>
      <c r="H32" s="80" t="n">
        <f aca="false">IF(G32&gt;0,G32/E32,  )</f>
        <v>4.75524475524476</v>
      </c>
      <c r="I32" s="80" t="n">
        <f aca="false">IF(H32&gt;0,F32/H32,  )</f>
        <v>13357.4264705882</v>
      </c>
    </row>
    <row r="33" customFormat="false" ht="15" hidden="false" customHeight="false" outlineLevel="0" collapsed="false">
      <c r="A33" s="136"/>
      <c r="B33" s="78"/>
      <c r="C33" s="67"/>
      <c r="D33" s="79" t="e">
        <f aca="false">IF(C33&gt;0, C33,(G$42/(G$39-G$40)))</f>
        <v>#DIV/0!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8021168.33333333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658.766666666667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240635050</v>
      </c>
      <c r="D35" s="90"/>
      <c r="E35" s="91" t="n">
        <f aca="false">SUM(E3:E33)</f>
        <v>4674</v>
      </c>
      <c r="F35" s="92"/>
      <c r="G35" s="91" t="n">
        <f aca="false">SUM(G3:G33)</f>
        <v>19763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95" t="n">
        <v>195000000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1.2340258974359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30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30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f aca="false">C36</f>
        <v>195000000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-45635050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240635050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45635050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6500000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8021168.33333333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1521168.33333333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1.2340258974359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1.2340258974359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6" activeCellId="0" sqref="C36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1.9"/>
  </cols>
  <sheetData>
    <row r="1" customFormat="false" ht="17.35" hidden="false" customHeight="false" outlineLevel="0" collapsed="false">
      <c r="A1" s="128" t="s">
        <v>55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5" t="s">
        <v>15</v>
      </c>
      <c r="B3" s="78" t="n">
        <v>45261</v>
      </c>
      <c r="C3" s="67" t="n">
        <v>8866750</v>
      </c>
      <c r="D3" s="79" t="n">
        <f aca="false">IF(C3&gt;0, C3,(G$42/(G$39-G$40)))</f>
        <v>8866750</v>
      </c>
      <c r="E3" s="69" t="n">
        <v>161</v>
      </c>
      <c r="F3" s="80" t="n">
        <f aca="false">IF(E3&gt;0,C3/E3, )</f>
        <v>55072.9813664596</v>
      </c>
      <c r="G3" s="69" t="n">
        <v>630</v>
      </c>
      <c r="H3" s="80" t="n">
        <f aca="false">IF(G3&gt;0,G3/E3,  )</f>
        <v>3.91304347826087</v>
      </c>
      <c r="I3" s="80" t="n">
        <f aca="false">IF(H3&gt;0,F3/H3,  )</f>
        <v>14074.2063492064</v>
      </c>
    </row>
    <row r="4" customFormat="false" ht="15" hidden="false" customHeight="false" outlineLevel="0" collapsed="false">
      <c r="A4" s="136" t="s">
        <v>16</v>
      </c>
      <c r="B4" s="78" t="n">
        <v>45262</v>
      </c>
      <c r="C4" s="67" t="n">
        <v>12202500</v>
      </c>
      <c r="D4" s="79" t="n">
        <f aca="false">IF(C4&gt;0, C4,(G$42/(G$39-G$40)))</f>
        <v>12202500</v>
      </c>
      <c r="E4" s="69" t="n">
        <v>183</v>
      </c>
      <c r="F4" s="80" t="n">
        <f aca="false">IF(E4&gt;0,C4/E4, )</f>
        <v>66680.3278688525</v>
      </c>
      <c r="G4" s="69" t="n">
        <v>943</v>
      </c>
      <c r="H4" s="80" t="n">
        <f aca="false">IF(G4&gt;0,G4/E4,  )</f>
        <v>5.15300546448087</v>
      </c>
      <c r="I4" s="80" t="n">
        <f aca="false">IF(H4&gt;0,F4/H4,  )</f>
        <v>12940.084835631</v>
      </c>
    </row>
    <row r="5" customFormat="false" ht="15" hidden="false" customHeight="false" outlineLevel="0" collapsed="false">
      <c r="A5" s="136" t="s">
        <v>17</v>
      </c>
      <c r="B5" s="78" t="n">
        <v>45263</v>
      </c>
      <c r="C5" s="67" t="n">
        <v>11337250</v>
      </c>
      <c r="D5" s="79" t="n">
        <f aca="false">IF(C5&gt;0, C5,(G$42/(G$39-G$40)))</f>
        <v>11337250</v>
      </c>
      <c r="E5" s="69" t="n">
        <v>190</v>
      </c>
      <c r="F5" s="80" t="n">
        <f aca="false">IF(E5&gt;0,C5/E5, )</f>
        <v>59669.7368421053</v>
      </c>
      <c r="G5" s="69" t="n">
        <v>934</v>
      </c>
      <c r="H5" s="80" t="n">
        <f aca="false">IF(G5&gt;0,G5/E5,  )</f>
        <v>4.91578947368421</v>
      </c>
      <c r="I5" s="80" t="n">
        <f aca="false">IF(H5&gt;0,F5/H5,  )</f>
        <v>12138.3832976445</v>
      </c>
    </row>
    <row r="6" customFormat="false" ht="15" hidden="false" customHeight="false" outlineLevel="0" collapsed="false">
      <c r="A6" s="136" t="s">
        <v>11</v>
      </c>
      <c r="B6" s="78" t="n">
        <v>45264</v>
      </c>
      <c r="C6" s="67" t="n">
        <v>11502600</v>
      </c>
      <c r="D6" s="79" t="n">
        <f aca="false">IF(C6&gt;0, C6,(G$42/(G$39-G$40)))</f>
        <v>11502600</v>
      </c>
      <c r="E6" s="69" t="n">
        <f aca="false">180+26</f>
        <v>206</v>
      </c>
      <c r="F6" s="80" t="n">
        <f aca="false">IF(E6&gt;0,C6/E6, )</f>
        <v>55837.8640776699</v>
      </c>
      <c r="G6" s="69" t="n">
        <v>887</v>
      </c>
      <c r="H6" s="80" t="n">
        <f aca="false">IF(G6&gt;0,G6/E6,  )</f>
        <v>4.30582524271845</v>
      </c>
      <c r="I6" s="80" t="n">
        <f aca="false">IF(H6&gt;0,F6/H6,  )</f>
        <v>12967.9819616685</v>
      </c>
    </row>
    <row r="7" customFormat="false" ht="15" hidden="false" customHeight="false" outlineLevel="0" collapsed="false">
      <c r="A7" s="136" t="s">
        <v>12</v>
      </c>
      <c r="B7" s="78" t="n">
        <v>45265</v>
      </c>
      <c r="C7" s="67" t="n">
        <v>8201700</v>
      </c>
      <c r="D7" s="79" t="n">
        <f aca="false">IF(C7&gt;0, C7,(G$42/(G$39-G$40)))</f>
        <v>8201700</v>
      </c>
      <c r="E7" s="69" t="n">
        <v>168</v>
      </c>
      <c r="F7" s="80" t="n">
        <f aca="false">IF(E7&gt;0,C7/E7, )</f>
        <v>48819.6428571429</v>
      </c>
      <c r="G7" s="69" t="n">
        <v>680</v>
      </c>
      <c r="H7" s="80" t="n">
        <f aca="false">IF(G7&gt;0,G7/E7,  )</f>
        <v>4.04761904761905</v>
      </c>
      <c r="I7" s="80" t="n">
        <f aca="false">IF(H7&gt;0,F7/H7,  )</f>
        <v>12061.3235294118</v>
      </c>
    </row>
    <row r="8" customFormat="false" ht="15" hidden="false" customHeight="false" outlineLevel="0" collapsed="false">
      <c r="A8" s="136" t="s">
        <v>13</v>
      </c>
      <c r="B8" s="78" t="n">
        <v>45266</v>
      </c>
      <c r="C8" s="67" t="n">
        <v>10172450</v>
      </c>
      <c r="D8" s="79" t="n">
        <f aca="false">IF(C8&gt;0, C8,(G$42/(G$39-G$40)))</f>
        <v>10172450</v>
      </c>
      <c r="E8" s="69" t="n">
        <v>174</v>
      </c>
      <c r="F8" s="80" t="n">
        <f aca="false">IF(E8&gt;0,C8/E8, )</f>
        <v>58462.3563218391</v>
      </c>
      <c r="G8" s="69" t="n">
        <v>790</v>
      </c>
      <c r="H8" s="80" t="n">
        <f aca="false">IF(G8&gt;0,G8/E8,  )</f>
        <v>4.54022988505747</v>
      </c>
      <c r="I8" s="80" t="n">
        <f aca="false">IF(H8&gt;0,F8/H8,  )</f>
        <v>12876.5189873418</v>
      </c>
    </row>
    <row r="9" customFormat="false" ht="15" hidden="false" customHeight="false" outlineLevel="0" collapsed="false">
      <c r="A9" s="136" t="s">
        <v>14</v>
      </c>
      <c r="B9" s="78" t="n">
        <v>45267</v>
      </c>
      <c r="C9" s="67" t="n">
        <v>8177850</v>
      </c>
      <c r="D9" s="79" t="n">
        <f aca="false">IF(C9&gt;0, C9,(G$42/(G$39-G$40)))</f>
        <v>8177850</v>
      </c>
      <c r="E9" s="69" t="n">
        <v>149</v>
      </c>
      <c r="F9" s="80" t="n">
        <f aca="false">IF(E9&gt;0,C9/E9, )</f>
        <v>54884.8993288591</v>
      </c>
      <c r="G9" s="69" t="n">
        <v>599</v>
      </c>
      <c r="H9" s="80" t="n">
        <f aca="false">IF(G9&gt;0,G9/E9,  )</f>
        <v>4.02013422818792</v>
      </c>
      <c r="I9" s="80" t="n">
        <f aca="false">IF(H9&gt;0,F9/H9,  )</f>
        <v>13652.5041736227</v>
      </c>
    </row>
    <row r="10" customFormat="false" ht="15" hidden="false" customHeight="false" outlineLevel="0" collapsed="false">
      <c r="A10" s="136" t="s">
        <v>15</v>
      </c>
      <c r="B10" s="78" t="n">
        <v>45268</v>
      </c>
      <c r="C10" s="67" t="n">
        <v>12275600</v>
      </c>
      <c r="D10" s="79" t="n">
        <f aca="false">IF(C10&gt;0, C10,(G$42/(G$39-G$40)))</f>
        <v>12275600</v>
      </c>
      <c r="E10" s="69" t="n">
        <f aca="false">138+23</f>
        <v>161</v>
      </c>
      <c r="F10" s="80" t="n">
        <f aca="false">IF(E10&gt;0,C10/E10, )</f>
        <v>76245.9627329193</v>
      </c>
      <c r="G10" s="69" t="n">
        <v>870</v>
      </c>
      <c r="H10" s="80" t="n">
        <f aca="false">IF(G10&gt;0,G10/E10,  )</f>
        <v>5.40372670807453</v>
      </c>
      <c r="I10" s="80" t="n">
        <f aca="false">IF(H10&gt;0,F10/H10,  )</f>
        <v>14109.8850574713</v>
      </c>
    </row>
    <row r="11" customFormat="false" ht="15" hidden="false" customHeight="false" outlineLevel="0" collapsed="false">
      <c r="A11" s="136" t="s">
        <v>16</v>
      </c>
      <c r="B11" s="78" t="n">
        <v>45269</v>
      </c>
      <c r="C11" s="67" t="n">
        <v>11854750</v>
      </c>
      <c r="D11" s="79" t="n">
        <f aca="false">IF(C11&gt;0, C11,(G$42/(G$39-G$40)))</f>
        <v>11854750</v>
      </c>
      <c r="E11" s="69" t="n">
        <v>179</v>
      </c>
      <c r="F11" s="80" t="n">
        <f aca="false">IF(E11&gt;0,C11/E11, )</f>
        <v>66227.6536312849</v>
      </c>
      <c r="G11" s="69" t="n">
        <v>793</v>
      </c>
      <c r="H11" s="80" t="n">
        <f aca="false">IF(G11&gt;0,G11/E11,  )</f>
        <v>4.43016759776536</v>
      </c>
      <c r="I11" s="80" t="n">
        <f aca="false">IF(H11&gt;0,F11/H11,  )</f>
        <v>14949.2433795712</v>
      </c>
    </row>
    <row r="12" customFormat="false" ht="15" hidden="false" customHeight="false" outlineLevel="0" collapsed="false">
      <c r="A12" s="136" t="s">
        <v>17</v>
      </c>
      <c r="B12" s="78" t="n">
        <v>45270</v>
      </c>
      <c r="C12" s="67" t="n">
        <v>11206200</v>
      </c>
      <c r="D12" s="79" t="n">
        <f aca="false">IF(C12&gt;0, C12,(G$42/(G$39-G$40)))</f>
        <v>11206200</v>
      </c>
      <c r="E12" s="69" t="n">
        <v>175</v>
      </c>
      <c r="F12" s="80" t="n">
        <f aca="false">IF(E12&gt;0,C12/E12, )</f>
        <v>64035.4285714286</v>
      </c>
      <c r="G12" s="69" t="n">
        <v>792</v>
      </c>
      <c r="H12" s="80" t="n">
        <f aca="false">IF(G12&gt;0,G12/E12,  )</f>
        <v>4.52571428571429</v>
      </c>
      <c r="I12" s="80" t="n">
        <f aca="false">IF(H12&gt;0,F12/H12,  )</f>
        <v>14149.2424242424</v>
      </c>
    </row>
    <row r="13" customFormat="false" ht="15" hidden="false" customHeight="false" outlineLevel="0" collapsed="false">
      <c r="A13" s="136" t="s">
        <v>39</v>
      </c>
      <c r="B13" s="78" t="n">
        <v>45271</v>
      </c>
      <c r="C13" s="67" t="n">
        <v>9823600</v>
      </c>
      <c r="D13" s="79" t="n">
        <f aca="false">IF(C13&gt;0, C13,(G$42/(G$39-G$40)))</f>
        <v>9823600</v>
      </c>
      <c r="E13" s="69" t="n">
        <v>185</v>
      </c>
      <c r="F13" s="80" t="n">
        <f aca="false">IF(E13&gt;0,C13/E13, )</f>
        <v>53100.5405405405</v>
      </c>
      <c r="G13" s="69" t="n">
        <v>777</v>
      </c>
      <c r="H13" s="80" t="n">
        <f aca="false">IF(G13&gt;0,G13/E13,  )</f>
        <v>4.2</v>
      </c>
      <c r="I13" s="80" t="n">
        <f aca="false">IF(H13&gt;0,F13/H13,  )</f>
        <v>12642.9858429858</v>
      </c>
    </row>
    <row r="14" customFormat="false" ht="15" hidden="false" customHeight="false" outlineLevel="0" collapsed="false">
      <c r="A14" s="136" t="s">
        <v>40</v>
      </c>
      <c r="B14" s="78" t="n">
        <v>45272</v>
      </c>
      <c r="C14" s="67" t="n">
        <v>7476350</v>
      </c>
      <c r="D14" s="79" t="n">
        <f aca="false">IF(C14&gt;0, C14,(G$42/(G$39-G$40)))</f>
        <v>7476350</v>
      </c>
      <c r="E14" s="69" t="n">
        <v>134</v>
      </c>
      <c r="F14" s="80" t="n">
        <f aca="false">IF(E14&gt;0,C14/E14, )</f>
        <v>55793.6567164179</v>
      </c>
      <c r="G14" s="69" t="n">
        <v>581</v>
      </c>
      <c r="H14" s="80" t="n">
        <f aca="false">IF(G14&gt;0,G14/E14,  )</f>
        <v>4.33582089552239</v>
      </c>
      <c r="I14" s="80" t="n">
        <f aca="false">IF(H14&gt;0,F14/H14,  )</f>
        <v>12868.0722891566</v>
      </c>
    </row>
    <row r="15" customFormat="false" ht="15" hidden="false" customHeight="false" outlineLevel="0" collapsed="false">
      <c r="A15" s="136" t="s">
        <v>41</v>
      </c>
      <c r="B15" s="78" t="n">
        <v>45273</v>
      </c>
      <c r="C15" s="67" t="n">
        <v>8085300</v>
      </c>
      <c r="D15" s="79" t="n">
        <f aca="false">IF(C15&gt;0, C15,(G$42/(G$39-G$40)))</f>
        <v>8085300</v>
      </c>
      <c r="E15" s="69" t="n">
        <v>151</v>
      </c>
      <c r="F15" s="80" t="n">
        <f aca="false">IF(E15&gt;0,C15/E15, )</f>
        <v>53545.0331125828</v>
      </c>
      <c r="G15" s="69" t="n">
        <v>608</v>
      </c>
      <c r="H15" s="80" t="n">
        <f aca="false">IF(G15&gt;0,G15/E15,  )</f>
        <v>4.02649006622517</v>
      </c>
      <c r="I15" s="80" t="n">
        <f aca="false">IF(H15&gt;0,F15/H15,  )</f>
        <v>13298.1907894737</v>
      </c>
    </row>
    <row r="16" customFormat="false" ht="15" hidden="false" customHeight="false" outlineLevel="0" collapsed="false">
      <c r="A16" s="136" t="s">
        <v>42</v>
      </c>
      <c r="B16" s="78" t="n">
        <v>45274</v>
      </c>
      <c r="C16" s="67" t="n">
        <v>10605750</v>
      </c>
      <c r="D16" s="79" t="n">
        <f aca="false">IF(C16&gt;0, C16,(G$42/(G$39-G$40)))</f>
        <v>10605750</v>
      </c>
      <c r="E16" s="69" t="n">
        <v>184</v>
      </c>
      <c r="F16" s="80" t="n">
        <f aca="false">IF(E16&gt;0,C16/E16, )</f>
        <v>57639.9456521739</v>
      </c>
      <c r="G16" s="69" t="n">
        <v>806</v>
      </c>
      <c r="H16" s="80" t="n">
        <f aca="false">IF(G16&gt;0,G16/E16,  )</f>
        <v>4.3804347826087</v>
      </c>
      <c r="I16" s="80" t="n">
        <f aca="false">IF(H16&gt;0,F16/H16,  )</f>
        <v>13158.4987593052</v>
      </c>
    </row>
    <row r="17" customFormat="false" ht="15" hidden="false" customHeight="false" outlineLevel="0" collapsed="false">
      <c r="A17" s="136" t="s">
        <v>43</v>
      </c>
      <c r="B17" s="78" t="n">
        <v>45275</v>
      </c>
      <c r="C17" s="67" t="n">
        <v>12738700</v>
      </c>
      <c r="D17" s="79" t="n">
        <f aca="false">IF(C17&gt;0, C17,(G$42/(G$39-G$40)))</f>
        <v>12738700</v>
      </c>
      <c r="E17" s="69" t="n">
        <v>205</v>
      </c>
      <c r="F17" s="80" t="n">
        <f aca="false">IF(E17&gt;0,C17/E17, )</f>
        <v>62140</v>
      </c>
      <c r="G17" s="69" t="n">
        <v>932</v>
      </c>
      <c r="H17" s="80" t="n">
        <f aca="false">IF(G17&gt;0,G17/E17,  )</f>
        <v>4.54634146341463</v>
      </c>
      <c r="I17" s="80" t="n">
        <f aca="false">IF(H17&gt;0,F17/H17,  )</f>
        <v>13668.1330472103</v>
      </c>
    </row>
    <row r="18" customFormat="false" ht="15" hidden="false" customHeight="false" outlineLevel="0" collapsed="false">
      <c r="A18" s="136" t="s">
        <v>44</v>
      </c>
      <c r="B18" s="78" t="n">
        <v>45276</v>
      </c>
      <c r="C18" s="67" t="n">
        <v>13648900</v>
      </c>
      <c r="D18" s="79" t="n">
        <f aca="false">IF(C18&gt;0, C18,(G$42/(G$39-G$40)))</f>
        <v>13648900</v>
      </c>
      <c r="E18" s="69" t="n">
        <v>214</v>
      </c>
      <c r="F18" s="80" t="n">
        <f aca="false">IF(E18&gt;0,C18/E18, )</f>
        <v>63779.9065420561</v>
      </c>
      <c r="G18" s="69" t="n">
        <v>998</v>
      </c>
      <c r="H18" s="80" t="n">
        <f aca="false">IF(G18&gt;0,G18/E18,  )</f>
        <v>4.66355140186916</v>
      </c>
      <c r="I18" s="80" t="n">
        <f aca="false">IF(H18&gt;0,F18/H18,  )</f>
        <v>13676.25250501</v>
      </c>
    </row>
    <row r="19" customFormat="false" ht="15" hidden="false" customHeight="false" outlineLevel="0" collapsed="false">
      <c r="A19" s="136" t="s">
        <v>38</v>
      </c>
      <c r="B19" s="78" t="n">
        <v>45277</v>
      </c>
      <c r="C19" s="67" t="n">
        <v>14239350</v>
      </c>
      <c r="D19" s="79" t="n">
        <f aca="false">IF(C19&gt;0, C19,(G$42/(G$39-G$40)))</f>
        <v>14239350</v>
      </c>
      <c r="E19" s="69" t="n">
        <v>204</v>
      </c>
      <c r="F19" s="80" t="n">
        <f aca="false">IF(E19&gt;0,C19/E19, )</f>
        <v>69800.7352941177</v>
      </c>
      <c r="G19" s="69" t="n">
        <v>1002</v>
      </c>
      <c r="H19" s="80" t="n">
        <f aca="false">IF(G19&gt;0,G19/E19,  )</f>
        <v>4.91176470588235</v>
      </c>
      <c r="I19" s="80" t="n">
        <f aca="false">IF(H19&gt;0,F19/H19,  )</f>
        <v>14210.9281437126</v>
      </c>
    </row>
    <row r="20" customFormat="false" ht="15" hidden="false" customHeight="false" outlineLevel="0" collapsed="false">
      <c r="A20" s="136" t="s">
        <v>39</v>
      </c>
      <c r="B20" s="78" t="n">
        <v>45278</v>
      </c>
      <c r="C20" s="67" t="n">
        <v>13350400</v>
      </c>
      <c r="D20" s="79" t="n">
        <f aca="false">IF(C20&gt;0, C20,(G$42/(G$39-G$40)))</f>
        <v>13350400</v>
      </c>
      <c r="E20" s="69" t="n">
        <v>228</v>
      </c>
      <c r="F20" s="80" t="n">
        <f aca="false">IF(E20&gt;0,C20/E20, )</f>
        <v>58554.3859649123</v>
      </c>
      <c r="G20" s="69" t="n">
        <v>1008</v>
      </c>
      <c r="H20" s="80" t="n">
        <f aca="false">IF(G20&gt;0,G20/E20,  )</f>
        <v>4.42105263157895</v>
      </c>
      <c r="I20" s="80" t="n">
        <f aca="false">IF(H20&gt;0,F20/H20,  )</f>
        <v>13244.4444444444</v>
      </c>
    </row>
    <row r="21" customFormat="false" ht="15" hidden="false" customHeight="false" outlineLevel="0" collapsed="false">
      <c r="A21" s="136" t="s">
        <v>40</v>
      </c>
      <c r="B21" s="78" t="n">
        <v>45279</v>
      </c>
      <c r="C21" s="67" t="n">
        <v>10353600</v>
      </c>
      <c r="D21" s="79" t="n">
        <f aca="false">IF(C21&gt;0, C21,(G$42/(G$39-G$40)))</f>
        <v>10353600</v>
      </c>
      <c r="E21" s="69" t="n">
        <f aca="false">19+159</f>
        <v>178</v>
      </c>
      <c r="F21" s="80" t="n">
        <f aca="false">IF(E21&gt;0,C21/E21, )</f>
        <v>58166.2921348315</v>
      </c>
      <c r="G21" s="69" t="n">
        <v>733</v>
      </c>
      <c r="H21" s="80" t="n">
        <f aca="false">IF(G21&gt;0,G21/E21,  )</f>
        <v>4.11797752808989</v>
      </c>
      <c r="I21" s="80" t="n">
        <f aca="false">IF(H21&gt;0,F21/H21,  )</f>
        <v>14124.965893588</v>
      </c>
    </row>
    <row r="22" customFormat="false" ht="15" hidden="false" customHeight="false" outlineLevel="0" collapsed="false">
      <c r="A22" s="136" t="s">
        <v>41</v>
      </c>
      <c r="B22" s="78" t="n">
        <v>45280</v>
      </c>
      <c r="C22" s="67" t="n">
        <v>12471400</v>
      </c>
      <c r="D22" s="79" t="n">
        <f aca="false">IF(C22&gt;0, C22,(G$42/(G$39-G$40)))</f>
        <v>12471400</v>
      </c>
      <c r="E22" s="81" t="n">
        <f aca="false">218+10</f>
        <v>228</v>
      </c>
      <c r="F22" s="80" t="n">
        <f aca="false">IF(E22&gt;0,C22/E22, )</f>
        <v>54699.1228070175</v>
      </c>
      <c r="G22" s="69" t="n">
        <v>939</v>
      </c>
      <c r="H22" s="80" t="n">
        <f aca="false">IF(G22&gt;0,G22/E22,  )</f>
        <v>4.11842105263158</v>
      </c>
      <c r="I22" s="80" t="n">
        <f aca="false">IF(H22&gt;0,F22/H22,  )</f>
        <v>13281.5761448349</v>
      </c>
    </row>
    <row r="23" customFormat="false" ht="15" hidden="false" customHeight="false" outlineLevel="0" collapsed="false">
      <c r="A23" s="136" t="s">
        <v>42</v>
      </c>
      <c r="B23" s="78" t="n">
        <v>45281</v>
      </c>
      <c r="C23" s="67" t="n">
        <v>9373850</v>
      </c>
      <c r="D23" s="79" t="n">
        <f aca="false">IF(C23&gt;0, C23,(G$42/(G$39-G$40)))</f>
        <v>9373850</v>
      </c>
      <c r="E23" s="69" t="n">
        <f aca="false">197+20</f>
        <v>217</v>
      </c>
      <c r="F23" s="80" t="n">
        <f aca="false">IF(E23&gt;0,C23/E23, )</f>
        <v>43197.465437788</v>
      </c>
      <c r="G23" s="69" t="n">
        <v>720</v>
      </c>
      <c r="H23" s="80" t="n">
        <f aca="false">IF(G23&gt;0,G23/E23,  )</f>
        <v>3.31797235023041</v>
      </c>
      <c r="I23" s="80" t="n">
        <f aca="false">IF(H23&gt;0,F23/H23,  )</f>
        <v>13019.2361111111</v>
      </c>
    </row>
    <row r="24" customFormat="false" ht="15" hidden="false" customHeight="false" outlineLevel="0" collapsed="false">
      <c r="A24" s="136" t="s">
        <v>43</v>
      </c>
      <c r="B24" s="78" t="n">
        <v>45282</v>
      </c>
      <c r="C24" s="67" t="n">
        <v>33796600</v>
      </c>
      <c r="D24" s="79" t="n">
        <f aca="false">IF(C24&gt;0, C24,(G$42/(G$39-G$40)))</f>
        <v>33796600</v>
      </c>
      <c r="E24" s="69" t="n">
        <f aca="false">283+151</f>
        <v>434</v>
      </c>
      <c r="F24" s="80" t="n">
        <f aca="false">IF(E24&gt;0,C24/E24, )</f>
        <v>77872.3502304147</v>
      </c>
      <c r="G24" s="69" t="n">
        <v>2870</v>
      </c>
      <c r="H24" s="80" t="n">
        <f aca="false">IF(G24&gt;0,G24/E24,  )</f>
        <v>6.61290322580645</v>
      </c>
      <c r="I24" s="80" t="n">
        <f aca="false">IF(H24&gt;0,F24/H24,  )</f>
        <v>11775.818815331</v>
      </c>
    </row>
    <row r="25" customFormat="false" ht="15" hidden="false" customHeight="false" outlineLevel="0" collapsed="false">
      <c r="A25" s="136" t="s">
        <v>44</v>
      </c>
      <c r="B25" s="78" t="n">
        <v>45283</v>
      </c>
      <c r="C25" s="67" t="n">
        <v>24965850</v>
      </c>
      <c r="D25" s="79" t="n">
        <f aca="false">IF(C25&gt;0, C25,(G$42/(G$39-G$40)))</f>
        <v>24965850</v>
      </c>
      <c r="E25" s="69" t="n">
        <f aca="false">245+78</f>
        <v>323</v>
      </c>
      <c r="F25" s="80" t="n">
        <f aca="false">IF(E25&gt;0,C25/E25, )</f>
        <v>77293.653250774</v>
      </c>
      <c r="G25" s="69" t="n">
        <v>1900</v>
      </c>
      <c r="H25" s="80" t="n">
        <f aca="false">IF(G25&gt;0,G25/E25,  )</f>
        <v>5.88235294117647</v>
      </c>
      <c r="I25" s="80" t="n">
        <f aca="false">IF(H25&gt;0,F25/H25,  )</f>
        <v>13139.9210526316</v>
      </c>
    </row>
    <row r="26" customFormat="false" ht="15" hidden="false" customHeight="false" outlineLevel="0" collapsed="false">
      <c r="A26" s="136" t="s">
        <v>38</v>
      </c>
      <c r="B26" s="78" t="n">
        <v>45284</v>
      </c>
      <c r="C26" s="67" t="n">
        <v>27316600</v>
      </c>
      <c r="D26" s="79" t="n">
        <f aca="false">IF(C26&gt;0, C26,(G$42/(G$39-G$40)))</f>
        <v>27316600</v>
      </c>
      <c r="E26" s="69" t="n">
        <f aca="false">241+115</f>
        <v>356</v>
      </c>
      <c r="F26" s="80" t="n">
        <f aca="false">IF(E26&gt;0,C26/E26, )</f>
        <v>76732.0224719101</v>
      </c>
      <c r="G26" s="69" t="n">
        <v>2177</v>
      </c>
      <c r="H26" s="80" t="n">
        <f aca="false">IF(G26&gt;0,G26/E26,  )</f>
        <v>6.11516853932584</v>
      </c>
      <c r="I26" s="80" t="n">
        <f aca="false">IF(H26&gt;0,F26/H26,  )</f>
        <v>12547.8180983004</v>
      </c>
    </row>
    <row r="27" customFormat="false" ht="15" hidden="false" customHeight="false" outlineLevel="0" collapsed="false">
      <c r="A27" s="136" t="s">
        <v>39</v>
      </c>
      <c r="B27" s="78" t="n">
        <v>45285</v>
      </c>
      <c r="C27" s="67" t="n">
        <v>11049500</v>
      </c>
      <c r="D27" s="79" t="n">
        <f aca="false">IF(C27&gt;0, C27,(G$42/(G$39-G$40)))</f>
        <v>11049500</v>
      </c>
      <c r="E27" s="69" t="n">
        <v>196</v>
      </c>
      <c r="F27" s="80" t="n">
        <f aca="false">IF(E27&gt;0,C27/E27, )</f>
        <v>56375</v>
      </c>
      <c r="G27" s="69" t="n">
        <v>689</v>
      </c>
      <c r="H27" s="80" t="n">
        <f aca="false">IF(G27&gt;0,G27/E27,  )</f>
        <v>3.51530612244898</v>
      </c>
      <c r="I27" s="80" t="n">
        <f aca="false">IF(H27&gt;0,F27/H27,  )</f>
        <v>16037.0101596517</v>
      </c>
    </row>
    <row r="28" customFormat="false" ht="15" hidden="false" customHeight="false" outlineLevel="0" collapsed="false">
      <c r="A28" s="136" t="s">
        <v>40</v>
      </c>
      <c r="B28" s="78" t="n">
        <v>45286</v>
      </c>
      <c r="C28" s="67" t="n">
        <v>13920050</v>
      </c>
      <c r="D28" s="79" t="n">
        <f aca="false">IF(C28&gt;0, C28,(G$42/(G$39-G$40)))</f>
        <v>13920050</v>
      </c>
      <c r="E28" s="69" t="n">
        <v>232</v>
      </c>
      <c r="F28" s="80" t="n">
        <f aca="false">IF(E28&gt;0,C28/E28, )</f>
        <v>60000.2155172414</v>
      </c>
      <c r="G28" s="69" t="n">
        <v>952</v>
      </c>
      <c r="H28" s="80" t="n">
        <f aca="false">IF(G28&gt;0,G28/E28,  )</f>
        <v>4.10344827586207</v>
      </c>
      <c r="I28" s="80" t="n">
        <f aca="false">IF(H28&gt;0,F28/H28,  )</f>
        <v>14621.9012605042</v>
      </c>
    </row>
    <row r="29" customFormat="false" ht="15" hidden="false" customHeight="false" outlineLevel="0" collapsed="false">
      <c r="A29" s="136" t="s">
        <v>41</v>
      </c>
      <c r="B29" s="78" t="n">
        <v>45287</v>
      </c>
      <c r="C29" s="67" t="n">
        <v>16103200</v>
      </c>
      <c r="D29" s="79" t="n">
        <f aca="false">IF(C29&gt;0, C29,(G$42/(G$39-G$40)))</f>
        <v>16103200</v>
      </c>
      <c r="E29" s="69" t="n">
        <f aca="false">203+35</f>
        <v>238</v>
      </c>
      <c r="F29" s="80" t="n">
        <f aca="false">IF(E29&gt;0,C29/E29, )</f>
        <v>67660.5042016807</v>
      </c>
      <c r="G29" s="69" t="n">
        <v>1015</v>
      </c>
      <c r="H29" s="80" t="n">
        <f aca="false">IF(G29&gt;0,G29/E29,  )</f>
        <v>4.26470588235294</v>
      </c>
      <c r="I29" s="80" t="n">
        <f aca="false">IF(H29&gt;0,F29/H29,  )</f>
        <v>15865.2216748768</v>
      </c>
    </row>
    <row r="30" customFormat="false" ht="15" hidden="false" customHeight="false" outlineLevel="0" collapsed="false">
      <c r="A30" s="136" t="s">
        <v>42</v>
      </c>
      <c r="B30" s="78" t="n">
        <v>45288</v>
      </c>
      <c r="C30" s="67" t="n">
        <v>15368300</v>
      </c>
      <c r="D30" s="79" t="n">
        <f aca="false">IF(C30&gt;0, C30,(G$42/(G$39-G$40)))</f>
        <v>15368300</v>
      </c>
      <c r="E30" s="69" t="n">
        <f aca="false">25+213</f>
        <v>238</v>
      </c>
      <c r="F30" s="80" t="n">
        <f aca="false">IF(E30&gt;0,C30/E30, )</f>
        <v>64572.6890756303</v>
      </c>
      <c r="G30" s="69" t="n">
        <v>1048</v>
      </c>
      <c r="H30" s="80" t="n">
        <f aca="false">IF(G30&gt;0,G30/E30,  )</f>
        <v>4.40336134453782</v>
      </c>
      <c r="I30" s="80" t="n">
        <f aca="false">IF(H30&gt;0,F30/H30,  )</f>
        <v>14664.4083969466</v>
      </c>
    </row>
    <row r="31" customFormat="false" ht="15" hidden="false" customHeight="false" outlineLevel="0" collapsed="false">
      <c r="A31" s="136" t="s">
        <v>43</v>
      </c>
      <c r="B31" s="78" t="n">
        <v>45289</v>
      </c>
      <c r="C31" s="67" t="n">
        <v>13832200</v>
      </c>
      <c r="D31" s="79" t="n">
        <f aca="false">IF(C31&gt;0, C31,(G$42/(G$39-G$40)))</f>
        <v>13832200</v>
      </c>
      <c r="E31" s="69" t="n">
        <v>199</v>
      </c>
      <c r="F31" s="80" t="n">
        <f aca="false">IF(E31&gt;0,C31/E31, )</f>
        <v>69508.5427135678</v>
      </c>
      <c r="G31" s="69" t="n">
        <v>932</v>
      </c>
      <c r="H31" s="80" t="n">
        <f aca="false">IF(G31&gt;0,G31/E31,  )</f>
        <v>4.68341708542714</v>
      </c>
      <c r="I31" s="80" t="n">
        <f aca="false">IF(H31&gt;0,F31/H31,  )</f>
        <v>14841.4163090129</v>
      </c>
    </row>
    <row r="32" customFormat="false" ht="15" hidden="false" customHeight="false" outlineLevel="0" collapsed="false">
      <c r="A32" s="136" t="s">
        <v>44</v>
      </c>
      <c r="B32" s="78" t="n">
        <v>45290</v>
      </c>
      <c r="C32" s="67" t="n">
        <v>17956100</v>
      </c>
      <c r="D32" s="79" t="n">
        <f aca="false">IF(C32&gt;0, C32,(G$42/(G$39-G$40)))</f>
        <v>17956100</v>
      </c>
      <c r="E32" s="69" t="n">
        <v>253</v>
      </c>
      <c r="F32" s="80" t="n">
        <f aca="false">IF(E32&gt;0,C32/E32, )</f>
        <v>70972.7272727273</v>
      </c>
      <c r="G32" s="69" t="n">
        <v>1210</v>
      </c>
      <c r="H32" s="80" t="n">
        <f aca="false">IF(G32&gt;0,G32/E32,  )</f>
        <v>4.78260869565217</v>
      </c>
      <c r="I32" s="80" t="n">
        <f aca="false">IF(H32&gt;0,F32/H32,  )</f>
        <v>14839.7520661157</v>
      </c>
    </row>
    <row r="33" customFormat="false" ht="15" hidden="false" customHeight="false" outlineLevel="0" collapsed="false">
      <c r="A33" s="136" t="s">
        <v>38</v>
      </c>
      <c r="B33" s="78" t="n">
        <v>45291</v>
      </c>
      <c r="C33" s="67" t="n">
        <v>13861850</v>
      </c>
      <c r="D33" s="79" t="n">
        <f aca="false">IF(C33&gt;0, C33,(G$42/(G$39-G$40)))</f>
        <v>13861850</v>
      </c>
      <c r="E33" s="69" t="n">
        <f aca="false">177+38</f>
        <v>215</v>
      </c>
      <c r="F33" s="80" t="n">
        <f aca="false">IF(E33&gt;0,C33/E33, )</f>
        <v>64473.7209302326</v>
      </c>
      <c r="G33" s="69" t="n">
        <v>917</v>
      </c>
      <c r="H33" s="80" t="n">
        <f aca="false">IF(G33&gt;0,G33/E33,  )</f>
        <v>4.26511627906977</v>
      </c>
      <c r="I33" s="80" t="n">
        <f aca="false">IF(H33&gt;0,F33/H33,  )</f>
        <v>15116.5212649945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13423712.9032258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991.354838709677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416135100</v>
      </c>
      <c r="D35" s="90"/>
      <c r="E35" s="91" t="n">
        <f aca="false">SUM(E3:E33)</f>
        <v>6558</v>
      </c>
      <c r="F35" s="92"/>
      <c r="G35" s="91" t="n">
        <f aca="false">SUM(G3:G33)</f>
        <v>30732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95" t="n">
        <v>360000000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1.15593083333333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f aca="false">C36</f>
        <v>360000000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-56135100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416135100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56135100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11612903.2258065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13423712.9032258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1810809.67741935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1.15593083333333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1.15593083333333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D36" activeCellId="0" sqref="D36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4.07"/>
  </cols>
  <sheetData>
    <row r="1" customFormat="false" ht="17.35" hidden="false" customHeight="false" outlineLevel="0" collapsed="false">
      <c r="A1" s="128" t="s">
        <v>56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6" t="s">
        <v>39</v>
      </c>
      <c r="B3" s="78" t="n">
        <v>45292</v>
      </c>
      <c r="C3" s="67"/>
      <c r="D3" s="79" t="n">
        <f aca="false">IF(C3&gt;0, C3,(G$42/(G$39-G$40)))</f>
        <v>18208800</v>
      </c>
      <c r="E3" s="69"/>
      <c r="F3" s="80" t="n">
        <f aca="false">IF(E3&gt;0,C3/E3, )</f>
        <v>0</v>
      </c>
      <c r="G3" s="69"/>
      <c r="H3" s="80" t="n">
        <f aca="false">IF(G3&gt;0,G3/E3,  )</f>
        <v>0</v>
      </c>
      <c r="I3" s="80" t="n">
        <f aca="false">IF(H3&gt;0,F3/H3,  )</f>
        <v>0</v>
      </c>
    </row>
    <row r="4" customFormat="false" ht="15" hidden="false" customHeight="false" outlineLevel="0" collapsed="false">
      <c r="A4" s="136" t="s">
        <v>40</v>
      </c>
      <c r="B4" s="78" t="n">
        <v>45293</v>
      </c>
      <c r="C4" s="67" t="n">
        <v>7008650</v>
      </c>
      <c r="D4" s="79" t="n">
        <f aca="false">IF(C4&gt;0, C4,(G$42/(G$39-G$40)))</f>
        <v>7008650</v>
      </c>
      <c r="E4" s="69" t="n">
        <v>131</v>
      </c>
      <c r="F4" s="80" t="n">
        <f aca="false">IF(E4&gt;0,C4/E4, )</f>
        <v>53501.1450381679</v>
      </c>
      <c r="G4" s="69" t="n">
        <v>509</v>
      </c>
      <c r="H4" s="80" t="n">
        <f aca="false">IF(G4&gt;0,G4/E4,  )</f>
        <v>3.88549618320611</v>
      </c>
      <c r="I4" s="80" t="n">
        <f aca="false">IF(H4&gt;0,F4/H4,  )</f>
        <v>13769.4499017682</v>
      </c>
    </row>
    <row r="5" customFormat="false" ht="15" hidden="false" customHeight="false" outlineLevel="0" collapsed="false">
      <c r="A5" s="136" t="s">
        <v>41</v>
      </c>
      <c r="B5" s="78" t="n">
        <v>45294</v>
      </c>
      <c r="C5" s="67" t="n">
        <v>6492700</v>
      </c>
      <c r="D5" s="79" t="n">
        <f aca="false">IF(C5&gt;0, C5,(G$42/(G$39-G$40)))</f>
        <v>6492700</v>
      </c>
      <c r="E5" s="69" t="n">
        <v>140</v>
      </c>
      <c r="F5" s="80" t="n">
        <f aca="false">IF(E5&gt;0,C5/E5, )</f>
        <v>46376.4285714286</v>
      </c>
      <c r="G5" s="69" t="n">
        <v>523</v>
      </c>
      <c r="H5" s="80" t="n">
        <f aca="false">IF(G5&gt;0,G5/E5,  )</f>
        <v>3.73571428571429</v>
      </c>
      <c r="I5" s="80" t="n">
        <f aca="false">IF(H5&gt;0,F5/H5,  )</f>
        <v>12414.3403441683</v>
      </c>
    </row>
    <row r="6" customFormat="false" ht="15" hidden="false" customHeight="false" outlineLevel="0" collapsed="false">
      <c r="A6" s="136" t="s">
        <v>42</v>
      </c>
      <c r="B6" s="78" t="n">
        <v>45295</v>
      </c>
      <c r="C6" s="67" t="n">
        <v>7770900</v>
      </c>
      <c r="D6" s="79" t="n">
        <f aca="false">IF(C6&gt;0, C6,(G$42/(G$39-G$40)))</f>
        <v>7770900</v>
      </c>
      <c r="E6" s="69" t="n">
        <v>166</v>
      </c>
      <c r="F6" s="80" t="n">
        <f aca="false">IF(E6&gt;0,C6/E6, )</f>
        <v>46812.6506024096</v>
      </c>
      <c r="G6" s="69" t="n">
        <v>584</v>
      </c>
      <c r="H6" s="80" t="n">
        <f aca="false">IF(G6&gt;0,G6/E6,  )</f>
        <v>3.51807228915663</v>
      </c>
      <c r="I6" s="80" t="n">
        <f aca="false">IF(H6&gt;0,F6/H6,  )</f>
        <v>13306.3356164384</v>
      </c>
    </row>
    <row r="7" customFormat="false" ht="15" hidden="false" customHeight="false" outlineLevel="0" collapsed="false">
      <c r="A7" s="136" t="s">
        <v>43</v>
      </c>
      <c r="B7" s="78" t="n">
        <v>45296</v>
      </c>
      <c r="C7" s="67" t="n">
        <v>9311150</v>
      </c>
      <c r="D7" s="79" t="n">
        <f aca="false">IF(C7&gt;0, C7,(G$42/(G$39-G$40)))</f>
        <v>9311150</v>
      </c>
      <c r="E7" s="69" t="n">
        <f aca="false">3+159</f>
        <v>162</v>
      </c>
      <c r="F7" s="80" t="n">
        <f aca="false">IF(E7&gt;0,C7/E7, )</f>
        <v>57476.2345679012</v>
      </c>
      <c r="G7" s="69" t="n">
        <v>642</v>
      </c>
      <c r="H7" s="80" t="n">
        <f aca="false">IF(G7&gt;0,G7/E7,  )</f>
        <v>3.96296296296296</v>
      </c>
      <c r="I7" s="80" t="n">
        <f aca="false">IF(H7&gt;0,F7/H7,  )</f>
        <v>14503.3489096573</v>
      </c>
    </row>
    <row r="8" customFormat="false" ht="15" hidden="false" customHeight="false" outlineLevel="0" collapsed="false">
      <c r="A8" s="136" t="s">
        <v>44</v>
      </c>
      <c r="B8" s="78" t="n">
        <v>45297</v>
      </c>
      <c r="C8" s="67" t="n">
        <v>7958400</v>
      </c>
      <c r="D8" s="79" t="n">
        <f aca="false">IF(C8&gt;0, C8,(G$42/(G$39-G$40)))</f>
        <v>7958400</v>
      </c>
      <c r="E8" s="69" t="n">
        <v>169</v>
      </c>
      <c r="F8" s="80" t="n">
        <f aca="false">IF(E8&gt;0,C8/E8, )</f>
        <v>47091.124260355</v>
      </c>
      <c r="G8" s="69" t="n">
        <v>616</v>
      </c>
      <c r="H8" s="80" t="n">
        <f aca="false">IF(G8&gt;0,G8/E8,  )</f>
        <v>3.64497041420118</v>
      </c>
      <c r="I8" s="80" t="n">
        <f aca="false">IF(H8&gt;0,F8/H8,  )</f>
        <v>12919.4805194805</v>
      </c>
    </row>
    <row r="9" customFormat="false" ht="15" hidden="false" customHeight="false" outlineLevel="0" collapsed="false">
      <c r="A9" s="136" t="s">
        <v>38</v>
      </c>
      <c r="B9" s="78" t="n">
        <v>45298</v>
      </c>
      <c r="C9" s="67" t="n">
        <v>7200250</v>
      </c>
      <c r="D9" s="79" t="n">
        <f aca="false">IF(C9&gt;0, C9,(G$42/(G$39-G$40)))</f>
        <v>7200250</v>
      </c>
      <c r="E9" s="69" t="n">
        <v>162</v>
      </c>
      <c r="F9" s="80" t="n">
        <f aca="false">IF(E9&gt;0,C9/E9, )</f>
        <v>44445.987654321</v>
      </c>
      <c r="G9" s="69" t="n">
        <v>598</v>
      </c>
      <c r="H9" s="80" t="n">
        <f aca="false">IF(G9&gt;0,G9/E9,  )</f>
        <v>3.69135802469136</v>
      </c>
      <c r="I9" s="80" t="n">
        <f aca="false">IF(H9&gt;0,F9/H9,  )</f>
        <v>12040.5518394649</v>
      </c>
    </row>
    <row r="10" customFormat="false" ht="15" hidden="false" customHeight="false" outlineLevel="0" collapsed="false">
      <c r="A10" s="136" t="s">
        <v>39</v>
      </c>
      <c r="B10" s="78" t="n">
        <v>45299</v>
      </c>
      <c r="C10" s="67" t="n">
        <v>8197050</v>
      </c>
      <c r="D10" s="79" t="n">
        <f aca="false">IF(C10&gt;0, C10,(G$42/(G$39-G$40)))</f>
        <v>8197050</v>
      </c>
      <c r="E10" s="69" t="n">
        <v>160</v>
      </c>
      <c r="F10" s="80" t="n">
        <f aca="false">IF(E10&gt;0,C10/E10, )</f>
        <v>51231.5625</v>
      </c>
      <c r="G10" s="69" t="n">
        <v>606</v>
      </c>
      <c r="H10" s="80" t="n">
        <f aca="false">IF(G10&gt;0,G10/E10,  )</f>
        <v>3.7875</v>
      </c>
      <c r="I10" s="80" t="n">
        <f aca="false">IF(H10&gt;0,F10/H10,  )</f>
        <v>13526.4851485149</v>
      </c>
    </row>
    <row r="11" customFormat="false" ht="15" hidden="false" customHeight="false" outlineLevel="0" collapsed="false">
      <c r="A11" s="136" t="s">
        <v>40</v>
      </c>
      <c r="B11" s="78" t="n">
        <v>45300</v>
      </c>
      <c r="C11" s="67" t="n">
        <v>10238850</v>
      </c>
      <c r="D11" s="79" t="n">
        <f aca="false">IF(C11&gt;0, C11,(G$42/(G$39-G$40)))</f>
        <v>10238850</v>
      </c>
      <c r="E11" s="69" t="n">
        <v>184</v>
      </c>
      <c r="F11" s="80" t="n">
        <f aca="false">IF(E11&gt;0,C11/E11, )</f>
        <v>55645.9239130435</v>
      </c>
      <c r="G11" s="69" t="n">
        <v>705</v>
      </c>
      <c r="H11" s="80" t="n">
        <f aca="false">IF(G11&gt;0,G11/E11,  )</f>
        <v>3.83152173913043</v>
      </c>
      <c r="I11" s="80" t="n">
        <f aca="false">IF(H11&gt;0,F11/H11,  )</f>
        <v>14523.1914893617</v>
      </c>
    </row>
    <row r="12" customFormat="false" ht="15" hidden="false" customHeight="false" outlineLevel="0" collapsed="false">
      <c r="A12" s="136" t="s">
        <v>41</v>
      </c>
      <c r="B12" s="78" t="n">
        <v>45301</v>
      </c>
      <c r="C12" s="67" t="n">
        <v>9945200</v>
      </c>
      <c r="D12" s="79" t="n">
        <f aca="false">IF(C12&gt;0, C12,(G$42/(G$39-G$40)))</f>
        <v>9945200</v>
      </c>
      <c r="E12" s="69" t="n">
        <v>179</v>
      </c>
      <c r="F12" s="80" t="n">
        <f aca="false">IF(E12&gt;0,C12/E12, )</f>
        <v>55559.7765363128</v>
      </c>
      <c r="G12" s="69" t="n">
        <v>711</v>
      </c>
      <c r="H12" s="80" t="n">
        <f aca="false">IF(G12&gt;0,G12/E12,  )</f>
        <v>3.97206703910615</v>
      </c>
      <c r="I12" s="80" t="n">
        <f aca="false">IF(H12&gt;0,F12/H12,  )</f>
        <v>13987.6230661041</v>
      </c>
    </row>
    <row r="13" customFormat="false" ht="15" hidden="false" customHeight="false" outlineLevel="0" collapsed="false">
      <c r="A13" s="136" t="s">
        <v>42</v>
      </c>
      <c r="B13" s="78" t="n">
        <v>45302</v>
      </c>
      <c r="C13" s="67" t="n">
        <v>7636750</v>
      </c>
      <c r="D13" s="79" t="n">
        <f aca="false">IF(C13&gt;0, C13,(G$42/(G$39-G$40)))</f>
        <v>7636750</v>
      </c>
      <c r="E13" s="69" t="n">
        <f aca="false">164+6</f>
        <v>170</v>
      </c>
      <c r="F13" s="80" t="n">
        <f aca="false">IF(E13&gt;0,C13/E13, )</f>
        <v>44922.0588235294</v>
      </c>
      <c r="G13" s="69" t="n">
        <v>624</v>
      </c>
      <c r="H13" s="80" t="n">
        <f aca="false">IF(G13&gt;0,G13/E13,  )</f>
        <v>3.67058823529412</v>
      </c>
      <c r="I13" s="80" t="n">
        <f aca="false">IF(H13&gt;0,F13/H13,  )</f>
        <v>12238.3814102564</v>
      </c>
    </row>
    <row r="14" customFormat="false" ht="15" hidden="false" customHeight="false" outlineLevel="0" collapsed="false">
      <c r="A14" s="136" t="s">
        <v>43</v>
      </c>
      <c r="B14" s="78" t="n">
        <v>45303</v>
      </c>
      <c r="C14" s="67" t="n">
        <v>5883800</v>
      </c>
      <c r="D14" s="79" t="n">
        <f aca="false">IF(C14&gt;0, C14,(G$42/(G$39-G$40)))</f>
        <v>5883800</v>
      </c>
      <c r="E14" s="69" t="n">
        <f aca="false">130+11</f>
        <v>141</v>
      </c>
      <c r="F14" s="80" t="n">
        <f aca="false">IF(E14&gt;0,C14/E14, )</f>
        <v>41729.0780141844</v>
      </c>
      <c r="G14" s="69" t="n">
        <v>497</v>
      </c>
      <c r="H14" s="80" t="n">
        <f aca="false">IF(G14&gt;0,G14/E14,  )</f>
        <v>3.52482269503546</v>
      </c>
      <c r="I14" s="80" t="n">
        <f aca="false">IF(H14&gt;0,F14/H14,  )</f>
        <v>11838.6317907445</v>
      </c>
    </row>
    <row r="15" customFormat="false" ht="15" hidden="false" customHeight="false" outlineLevel="0" collapsed="false">
      <c r="A15" s="136" t="s">
        <v>44</v>
      </c>
      <c r="B15" s="78" t="n">
        <v>45304</v>
      </c>
      <c r="C15" s="67" t="n">
        <v>8909900</v>
      </c>
      <c r="D15" s="79" t="n">
        <f aca="false">IF(C15&gt;0, C15,(G$42/(G$39-G$40)))</f>
        <v>8909900</v>
      </c>
      <c r="E15" s="69" t="n">
        <v>146</v>
      </c>
      <c r="F15" s="80" t="n">
        <f aca="false">IF(E15&gt;0,C15/E15, )</f>
        <v>61026.7123287671</v>
      </c>
      <c r="G15" s="69" t="n">
        <v>655</v>
      </c>
      <c r="H15" s="80" t="n">
        <f aca="false">IF(G15&gt;0,G15/E15,  )</f>
        <v>4.48630136986301</v>
      </c>
      <c r="I15" s="80" t="n">
        <f aca="false">IF(H15&gt;0,F15/H15,  )</f>
        <v>13602.9007633588</v>
      </c>
    </row>
    <row r="16" customFormat="false" ht="15" hidden="false" customHeight="false" outlineLevel="0" collapsed="false">
      <c r="A16" s="136" t="s">
        <v>38</v>
      </c>
      <c r="B16" s="78" t="n">
        <v>45305</v>
      </c>
      <c r="C16" s="67" t="n">
        <v>9067600</v>
      </c>
      <c r="D16" s="79" t="n">
        <f aca="false">IF(C16&gt;0, C16,(G$42/(G$39-G$40)))</f>
        <v>9067600</v>
      </c>
      <c r="E16" s="69" t="n">
        <v>172</v>
      </c>
      <c r="F16" s="80" t="n">
        <f aca="false">IF(E16&gt;0,C16/E16, )</f>
        <v>52718.6046511628</v>
      </c>
      <c r="G16" s="69" t="n">
        <v>645</v>
      </c>
      <c r="H16" s="80" t="n">
        <f aca="false">IF(G16&gt;0,G16/E16,  )</f>
        <v>3.75</v>
      </c>
      <c r="I16" s="80" t="n">
        <f aca="false">IF(H16&gt;0,F16/H16,  )</f>
        <v>14058.2945736434</v>
      </c>
    </row>
    <row r="17" customFormat="false" ht="15" hidden="false" customHeight="false" outlineLevel="0" collapsed="false">
      <c r="A17" s="136" t="s">
        <v>39</v>
      </c>
      <c r="B17" s="78" t="n">
        <v>45306</v>
      </c>
      <c r="C17" s="67" t="n">
        <v>4377700</v>
      </c>
      <c r="D17" s="79" t="n">
        <f aca="false">IF(C17&gt;0, C17,(G$42/(G$39-G$40)))</f>
        <v>4377700</v>
      </c>
      <c r="E17" s="69" t="n">
        <v>99</v>
      </c>
      <c r="F17" s="80" t="n">
        <f aca="false">IF(E17&gt;0,C17/E17, )</f>
        <v>44219.1919191919</v>
      </c>
      <c r="G17" s="69" t="n">
        <v>116</v>
      </c>
      <c r="H17" s="80" t="n">
        <f aca="false">IF(G17&gt;0,G17/E17,  )</f>
        <v>1.17171717171717</v>
      </c>
      <c r="I17" s="80" t="n">
        <f aca="false">IF(H17&gt;0,F17/H17,  )</f>
        <v>37738.7931034483</v>
      </c>
    </row>
    <row r="18" customFormat="false" ht="15" hidden="false" customHeight="false" outlineLevel="0" collapsed="false">
      <c r="A18" s="136" t="s">
        <v>40</v>
      </c>
      <c r="B18" s="78" t="n">
        <v>45307</v>
      </c>
      <c r="C18" s="67" t="n">
        <v>7056950</v>
      </c>
      <c r="D18" s="79" t="n">
        <f aca="false">IF(C18&gt;0, C18,(G$42/(G$39-G$40)))</f>
        <v>7056950</v>
      </c>
      <c r="E18" s="69" t="n">
        <f aca="false">129+12</f>
        <v>141</v>
      </c>
      <c r="F18" s="80" t="n">
        <f aca="false">IF(E18&gt;0,C18/E18, )</f>
        <v>50049.2907801418</v>
      </c>
      <c r="G18" s="69" t="n">
        <v>580</v>
      </c>
      <c r="H18" s="80" t="n">
        <f aca="false">IF(G18&gt;0,G18/E18,  )</f>
        <v>4.11347517730497</v>
      </c>
      <c r="I18" s="80" t="n">
        <f aca="false">IF(H18&gt;0,F18/H18,  )</f>
        <v>12167.1551724138</v>
      </c>
    </row>
    <row r="19" customFormat="false" ht="15" hidden="false" customHeight="false" outlineLevel="0" collapsed="false">
      <c r="A19" s="136" t="s">
        <v>41</v>
      </c>
      <c r="B19" s="78" t="n">
        <v>45308</v>
      </c>
      <c r="C19" s="67" t="n">
        <v>6308450</v>
      </c>
      <c r="D19" s="79" t="n">
        <f aca="false">IF(C19&gt;0, C19,(G$42/(G$39-G$40)))</f>
        <v>6308450</v>
      </c>
      <c r="E19" s="69" t="n">
        <f aca="false">7+156</f>
        <v>163</v>
      </c>
      <c r="F19" s="80" t="n">
        <f aca="false">IF(E19&gt;0,C19/E19, )</f>
        <v>38702.1472392638</v>
      </c>
      <c r="G19" s="69" t="n">
        <v>534</v>
      </c>
      <c r="H19" s="80" t="n">
        <f aca="false">IF(G19&gt;0,G19/E19,  )</f>
        <v>3.2760736196319</v>
      </c>
      <c r="I19" s="80" t="n">
        <f aca="false">IF(H19&gt;0,F19/H19,  )</f>
        <v>11813.5767790262</v>
      </c>
    </row>
    <row r="20" customFormat="false" ht="15" hidden="false" customHeight="false" outlineLevel="0" collapsed="false">
      <c r="A20" s="136" t="s">
        <v>42</v>
      </c>
      <c r="B20" s="78" t="n">
        <v>45309</v>
      </c>
      <c r="C20" s="67" t="n">
        <v>5322950</v>
      </c>
      <c r="D20" s="79" t="n">
        <f aca="false">IF(C20&gt;0, C20,(G$42/(G$39-G$40)))</f>
        <v>5322950</v>
      </c>
      <c r="E20" s="69" t="n">
        <v>134</v>
      </c>
      <c r="F20" s="80" t="n">
        <f aca="false">IF(E20&gt;0,C20/E20, )</f>
        <v>39723.5074626866</v>
      </c>
      <c r="G20" s="69" t="n">
        <v>435</v>
      </c>
      <c r="H20" s="80" t="n">
        <f aca="false">IF(G20&gt;0,G20/E20,  )</f>
        <v>3.24626865671642</v>
      </c>
      <c r="I20" s="80" t="n">
        <f aca="false">IF(H20&gt;0,F20/H20,  )</f>
        <v>12236.6666666667</v>
      </c>
    </row>
    <row r="21" customFormat="false" ht="15" hidden="false" customHeight="false" outlineLevel="0" collapsed="false">
      <c r="A21" s="136" t="s">
        <v>43</v>
      </c>
      <c r="B21" s="78" t="n">
        <v>45310</v>
      </c>
      <c r="C21" s="67" t="n">
        <v>8155950</v>
      </c>
      <c r="D21" s="79" t="n">
        <f aca="false">IF(C21&gt;0, C21,(G$42/(G$39-G$40)))</f>
        <v>8155950</v>
      </c>
      <c r="E21" s="69" t="n">
        <v>178</v>
      </c>
      <c r="F21" s="80" t="n">
        <f aca="false">IF(E21&gt;0,C21/E21, )</f>
        <v>45819.9438202247</v>
      </c>
      <c r="G21" s="69" t="n">
        <v>647</v>
      </c>
      <c r="H21" s="80" t="n">
        <f aca="false">IF(G21&gt;0,G21/E21,  )</f>
        <v>3.63483146067416</v>
      </c>
      <c r="I21" s="80" t="n">
        <f aca="false">IF(H21&gt;0,F21/H21,  )</f>
        <v>12605.7959814529</v>
      </c>
    </row>
    <row r="22" customFormat="false" ht="15" hidden="false" customHeight="false" outlineLevel="0" collapsed="false">
      <c r="A22" s="136" t="s">
        <v>44</v>
      </c>
      <c r="B22" s="78" t="n">
        <v>45311</v>
      </c>
      <c r="C22" s="67" t="n">
        <v>7730200</v>
      </c>
      <c r="D22" s="79" t="n">
        <f aca="false">IF(C22&gt;0, C22,(G$42/(G$39-G$40)))</f>
        <v>7730200</v>
      </c>
      <c r="E22" s="81" t="n">
        <v>161</v>
      </c>
      <c r="F22" s="80" t="n">
        <f aca="false">IF(E22&gt;0,C22/E22, )</f>
        <v>48013.6645962733</v>
      </c>
      <c r="G22" s="69" t="n">
        <v>620</v>
      </c>
      <c r="H22" s="80" t="n">
        <f aca="false">IF(G22&gt;0,G22/E22,  )</f>
        <v>3.85093167701863</v>
      </c>
      <c r="I22" s="80" t="n">
        <f aca="false">IF(H22&gt;0,F22/H22,  )</f>
        <v>12468.064516129</v>
      </c>
    </row>
    <row r="23" customFormat="false" ht="15" hidden="false" customHeight="false" outlineLevel="0" collapsed="false">
      <c r="A23" s="136" t="s">
        <v>38</v>
      </c>
      <c r="B23" s="78" t="n">
        <v>45312</v>
      </c>
      <c r="C23" s="67" t="n">
        <v>8096150</v>
      </c>
      <c r="D23" s="79" t="n">
        <f aca="false">IF(C23&gt;0, C23,(G$42/(G$39-G$40)))</f>
        <v>8096150</v>
      </c>
      <c r="E23" s="69" t="n">
        <v>148</v>
      </c>
      <c r="F23" s="80" t="n">
        <f aca="false">IF(E23&gt;0,C23/E23, )</f>
        <v>54703.7162162162</v>
      </c>
      <c r="G23" s="69" t="n">
        <v>666</v>
      </c>
      <c r="H23" s="80" t="n">
        <f aca="false">IF(G23&gt;0,G23/E23,  )</f>
        <v>4.5</v>
      </c>
      <c r="I23" s="80" t="n">
        <f aca="false">IF(H23&gt;0,F23/H23,  )</f>
        <v>12156.3813813814</v>
      </c>
    </row>
    <row r="24" customFormat="false" ht="15" hidden="false" customHeight="false" outlineLevel="0" collapsed="false">
      <c r="A24" s="136" t="s">
        <v>39</v>
      </c>
      <c r="B24" s="78" t="n">
        <v>45313</v>
      </c>
      <c r="C24" s="67" t="n">
        <v>4797200</v>
      </c>
      <c r="D24" s="79" t="n">
        <f aca="false">IF(C24&gt;0, C24,(G$42/(G$39-G$40)))</f>
        <v>4797200</v>
      </c>
      <c r="E24" s="69" t="n">
        <v>137</v>
      </c>
      <c r="F24" s="80" t="n">
        <f aca="false">IF(E24&gt;0,C24/E24, )</f>
        <v>35016.0583941606</v>
      </c>
      <c r="G24" s="69" t="n">
        <v>422</v>
      </c>
      <c r="H24" s="80" t="n">
        <f aca="false">IF(G24&gt;0,G24/E24,  )</f>
        <v>3.08029197080292</v>
      </c>
      <c r="I24" s="80" t="n">
        <f aca="false">IF(H24&gt;0,F24/H24,  )</f>
        <v>11367.7725118483</v>
      </c>
    </row>
    <row r="25" customFormat="false" ht="15" hidden="false" customHeight="false" outlineLevel="0" collapsed="false">
      <c r="A25" s="136" t="s">
        <v>40</v>
      </c>
      <c r="B25" s="78" t="n">
        <v>45314</v>
      </c>
      <c r="C25" s="67" t="n">
        <v>6763850</v>
      </c>
      <c r="D25" s="79" t="n">
        <f aca="false">IF(C25&gt;0, C25,(G$42/(G$39-G$40)))</f>
        <v>6763850</v>
      </c>
      <c r="E25" s="69" t="n">
        <v>156</v>
      </c>
      <c r="F25" s="80" t="n">
        <f aca="false">IF(E25&gt;0,C25/E25, )</f>
        <v>43358.0128205128</v>
      </c>
      <c r="G25" s="69" t="n">
        <v>521</v>
      </c>
      <c r="H25" s="80" t="n">
        <f aca="false">IF(G25&gt;0,G25/E25,  )</f>
        <v>3.33974358974359</v>
      </c>
      <c r="I25" s="80" t="n">
        <f aca="false">IF(H25&gt;0,F25/H25,  )</f>
        <v>12982.4376199616</v>
      </c>
    </row>
    <row r="26" customFormat="false" ht="15" hidden="false" customHeight="false" outlineLevel="0" collapsed="false">
      <c r="A26" s="136" t="s">
        <v>41</v>
      </c>
      <c r="B26" s="78" t="n">
        <v>45315</v>
      </c>
      <c r="C26" s="67" t="n">
        <v>6687900</v>
      </c>
      <c r="D26" s="79" t="n">
        <f aca="false">IF(C26&gt;0, C26,(G$42/(G$39-G$40)))</f>
        <v>6687900</v>
      </c>
      <c r="E26" s="69" t="n">
        <v>131</v>
      </c>
      <c r="F26" s="80" t="n">
        <f aca="false">IF(E26&gt;0,C26/E26, )</f>
        <v>51052.6717557252</v>
      </c>
      <c r="G26" s="69" t="n">
        <v>576</v>
      </c>
      <c r="H26" s="80" t="n">
        <f aca="false">IF(G26&gt;0,G26/E26,  )</f>
        <v>4.3969465648855</v>
      </c>
      <c r="I26" s="80" t="n">
        <f aca="false">IF(H26&gt;0,F26/H26,  )</f>
        <v>11610.9375</v>
      </c>
    </row>
    <row r="27" customFormat="false" ht="15" hidden="false" customHeight="false" outlineLevel="0" collapsed="false">
      <c r="A27" s="136" t="s">
        <v>42</v>
      </c>
      <c r="B27" s="78" t="n">
        <v>45316</v>
      </c>
      <c r="C27" s="67" t="n">
        <v>5529850</v>
      </c>
      <c r="D27" s="79" t="n">
        <f aca="false">IF(C27&gt;0, C27,(G$42/(G$39-G$40)))</f>
        <v>5529850</v>
      </c>
      <c r="E27" s="69" t="n">
        <v>111</v>
      </c>
      <c r="F27" s="80" t="n">
        <f aca="false">IF(E27&gt;0,C27/E27, )</f>
        <v>49818.4684684685</v>
      </c>
      <c r="G27" s="69" t="n">
        <v>496</v>
      </c>
      <c r="H27" s="80" t="n">
        <f aca="false">IF(G27&gt;0,G27/E27,  )</f>
        <v>4.46846846846847</v>
      </c>
      <c r="I27" s="80" t="n">
        <f aca="false">IF(H27&gt;0,F27/H27,  )</f>
        <v>11148.8911290323</v>
      </c>
    </row>
    <row r="28" customFormat="false" ht="15" hidden="false" customHeight="false" outlineLevel="0" collapsed="false">
      <c r="A28" s="136" t="s">
        <v>43</v>
      </c>
      <c r="B28" s="78" t="n">
        <v>45317</v>
      </c>
      <c r="C28" s="67" t="n">
        <v>5367150</v>
      </c>
      <c r="D28" s="79" t="n">
        <f aca="false">IF(C28&gt;0, C28,(G$42/(G$39-G$40)))</f>
        <v>5367150</v>
      </c>
      <c r="E28" s="69" t="n">
        <v>108</v>
      </c>
      <c r="F28" s="80" t="n">
        <f aca="false">IF(E28&gt;0,C28/E28, )</f>
        <v>49695.8333333333</v>
      </c>
      <c r="G28" s="69" t="n">
        <v>487</v>
      </c>
      <c r="H28" s="80" t="n">
        <f aca="false">IF(G28&gt;0,G28/E28,  )</f>
        <v>4.50925925925926</v>
      </c>
      <c r="I28" s="80" t="n">
        <f aca="false">IF(H28&gt;0,F28/H28,  )</f>
        <v>11020.841889117</v>
      </c>
    </row>
    <row r="29" customFormat="false" ht="15" hidden="false" customHeight="false" outlineLevel="0" collapsed="false">
      <c r="A29" s="136" t="s">
        <v>44</v>
      </c>
      <c r="B29" s="78" t="n">
        <v>45318</v>
      </c>
      <c r="C29" s="67" t="n">
        <v>8937950</v>
      </c>
      <c r="D29" s="79" t="n">
        <f aca="false">IF(C29&gt;0, C29,(G$42/(G$39-G$40)))</f>
        <v>8937950</v>
      </c>
      <c r="E29" s="69" t="n">
        <v>180</v>
      </c>
      <c r="F29" s="80" t="n">
        <f aca="false">IF(E29&gt;0,C29/E29, )</f>
        <v>49655.2777777778</v>
      </c>
      <c r="G29" s="69" t="n">
        <v>701</v>
      </c>
      <c r="H29" s="80" t="n">
        <f aca="false">IF(G29&gt;0,G29/E29,  )</f>
        <v>3.89444444444444</v>
      </c>
      <c r="I29" s="80" t="n">
        <f aca="false">IF(H29&gt;0,F29/H29,  )</f>
        <v>12750.2853067047</v>
      </c>
    </row>
    <row r="30" customFormat="false" ht="15" hidden="false" customHeight="false" outlineLevel="0" collapsed="false">
      <c r="A30" s="136" t="s">
        <v>38</v>
      </c>
      <c r="B30" s="78" t="n">
        <v>45319</v>
      </c>
      <c r="C30" s="67" t="n">
        <v>10455750</v>
      </c>
      <c r="D30" s="79" t="n">
        <f aca="false">IF(C30&gt;0, C30,(G$42/(G$39-G$40)))</f>
        <v>10455750</v>
      </c>
      <c r="E30" s="69" t="n">
        <v>145</v>
      </c>
      <c r="F30" s="80" t="n">
        <f aca="false">IF(E30&gt;0,C30/E30, )</f>
        <v>72108.6206896552</v>
      </c>
      <c r="G30" s="69" t="n">
        <v>759</v>
      </c>
      <c r="H30" s="80" t="n">
        <f aca="false">IF(G30&gt;0,G30/E30,  )</f>
        <v>5.23448275862069</v>
      </c>
      <c r="I30" s="80" t="n">
        <f aca="false">IF(H30&gt;0,F30/H30,  )</f>
        <v>13775.6916996047</v>
      </c>
    </row>
    <row r="31" customFormat="false" ht="15" hidden="false" customHeight="false" outlineLevel="0" collapsed="false">
      <c r="A31" s="136" t="s">
        <v>39</v>
      </c>
      <c r="B31" s="78" t="n">
        <v>45320</v>
      </c>
      <c r="C31" s="67" t="n">
        <v>6580150</v>
      </c>
      <c r="D31" s="79" t="n">
        <f aca="false">IF(C31&gt;0, C31,(G$42/(G$39-G$40)))</f>
        <v>6580150</v>
      </c>
      <c r="E31" s="69" t="n">
        <v>129</v>
      </c>
      <c r="F31" s="80" t="n">
        <f aca="false">IF(E31&gt;0,C31/E31, )</f>
        <v>51008.9147286822</v>
      </c>
      <c r="G31" s="69" t="n">
        <v>538</v>
      </c>
      <c r="H31" s="80" t="n">
        <f aca="false">IF(G31&gt;0,G31/E31,  )</f>
        <v>4.17054263565892</v>
      </c>
      <c r="I31" s="80" t="n">
        <f aca="false">IF(H31&gt;0,F31/H31,  )</f>
        <v>12230.7620817844</v>
      </c>
    </row>
    <row r="32" customFormat="false" ht="15" hidden="false" customHeight="false" outlineLevel="0" collapsed="false">
      <c r="A32" s="136" t="s">
        <v>40</v>
      </c>
      <c r="B32" s="78" t="n">
        <v>45321</v>
      </c>
      <c r="C32" s="67" t="n">
        <v>7429400</v>
      </c>
      <c r="D32" s="79" t="n">
        <f aca="false">IF(C32&gt;0, C32,(G$42/(G$39-G$40)))</f>
        <v>7429400</v>
      </c>
      <c r="E32" s="69" t="n">
        <v>144</v>
      </c>
      <c r="F32" s="80" t="n">
        <f aca="false">IF(E32&gt;0,C32/E32, )</f>
        <v>51593.0555555556</v>
      </c>
      <c r="G32" s="69" t="n">
        <v>593</v>
      </c>
      <c r="H32" s="80" t="n">
        <f aca="false">IF(G32&gt;0,G32/E32,  )</f>
        <v>4.11805555555556</v>
      </c>
      <c r="I32" s="80" t="n">
        <f aca="false">IF(H32&gt;0,F32/H32,  )</f>
        <v>12528.4991568297</v>
      </c>
    </row>
    <row r="33" customFormat="false" ht="15" hidden="false" customHeight="false" outlineLevel="0" collapsed="false">
      <c r="A33" s="136" t="s">
        <v>41</v>
      </c>
      <c r="B33" s="78" t="n">
        <v>45322</v>
      </c>
      <c r="C33" s="67" t="n">
        <v>7572450</v>
      </c>
      <c r="D33" s="79" t="n">
        <f aca="false">IF(C33&gt;0, C33,(G$42/(G$39-G$40)))</f>
        <v>7572450</v>
      </c>
      <c r="E33" s="69" t="n">
        <v>139</v>
      </c>
      <c r="F33" s="80" t="n">
        <f aca="false">IF(E33&gt;0,C33/E33, )</f>
        <v>54478.0575539568</v>
      </c>
      <c r="G33" s="69" t="n">
        <v>599</v>
      </c>
      <c r="H33" s="80" t="n">
        <f aca="false">IF(G33&gt;0,G33/E33,  )</f>
        <v>4.30935251798561</v>
      </c>
      <c r="I33" s="80" t="n">
        <f aca="false">IF(H33&gt;0,F33/H33,  )</f>
        <v>12641.8196994992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7426373.33333333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573.5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222791200</v>
      </c>
      <c r="D35" s="90"/>
      <c r="E35" s="91" t="n">
        <f aca="false">SUM(E3:E33)</f>
        <v>4486</v>
      </c>
      <c r="F35" s="92"/>
      <c r="G35" s="91" t="n">
        <f aca="false">SUM(G3:G33)</f>
        <v>17205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241000000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0.924444813278008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30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f aca="false">C36</f>
        <v>241000000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18208800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230217573.333333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-10782426.6666667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7774193.5483871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7426373.33333333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-347820.215053764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0.955259640387275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0.924444813278008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5" activeCellId="0" sqref="C35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2.24"/>
    <col collapsed="false" customWidth="true" hidden="false" outlineLevel="0" max="6" min="6" style="0" width="11.4"/>
    <col collapsed="false" customWidth="true" hidden="false" outlineLevel="0" max="7" min="7" style="0" width="11"/>
  </cols>
  <sheetData>
    <row r="1" customFormat="false" ht="17.35" hidden="false" customHeight="false" outlineLevel="0" collapsed="false">
      <c r="A1" s="128" t="s">
        <v>57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6" t="s">
        <v>42</v>
      </c>
      <c r="B3" s="78" t="n">
        <v>45323</v>
      </c>
      <c r="C3" s="67" t="n">
        <v>7117200</v>
      </c>
      <c r="D3" s="79" t="n">
        <f aca="false">IF(C3&gt;0, C3,(G$42/(G$39-G$40)))</f>
        <v>7117200</v>
      </c>
      <c r="E3" s="69" t="n">
        <v>140</v>
      </c>
      <c r="F3" s="80" t="n">
        <f aca="false">IF(E3&gt;0,C3/E3, )</f>
        <v>50837.1428571429</v>
      </c>
      <c r="G3" s="69" t="n">
        <v>593</v>
      </c>
      <c r="H3" s="80" t="n">
        <f aca="false">IF(G3&gt;0,G3/E3,  )</f>
        <v>4.23571428571429</v>
      </c>
      <c r="I3" s="80" t="n">
        <f aca="false">IF(H3&gt;0,F3/H3,  )</f>
        <v>12002.023608769</v>
      </c>
    </row>
    <row r="4" customFormat="false" ht="15" hidden="false" customHeight="false" outlineLevel="0" collapsed="false">
      <c r="A4" s="136" t="s">
        <v>15</v>
      </c>
      <c r="B4" s="78" t="n">
        <v>45324</v>
      </c>
      <c r="C4" s="67" t="n">
        <v>9047300</v>
      </c>
      <c r="D4" s="79" t="n">
        <f aca="false">IF(C4&gt;0, C4,(G$42/(G$39-G$40)))</f>
        <v>9047300</v>
      </c>
      <c r="E4" s="69" t="n">
        <v>187</v>
      </c>
      <c r="F4" s="80" t="n">
        <f aca="false">IF(E4&gt;0,C4/E4, )</f>
        <v>48381.2834224599</v>
      </c>
      <c r="G4" s="69" t="n">
        <v>711</v>
      </c>
      <c r="H4" s="80" t="n">
        <f aca="false">IF(G4&gt;0,G4/E4,  )</f>
        <v>3.80213903743316</v>
      </c>
      <c r="I4" s="80" t="n">
        <f aca="false">IF(H4&gt;0,F4/H4,  )</f>
        <v>12724.7538677918</v>
      </c>
    </row>
    <row r="5" customFormat="false" ht="15" hidden="false" customHeight="false" outlineLevel="0" collapsed="false">
      <c r="A5" s="136" t="s">
        <v>16</v>
      </c>
      <c r="B5" s="78" t="n">
        <v>45325</v>
      </c>
      <c r="C5" s="67" t="n">
        <v>8819700</v>
      </c>
      <c r="D5" s="79" t="n">
        <f aca="false">IF(C5&gt;0, C5,(G$42/(G$39-G$40)))</f>
        <v>8819700</v>
      </c>
      <c r="E5" s="69" t="n">
        <v>187</v>
      </c>
      <c r="F5" s="80" t="n">
        <f aca="false">IF(E5&gt;0,C5/E5, )</f>
        <v>47164.1711229947</v>
      </c>
      <c r="G5" s="69" t="n">
        <v>694</v>
      </c>
      <c r="H5" s="80" t="n">
        <f aca="false">IF(G5&gt;0,G5/E5,  )</f>
        <v>3.71122994652406</v>
      </c>
      <c r="I5" s="80" t="n">
        <f aca="false">IF(H5&gt;0,F5/H5,  )</f>
        <v>12708.5014409222</v>
      </c>
    </row>
    <row r="6" customFormat="false" ht="15" hidden="false" customHeight="false" outlineLevel="0" collapsed="false">
      <c r="A6" s="136" t="s">
        <v>17</v>
      </c>
      <c r="B6" s="78" t="n">
        <v>45326</v>
      </c>
      <c r="C6" s="67" t="n">
        <v>10703800</v>
      </c>
      <c r="D6" s="79" t="n">
        <f aca="false">IF(C6&gt;0, C6,(G$42/(G$39-G$40)))</f>
        <v>10703800</v>
      </c>
      <c r="E6" s="69" t="n">
        <v>185</v>
      </c>
      <c r="F6" s="80" t="n">
        <f aca="false">IF(E6&gt;0,C6/E6, )</f>
        <v>57858.3783783784</v>
      </c>
      <c r="G6" s="69" t="n">
        <v>810</v>
      </c>
      <c r="H6" s="80" t="n">
        <f aca="false">IF(G6&gt;0,G6/E6,  )</f>
        <v>4.37837837837838</v>
      </c>
      <c r="I6" s="80" t="n">
        <f aca="false">IF(H6&gt;0,F6/H6,  )</f>
        <v>13214.5679012346</v>
      </c>
    </row>
    <row r="7" customFormat="false" ht="15" hidden="false" customHeight="false" outlineLevel="0" collapsed="false">
      <c r="A7" s="136" t="s">
        <v>11</v>
      </c>
      <c r="B7" s="78" t="n">
        <v>45327</v>
      </c>
      <c r="C7" s="67" t="n">
        <v>8753950</v>
      </c>
      <c r="D7" s="79" t="n">
        <f aca="false">IF(C7&gt;0, C7,(G$42/(G$39-G$40)))</f>
        <v>8753950</v>
      </c>
      <c r="E7" s="69" t="n">
        <v>167</v>
      </c>
      <c r="F7" s="80" t="n">
        <f aca="false">IF(E7&gt;0,C7/E7, )</f>
        <v>52418.8622754491</v>
      </c>
      <c r="G7" s="69" t="n">
        <v>724</v>
      </c>
      <c r="H7" s="80" t="n">
        <f aca="false">IF(G7&gt;0,G7/E7,  )</f>
        <v>4.33532934131737</v>
      </c>
      <c r="I7" s="80" t="n">
        <f aca="false">IF(H7&gt;0,F7/H7,  )</f>
        <v>12091.091160221</v>
      </c>
    </row>
    <row r="8" customFormat="false" ht="15" hidden="false" customHeight="false" outlineLevel="0" collapsed="false">
      <c r="A8" s="136" t="s">
        <v>12</v>
      </c>
      <c r="B8" s="78" t="n">
        <v>45328</v>
      </c>
      <c r="C8" s="67" t="n">
        <v>9847900</v>
      </c>
      <c r="D8" s="79" t="n">
        <f aca="false">IF(C8&gt;0, C8,(G$42/(G$39-G$40)))</f>
        <v>9847900</v>
      </c>
      <c r="E8" s="69" t="n">
        <v>206</v>
      </c>
      <c r="F8" s="80" t="n">
        <f aca="false">IF(E8&gt;0,C8/E8, )</f>
        <v>47805.3398058252</v>
      </c>
      <c r="G8" s="69" t="n">
        <v>803</v>
      </c>
      <c r="H8" s="80" t="n">
        <f aca="false">IF(G8&gt;0,G8/E8,  )</f>
        <v>3.89805825242718</v>
      </c>
      <c r="I8" s="80" t="n">
        <f aca="false">IF(H8&gt;0,F8/H8,  )</f>
        <v>12263.8854296389</v>
      </c>
    </row>
    <row r="9" customFormat="false" ht="15" hidden="false" customHeight="false" outlineLevel="0" collapsed="false">
      <c r="A9" s="136" t="s">
        <v>13</v>
      </c>
      <c r="B9" s="78" t="n">
        <v>45329</v>
      </c>
      <c r="C9" s="67" t="n">
        <v>9088200</v>
      </c>
      <c r="D9" s="79" t="n">
        <f aca="false">IF(C9&gt;0, C9,(G$42/(G$39-G$40)))</f>
        <v>9088200</v>
      </c>
      <c r="E9" s="69" t="n">
        <v>160</v>
      </c>
      <c r="F9" s="80" t="n">
        <f aca="false">IF(E9&gt;0,C9/E9, )</f>
        <v>56801.25</v>
      </c>
      <c r="G9" s="69" t="n">
        <v>673</v>
      </c>
      <c r="H9" s="80" t="n">
        <f aca="false">IF(G9&gt;0,G9/E9,  )</f>
        <v>4.20625</v>
      </c>
      <c r="I9" s="80" t="n">
        <f aca="false">IF(H9&gt;0,F9/H9,  )</f>
        <v>13504.0118870728</v>
      </c>
    </row>
    <row r="10" customFormat="false" ht="15" hidden="false" customHeight="false" outlineLevel="0" collapsed="false">
      <c r="A10" s="136" t="s">
        <v>14</v>
      </c>
      <c r="B10" s="78" t="n">
        <v>45330</v>
      </c>
      <c r="C10" s="67" t="n">
        <v>10601350</v>
      </c>
      <c r="D10" s="79" t="n">
        <f aca="false">IF(C10&gt;0, C10,(G$42/(G$39-G$40)))</f>
        <v>10601350</v>
      </c>
      <c r="E10" s="69" t="n">
        <v>210</v>
      </c>
      <c r="F10" s="80" t="n">
        <f aca="false">IF(E10&gt;0,C10/E10, )</f>
        <v>50482.619047619</v>
      </c>
      <c r="G10" s="69" t="n">
        <v>856</v>
      </c>
      <c r="H10" s="80" t="n">
        <f aca="false">IF(G10&gt;0,G10/E10,  )</f>
        <v>4.07619047619048</v>
      </c>
      <c r="I10" s="80" t="n">
        <f aca="false">IF(H10&gt;0,F10/H10,  )</f>
        <v>12384.7546728972</v>
      </c>
    </row>
    <row r="11" customFormat="false" ht="15" hidden="false" customHeight="false" outlineLevel="0" collapsed="false">
      <c r="A11" s="136" t="s">
        <v>15</v>
      </c>
      <c r="B11" s="78" t="n">
        <v>45331</v>
      </c>
      <c r="C11" s="67" t="n">
        <v>9303050</v>
      </c>
      <c r="D11" s="79" t="n">
        <f aca="false">IF(C11&gt;0, C11,(G$42/(G$39-G$40)))</f>
        <v>9303050</v>
      </c>
      <c r="E11" s="69" t="n">
        <v>191</v>
      </c>
      <c r="F11" s="80" t="n">
        <f aca="false">IF(E11&gt;0,C11/E11, )</f>
        <v>48707.0680628272</v>
      </c>
      <c r="G11" s="69" t="n">
        <v>714</v>
      </c>
      <c r="H11" s="80" t="n">
        <f aca="false">IF(G11&gt;0,G11/E11,  )</f>
        <v>3.73821989528796</v>
      </c>
      <c r="I11" s="80" t="n">
        <f aca="false">IF(H11&gt;0,F11/H11,  )</f>
        <v>13029.4817927171</v>
      </c>
    </row>
    <row r="12" customFormat="false" ht="15" hidden="false" customHeight="false" outlineLevel="0" collapsed="false">
      <c r="A12" s="136" t="s">
        <v>16</v>
      </c>
      <c r="B12" s="78" t="n">
        <v>45332</v>
      </c>
      <c r="C12" s="67" t="n">
        <v>8118350</v>
      </c>
      <c r="D12" s="79" t="n">
        <f aca="false">IF(C12&gt;0, C12,(G$42/(G$39-G$40)))</f>
        <v>8118350</v>
      </c>
      <c r="E12" s="69" t="n">
        <f aca="false">30+125</f>
        <v>155</v>
      </c>
      <c r="F12" s="80" t="n">
        <f aca="false">IF(E12&gt;0,C12/E12, )</f>
        <v>52376.4516129032</v>
      </c>
      <c r="G12" s="69" t="n">
        <v>646</v>
      </c>
      <c r="H12" s="80" t="n">
        <f aca="false">IF(G12&gt;0,G12/E12,  )</f>
        <v>4.16774193548387</v>
      </c>
      <c r="I12" s="80" t="n">
        <f aca="false">IF(H12&gt;0,F12/H12,  )</f>
        <v>12567.1052631579</v>
      </c>
    </row>
    <row r="13" customFormat="false" ht="15" hidden="false" customHeight="false" outlineLevel="0" collapsed="false">
      <c r="A13" s="136" t="s">
        <v>17</v>
      </c>
      <c r="B13" s="78" t="n">
        <v>45333</v>
      </c>
      <c r="C13" s="67" t="n">
        <v>11584550</v>
      </c>
      <c r="D13" s="79" t="n">
        <f aca="false">IF(C13&gt;0, C13,(G$42/(G$39-G$40)))</f>
        <v>11584550</v>
      </c>
      <c r="E13" s="69" t="n">
        <v>201</v>
      </c>
      <c r="F13" s="80" t="n">
        <f aca="false">IF(E13&gt;0,C13/E13, )</f>
        <v>57634.5771144279</v>
      </c>
      <c r="G13" s="69" t="n">
        <v>879</v>
      </c>
      <c r="H13" s="80" t="n">
        <f aca="false">IF(G13&gt;0,G13/E13,  )</f>
        <v>4.37313432835821</v>
      </c>
      <c r="I13" s="80" t="n">
        <f aca="false">IF(H13&gt;0,F13/H13,  )</f>
        <v>13179.2377701934</v>
      </c>
    </row>
    <row r="14" customFormat="false" ht="15" hidden="false" customHeight="false" outlineLevel="0" collapsed="false">
      <c r="A14" s="136" t="s">
        <v>39</v>
      </c>
      <c r="B14" s="78" t="n">
        <v>45334</v>
      </c>
      <c r="C14" s="67" t="n">
        <v>6966050</v>
      </c>
      <c r="D14" s="79" t="n">
        <f aca="false">IF(C14&gt;0, C14,(G$42/(G$39-G$40)))</f>
        <v>6966050</v>
      </c>
      <c r="E14" s="69" t="n">
        <v>173</v>
      </c>
      <c r="F14" s="80" t="n">
        <f aca="false">IF(E14&gt;0,C14/E14, )</f>
        <v>40266.1849710983</v>
      </c>
      <c r="G14" s="69" t="n">
        <v>559</v>
      </c>
      <c r="H14" s="80" t="n">
        <f aca="false">IF(G14&gt;0,G14/E14,  )</f>
        <v>3.23121387283237</v>
      </c>
      <c r="I14" s="80" t="n">
        <f aca="false">IF(H14&gt;0,F14/H14,  )</f>
        <v>12461.6279069767</v>
      </c>
    </row>
    <row r="15" customFormat="false" ht="15" hidden="false" customHeight="false" outlineLevel="0" collapsed="false">
      <c r="A15" s="136" t="s">
        <v>40</v>
      </c>
      <c r="B15" s="78" t="n">
        <v>45335</v>
      </c>
      <c r="C15" s="67" t="n">
        <v>8069750</v>
      </c>
      <c r="D15" s="79" t="n">
        <f aca="false">IF(C15&gt;0, C15,(G$42/(G$39-G$40)))</f>
        <v>8069750</v>
      </c>
      <c r="E15" s="69" t="n">
        <f aca="false">24+142</f>
        <v>166</v>
      </c>
      <c r="F15" s="80" t="n">
        <f aca="false">IF(E15&gt;0,C15/E15, )</f>
        <v>48612.9518072289</v>
      </c>
      <c r="G15" s="69" t="n">
        <v>620</v>
      </c>
      <c r="H15" s="80" t="n">
        <f aca="false">IF(G15&gt;0,G15/E15,  )</f>
        <v>3.73493975903614</v>
      </c>
      <c r="I15" s="80" t="n">
        <f aca="false">IF(H15&gt;0,F15/H15,  )</f>
        <v>13015.7258064516</v>
      </c>
    </row>
    <row r="16" customFormat="false" ht="15" hidden="false" customHeight="false" outlineLevel="0" collapsed="false">
      <c r="A16" s="136" t="s">
        <v>41</v>
      </c>
      <c r="B16" s="78" t="n">
        <v>45336</v>
      </c>
      <c r="C16" s="67" t="n">
        <v>7226750</v>
      </c>
      <c r="D16" s="79" t="n">
        <f aca="false">IF(C16&gt;0, C16,(G$42/(G$39-G$40)))</f>
        <v>7226750</v>
      </c>
      <c r="E16" s="69" t="n">
        <f aca="false">160+21</f>
        <v>181</v>
      </c>
      <c r="F16" s="80" t="n">
        <f aca="false">IF(E16&gt;0,C16/E16, )</f>
        <v>39926.7955801105</v>
      </c>
      <c r="G16" s="69" t="n">
        <v>541</v>
      </c>
      <c r="H16" s="80" t="n">
        <f aca="false">IF(G16&gt;0,G16/E16,  )</f>
        <v>2.98895027624309</v>
      </c>
      <c r="I16" s="80" t="n">
        <f aca="false">IF(H16&gt;0,F16/H16,  )</f>
        <v>13358.1330868762</v>
      </c>
    </row>
    <row r="17" customFormat="false" ht="15" hidden="false" customHeight="false" outlineLevel="0" collapsed="false">
      <c r="A17" s="136" t="s">
        <v>42</v>
      </c>
      <c r="B17" s="78" t="n">
        <v>45337</v>
      </c>
      <c r="C17" s="67" t="n">
        <v>5867050</v>
      </c>
      <c r="D17" s="79" t="n">
        <f aca="false">IF(C17&gt;0, C17,(G$42/(G$39-G$40)))</f>
        <v>5867050</v>
      </c>
      <c r="E17" s="69" t="n">
        <v>124</v>
      </c>
      <c r="F17" s="80" t="n">
        <f aca="false">IF(E17&gt;0,C17/E17, )</f>
        <v>47314.9193548387</v>
      </c>
      <c r="G17" s="69" t="n">
        <v>476</v>
      </c>
      <c r="H17" s="80" t="n">
        <f aca="false">IF(G17&gt;0,G17/E17,  )</f>
        <v>3.83870967741935</v>
      </c>
      <c r="I17" s="80" t="n">
        <f aca="false">IF(H17&gt;0,F17/H17,  )</f>
        <v>12325.7352941176</v>
      </c>
    </row>
    <row r="18" customFormat="false" ht="15" hidden="false" customHeight="false" outlineLevel="0" collapsed="false">
      <c r="A18" s="136" t="s">
        <v>43</v>
      </c>
      <c r="B18" s="78" t="n">
        <v>45338</v>
      </c>
      <c r="C18" s="67" t="n">
        <v>5325150</v>
      </c>
      <c r="D18" s="79" t="n">
        <f aca="false">IF(C18&gt;0, C18,(G$42/(G$39-G$40)))</f>
        <v>5325150</v>
      </c>
      <c r="E18" s="69" t="n">
        <f aca="false">4+135</f>
        <v>139</v>
      </c>
      <c r="F18" s="80" t="n">
        <f aca="false">IF(E18&gt;0,C18/E18, )</f>
        <v>38310.4316546763</v>
      </c>
      <c r="G18" s="69" t="n">
        <v>419</v>
      </c>
      <c r="H18" s="80" t="n">
        <f aca="false">IF(G18&gt;0,G18/E18,  )</f>
        <v>3.01438848920863</v>
      </c>
      <c r="I18" s="80" t="n">
        <f aca="false">IF(H18&gt;0,F18/H18,  )</f>
        <v>12709.1885441527</v>
      </c>
    </row>
    <row r="19" customFormat="false" ht="15" hidden="false" customHeight="false" outlineLevel="0" collapsed="false">
      <c r="A19" s="136" t="s">
        <v>44</v>
      </c>
      <c r="B19" s="78" t="n">
        <v>45339</v>
      </c>
      <c r="C19" s="67" t="n">
        <v>7397250</v>
      </c>
      <c r="D19" s="79" t="n">
        <f aca="false">IF(C19&gt;0, C19,(G$42/(G$39-G$40)))</f>
        <v>7397250</v>
      </c>
      <c r="E19" s="69" t="n">
        <f aca="false">139+12</f>
        <v>151</v>
      </c>
      <c r="F19" s="80" t="n">
        <f aca="false">IF(E19&gt;0,C19/E19, )</f>
        <v>48988.4105960265</v>
      </c>
      <c r="G19" s="69" t="n">
        <v>533</v>
      </c>
      <c r="H19" s="80" t="n">
        <f aca="false">IF(G19&gt;0,G19/E19,  )</f>
        <v>3.52980132450331</v>
      </c>
      <c r="I19" s="80" t="n">
        <f aca="false">IF(H19&gt;0,F19/H19,  )</f>
        <v>13878.5178236398</v>
      </c>
    </row>
    <row r="20" customFormat="false" ht="15" hidden="false" customHeight="false" outlineLevel="0" collapsed="false">
      <c r="A20" s="136" t="s">
        <v>38</v>
      </c>
      <c r="B20" s="78" t="n">
        <v>45340</v>
      </c>
      <c r="C20" s="67" t="n">
        <v>10088050</v>
      </c>
      <c r="D20" s="79" t="n">
        <f aca="false">IF(C20&gt;0, C20,(G$42/(G$39-G$40)))</f>
        <v>10088050</v>
      </c>
      <c r="E20" s="69" t="n">
        <f aca="false">7+166</f>
        <v>173</v>
      </c>
      <c r="F20" s="80" t="n">
        <f aca="false">IF(E20&gt;0,C20/E20, )</f>
        <v>58312.4277456647</v>
      </c>
      <c r="G20" s="69" t="n">
        <v>796</v>
      </c>
      <c r="H20" s="80" t="n">
        <f aca="false">IF(G20&gt;0,G20/E20,  )</f>
        <v>4.60115606936416</v>
      </c>
      <c r="I20" s="80" t="n">
        <f aca="false">IF(H20&gt;0,F20/H20,  )</f>
        <v>12673.4296482412</v>
      </c>
    </row>
    <row r="21" customFormat="false" ht="15" hidden="false" customHeight="false" outlineLevel="0" collapsed="false">
      <c r="A21" s="136" t="s">
        <v>39</v>
      </c>
      <c r="B21" s="78" t="n">
        <v>45341</v>
      </c>
      <c r="C21" s="67" t="n">
        <v>5294300</v>
      </c>
      <c r="D21" s="79" t="n">
        <f aca="false">IF(C21&gt;0, C21,(G$42/(G$39-G$40)))</f>
        <v>5294300</v>
      </c>
      <c r="E21" s="69" t="n">
        <v>114</v>
      </c>
      <c r="F21" s="80" t="n">
        <f aca="false">IF(E21&gt;0,C21/E21, )</f>
        <v>46441.2280701754</v>
      </c>
      <c r="G21" s="69" t="n">
        <v>433</v>
      </c>
      <c r="H21" s="80" t="n">
        <f aca="false">IF(G21&gt;0,G21/E21,  )</f>
        <v>3.79824561403509</v>
      </c>
      <c r="I21" s="80" t="n">
        <f aca="false">IF(H21&gt;0,F21/H21,  )</f>
        <v>12227.0207852194</v>
      </c>
    </row>
    <row r="22" customFormat="false" ht="15" hidden="false" customHeight="false" outlineLevel="0" collapsed="false">
      <c r="A22" s="136" t="s">
        <v>40</v>
      </c>
      <c r="B22" s="78" t="n">
        <v>45342</v>
      </c>
      <c r="C22" s="67" t="n">
        <v>7670250</v>
      </c>
      <c r="D22" s="79" t="n">
        <f aca="false">IF(C22&gt;0, C22,(G$42/(G$39-G$40)))</f>
        <v>7670250</v>
      </c>
      <c r="E22" s="81" t="n">
        <v>159</v>
      </c>
      <c r="F22" s="80" t="n">
        <f aca="false">IF(E22&gt;0,C22/E22, )</f>
        <v>48240.5660377359</v>
      </c>
      <c r="G22" s="138" t="n">
        <v>633</v>
      </c>
      <c r="H22" s="80" t="n">
        <f aca="false">IF(G22&gt;0,G22/E22,  )</f>
        <v>3.9811320754717</v>
      </c>
      <c r="I22" s="80" t="n">
        <f aca="false">IF(H22&gt;0,F22/H22,  )</f>
        <v>12117.2985781991</v>
      </c>
    </row>
    <row r="23" customFormat="false" ht="15" hidden="false" customHeight="false" outlineLevel="0" collapsed="false">
      <c r="A23" s="136" t="s">
        <v>41</v>
      </c>
      <c r="B23" s="78" t="n">
        <v>45343</v>
      </c>
      <c r="C23" s="67" t="n">
        <v>8610900</v>
      </c>
      <c r="D23" s="79" t="n">
        <f aca="false">IF(C23&gt;0, C23,(G$42/(G$39-G$40)))</f>
        <v>8610900</v>
      </c>
      <c r="E23" s="69" t="n">
        <f aca="false">18+147</f>
        <v>165</v>
      </c>
      <c r="F23" s="80" t="n">
        <f aca="false">IF(E23&gt;0,C23/E23, )</f>
        <v>52187.2727272727</v>
      </c>
      <c r="G23" s="69" t="n">
        <v>651</v>
      </c>
      <c r="H23" s="80" t="n">
        <f aca="false">IF(G23&gt;0,G23/E23,  )</f>
        <v>3.94545454545455</v>
      </c>
      <c r="I23" s="80" t="n">
        <f aca="false">IF(H23&gt;0,F23/H23,  )</f>
        <v>13227.1889400922</v>
      </c>
    </row>
    <row r="24" customFormat="false" ht="15" hidden="false" customHeight="false" outlineLevel="0" collapsed="false">
      <c r="A24" s="136" t="s">
        <v>42</v>
      </c>
      <c r="B24" s="78" t="n">
        <v>45344</v>
      </c>
      <c r="C24" s="67" t="n">
        <v>10217350</v>
      </c>
      <c r="D24" s="79" t="n">
        <f aca="false">IF(C24&gt;0, C24,(G$42/(G$39-G$40)))</f>
        <v>10217350</v>
      </c>
      <c r="E24" s="69" t="n">
        <f aca="false">168+13</f>
        <v>181</v>
      </c>
      <c r="F24" s="80" t="n">
        <f aca="false">IF(E24&gt;0,C24/E24, )</f>
        <v>56449.4475138122</v>
      </c>
      <c r="G24" s="69" t="n">
        <v>744</v>
      </c>
      <c r="H24" s="80" t="n">
        <f aca="false">IF(G24&gt;0,G24/E24,  )</f>
        <v>4.11049723756906</v>
      </c>
      <c r="I24" s="80" t="n">
        <f aca="false">IF(H24&gt;0,F24/H24,  )</f>
        <v>13732.997311828</v>
      </c>
    </row>
    <row r="25" customFormat="false" ht="15" hidden="false" customHeight="false" outlineLevel="0" collapsed="false">
      <c r="A25" s="136" t="s">
        <v>43</v>
      </c>
      <c r="B25" s="78" t="n">
        <v>45345</v>
      </c>
      <c r="C25" s="67" t="n">
        <v>7270700</v>
      </c>
      <c r="D25" s="79" t="n">
        <f aca="false">IF(C25&gt;0, C25,(G$42/(G$39-G$40)))</f>
        <v>7270700</v>
      </c>
      <c r="E25" s="69" t="n">
        <v>165</v>
      </c>
      <c r="F25" s="80" t="n">
        <f aca="false">IF(E25&gt;0,C25/E25, )</f>
        <v>44064.8484848485</v>
      </c>
      <c r="G25" s="69" t="n">
        <v>520</v>
      </c>
      <c r="H25" s="80" t="n">
        <f aca="false">IF(G25&gt;0,G25/E25,  )</f>
        <v>3.15151515151515</v>
      </c>
      <c r="I25" s="80" t="n">
        <f aca="false">IF(H25&gt;0,F25/H25,  )</f>
        <v>13982.1153846154</v>
      </c>
    </row>
    <row r="26" customFormat="false" ht="15" hidden="false" customHeight="false" outlineLevel="0" collapsed="false">
      <c r="A26" s="136" t="s">
        <v>44</v>
      </c>
      <c r="B26" s="78" t="n">
        <v>45346</v>
      </c>
      <c r="C26" s="67" t="n">
        <v>8297600</v>
      </c>
      <c r="D26" s="79" t="n">
        <f aca="false">IF(C26&gt;0, C26,(G$42/(G$39-G$40)))</f>
        <v>8297600</v>
      </c>
      <c r="E26" s="69" t="n">
        <v>177</v>
      </c>
      <c r="F26" s="80" t="n">
        <f aca="false">IF(E26&gt;0,C26/E26, )</f>
        <v>46879.0960451977</v>
      </c>
      <c r="G26" s="69" t="n">
        <v>606</v>
      </c>
      <c r="H26" s="80" t="n">
        <f aca="false">IF(G26&gt;0,G26/E26,  )</f>
        <v>3.42372881355932</v>
      </c>
      <c r="I26" s="80" t="n">
        <f aca="false">IF(H26&gt;0,F26/H26,  )</f>
        <v>13692.4092409241</v>
      </c>
    </row>
    <row r="27" customFormat="false" ht="15" hidden="false" customHeight="false" outlineLevel="0" collapsed="false">
      <c r="A27" s="136" t="s">
        <v>38</v>
      </c>
      <c r="B27" s="78" t="n">
        <v>45347</v>
      </c>
      <c r="C27" s="67" t="n">
        <v>7986700</v>
      </c>
      <c r="D27" s="79" t="n">
        <f aca="false">IF(C27&gt;0, C27,(G$42/(G$39-G$40)))</f>
        <v>7986700</v>
      </c>
      <c r="E27" s="69" t="n">
        <v>140</v>
      </c>
      <c r="F27" s="80" t="n">
        <f aca="false">IF(E27&gt;0,C27/E27, )</f>
        <v>57047.8571428571</v>
      </c>
      <c r="G27" s="69" t="n">
        <v>573</v>
      </c>
      <c r="H27" s="80" t="n">
        <f aca="false">IF(G27&gt;0,G27/E27,  )</f>
        <v>4.09285714285714</v>
      </c>
      <c r="I27" s="80" t="n">
        <f aca="false">IF(H27&gt;0,F27/H27,  )</f>
        <v>13938.3944153578</v>
      </c>
    </row>
    <row r="28" customFormat="false" ht="15" hidden="false" customHeight="false" outlineLevel="0" collapsed="false">
      <c r="A28" s="136" t="s">
        <v>39</v>
      </c>
      <c r="B28" s="78" t="n">
        <v>45348</v>
      </c>
      <c r="C28" s="67" t="n">
        <v>4405950</v>
      </c>
      <c r="D28" s="79" t="n">
        <f aca="false">IF(C28&gt;0, C28,(G$42/(G$39-G$40)))</f>
        <v>4405950</v>
      </c>
      <c r="E28" s="69" t="n">
        <f aca="false">117+15</f>
        <v>132</v>
      </c>
      <c r="F28" s="80" t="n">
        <f aca="false">IF(E28&gt;0,C28/E28, )</f>
        <v>33378.4090909091</v>
      </c>
      <c r="G28" s="69" t="n">
        <v>359</v>
      </c>
      <c r="H28" s="80" t="n">
        <f aca="false">IF(G28&gt;0,G28/E28,  )</f>
        <v>2.71969696969697</v>
      </c>
      <c r="I28" s="80" t="n">
        <f aca="false">IF(H28&gt;0,F28/H28,  )</f>
        <v>12272.8412256267</v>
      </c>
    </row>
    <row r="29" customFormat="false" ht="15" hidden="false" customHeight="false" outlineLevel="0" collapsed="false">
      <c r="A29" s="136" t="s">
        <v>40</v>
      </c>
      <c r="B29" s="78" t="n">
        <v>45349</v>
      </c>
      <c r="C29" s="67" t="n">
        <v>7772600</v>
      </c>
      <c r="D29" s="79" t="n">
        <f aca="false">IF(C29&gt;0, C29,(G$42/(G$39-G$40)))</f>
        <v>7772600</v>
      </c>
      <c r="E29" s="69" t="n">
        <v>181</v>
      </c>
      <c r="F29" s="80" t="n">
        <f aca="false">IF(E29&gt;0,C29/E29, )</f>
        <v>42942.5414364641</v>
      </c>
      <c r="G29" s="69" t="n">
        <v>646</v>
      </c>
      <c r="H29" s="80" t="n">
        <f aca="false">IF(G29&gt;0,G29/E29,  )</f>
        <v>3.56906077348066</v>
      </c>
      <c r="I29" s="80" t="n">
        <f aca="false">IF(H29&gt;0,F29/H29,  )</f>
        <v>12031.8885448916</v>
      </c>
    </row>
    <row r="30" customFormat="false" ht="15" hidden="false" customHeight="false" outlineLevel="0" collapsed="false">
      <c r="A30" s="136" t="s">
        <v>41</v>
      </c>
      <c r="B30" s="78" t="n">
        <v>45350</v>
      </c>
      <c r="C30" s="67" t="n">
        <v>5716250</v>
      </c>
      <c r="D30" s="79" t="n">
        <f aca="false">IF(C30&gt;0, C30,(G$42/(G$39-G$40)))</f>
        <v>5716250</v>
      </c>
      <c r="E30" s="69" t="n">
        <v>160</v>
      </c>
      <c r="F30" s="80" t="n">
        <f aca="false">IF(E30&gt;0,C30/E30, )</f>
        <v>35726.5625</v>
      </c>
      <c r="G30" s="69" t="n">
        <v>504</v>
      </c>
      <c r="H30" s="80" t="n">
        <f aca="false">IF(G30&gt;0,G30/E30,  )</f>
        <v>3.15</v>
      </c>
      <c r="I30" s="80" t="n">
        <f aca="false">IF(H30&gt;0,F30/H30,  )</f>
        <v>11341.7658730159</v>
      </c>
    </row>
    <row r="31" customFormat="false" ht="15" hidden="false" customHeight="false" outlineLevel="0" collapsed="false">
      <c r="A31" s="136" t="s">
        <v>42</v>
      </c>
      <c r="B31" s="78" t="n">
        <v>45351</v>
      </c>
      <c r="C31" s="67" t="n">
        <v>6682700</v>
      </c>
      <c r="D31" s="79" t="n">
        <f aca="false">IF(C31&gt;0, C31,(G$42/(G$39-G$40)))</f>
        <v>6682700</v>
      </c>
      <c r="E31" s="69" t="n">
        <v>161</v>
      </c>
      <c r="F31" s="80" t="n">
        <f aca="false">IF(E31&gt;0,C31/E31, )</f>
        <v>41507.4534161491</v>
      </c>
      <c r="G31" s="69" t="n">
        <v>507</v>
      </c>
      <c r="H31" s="80" t="n">
        <f aca="false">IF(G31&gt;0,G31/E31,  )</f>
        <v>3.14906832298137</v>
      </c>
      <c r="I31" s="80" t="n">
        <f aca="false">IF(H31&gt;0,F31/H31,  )</f>
        <v>13180.8678500986</v>
      </c>
    </row>
    <row r="32" customFormat="false" ht="15" hidden="false" customHeight="false" outlineLevel="0" collapsed="false">
      <c r="A32" s="136" t="s">
        <v>43</v>
      </c>
      <c r="B32" s="78"/>
      <c r="C32" s="67"/>
      <c r="D32" s="79" t="e">
        <f aca="false">IF(C32&gt;0, C32,(G$42/(G$39-G$40)))</f>
        <v>#DIV/0!</v>
      </c>
      <c r="E32" s="69"/>
      <c r="F32" s="80" t="n">
        <f aca="false">IF(E32&gt;0,C32/E32, )</f>
        <v>0</v>
      </c>
      <c r="G32" s="69"/>
      <c r="H32" s="80" t="n">
        <f aca="false">IF(G32&gt;0,G32/E32,  )</f>
        <v>0</v>
      </c>
      <c r="I32" s="80" t="n">
        <f aca="false">IF(H32&gt;0,F32/H32,  )</f>
        <v>0</v>
      </c>
    </row>
    <row r="33" customFormat="false" ht="15" hidden="false" customHeight="false" outlineLevel="0" collapsed="false">
      <c r="A33" s="136" t="s">
        <v>44</v>
      </c>
      <c r="B33" s="78"/>
      <c r="C33" s="67"/>
      <c r="D33" s="79" t="e">
        <f aca="false">IF(C33&gt;0, C33,(G$42/(G$39-G$40)))</f>
        <v>#DIV/0!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8063817.24137931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628.379310344828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233850700</v>
      </c>
      <c r="D35" s="90"/>
      <c r="E35" s="91" t="n">
        <f aca="false">SUM(E3:E33)</f>
        <v>4831</v>
      </c>
      <c r="F35" s="92"/>
      <c r="G35" s="91" t="n">
        <f aca="false">SUM(G3:G33)</f>
        <v>18223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272295000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0.858813786518298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29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29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272295000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38444300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233850700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-38444300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9389482.75862069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8063817.24137931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-1325665.51724138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0.858813786518298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0.858813786518298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1" activeCellId="0" sqref="G31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4.73"/>
    <col collapsed="false" customWidth="true" hidden="false" outlineLevel="0" max="6" min="6" style="0" width="13.53"/>
    <col collapsed="false" customWidth="true" hidden="false" outlineLevel="0" max="7" min="7" style="0" width="13.25"/>
  </cols>
  <sheetData>
    <row r="1" customFormat="false" ht="17.35" hidden="false" customHeight="false" outlineLevel="0" collapsed="false">
      <c r="A1" s="128" t="s">
        <v>58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6" t="s">
        <v>15</v>
      </c>
      <c r="B3" s="78" t="n">
        <v>45352</v>
      </c>
      <c r="C3" s="67" t="n">
        <v>8145550</v>
      </c>
      <c r="D3" s="79" t="n">
        <f aca="false">IF(C3&gt;0, C3,(G$42/(G$39-G$40)))</f>
        <v>8145550</v>
      </c>
      <c r="E3" s="69" t="n">
        <f aca="false">161+11</f>
        <v>172</v>
      </c>
      <c r="F3" s="80" t="n">
        <f aca="false">IF(E3&gt;0,C3/E3, )</f>
        <v>47357.8488372093</v>
      </c>
      <c r="G3" s="69" t="n">
        <v>642</v>
      </c>
      <c r="H3" s="80" t="n">
        <f aca="false">IF(G3&gt;0,G3/E3,  )</f>
        <v>3.73255813953488</v>
      </c>
      <c r="I3" s="80" t="n">
        <f aca="false">IF(H3&gt;0,F3/H3,  )</f>
        <v>12687.7725856698</v>
      </c>
    </row>
    <row r="4" customFormat="false" ht="15" hidden="false" customHeight="false" outlineLevel="0" collapsed="false">
      <c r="A4" s="136" t="s">
        <v>59</v>
      </c>
      <c r="B4" s="78" t="n">
        <v>45353</v>
      </c>
      <c r="C4" s="67" t="n">
        <v>9337850</v>
      </c>
      <c r="D4" s="79" t="n">
        <f aca="false">IF(C4&gt;0, C4,(G$42/(G$39-G$40)))</f>
        <v>9337850</v>
      </c>
      <c r="E4" s="69" t="n">
        <v>167</v>
      </c>
      <c r="F4" s="80" t="n">
        <f aca="false">IF(E4&gt;0,C4/E4, )</f>
        <v>55915.2694610778</v>
      </c>
      <c r="G4" s="69" t="n">
        <v>648</v>
      </c>
      <c r="H4" s="80" t="n">
        <f aca="false">IF(G4&gt;0,G4/E4,  )</f>
        <v>3.88023952095808</v>
      </c>
      <c r="I4" s="80" t="n">
        <f aca="false">IF(H4&gt;0,F4/H4,  )</f>
        <v>14410.262345679</v>
      </c>
    </row>
    <row r="5" customFormat="false" ht="15" hidden="false" customHeight="false" outlineLevel="0" collapsed="false">
      <c r="A5" s="136" t="s">
        <v>17</v>
      </c>
      <c r="B5" s="78" t="n">
        <v>45354</v>
      </c>
      <c r="C5" s="67" t="n">
        <v>5332800</v>
      </c>
      <c r="D5" s="79" t="n">
        <f aca="false">IF(C5&gt;0, C5,(G$42/(G$39-G$40)))</f>
        <v>5332800</v>
      </c>
      <c r="E5" s="69" t="n">
        <v>103</v>
      </c>
      <c r="F5" s="80" t="n">
        <f aca="false">IF(E5&gt;0,C5/E5, )</f>
        <v>51774.7572815534</v>
      </c>
      <c r="G5" s="69" t="n">
        <v>395</v>
      </c>
      <c r="H5" s="80" t="n">
        <f aca="false">IF(G5&gt;0,G5/E5,  )</f>
        <v>3.83495145631068</v>
      </c>
      <c r="I5" s="80" t="n">
        <f aca="false">IF(H5&gt;0,F5/H5,  )</f>
        <v>13500.7594936709</v>
      </c>
    </row>
    <row r="6" customFormat="false" ht="15" hidden="false" customHeight="false" outlineLevel="0" collapsed="false">
      <c r="A6" s="136" t="s">
        <v>11</v>
      </c>
      <c r="B6" s="78" t="n">
        <v>45355</v>
      </c>
      <c r="C6" s="67" t="n">
        <v>9870750</v>
      </c>
      <c r="D6" s="79" t="n">
        <f aca="false">IF(C6&gt;0, C6,(G$42/(G$39-G$40)))</f>
        <v>9870750</v>
      </c>
      <c r="E6" s="69" t="n">
        <f aca="false">88+124</f>
        <v>212</v>
      </c>
      <c r="F6" s="80" t="n">
        <f aca="false">IF(E6&gt;0,C6/E6, )</f>
        <v>46560.141509434</v>
      </c>
      <c r="G6" s="69" t="n">
        <v>750</v>
      </c>
      <c r="H6" s="80" t="n">
        <f aca="false">IF(G6&gt;0,G6/E6,  )</f>
        <v>3.5377358490566</v>
      </c>
      <c r="I6" s="80" t="n">
        <f aca="false">IF(H6&gt;0,F6/H6,  )</f>
        <v>13161</v>
      </c>
    </row>
    <row r="7" customFormat="false" ht="15" hidden="false" customHeight="false" outlineLevel="0" collapsed="false">
      <c r="A7" s="136" t="s">
        <v>12</v>
      </c>
      <c r="B7" s="78" t="n">
        <v>45356</v>
      </c>
      <c r="C7" s="67" t="n">
        <v>12537950</v>
      </c>
      <c r="D7" s="79" t="n">
        <f aca="false">IF(C7&gt;0, C7,(G$42/(G$39-G$40)))</f>
        <v>12537950</v>
      </c>
      <c r="E7" s="69" t="n">
        <f aca="false">171+29</f>
        <v>200</v>
      </c>
      <c r="F7" s="80" t="n">
        <f aca="false">IF(E7&gt;0,C7/E7, )</f>
        <v>62689.75</v>
      </c>
      <c r="G7" s="69" t="n">
        <v>842</v>
      </c>
      <c r="H7" s="80" t="n">
        <f aca="false">IF(G7&gt;0,G7/E7,  )</f>
        <v>4.21</v>
      </c>
      <c r="I7" s="80" t="n">
        <f aca="false">IF(H7&gt;0,F7/H7,  )</f>
        <v>14890.67695962</v>
      </c>
    </row>
    <row r="8" customFormat="false" ht="15" hidden="false" customHeight="false" outlineLevel="0" collapsed="false">
      <c r="A8" s="136" t="s">
        <v>13</v>
      </c>
      <c r="B8" s="78" t="n">
        <v>45357</v>
      </c>
      <c r="C8" s="67" t="n">
        <v>18362100</v>
      </c>
      <c r="D8" s="79" t="n">
        <f aca="false">IF(C8&gt;0, C8,(G$42/(G$39-G$40)))</f>
        <v>18362100</v>
      </c>
      <c r="E8" s="69" t="n">
        <f aca="false">310+13</f>
        <v>323</v>
      </c>
      <c r="F8" s="80" t="n">
        <f aca="false">IF(E8&gt;0,C8/E8, )</f>
        <v>56848.6068111455</v>
      </c>
      <c r="G8" s="69" t="n">
        <v>1321</v>
      </c>
      <c r="H8" s="80" t="n">
        <f aca="false">IF(G8&gt;0,G8/E8,  )</f>
        <v>4.08978328173375</v>
      </c>
      <c r="I8" s="80" t="n">
        <f aca="false">IF(H8&gt;0,F8/H8,  )</f>
        <v>13900.1514004542</v>
      </c>
    </row>
    <row r="9" customFormat="false" ht="15" hidden="false" customHeight="false" outlineLevel="0" collapsed="false">
      <c r="A9" s="136" t="s">
        <v>14</v>
      </c>
      <c r="B9" s="78" t="n">
        <v>45358</v>
      </c>
      <c r="C9" s="67" t="n">
        <v>22634600</v>
      </c>
      <c r="D9" s="79" t="n">
        <f aca="false">IF(C9&gt;0, C9,(G$42/(G$39-G$40)))</f>
        <v>22634600</v>
      </c>
      <c r="E9" s="69" t="n">
        <v>350</v>
      </c>
      <c r="F9" s="80" t="n">
        <f aca="false">IF(E9&gt;0,C9/E9, )</f>
        <v>64670.2857142857</v>
      </c>
      <c r="G9" s="69" t="n">
        <v>1500</v>
      </c>
      <c r="H9" s="80" t="n">
        <f aca="false">IF(G9&gt;0,G9/E9,  )</f>
        <v>4.28571428571429</v>
      </c>
      <c r="I9" s="80" t="n">
        <f aca="false">IF(H9&gt;0,F9/H9,  )</f>
        <v>15089.7333333333</v>
      </c>
    </row>
    <row r="10" customFormat="false" ht="15" hidden="false" customHeight="false" outlineLevel="0" collapsed="false">
      <c r="A10" s="136" t="s">
        <v>15</v>
      </c>
      <c r="B10" s="78" t="n">
        <v>45359</v>
      </c>
      <c r="C10" s="67" t="n">
        <v>14323550</v>
      </c>
      <c r="D10" s="79" t="n">
        <f aca="false">IF(C10&gt;0, C10,(G$42/(G$39-G$40)))</f>
        <v>14323550</v>
      </c>
      <c r="E10" s="69" t="n">
        <v>255</v>
      </c>
      <c r="F10" s="80" t="n">
        <f aca="false">IF(E10&gt;0,C10/E10, )</f>
        <v>56170.7843137255</v>
      </c>
      <c r="G10" s="69" t="n">
        <v>967</v>
      </c>
      <c r="H10" s="80" t="n">
        <f aca="false">IF(G10&gt;0,G10/E10,  )</f>
        <v>3.7921568627451</v>
      </c>
      <c r="I10" s="80" t="n">
        <f aca="false">IF(H10&gt;0,F10/H10,  )</f>
        <v>14812.3578076525</v>
      </c>
    </row>
    <row r="11" customFormat="false" ht="15" hidden="false" customHeight="false" outlineLevel="0" collapsed="false">
      <c r="A11" s="136" t="s">
        <v>16</v>
      </c>
      <c r="B11" s="78" t="n">
        <v>45360</v>
      </c>
      <c r="C11" s="67" t="n">
        <v>9672100</v>
      </c>
      <c r="D11" s="79" t="n">
        <f aca="false">IF(C11&gt;0, C11,(G$42/(G$39-G$40)))</f>
        <v>9672100</v>
      </c>
      <c r="E11" s="69" t="n">
        <f aca="false">130+15</f>
        <v>145</v>
      </c>
      <c r="F11" s="80" t="n">
        <f aca="false">IF(E11&gt;0,C11/E11, )</f>
        <v>66704.1379310345</v>
      </c>
      <c r="G11" s="69" t="n">
        <v>557</v>
      </c>
      <c r="H11" s="80" t="n">
        <f aca="false">IF(G11&gt;0,G11/E11,  )</f>
        <v>3.84137931034483</v>
      </c>
      <c r="I11" s="80" t="n">
        <f aca="false">IF(H11&gt;0,F11/H11,  )</f>
        <v>17364.631956912</v>
      </c>
    </row>
    <row r="12" customFormat="false" ht="15" hidden="false" customHeight="false" outlineLevel="0" collapsed="false">
      <c r="A12" s="136" t="s">
        <v>17</v>
      </c>
      <c r="B12" s="78" t="n">
        <v>45361</v>
      </c>
      <c r="C12" s="67" t="n">
        <v>7937450</v>
      </c>
      <c r="D12" s="79" t="n">
        <f aca="false">IF(C12&gt;0, C12,(G$42/(G$39-G$40)))</f>
        <v>7937450</v>
      </c>
      <c r="E12" s="69" t="n">
        <f aca="false">11+161</f>
        <v>172</v>
      </c>
      <c r="F12" s="80" t="n">
        <f aca="false">IF(E12&gt;0,C12/E12, )</f>
        <v>46147.9651162791</v>
      </c>
      <c r="G12" s="69" t="n">
        <v>588</v>
      </c>
      <c r="H12" s="80" t="n">
        <f aca="false">IF(G12&gt;0,G12/E12,  )</f>
        <v>3.41860465116279</v>
      </c>
      <c r="I12" s="80" t="n">
        <f aca="false">IF(H12&gt;0,F12/H12,  )</f>
        <v>13499.0646258503</v>
      </c>
    </row>
    <row r="13" customFormat="false" ht="15" hidden="false" customHeight="false" outlineLevel="0" collapsed="false">
      <c r="A13" s="136" t="s">
        <v>39</v>
      </c>
      <c r="B13" s="78" t="n">
        <v>45362</v>
      </c>
      <c r="C13" s="67" t="n">
        <v>6324200</v>
      </c>
      <c r="D13" s="79" t="n">
        <f aca="false">IF(C13&gt;0, C13,(G$42/(G$39-G$40)))</f>
        <v>6324200</v>
      </c>
      <c r="E13" s="69" t="n">
        <v>166</v>
      </c>
      <c r="F13" s="80" t="n">
        <f aca="false">IF(E13&gt;0,C13/E13, )</f>
        <v>38097.5903614458</v>
      </c>
      <c r="G13" s="69" t="n">
        <v>478</v>
      </c>
      <c r="H13" s="80" t="n">
        <f aca="false">IF(G13&gt;0,G13/E13,  )</f>
        <v>2.87951807228916</v>
      </c>
      <c r="I13" s="80" t="n">
        <f aca="false">IF(H13&gt;0,F13/H13,  )</f>
        <v>13230.5439330544</v>
      </c>
    </row>
    <row r="14" customFormat="false" ht="15" hidden="false" customHeight="false" outlineLevel="0" collapsed="false">
      <c r="A14" s="136" t="s">
        <v>40</v>
      </c>
      <c r="B14" s="78" t="n">
        <v>45363</v>
      </c>
      <c r="C14" s="67" t="n">
        <v>4554650</v>
      </c>
      <c r="D14" s="79" t="n">
        <f aca="false">IF(C14&gt;0, C14,(G$42/(G$39-G$40)))</f>
        <v>4554650</v>
      </c>
      <c r="E14" s="69" t="n">
        <v>110</v>
      </c>
      <c r="F14" s="80" t="n">
        <f aca="false">IF(E14&gt;0,C14/E14, )</f>
        <v>41405.9090909091</v>
      </c>
      <c r="G14" s="69" t="n">
        <v>349</v>
      </c>
      <c r="H14" s="80" t="n">
        <f aca="false">IF(G14&gt;0,G14/E14,  )</f>
        <v>3.17272727272727</v>
      </c>
      <c r="I14" s="80" t="n">
        <f aca="false">IF(H14&gt;0,F14/H14,  )</f>
        <v>13050.5730659026</v>
      </c>
    </row>
    <row r="15" customFormat="false" ht="15" hidden="false" customHeight="false" outlineLevel="0" collapsed="false">
      <c r="A15" s="136" t="s">
        <v>41</v>
      </c>
      <c r="B15" s="78" t="n">
        <v>45364</v>
      </c>
      <c r="C15" s="67" t="n">
        <v>7739450</v>
      </c>
      <c r="D15" s="79" t="n">
        <f aca="false">IF(C15&gt;0, C15,(G$42/(G$39-G$40)))</f>
        <v>7739450</v>
      </c>
      <c r="E15" s="69" t="n">
        <f aca="false">177+7</f>
        <v>184</v>
      </c>
      <c r="F15" s="80" t="n">
        <f aca="false">IF(E15&gt;0,C15/E15, )</f>
        <v>42062.2282608696</v>
      </c>
      <c r="G15" s="69" t="n">
        <v>570</v>
      </c>
      <c r="H15" s="80" t="n">
        <f aca="false">IF(G15&gt;0,G15/E15,  )</f>
        <v>3.09782608695652</v>
      </c>
      <c r="I15" s="80" t="n">
        <f aca="false">IF(H15&gt;0,F15/H15,  )</f>
        <v>13577.9824561404</v>
      </c>
    </row>
    <row r="16" customFormat="false" ht="15" hidden="false" customHeight="false" outlineLevel="0" collapsed="false">
      <c r="A16" s="136" t="s">
        <v>42</v>
      </c>
      <c r="B16" s="78" t="n">
        <v>45365</v>
      </c>
      <c r="C16" s="67" t="n">
        <v>5452800</v>
      </c>
      <c r="D16" s="79" t="n">
        <f aca="false">IF(C16&gt;0, C16,(G$42/(G$39-G$40)))</f>
        <v>5452800</v>
      </c>
      <c r="E16" s="69" t="n">
        <v>115</v>
      </c>
      <c r="F16" s="80" t="n">
        <f aca="false">IF(E16&gt;0,C16/E16, )</f>
        <v>47415.652173913</v>
      </c>
      <c r="G16" s="69" t="n">
        <v>400</v>
      </c>
      <c r="H16" s="80" t="n">
        <f aca="false">IF(G16&gt;0,G16/E16,  )</f>
        <v>3.47826086956522</v>
      </c>
      <c r="I16" s="80" t="n">
        <f aca="false">IF(H16&gt;0,F16/H16,  )</f>
        <v>13632</v>
      </c>
    </row>
    <row r="17" customFormat="false" ht="15" hidden="false" customHeight="false" outlineLevel="0" collapsed="false">
      <c r="A17" s="136" t="s">
        <v>43</v>
      </c>
      <c r="B17" s="78" t="n">
        <v>45366</v>
      </c>
      <c r="C17" s="67" t="n">
        <v>7749250</v>
      </c>
      <c r="D17" s="79" t="n">
        <f aca="false">IF(C17&gt;0, C17,(G$42/(G$39-G$40)))</f>
        <v>7749250</v>
      </c>
      <c r="E17" s="69" t="n">
        <v>191</v>
      </c>
      <c r="F17" s="80" t="n">
        <f aca="false">IF(E17&gt;0,C17/E17, )</f>
        <v>40571.9895287958</v>
      </c>
      <c r="G17" s="69" t="n">
        <v>603</v>
      </c>
      <c r="H17" s="80" t="n">
        <f aca="false">IF(G17&gt;0,G17/E17,  )</f>
        <v>3.15706806282722</v>
      </c>
      <c r="I17" s="80" t="n">
        <f aca="false">IF(H17&gt;0,F17/H17,  )</f>
        <v>12851.1608623549</v>
      </c>
    </row>
    <row r="18" customFormat="false" ht="15" hidden="false" customHeight="false" outlineLevel="0" collapsed="false">
      <c r="A18" s="136" t="s">
        <v>44</v>
      </c>
      <c r="B18" s="78" t="n">
        <v>45367</v>
      </c>
      <c r="C18" s="67" t="n">
        <v>8203250</v>
      </c>
      <c r="D18" s="79" t="n">
        <f aca="false">IF(C18&gt;0, C18,(G$42/(G$39-G$40)))</f>
        <v>8203250</v>
      </c>
      <c r="E18" s="69" t="n">
        <v>191</v>
      </c>
      <c r="F18" s="80" t="n">
        <f aca="false">IF(E18&gt;0,C18/E18, )</f>
        <v>42948.9528795811</v>
      </c>
      <c r="G18" s="69" t="n">
        <v>636</v>
      </c>
      <c r="H18" s="80" t="n">
        <f aca="false">IF(G18&gt;0,G18/E18,  )</f>
        <v>3.32984293193717</v>
      </c>
      <c r="I18" s="80" t="n">
        <f aca="false">IF(H18&gt;0,F18/H18,  )</f>
        <v>12898.1918238994</v>
      </c>
    </row>
    <row r="19" customFormat="false" ht="15" hidden="false" customHeight="false" outlineLevel="0" collapsed="false">
      <c r="A19" s="136" t="s">
        <v>38</v>
      </c>
      <c r="B19" s="78" t="n">
        <v>45368</v>
      </c>
      <c r="C19" s="67" t="n">
        <v>7496250</v>
      </c>
      <c r="D19" s="79" t="n">
        <f aca="false">IF(C19&gt;0, C19,(G$42/(G$39-G$40)))</f>
        <v>7496250</v>
      </c>
      <c r="E19" s="69" t="n">
        <v>147</v>
      </c>
      <c r="F19" s="80" t="n">
        <f aca="false">IF(E19&gt;0,C19/E19, )</f>
        <v>50994.8979591837</v>
      </c>
      <c r="G19" s="69" t="n">
        <v>613</v>
      </c>
      <c r="H19" s="80" t="n">
        <f aca="false">IF(G19&gt;0,G19/E19,  )</f>
        <v>4.17006802721089</v>
      </c>
      <c r="I19" s="80" t="n">
        <f aca="false">IF(H19&gt;0,F19/H19,  )</f>
        <v>12228.792822186</v>
      </c>
    </row>
    <row r="20" customFormat="false" ht="15" hidden="false" customHeight="false" outlineLevel="0" collapsed="false">
      <c r="A20" s="136" t="s">
        <v>39</v>
      </c>
      <c r="B20" s="78" t="n">
        <v>45369</v>
      </c>
      <c r="C20" s="67" t="n">
        <v>7566000</v>
      </c>
      <c r="D20" s="79" t="n">
        <f aca="false">IF(C20&gt;0, C20,(G$42/(G$39-G$40)))</f>
        <v>7566000</v>
      </c>
      <c r="E20" s="69" t="n">
        <v>171</v>
      </c>
      <c r="F20" s="80" t="n">
        <f aca="false">IF(E20&gt;0,C20/E20, )</f>
        <v>44245.6140350877</v>
      </c>
      <c r="G20" s="69" t="n">
        <v>761</v>
      </c>
      <c r="H20" s="80" t="n">
        <f aca="false">IF(G20&gt;0,G20/E20,  )</f>
        <v>4.45029239766082</v>
      </c>
      <c r="I20" s="80" t="n">
        <f aca="false">IF(H20&gt;0,F20/H20,  )</f>
        <v>9942.18134034166</v>
      </c>
    </row>
    <row r="21" customFormat="false" ht="15" hidden="false" customHeight="false" outlineLevel="0" collapsed="false">
      <c r="A21" s="136" t="s">
        <v>40</v>
      </c>
      <c r="B21" s="78" t="n">
        <v>45370</v>
      </c>
      <c r="C21" s="67" t="n">
        <v>6122300</v>
      </c>
      <c r="D21" s="79" t="n">
        <f aca="false">IF(C21&gt;0, C21,(G$42/(G$39-G$40)))</f>
        <v>6122300</v>
      </c>
      <c r="E21" s="69" t="n">
        <v>155</v>
      </c>
      <c r="F21" s="80" t="n">
        <f aca="false">IF(E21&gt;0,C21/E21, )</f>
        <v>39498.7096774194</v>
      </c>
      <c r="G21" s="69" t="n">
        <v>509</v>
      </c>
      <c r="H21" s="80" t="n">
        <f aca="false">IF(G21&gt;0,G21/E21,  )</f>
        <v>3.28387096774194</v>
      </c>
      <c r="I21" s="80" t="n">
        <f aca="false">IF(H21&gt;0,F21/H21,  )</f>
        <v>12028.094302554</v>
      </c>
    </row>
    <row r="22" customFormat="false" ht="15" hidden="false" customHeight="false" outlineLevel="0" collapsed="false">
      <c r="A22" s="136" t="s">
        <v>41</v>
      </c>
      <c r="B22" s="78" t="n">
        <v>45371</v>
      </c>
      <c r="C22" s="67" t="n">
        <v>7935400</v>
      </c>
      <c r="D22" s="79" t="n">
        <f aca="false">IF(C22&gt;0, C22,(G$42/(G$39-G$40)))</f>
        <v>7935400</v>
      </c>
      <c r="E22" s="69" t="n">
        <v>194</v>
      </c>
      <c r="F22" s="80" t="n">
        <f aca="false">IF(E22&gt;0,C22/E22, )</f>
        <v>40904.1237113402</v>
      </c>
      <c r="G22" s="138" t="n">
        <v>615</v>
      </c>
      <c r="H22" s="80" t="n">
        <f aca="false">IF(G22&gt;0,G22/E22,  )</f>
        <v>3.1701030927835</v>
      </c>
      <c r="I22" s="80" t="n">
        <f aca="false">IF(H22&gt;0,F22/H22,  )</f>
        <v>12903.0894308943</v>
      </c>
    </row>
    <row r="23" customFormat="false" ht="15" hidden="false" customHeight="false" outlineLevel="0" collapsed="false">
      <c r="A23" s="136" t="s">
        <v>42</v>
      </c>
      <c r="B23" s="78" t="n">
        <v>45372</v>
      </c>
      <c r="C23" s="67" t="n">
        <v>8347850</v>
      </c>
      <c r="D23" s="79" t="n">
        <f aca="false">IF(C23&gt;0, C23,(G$42/(G$39-G$40)))</f>
        <v>8347850</v>
      </c>
      <c r="E23" s="69" t="n">
        <f aca="false">143+4</f>
        <v>147</v>
      </c>
      <c r="F23" s="80" t="n">
        <f aca="false">IF(E23&gt;0,C23/E23, )</f>
        <v>56788.0952380952</v>
      </c>
      <c r="G23" s="69" t="n">
        <v>610</v>
      </c>
      <c r="H23" s="80" t="n">
        <f aca="false">IF(G23&gt;0,G23/E23,  )</f>
        <v>4.14965986394558</v>
      </c>
      <c r="I23" s="80" t="n">
        <f aca="false">IF(H23&gt;0,F23/H23,  )</f>
        <v>13685</v>
      </c>
    </row>
    <row r="24" customFormat="false" ht="15" hidden="false" customHeight="false" outlineLevel="0" collapsed="false">
      <c r="A24" s="136" t="s">
        <v>43</v>
      </c>
      <c r="B24" s="78" t="n">
        <v>45373</v>
      </c>
      <c r="C24" s="67" t="n">
        <v>6306950</v>
      </c>
      <c r="D24" s="79" t="n">
        <f aca="false">IF(C24&gt;0, C24,(G$42/(G$39-G$40)))</f>
        <v>6306950</v>
      </c>
      <c r="E24" s="69" t="n">
        <v>122</v>
      </c>
      <c r="F24" s="80" t="n">
        <f aca="false">IF(E24&gt;0,C24/E24, )</f>
        <v>51696.3114754098</v>
      </c>
      <c r="G24" s="69" t="n">
        <v>438</v>
      </c>
      <c r="H24" s="80" t="n">
        <f aca="false">IF(G24&gt;0,G24/E24,  )</f>
        <v>3.59016393442623</v>
      </c>
      <c r="I24" s="80" t="n">
        <f aca="false">IF(H24&gt;0,F24/H24,  )</f>
        <v>14399.4292237443</v>
      </c>
    </row>
    <row r="25" customFormat="false" ht="15" hidden="false" customHeight="false" outlineLevel="0" collapsed="false">
      <c r="A25" s="136" t="s">
        <v>44</v>
      </c>
      <c r="B25" s="78" t="n">
        <v>45374</v>
      </c>
      <c r="C25" s="67" t="n">
        <v>8490050</v>
      </c>
      <c r="D25" s="79" t="n">
        <f aca="false">IF(C25&gt;0, C25,(G$42/(G$39-G$40)))</f>
        <v>8490050</v>
      </c>
      <c r="E25" s="69" t="n">
        <v>158</v>
      </c>
      <c r="F25" s="80" t="n">
        <f aca="false">IF(E25&gt;0,C25/E25, )</f>
        <v>53734.4936708861</v>
      </c>
      <c r="G25" s="69" t="n">
        <v>629</v>
      </c>
      <c r="H25" s="80" t="n">
        <f aca="false">IF(G25&gt;0,G25/E25,  )</f>
        <v>3.98101265822785</v>
      </c>
      <c r="I25" s="80" t="n">
        <f aca="false">IF(H25&gt;0,F25/H25,  )</f>
        <v>13497.6947535771</v>
      </c>
    </row>
    <row r="26" customFormat="false" ht="15" hidden="false" customHeight="false" outlineLevel="0" collapsed="false">
      <c r="A26" s="136" t="s">
        <v>38</v>
      </c>
      <c r="B26" s="78" t="n">
        <v>45375</v>
      </c>
      <c r="C26" s="67" t="n">
        <v>8191250</v>
      </c>
      <c r="D26" s="79" t="n">
        <f aca="false">IF(C26&gt;0, C26,(G$42/(G$39-G$40)))</f>
        <v>8191250</v>
      </c>
      <c r="E26" s="69" t="n">
        <v>159</v>
      </c>
      <c r="F26" s="80" t="n">
        <f aca="false">IF(E26&gt;0,C26/E26, )</f>
        <v>51517.2955974843</v>
      </c>
      <c r="G26" s="69" t="n">
        <v>590</v>
      </c>
      <c r="H26" s="80" t="n">
        <f aca="false">IF(G26&gt;0,G26/E26,  )</f>
        <v>3.71069182389937</v>
      </c>
      <c r="I26" s="80" t="n">
        <f aca="false">IF(H26&gt;0,F26/H26,  )</f>
        <v>13883.4745762712</v>
      </c>
    </row>
    <row r="27" customFormat="false" ht="15" hidden="false" customHeight="false" outlineLevel="0" collapsed="false">
      <c r="A27" s="136" t="s">
        <v>39</v>
      </c>
      <c r="B27" s="78" t="n">
        <v>45376</v>
      </c>
      <c r="C27" s="67" t="n">
        <v>5862300</v>
      </c>
      <c r="D27" s="79" t="n">
        <f aca="false">IF(C27&gt;0, C27,(G$42/(G$39-G$40)))</f>
        <v>5862300</v>
      </c>
      <c r="E27" s="69" t="n">
        <f aca="false">151+17</f>
        <v>168</v>
      </c>
      <c r="F27" s="80" t="n">
        <f aca="false">IF(E27&gt;0,C27/E27, )</f>
        <v>34894.6428571429</v>
      </c>
      <c r="G27" s="69" t="n">
        <v>499</v>
      </c>
      <c r="H27" s="80" t="n">
        <f aca="false">IF(G27&gt;0,G27/E27,  )</f>
        <v>2.9702380952381</v>
      </c>
      <c r="I27" s="80" t="n">
        <f aca="false">IF(H27&gt;0,F27/H27,  )</f>
        <v>11748.0961923848</v>
      </c>
    </row>
    <row r="28" customFormat="false" ht="15" hidden="false" customHeight="false" outlineLevel="0" collapsed="false">
      <c r="A28" s="136" t="s">
        <v>40</v>
      </c>
      <c r="B28" s="78" t="n">
        <v>45377</v>
      </c>
      <c r="C28" s="67" t="n">
        <v>7222850</v>
      </c>
      <c r="D28" s="79" t="n">
        <f aca="false">IF(C28&gt;0, C28,(G$42/(G$39-G$40)))</f>
        <v>7222850</v>
      </c>
      <c r="E28" s="69" t="n">
        <f aca="false">19+174</f>
        <v>193</v>
      </c>
      <c r="F28" s="80" t="n">
        <f aca="false">IF(E28&gt;0,C28/E28, )</f>
        <v>37424.0932642487</v>
      </c>
      <c r="G28" s="69" t="n">
        <v>571</v>
      </c>
      <c r="H28" s="80" t="n">
        <f aca="false">IF(G28&gt;0,G28/E28,  )</f>
        <v>2.95854922279793</v>
      </c>
      <c r="I28" s="80" t="n">
        <f aca="false">IF(H28&gt;0,F28/H28,  )</f>
        <v>12649.4746059545</v>
      </c>
    </row>
    <row r="29" customFormat="false" ht="15" hidden="false" customHeight="false" outlineLevel="0" collapsed="false">
      <c r="A29" s="136" t="s">
        <v>41</v>
      </c>
      <c r="B29" s="78" t="n">
        <v>45378</v>
      </c>
      <c r="C29" s="67" t="n">
        <v>6190550</v>
      </c>
      <c r="D29" s="79" t="n">
        <f aca="false">IF(C29&gt;0, C29,(G$42/(G$39-G$40)))</f>
        <v>6190550</v>
      </c>
      <c r="E29" s="69" t="n">
        <v>133</v>
      </c>
      <c r="F29" s="80" t="n">
        <f aca="false">IF(E29&gt;0,C29/E29, )</f>
        <v>46545.4887218045</v>
      </c>
      <c r="G29" s="69" t="n">
        <v>512</v>
      </c>
      <c r="H29" s="80" t="n">
        <f aca="false">IF(G29&gt;0,G29/E29,  )</f>
        <v>3.84962406015038</v>
      </c>
      <c r="I29" s="80" t="n">
        <f aca="false">IF(H29&gt;0,F29/H29,  )</f>
        <v>12090.91796875</v>
      </c>
    </row>
    <row r="30" customFormat="false" ht="15" hidden="false" customHeight="false" outlineLevel="0" collapsed="false">
      <c r="A30" s="136" t="s">
        <v>42</v>
      </c>
      <c r="B30" s="78" t="n">
        <v>45379</v>
      </c>
      <c r="C30" s="67" t="n">
        <v>6949950</v>
      </c>
      <c r="D30" s="79" t="n">
        <f aca="false">IF(C30&gt;0, C30,(G$42/(G$39-G$40)))</f>
        <v>6949950</v>
      </c>
      <c r="E30" s="69" t="n">
        <v>146</v>
      </c>
      <c r="F30" s="80" t="n">
        <f aca="false">IF(E30&gt;0,C30/E30, )</f>
        <v>47602.397260274</v>
      </c>
      <c r="G30" s="69" t="n">
        <v>523</v>
      </c>
      <c r="H30" s="80" t="n">
        <f aca="false">IF(G30&gt;0,G30/E30,  )</f>
        <v>3.58219178082192</v>
      </c>
      <c r="I30" s="80" t="n">
        <f aca="false">IF(H30&gt;0,F30/H30,  )</f>
        <v>13288.6233269599</v>
      </c>
    </row>
    <row r="31" customFormat="false" ht="15" hidden="false" customHeight="false" outlineLevel="0" collapsed="false">
      <c r="A31" s="136" t="s">
        <v>43</v>
      </c>
      <c r="B31" s="78" t="n">
        <v>45380</v>
      </c>
      <c r="C31" s="67" t="n">
        <v>8082900</v>
      </c>
      <c r="D31" s="79" t="n">
        <f aca="false">IF(C31&gt;0, C31,(G$42/(G$39-G$40)))</f>
        <v>8082900</v>
      </c>
      <c r="E31" s="69" t="n">
        <v>161</v>
      </c>
      <c r="F31" s="80" t="n">
        <f aca="false">IF(E31&gt;0,C31/E31, )</f>
        <v>50204.347826087</v>
      </c>
      <c r="G31" s="69" t="n">
        <v>577</v>
      </c>
      <c r="H31" s="80" t="n">
        <f aca="false">IF(G31&gt;0,G31/E31,  )</f>
        <v>3.58385093167702</v>
      </c>
      <c r="I31" s="80" t="n">
        <f aca="false">IF(H31&gt;0,F31/H31,  )</f>
        <v>14008.4922010399</v>
      </c>
    </row>
    <row r="32" customFormat="false" ht="15" hidden="false" customHeight="false" outlineLevel="0" collapsed="false">
      <c r="A32" s="136" t="s">
        <v>60</v>
      </c>
      <c r="B32" s="78" t="n">
        <v>45381</v>
      </c>
      <c r="C32" s="67" t="n">
        <v>9140950</v>
      </c>
      <c r="D32" s="79" t="n">
        <f aca="false">IF(C32&gt;0, C32,(G$42/(G$39-G$40)))</f>
        <v>9140950</v>
      </c>
      <c r="E32" s="69" t="n">
        <v>149</v>
      </c>
      <c r="F32" s="80" t="n">
        <f aca="false">IF(E32&gt;0,C32/E32, )</f>
        <v>61348.6577181208</v>
      </c>
      <c r="G32" s="69" t="n">
        <v>712</v>
      </c>
      <c r="H32" s="80" t="n">
        <f aca="false">IF(G32&gt;0,G32/E32,  )</f>
        <v>4.77852348993289</v>
      </c>
      <c r="I32" s="80" t="n">
        <f aca="false">IF(H32&gt;0,F32/H32,  )</f>
        <v>12838.4129213483</v>
      </c>
    </row>
    <row r="33" customFormat="false" ht="15" hidden="false" customHeight="false" outlineLevel="0" collapsed="false">
      <c r="A33" s="136" t="s">
        <v>17</v>
      </c>
      <c r="B33" s="78" t="n">
        <v>45382</v>
      </c>
      <c r="C33" s="67" t="n">
        <v>7759050</v>
      </c>
      <c r="D33" s="79" t="n">
        <f aca="false">IF(C33&gt;0, C33,(G$42/(G$39-G$40)))</f>
        <v>7759050</v>
      </c>
      <c r="E33" s="69" t="n">
        <v>161</v>
      </c>
      <c r="F33" s="80" t="n">
        <f aca="false">IF(E33&gt;0,C33/E33, )</f>
        <v>48192.8571428572</v>
      </c>
      <c r="G33" s="69" t="n">
        <v>656</v>
      </c>
      <c r="H33" s="80" t="n">
        <f aca="false">IF(G33&gt;0,G33/E33,  )</f>
        <v>4.07453416149068</v>
      </c>
      <c r="I33" s="80" t="n">
        <f aca="false">IF(H33&gt;0,F33/H33,  )</f>
        <v>11827.8201219512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8704609.67741936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647.129032258065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269842900</v>
      </c>
      <c r="D35" s="90"/>
      <c r="E35" s="91" t="n">
        <f aca="false">SUM(E3:E33)</f>
        <v>5420</v>
      </c>
      <c r="F35" s="92"/>
      <c r="G35" s="91" t="n">
        <f aca="false">SUM(G3:G33)</f>
        <v>20061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260000000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1.03785730769231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260000000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-9842900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269842900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9842900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8387096.77419355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8704609.67741936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317512.903225807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1.03785730769231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1.03785730769231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A1" activeCellId="0" sqref="A1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4.73"/>
    <col collapsed="false" customWidth="true" hidden="false" outlineLevel="0" max="6" min="6" style="0" width="13.53"/>
    <col collapsed="false" customWidth="true" hidden="false" outlineLevel="0" max="7" min="7" style="0" width="13.25"/>
  </cols>
  <sheetData>
    <row r="1" customFormat="false" ht="17.35" hidden="false" customHeight="false" outlineLevel="0" collapsed="false">
      <c r="A1" s="128" t="s">
        <v>61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6" t="s">
        <v>11</v>
      </c>
      <c r="B3" s="78" t="n">
        <v>45352</v>
      </c>
      <c r="C3" s="67" t="n">
        <v>6970700</v>
      </c>
      <c r="D3" s="79" t="n">
        <f aca="false">IF(C3&gt;0, C3,(G$42/(G$39-G$40)))</f>
        <v>6970700</v>
      </c>
      <c r="E3" s="69" t="n">
        <v>173</v>
      </c>
      <c r="F3" s="80" t="n">
        <f aca="false">IF(E3&gt;0,C3/E3, )</f>
        <v>40293.063583815</v>
      </c>
      <c r="G3" s="69" t="n">
        <v>571</v>
      </c>
      <c r="H3" s="80" t="n">
        <f aca="false">IF(G3&gt;0,G3/E3,  )</f>
        <v>3.30057803468208</v>
      </c>
      <c r="I3" s="80" t="n">
        <f aca="false">IF(H3&gt;0,F3/H3,  )</f>
        <v>12207.880910683</v>
      </c>
    </row>
    <row r="4" customFormat="false" ht="15" hidden="false" customHeight="false" outlineLevel="0" collapsed="false">
      <c r="A4" s="136" t="s">
        <v>12</v>
      </c>
      <c r="B4" s="78" t="n">
        <v>45353</v>
      </c>
      <c r="C4" s="67" t="n">
        <v>7826850</v>
      </c>
      <c r="D4" s="79" t="n">
        <f aca="false">IF(C4&gt;0, C4,(G$42/(G$39-G$40)))</f>
        <v>7826850</v>
      </c>
      <c r="E4" s="69" t="n">
        <f aca="false">34+140</f>
        <v>174</v>
      </c>
      <c r="F4" s="80" t="n">
        <f aca="false">IF(E4&gt;0,C4/E4, )</f>
        <v>44981.8965517241</v>
      </c>
      <c r="G4" s="69" t="n">
        <v>618</v>
      </c>
      <c r="H4" s="80" t="n">
        <f aca="false">IF(G4&gt;0,G4/E4,  )</f>
        <v>3.55172413793103</v>
      </c>
      <c r="I4" s="80" t="n">
        <f aca="false">IF(H4&gt;0,F4/H4,  )</f>
        <v>12664.8058252427</v>
      </c>
    </row>
    <row r="5" customFormat="false" ht="15" hidden="false" customHeight="false" outlineLevel="0" collapsed="false">
      <c r="A5" s="136" t="s">
        <v>13</v>
      </c>
      <c r="B5" s="78" t="n">
        <v>45354</v>
      </c>
      <c r="C5" s="67" t="n">
        <v>9270250</v>
      </c>
      <c r="D5" s="79" t="n">
        <f aca="false">IF(C5&gt;0, C5,(G$42/(G$39-G$40)))</f>
        <v>9270250</v>
      </c>
      <c r="E5" s="69" t="n">
        <f aca="false">149+31</f>
        <v>180</v>
      </c>
      <c r="F5" s="80" t="n">
        <f aca="false">IF(E5&gt;0,C5/E5, )</f>
        <v>51501.3888888889</v>
      </c>
      <c r="G5" s="69" t="n">
        <v>751</v>
      </c>
      <c r="H5" s="80" t="n">
        <f aca="false">IF(G5&gt;0,G5/E5,  )</f>
        <v>4.17222222222222</v>
      </c>
      <c r="I5" s="80" t="n">
        <f aca="false">IF(H5&gt;0,F5/H5,  )</f>
        <v>12343.8748335553</v>
      </c>
    </row>
    <row r="6" customFormat="false" ht="15" hidden="false" customHeight="false" outlineLevel="0" collapsed="false">
      <c r="A6" s="136" t="s">
        <v>14</v>
      </c>
      <c r="B6" s="78" t="n">
        <v>45355</v>
      </c>
      <c r="C6" s="67" t="n">
        <v>10359850</v>
      </c>
      <c r="D6" s="79" t="n">
        <f aca="false">IF(C6&gt;0, C6,(G$42/(G$39-G$40)))</f>
        <v>10359850</v>
      </c>
      <c r="E6" s="69" t="n">
        <v>199</v>
      </c>
      <c r="F6" s="80" t="n">
        <f aca="false">IF(E6&gt;0,C6/E6, )</f>
        <v>52059.5477386935</v>
      </c>
      <c r="G6" s="69" t="n">
        <v>739</v>
      </c>
      <c r="H6" s="80" t="n">
        <f aca="false">IF(G6&gt;0,G6/E6,  )</f>
        <v>3.71356783919598</v>
      </c>
      <c r="I6" s="80" t="n">
        <f aca="false">IF(H6&gt;0,F6/H6,  )</f>
        <v>14018.7415426252</v>
      </c>
    </row>
    <row r="7" customFormat="false" ht="15" hidden="false" customHeight="false" outlineLevel="0" collapsed="false">
      <c r="A7" s="136" t="s">
        <v>15</v>
      </c>
      <c r="B7" s="78" t="n">
        <v>45356</v>
      </c>
      <c r="C7" s="67" t="n">
        <v>8670400</v>
      </c>
      <c r="D7" s="79" t="n">
        <f aca="false">IF(C7&gt;0, C7,(G$42/(G$39-G$40)))</f>
        <v>8670400</v>
      </c>
      <c r="E7" s="69" t="n">
        <v>178</v>
      </c>
      <c r="F7" s="80" t="n">
        <f aca="false">IF(E7&gt;0,C7/E7, )</f>
        <v>48710.1123595506</v>
      </c>
      <c r="G7" s="69" t="n">
        <v>672</v>
      </c>
      <c r="H7" s="80" t="n">
        <f aca="false">IF(G7&gt;0,G7/E7,  )</f>
        <v>3.7752808988764</v>
      </c>
      <c r="I7" s="80" t="n">
        <f aca="false">IF(H7&gt;0,F7/H7,  )</f>
        <v>12902.380952381</v>
      </c>
    </row>
    <row r="8" customFormat="false" ht="15" hidden="false" customHeight="false" outlineLevel="0" collapsed="false">
      <c r="A8" s="136" t="s">
        <v>16</v>
      </c>
      <c r="B8" s="78" t="n">
        <v>45357</v>
      </c>
      <c r="C8" s="67" t="n">
        <v>9818800</v>
      </c>
      <c r="D8" s="79" t="n">
        <f aca="false">IF(C8&gt;0, C8,(G$42/(G$39-G$40)))</f>
        <v>9818800</v>
      </c>
      <c r="E8" s="69" t="n">
        <v>196</v>
      </c>
      <c r="F8" s="80" t="n">
        <f aca="false">IF(E8&gt;0,C8/E8, )</f>
        <v>50095.9183673469</v>
      </c>
      <c r="G8" s="69" t="n">
        <v>743</v>
      </c>
      <c r="H8" s="80" t="n">
        <f aca="false">IF(G8&gt;0,G8/E8,  )</f>
        <v>3.79081632653061</v>
      </c>
      <c r="I8" s="80" t="n">
        <f aca="false">IF(H8&gt;0,F8/H8,  )</f>
        <v>13215.0740242261</v>
      </c>
    </row>
    <row r="9" customFormat="false" ht="15" hidden="false" customHeight="false" outlineLevel="0" collapsed="false">
      <c r="A9" s="136" t="s">
        <v>17</v>
      </c>
      <c r="B9" s="78" t="n">
        <v>45358</v>
      </c>
      <c r="C9" s="67" t="n">
        <v>9885500</v>
      </c>
      <c r="D9" s="79" t="n">
        <f aca="false">IF(C9&gt;0, C9,(G$42/(G$39-G$40)))</f>
        <v>9885500</v>
      </c>
      <c r="E9" s="69" t="n">
        <v>175</v>
      </c>
      <c r="F9" s="80" t="n">
        <f aca="false">IF(E9&gt;0,C9/E9, )</f>
        <v>56488.5714285714</v>
      </c>
      <c r="G9" s="69" t="n">
        <v>697</v>
      </c>
      <c r="H9" s="80" t="n">
        <f aca="false">IF(G9&gt;0,G9/E9,  )</f>
        <v>3.98285714285714</v>
      </c>
      <c r="I9" s="80" t="n">
        <f aca="false">IF(H9&gt;0,F9/H9,  )</f>
        <v>14182.9268292683</v>
      </c>
    </row>
    <row r="10" customFormat="false" ht="15" hidden="false" customHeight="false" outlineLevel="0" collapsed="false">
      <c r="A10" s="136" t="s">
        <v>39</v>
      </c>
      <c r="B10" s="78" t="n">
        <v>45359</v>
      </c>
      <c r="C10" s="67" t="n">
        <v>7930400</v>
      </c>
      <c r="D10" s="79" t="n">
        <f aca="false">IF(C10&gt;0, C10,(G$42/(G$39-G$40)))</f>
        <v>7930400</v>
      </c>
      <c r="E10" s="69" t="n">
        <v>186</v>
      </c>
      <c r="F10" s="80" t="n">
        <f aca="false">IF(E10&gt;0,C10/E10, )</f>
        <v>42636.5591397849</v>
      </c>
      <c r="G10" s="69" t="n">
        <v>620</v>
      </c>
      <c r="H10" s="80" t="n">
        <f aca="false">IF(G10&gt;0,G10/E10,  )</f>
        <v>3.33333333333333</v>
      </c>
      <c r="I10" s="80" t="n">
        <f aca="false">IF(H10&gt;0,F10/H10,  )</f>
        <v>12790.9677419355</v>
      </c>
    </row>
    <row r="11" customFormat="false" ht="15" hidden="false" customHeight="false" outlineLevel="0" collapsed="false">
      <c r="A11" s="136" t="s">
        <v>40</v>
      </c>
      <c r="B11" s="78" t="n">
        <v>45360</v>
      </c>
      <c r="C11" s="67" t="n">
        <v>10933600</v>
      </c>
      <c r="D11" s="79" t="n">
        <f aca="false">IF(C11&gt;0, C11,(G$42/(G$39-G$40)))</f>
        <v>10933600</v>
      </c>
      <c r="E11" s="69" t="n">
        <v>197</v>
      </c>
      <c r="F11" s="80" t="n">
        <f aca="false">IF(E11&gt;0,C11/E11, )</f>
        <v>55500.5076142132</v>
      </c>
      <c r="G11" s="69" t="n">
        <v>805</v>
      </c>
      <c r="H11" s="80" t="n">
        <f aca="false">IF(G11&gt;0,G11/E11,  )</f>
        <v>4.08629441624366</v>
      </c>
      <c r="I11" s="80" t="n">
        <f aca="false">IF(H11&gt;0,F11/H11,  )</f>
        <v>13582.1118012422</v>
      </c>
    </row>
    <row r="12" customFormat="false" ht="15" hidden="false" customHeight="false" outlineLevel="0" collapsed="false">
      <c r="A12" s="136" t="s">
        <v>41</v>
      </c>
      <c r="B12" s="78" t="n">
        <v>45361</v>
      </c>
      <c r="C12" s="67" t="n">
        <v>10187850</v>
      </c>
      <c r="D12" s="79" t="n">
        <f aca="false">IF(C12&gt;0, C12,(G$42/(G$39-G$40)))</f>
        <v>10187850</v>
      </c>
      <c r="E12" s="69" t="n">
        <v>183</v>
      </c>
      <c r="F12" s="80" t="n">
        <f aca="false">IF(E12&gt;0,C12/E12, )</f>
        <v>55671.3114754098</v>
      </c>
      <c r="G12" s="69" t="n">
        <v>664</v>
      </c>
      <c r="H12" s="80" t="n">
        <f aca="false">IF(G12&gt;0,G12/E12,  )</f>
        <v>3.62841530054645</v>
      </c>
      <c r="I12" s="80" t="n">
        <f aca="false">IF(H12&gt;0,F12/H12,  )</f>
        <v>15343.1475903614</v>
      </c>
    </row>
    <row r="13" customFormat="false" ht="15" hidden="false" customHeight="false" outlineLevel="0" collapsed="false">
      <c r="A13" s="136" t="s">
        <v>42</v>
      </c>
      <c r="B13" s="78" t="n">
        <v>45362</v>
      </c>
      <c r="C13" s="67" t="n">
        <v>8235250</v>
      </c>
      <c r="D13" s="79" t="n">
        <f aca="false">IF(C13&gt;0, C13,(G$42/(G$39-G$40)))</f>
        <v>8235250</v>
      </c>
      <c r="E13" s="69" t="n">
        <v>188</v>
      </c>
      <c r="F13" s="80" t="n">
        <f aca="false">IF(E13&gt;0,C13/E13, )</f>
        <v>43804.5212765957</v>
      </c>
      <c r="G13" s="69" t="n">
        <v>637</v>
      </c>
      <c r="H13" s="80" t="n">
        <f aca="false">IF(G13&gt;0,G13/E13,  )</f>
        <v>3.38829787234043</v>
      </c>
      <c r="I13" s="80" t="n">
        <f aca="false">IF(H13&gt;0,F13/H13,  )</f>
        <v>12928.1789638933</v>
      </c>
    </row>
    <row r="14" customFormat="false" ht="15" hidden="false" customHeight="false" outlineLevel="0" collapsed="false">
      <c r="A14" s="136" t="s">
        <v>43</v>
      </c>
      <c r="B14" s="78" t="n">
        <v>45363</v>
      </c>
      <c r="C14" s="67" t="n">
        <v>22269950</v>
      </c>
      <c r="D14" s="79" t="n">
        <f aca="false">IF(C14&gt;0, C14,(G$42/(G$39-G$40)))</f>
        <v>22269950</v>
      </c>
      <c r="E14" s="69" t="n">
        <v>290</v>
      </c>
      <c r="F14" s="80" t="n">
        <f aca="false">IF(E14&gt;0,C14/E14, )</f>
        <v>76792.9310344828</v>
      </c>
      <c r="G14" s="69" t="n">
        <v>1800</v>
      </c>
      <c r="H14" s="80" t="n">
        <f aca="false">IF(G14&gt;0,G14/E14,  )</f>
        <v>6.20689655172414</v>
      </c>
      <c r="I14" s="80" t="n">
        <f aca="false">IF(H14&gt;0,F14/H14,  )</f>
        <v>12372.1944444444</v>
      </c>
    </row>
    <row r="15" customFormat="false" ht="15" hidden="false" customHeight="false" outlineLevel="0" collapsed="false">
      <c r="A15" s="136" t="s">
        <v>44</v>
      </c>
      <c r="B15" s="78" t="n">
        <v>45364</v>
      </c>
      <c r="C15" s="67" t="n">
        <v>6298700</v>
      </c>
      <c r="D15" s="79" t="n">
        <f aca="false">IF(C15&gt;0, C15,(G$42/(G$39-G$40)))</f>
        <v>6298700</v>
      </c>
      <c r="E15" s="69" t="n">
        <v>167</v>
      </c>
      <c r="F15" s="80" t="n">
        <f aca="false">IF(E15&gt;0,C15/E15, )</f>
        <v>37716.7664670659</v>
      </c>
      <c r="G15" s="69" t="n">
        <v>512</v>
      </c>
      <c r="H15" s="80" t="n">
        <f aca="false">IF(G15&gt;0,G15/E15,  )</f>
        <v>3.06586826347305</v>
      </c>
      <c r="I15" s="80" t="n">
        <f aca="false">IF(H15&gt;0,F15/H15,  )</f>
        <v>12302.1484375</v>
      </c>
    </row>
    <row r="16" customFormat="false" ht="15" hidden="false" customHeight="false" outlineLevel="0" collapsed="false">
      <c r="A16" s="136" t="s">
        <v>38</v>
      </c>
      <c r="B16" s="78" t="n">
        <v>45365</v>
      </c>
      <c r="C16" s="67" t="n">
        <v>6911650</v>
      </c>
      <c r="D16" s="79" t="n">
        <f aca="false">IF(C16&gt;0, C16,(G$42/(G$39-G$40)))</f>
        <v>6911650</v>
      </c>
      <c r="E16" s="69" t="n">
        <v>154</v>
      </c>
      <c r="F16" s="80" t="n">
        <f aca="false">IF(E16&gt;0,C16/E16, )</f>
        <v>44880.8441558442</v>
      </c>
      <c r="G16" s="69" t="n">
        <v>500</v>
      </c>
      <c r="H16" s="80" t="n">
        <f aca="false">IF(G16&gt;0,G16/E16,  )</f>
        <v>3.24675324675325</v>
      </c>
      <c r="I16" s="80" t="n">
        <f aca="false">IF(H16&gt;0,F16/H16,  )</f>
        <v>13823.3</v>
      </c>
    </row>
    <row r="17" customFormat="false" ht="15" hidden="false" customHeight="false" outlineLevel="0" collapsed="false">
      <c r="A17" s="136" t="s">
        <v>39</v>
      </c>
      <c r="B17" s="78" t="n">
        <v>45366</v>
      </c>
      <c r="C17" s="67" t="n">
        <v>7358000</v>
      </c>
      <c r="D17" s="79" t="n">
        <f aca="false">IF(C17&gt;0, C17,(G$42/(G$39-G$40)))</f>
        <v>7358000</v>
      </c>
      <c r="E17" s="69" t="n">
        <v>183</v>
      </c>
      <c r="F17" s="80" t="n">
        <f aca="false">IF(E17&gt;0,C17/E17, )</f>
        <v>40207.650273224</v>
      </c>
      <c r="G17" s="69" t="n">
        <v>657</v>
      </c>
      <c r="H17" s="80" t="n">
        <f aca="false">IF(G17&gt;0,G17/E17,  )</f>
        <v>3.59016393442623</v>
      </c>
      <c r="I17" s="80" t="n">
        <f aca="false">IF(H17&gt;0,F17/H17,  )</f>
        <v>11199.3911719939</v>
      </c>
    </row>
    <row r="18" customFormat="false" ht="15" hidden="false" customHeight="false" outlineLevel="0" collapsed="false">
      <c r="A18" s="136" t="s">
        <v>40</v>
      </c>
      <c r="B18" s="78" t="n">
        <v>45367</v>
      </c>
      <c r="C18" s="67" t="n">
        <v>7624800</v>
      </c>
      <c r="D18" s="79" t="n">
        <f aca="false">IF(C18&gt;0, C18,(G$42/(G$39-G$40)))</f>
        <v>7624800</v>
      </c>
      <c r="E18" s="69" t="n">
        <v>162</v>
      </c>
      <c r="F18" s="80" t="n">
        <f aca="false">IF(E18&gt;0,C18/E18, )</f>
        <v>47066.6666666667</v>
      </c>
      <c r="G18" s="69" t="n">
        <v>538</v>
      </c>
      <c r="H18" s="80" t="n">
        <f aca="false">IF(G18&gt;0,G18/E18,  )</f>
        <v>3.32098765432099</v>
      </c>
      <c r="I18" s="80" t="n">
        <f aca="false">IF(H18&gt;0,F18/H18,  )</f>
        <v>14172.4907063197</v>
      </c>
    </row>
    <row r="19" customFormat="false" ht="15" hidden="false" customHeight="false" outlineLevel="0" collapsed="false">
      <c r="A19" s="136" t="s">
        <v>41</v>
      </c>
      <c r="B19" s="78" t="n">
        <v>45368</v>
      </c>
      <c r="C19" s="67" t="n">
        <v>7324850</v>
      </c>
      <c r="D19" s="79" t="n">
        <f aca="false">IF(C19&gt;0, C19,(G$42/(G$39-G$40)))</f>
        <v>7324850</v>
      </c>
      <c r="E19" s="69" t="n">
        <v>186</v>
      </c>
      <c r="F19" s="80" t="n">
        <f aca="false">IF(E19&gt;0,C19/E19, )</f>
        <v>39380.9139784946</v>
      </c>
      <c r="G19" s="69" t="n">
        <v>593</v>
      </c>
      <c r="H19" s="80" t="n">
        <f aca="false">IF(G19&gt;0,G19/E19,  )</f>
        <v>3.18817204301075</v>
      </c>
      <c r="I19" s="80" t="n">
        <f aca="false">IF(H19&gt;0,F19/H19,  )</f>
        <v>12352.1922428331</v>
      </c>
    </row>
    <row r="20" customFormat="false" ht="15" hidden="false" customHeight="false" outlineLevel="0" collapsed="false">
      <c r="A20" s="136" t="s">
        <v>42</v>
      </c>
      <c r="B20" s="78" t="n">
        <v>45369</v>
      </c>
      <c r="C20" s="67" t="n">
        <v>7271750</v>
      </c>
      <c r="D20" s="79" t="n">
        <f aca="false">IF(C20&gt;0, C20,(G$42/(G$39-G$40)))</f>
        <v>7271750</v>
      </c>
      <c r="E20" s="69" t="n">
        <v>172</v>
      </c>
      <c r="F20" s="80" t="n">
        <f aca="false">IF(E20&gt;0,C20/E20, )</f>
        <v>42277.6162790698</v>
      </c>
      <c r="G20" s="69" t="n">
        <v>594</v>
      </c>
      <c r="H20" s="80" t="n">
        <f aca="false">IF(G20&gt;0,G20/E20,  )</f>
        <v>3.45348837209302</v>
      </c>
      <c r="I20" s="80" t="n">
        <f aca="false">IF(H20&gt;0,F20/H20,  )</f>
        <v>12242.0033670034</v>
      </c>
    </row>
    <row r="21" customFormat="false" ht="15" hidden="false" customHeight="false" outlineLevel="0" collapsed="false">
      <c r="A21" s="136" t="s">
        <v>43</v>
      </c>
      <c r="B21" s="78" t="n">
        <v>45370</v>
      </c>
      <c r="C21" s="67" t="n">
        <v>7159250</v>
      </c>
      <c r="D21" s="79" t="n">
        <f aca="false">IF(C21&gt;0, C21,(G$42/(G$39-G$40)))</f>
        <v>7159250</v>
      </c>
      <c r="E21" s="69" t="n">
        <v>183</v>
      </c>
      <c r="F21" s="80" t="n">
        <f aca="false">IF(E21&gt;0,C21/E21, )</f>
        <v>39121.5846994536</v>
      </c>
      <c r="G21" s="69" t="n">
        <v>562</v>
      </c>
      <c r="H21" s="80" t="n">
        <f aca="false">IF(G21&gt;0,G21/E21,  )</f>
        <v>3.07103825136612</v>
      </c>
      <c r="I21" s="80" t="n">
        <f aca="false">IF(H21&gt;0,F21/H21,  )</f>
        <v>12738.8790035587</v>
      </c>
    </row>
    <row r="22" customFormat="false" ht="15" hidden="false" customHeight="false" outlineLevel="0" collapsed="false">
      <c r="A22" s="136" t="s">
        <v>44</v>
      </c>
      <c r="B22" s="78" t="n">
        <v>45371</v>
      </c>
      <c r="C22" s="67" t="n">
        <v>8587450</v>
      </c>
      <c r="D22" s="79" t="n">
        <f aca="false">IF(C22&gt;0, C22,(G$42/(G$39-G$40)))</f>
        <v>8587450</v>
      </c>
      <c r="E22" s="69" t="n">
        <v>201</v>
      </c>
      <c r="F22" s="80" t="n">
        <f aca="false">IF(E22&gt;0,C22/E22, )</f>
        <v>42723.631840796</v>
      </c>
      <c r="G22" s="138" t="n">
        <v>704</v>
      </c>
      <c r="H22" s="80" t="n">
        <f aca="false">IF(G22&gt;0,G22/E22,  )</f>
        <v>3.50248756218905</v>
      </c>
      <c r="I22" s="80" t="n">
        <f aca="false">IF(H22&gt;0,F22/H22,  )</f>
        <v>12198.0823863636</v>
      </c>
    </row>
    <row r="23" customFormat="false" ht="15" hidden="false" customHeight="false" outlineLevel="0" collapsed="false">
      <c r="A23" s="136" t="s">
        <v>38</v>
      </c>
      <c r="B23" s="78" t="n">
        <v>45372</v>
      </c>
      <c r="C23" s="67" t="n">
        <v>7314200</v>
      </c>
      <c r="D23" s="79" t="n">
        <f aca="false">IF(C23&gt;0, C23,(G$42/(G$39-G$40)))</f>
        <v>7314200</v>
      </c>
      <c r="E23" s="69" t="n">
        <v>151</v>
      </c>
      <c r="F23" s="80" t="n">
        <f aca="false">IF(E23&gt;0,C23/E23, )</f>
        <v>48438.4105960265</v>
      </c>
      <c r="G23" s="69" t="n">
        <v>547</v>
      </c>
      <c r="H23" s="80" t="n">
        <f aca="false">IF(G23&gt;0,G23/E23,  )</f>
        <v>3.62251655629139</v>
      </c>
      <c r="I23" s="80" t="n">
        <f aca="false">IF(H23&gt;0,F23/H23,  )</f>
        <v>13371.4808043876</v>
      </c>
    </row>
    <row r="24" customFormat="false" ht="15" hidden="false" customHeight="false" outlineLevel="0" collapsed="false">
      <c r="A24" s="136" t="s">
        <v>39</v>
      </c>
      <c r="B24" s="78" t="n">
        <v>45373</v>
      </c>
      <c r="C24" s="67" t="n">
        <v>6872800</v>
      </c>
      <c r="D24" s="79" t="n">
        <f aca="false">IF(C24&gt;0, C24,(G$42/(G$39-G$40)))</f>
        <v>6872800</v>
      </c>
      <c r="E24" s="69" t="n">
        <v>186</v>
      </c>
      <c r="F24" s="80" t="n">
        <f aca="false">IF(E24&gt;0,C24/E24, )</f>
        <v>36950.5376344086</v>
      </c>
      <c r="G24" s="69" t="n">
        <v>555</v>
      </c>
      <c r="H24" s="80" t="n">
        <f aca="false">IF(G24&gt;0,G24/E24,  )</f>
        <v>2.98387096774194</v>
      </c>
      <c r="I24" s="80" t="n">
        <f aca="false">IF(H24&gt;0,F24/H24,  )</f>
        <v>12383.4234234234</v>
      </c>
    </row>
    <row r="25" customFormat="false" ht="15" hidden="false" customHeight="false" outlineLevel="0" collapsed="false">
      <c r="A25" s="136" t="s">
        <v>40</v>
      </c>
      <c r="B25" s="78" t="n">
        <v>45374</v>
      </c>
      <c r="C25" s="67" t="n">
        <v>7047600</v>
      </c>
      <c r="D25" s="79" t="n">
        <f aca="false">IF(C25&gt;0, C25,(G$42/(G$39-G$40)))</f>
        <v>7047600</v>
      </c>
      <c r="E25" s="69" t="n">
        <v>199</v>
      </c>
      <c r="F25" s="80" t="n">
        <f aca="false">IF(E25&gt;0,C25/E25, )</f>
        <v>35415.0753768844</v>
      </c>
      <c r="G25" s="69" t="n">
        <v>616</v>
      </c>
      <c r="H25" s="80" t="n">
        <f aca="false">IF(G25&gt;0,G25/E25,  )</f>
        <v>3.09547738693467</v>
      </c>
      <c r="I25" s="80" t="n">
        <f aca="false">IF(H25&gt;0,F25/H25,  )</f>
        <v>11440.9090909091</v>
      </c>
    </row>
    <row r="26" customFormat="false" ht="15" hidden="false" customHeight="false" outlineLevel="0" collapsed="false">
      <c r="A26" s="136" t="s">
        <v>41</v>
      </c>
      <c r="B26" s="78" t="n">
        <v>45375</v>
      </c>
      <c r="C26" s="67" t="n">
        <v>7068400</v>
      </c>
      <c r="D26" s="79" t="n">
        <f aca="false">IF(C26&gt;0, C26,(G$42/(G$39-G$40)))</f>
        <v>7068400</v>
      </c>
      <c r="E26" s="69" t="n">
        <v>180</v>
      </c>
      <c r="F26" s="80" t="n">
        <f aca="false">IF(E26&gt;0,C26/E26, )</f>
        <v>39268.8888888889</v>
      </c>
      <c r="G26" s="69" t="n">
        <v>632</v>
      </c>
      <c r="H26" s="80" t="n">
        <f aca="false">IF(G26&gt;0,G26/E26,  )</f>
        <v>3.51111111111111</v>
      </c>
      <c r="I26" s="80" t="n">
        <f aca="false">IF(H26&gt;0,F26/H26,  )</f>
        <v>11184.1772151899</v>
      </c>
    </row>
    <row r="27" customFormat="false" ht="15" hidden="false" customHeight="false" outlineLevel="0" collapsed="false">
      <c r="A27" s="136" t="s">
        <v>42</v>
      </c>
      <c r="B27" s="78" t="n">
        <v>45376</v>
      </c>
      <c r="C27" s="67" t="n">
        <v>6729850</v>
      </c>
      <c r="D27" s="79" t="n">
        <f aca="false">IF(C27&gt;0, C27,(G$42/(G$39-G$40)))</f>
        <v>6729850</v>
      </c>
      <c r="E27" s="69" t="n">
        <v>179</v>
      </c>
      <c r="F27" s="80" t="n">
        <f aca="false">IF(E27&gt;0,C27/E27, )</f>
        <v>37596.9273743017</v>
      </c>
      <c r="G27" s="69" t="n">
        <v>560</v>
      </c>
      <c r="H27" s="80" t="n">
        <f aca="false">IF(G27&gt;0,G27/E27,  )</f>
        <v>3.12849162011173</v>
      </c>
      <c r="I27" s="80" t="n">
        <f aca="false">IF(H27&gt;0,F27/H27,  )</f>
        <v>12017.5892857143</v>
      </c>
    </row>
    <row r="28" customFormat="false" ht="15" hidden="false" customHeight="false" outlineLevel="0" collapsed="false">
      <c r="A28" s="136" t="s">
        <v>43</v>
      </c>
      <c r="B28" s="78" t="n">
        <v>45377</v>
      </c>
      <c r="C28" s="67" t="n">
        <v>6008200</v>
      </c>
      <c r="D28" s="79" t="n">
        <f aca="false">IF(C28&gt;0, C28,(G$42/(G$39-G$40)))</f>
        <v>6008200</v>
      </c>
      <c r="E28" s="69" t="n">
        <v>167</v>
      </c>
      <c r="F28" s="80" t="n">
        <f aca="false">IF(E28&gt;0,C28/E28, )</f>
        <v>35977.245508982</v>
      </c>
      <c r="G28" s="69" t="n">
        <v>490</v>
      </c>
      <c r="H28" s="80" t="n">
        <f aca="false">IF(G28&gt;0,G28/E28,  )</f>
        <v>2.93413173652695</v>
      </c>
      <c r="I28" s="80" t="n">
        <f aca="false">IF(H28&gt;0,F28/H28,  )</f>
        <v>12261.6326530612</v>
      </c>
    </row>
    <row r="29" customFormat="false" ht="15" hidden="false" customHeight="false" outlineLevel="0" collapsed="false">
      <c r="A29" s="136" t="s">
        <v>60</v>
      </c>
      <c r="B29" s="78" t="n">
        <v>45378</v>
      </c>
      <c r="C29" s="67" t="n">
        <v>6080000</v>
      </c>
      <c r="D29" s="79" t="n">
        <f aca="false">IF(C29&gt;0, C29,(G$42/(G$39-G$40)))</f>
        <v>6080000</v>
      </c>
      <c r="E29" s="69" t="n">
        <v>158</v>
      </c>
      <c r="F29" s="80" t="n">
        <f aca="false">IF(E29&gt;0,C29/E29, )</f>
        <v>38481.0126582278</v>
      </c>
      <c r="G29" s="69" t="n">
        <v>494</v>
      </c>
      <c r="H29" s="80" t="n">
        <f aca="false">IF(G29&gt;0,G29/E29,  )</f>
        <v>3.12658227848101</v>
      </c>
      <c r="I29" s="80" t="n">
        <f aca="false">IF(H29&gt;0,F29/H29,  )</f>
        <v>12307.6923076923</v>
      </c>
    </row>
    <row r="30" customFormat="false" ht="15" hidden="false" customHeight="false" outlineLevel="0" collapsed="false">
      <c r="A30" s="136" t="s">
        <v>17</v>
      </c>
      <c r="B30" s="78" t="n">
        <v>45379</v>
      </c>
      <c r="C30" s="67" t="n">
        <v>5768500</v>
      </c>
      <c r="D30" s="79" t="n">
        <f aca="false">IF(C30&gt;0, C30,(G$42/(G$39-G$40)))</f>
        <v>5768500</v>
      </c>
      <c r="E30" s="69" t="n">
        <v>156</v>
      </c>
      <c r="F30" s="80" t="n">
        <f aca="false">IF(E30&gt;0,C30/E30, )</f>
        <v>36977.5641025641</v>
      </c>
      <c r="G30" s="69" t="n">
        <v>466</v>
      </c>
      <c r="H30" s="80" t="n">
        <f aca="false">IF(G30&gt;0,G30/E30,  )</f>
        <v>2.98717948717949</v>
      </c>
      <c r="I30" s="80" t="n">
        <f aca="false">IF(H30&gt;0,F30/H30,  )</f>
        <v>12378.7553648069</v>
      </c>
    </row>
    <row r="31" customFormat="false" ht="15" hidden="false" customHeight="false" outlineLevel="0" collapsed="false">
      <c r="A31" s="136" t="s">
        <v>11</v>
      </c>
      <c r="B31" s="78" t="n">
        <v>45380</v>
      </c>
      <c r="C31" s="67" t="n">
        <v>6568850</v>
      </c>
      <c r="D31" s="79" t="n">
        <f aca="false">IF(C31&gt;0, C31,(G$42/(G$39-G$40)))</f>
        <v>6568850</v>
      </c>
      <c r="E31" s="69" t="n">
        <f aca="false">12+147</f>
        <v>159</v>
      </c>
      <c r="F31" s="80" t="n">
        <f aca="false">IF(E31&gt;0,C31/E31, )</f>
        <v>41313.5220125786</v>
      </c>
      <c r="G31" s="69" t="n">
        <v>503</v>
      </c>
      <c r="H31" s="80" t="n">
        <f aca="false">IF(G31&gt;0,G31/E31,  )</f>
        <v>3.16352201257862</v>
      </c>
      <c r="I31" s="80" t="n">
        <f aca="false">IF(H31&gt;0,F31/H31,  )</f>
        <v>13059.3439363817</v>
      </c>
    </row>
    <row r="32" customFormat="false" ht="15" hidden="false" customHeight="false" outlineLevel="0" collapsed="false">
      <c r="A32" s="136" t="s">
        <v>12</v>
      </c>
      <c r="B32" s="78" t="n">
        <v>45381</v>
      </c>
      <c r="C32" s="67" t="n">
        <v>6662350</v>
      </c>
      <c r="D32" s="79" t="n">
        <f aca="false">IF(C32&gt;0, C32,(G$42/(G$39-G$40)))</f>
        <v>6662350</v>
      </c>
      <c r="E32" s="69" t="n">
        <v>184</v>
      </c>
      <c r="F32" s="80" t="n">
        <f aca="false">IF(E32&gt;0,C32/E32, )</f>
        <v>36208.4239130435</v>
      </c>
      <c r="G32" s="69" t="n">
        <v>701</v>
      </c>
      <c r="H32" s="80" t="n">
        <f aca="false">IF(G32&gt;0,G32/E32,  )</f>
        <v>3.80978260869565</v>
      </c>
      <c r="I32" s="80" t="n">
        <f aca="false">IF(H32&gt;0,F32/H32,  )</f>
        <v>9504.06562054208</v>
      </c>
    </row>
    <row r="33" customFormat="false" ht="15" hidden="false" customHeight="false" outlineLevel="0" collapsed="false">
      <c r="A33" s="136"/>
      <c r="B33" s="78"/>
      <c r="C33" s="67"/>
      <c r="D33" s="79" t="e">
        <f aca="false">IF(C33&gt;0, C33,(G$42/(G$39-G$40)))</f>
        <v>#DIV/0!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8233886.66666667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651.366666666667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247016600</v>
      </c>
      <c r="D35" s="90"/>
      <c r="E35" s="91" t="n">
        <f aca="false">SUM(E3:E33)</f>
        <v>5446</v>
      </c>
      <c r="F35" s="92"/>
      <c r="G35" s="91" t="n">
        <f aca="false">SUM(G3:G33)</f>
        <v>19541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305000000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0.809890491803279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30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30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305000000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57983400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247016600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-57983400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10166666.6666667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8233886.66666667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-1932780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0.809890491803279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0.809890491803279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2.53"/>
  </cols>
  <sheetData>
    <row r="1" customFormat="false" ht="17.35" hidden="false" customHeight="false" outlineLevel="0" collapsed="false">
      <c r="A1" s="128" t="s">
        <v>61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6" t="s">
        <v>13</v>
      </c>
      <c r="B3" s="78" t="n">
        <v>45413</v>
      </c>
      <c r="C3" s="67" t="n">
        <v>6662350</v>
      </c>
      <c r="D3" s="79" t="n">
        <f aca="false">IF(C3&gt;0, C3,(G$42/(G$39-G$40)))</f>
        <v>6662350</v>
      </c>
      <c r="E3" s="69" t="n">
        <f aca="false">183+1</f>
        <v>184</v>
      </c>
      <c r="F3" s="80" t="n">
        <f aca="false">IF(E3&gt;0,C3/E3, )</f>
        <v>36208.4239130435</v>
      </c>
      <c r="G3" s="69" t="n">
        <v>550</v>
      </c>
      <c r="H3" s="80" t="n">
        <f aca="false">IF(G3&gt;0,G3/E3,  )</f>
        <v>2.98913043478261</v>
      </c>
      <c r="I3" s="80" t="n">
        <f aca="false">IF(H3&gt;0,F3/H3,  )</f>
        <v>12113.3636363636</v>
      </c>
    </row>
    <row r="4" customFormat="false" ht="15" hidden="false" customHeight="false" outlineLevel="0" collapsed="false">
      <c r="A4" s="136" t="s">
        <v>14</v>
      </c>
      <c r="B4" s="78" t="n">
        <v>45414</v>
      </c>
      <c r="C4" s="67" t="n">
        <v>6362800</v>
      </c>
      <c r="D4" s="79" t="n">
        <f aca="false">IF(C4&gt;0, C4,(G$42/(G$39-G$40)))</f>
        <v>6362800</v>
      </c>
      <c r="E4" s="69" t="n">
        <v>156</v>
      </c>
      <c r="F4" s="80" t="n">
        <f aca="false">IF(E4&gt;0,C4/E4, )</f>
        <v>40787.1794871795</v>
      </c>
      <c r="G4" s="69" t="n">
        <v>505</v>
      </c>
      <c r="H4" s="80" t="n">
        <f aca="false">IF(G4&gt;0,G4/E4,  )</f>
        <v>3.23717948717949</v>
      </c>
      <c r="I4" s="80" t="n">
        <f aca="false">IF(H4&gt;0,F4/H4,  )</f>
        <v>12599.603960396</v>
      </c>
    </row>
    <row r="5" customFormat="false" ht="15" hidden="false" customHeight="false" outlineLevel="0" collapsed="false">
      <c r="A5" s="136" t="s">
        <v>15</v>
      </c>
      <c r="B5" s="78" t="n">
        <v>45415</v>
      </c>
      <c r="C5" s="67" t="n">
        <v>10660700</v>
      </c>
      <c r="D5" s="79" t="n">
        <f aca="false">IF(C5&gt;0, C5,(G$42/(G$39-G$40)))</f>
        <v>10660700</v>
      </c>
      <c r="E5" s="69" t="n">
        <f aca="false">204+15</f>
        <v>219</v>
      </c>
      <c r="F5" s="80" t="n">
        <f aca="false">IF(E5&gt;0,C5/E5, )</f>
        <v>48678.99543379</v>
      </c>
      <c r="G5" s="69" t="n">
        <v>812</v>
      </c>
      <c r="H5" s="80" t="n">
        <f aca="false">IF(G5&gt;0,G5/E5,  )</f>
        <v>3.70776255707763</v>
      </c>
      <c r="I5" s="80" t="n">
        <f aca="false">IF(H5&gt;0,F5/H5,  )</f>
        <v>13128.9408866995</v>
      </c>
    </row>
    <row r="6" customFormat="false" ht="15" hidden="false" customHeight="false" outlineLevel="0" collapsed="false">
      <c r="A6" s="136" t="s">
        <v>16</v>
      </c>
      <c r="B6" s="78" t="n">
        <v>45416</v>
      </c>
      <c r="C6" s="67" t="n">
        <v>9228550</v>
      </c>
      <c r="D6" s="79" t="n">
        <f aca="false">IF(C6&gt;0, C6,(G$42/(G$39-G$40)))</f>
        <v>9228550</v>
      </c>
      <c r="E6" s="69" t="n">
        <v>189</v>
      </c>
      <c r="F6" s="80" t="n">
        <f aca="false">IF(E6&gt;0,C6/E6, )</f>
        <v>48828.3068783069</v>
      </c>
      <c r="G6" s="69" t="n">
        <v>740</v>
      </c>
      <c r="H6" s="80" t="n">
        <f aca="false">IF(G6&gt;0,G6/E6,  )</f>
        <v>3.91534391534392</v>
      </c>
      <c r="I6" s="80" t="n">
        <f aca="false">IF(H6&gt;0,F6/H6,  )</f>
        <v>12471.0135135135</v>
      </c>
    </row>
    <row r="7" customFormat="false" ht="15" hidden="false" customHeight="false" outlineLevel="0" collapsed="false">
      <c r="A7" s="136" t="s">
        <v>17</v>
      </c>
      <c r="B7" s="78" t="n">
        <v>45417</v>
      </c>
      <c r="C7" s="67" t="n">
        <v>8612200</v>
      </c>
      <c r="D7" s="79" t="n">
        <f aca="false">IF(C7&gt;0, C7,(G$42/(G$39-G$40)))</f>
        <v>8612200</v>
      </c>
      <c r="E7" s="69" t="n">
        <v>165</v>
      </c>
      <c r="F7" s="80" t="n">
        <f aca="false">IF(E7&gt;0,C7/E7, )</f>
        <v>52195.1515151515</v>
      </c>
      <c r="G7" s="69" t="n">
        <v>645</v>
      </c>
      <c r="H7" s="80" t="n">
        <f aca="false">IF(G7&gt;0,G7/E7,  )</f>
        <v>3.90909090909091</v>
      </c>
      <c r="I7" s="80" t="n">
        <f aca="false">IF(H7&gt;0,F7/H7,  )</f>
        <v>13352.2480620155</v>
      </c>
    </row>
    <row r="8" customFormat="false" ht="15" hidden="false" customHeight="false" outlineLevel="0" collapsed="false">
      <c r="A8" s="136" t="s">
        <v>11</v>
      </c>
      <c r="B8" s="78" t="n">
        <v>45418</v>
      </c>
      <c r="C8" s="67" t="n">
        <v>7029550</v>
      </c>
      <c r="D8" s="79" t="n">
        <f aca="false">IF(C8&gt;0, C8,(G$42/(G$39-G$40)))</f>
        <v>7029550</v>
      </c>
      <c r="E8" s="69" t="n">
        <v>186</v>
      </c>
      <c r="F8" s="80" t="n">
        <f aca="false">IF(E8&gt;0,C8/E8, )</f>
        <v>37793.2795698925</v>
      </c>
      <c r="G8" s="69" t="n">
        <v>558</v>
      </c>
      <c r="H8" s="80" t="n">
        <f aca="false">IF(G8&gt;0,G8/E8,  )</f>
        <v>3</v>
      </c>
      <c r="I8" s="80" t="n">
        <f aca="false">IF(H8&gt;0,F8/H8,  )</f>
        <v>12597.7598566308</v>
      </c>
    </row>
    <row r="9" customFormat="false" ht="15" hidden="false" customHeight="false" outlineLevel="0" collapsed="false">
      <c r="A9" s="136" t="s">
        <v>12</v>
      </c>
      <c r="B9" s="78" t="n">
        <v>45419</v>
      </c>
      <c r="C9" s="67" t="n">
        <v>8443800</v>
      </c>
      <c r="D9" s="79" t="n">
        <f aca="false">IF(C9&gt;0, C9,(G$42/(G$39-G$40)))</f>
        <v>8443800</v>
      </c>
      <c r="E9" s="69" t="n">
        <v>221</v>
      </c>
      <c r="F9" s="80" t="n">
        <f aca="false">IF(E9&gt;0,C9/E9, )</f>
        <v>38207.2398190045</v>
      </c>
      <c r="G9" s="69" t="n">
        <v>704</v>
      </c>
      <c r="H9" s="80" t="n">
        <f aca="false">IF(G9&gt;0,G9/E9,  )</f>
        <v>3.18552036199095</v>
      </c>
      <c r="I9" s="80" t="n">
        <f aca="false">IF(H9&gt;0,F9/H9,  )</f>
        <v>11994.0340909091</v>
      </c>
    </row>
    <row r="10" customFormat="false" ht="15" hidden="false" customHeight="false" outlineLevel="0" collapsed="false">
      <c r="A10" s="136" t="s">
        <v>13</v>
      </c>
      <c r="B10" s="78" t="n">
        <v>45420</v>
      </c>
      <c r="C10" s="67" t="n">
        <v>4455750</v>
      </c>
      <c r="D10" s="79" t="n">
        <f aca="false">IF(C10&gt;0, C10,(G$42/(G$39-G$40)))</f>
        <v>4455750</v>
      </c>
      <c r="E10" s="69" t="n">
        <v>124</v>
      </c>
      <c r="F10" s="80" t="n">
        <f aca="false">IF(E10&gt;0,C10/E10, )</f>
        <v>35933.4677419355</v>
      </c>
      <c r="G10" s="69" t="n">
        <v>372</v>
      </c>
      <c r="H10" s="80" t="n">
        <f aca="false">IF(G10&gt;0,G10/E10,  )</f>
        <v>3</v>
      </c>
      <c r="I10" s="80" t="n">
        <f aca="false">IF(H10&gt;0,F10/H10,  )</f>
        <v>11977.8225806452</v>
      </c>
    </row>
    <row r="11" customFormat="false" ht="15" hidden="false" customHeight="false" outlineLevel="0" collapsed="false">
      <c r="A11" s="136" t="s">
        <v>14</v>
      </c>
      <c r="B11" s="78" t="n">
        <v>45421</v>
      </c>
      <c r="C11" s="67" t="n">
        <v>5790000</v>
      </c>
      <c r="D11" s="79" t="n">
        <f aca="false">IF(C11&gt;0, C11,(G$42/(G$39-G$40)))</f>
        <v>5790000</v>
      </c>
      <c r="E11" s="69" t="n">
        <v>141</v>
      </c>
      <c r="F11" s="80" t="n">
        <f aca="false">IF(E11&gt;0,C11/E11, )</f>
        <v>41063.829787234</v>
      </c>
      <c r="G11" s="69" t="n">
        <v>464</v>
      </c>
      <c r="H11" s="80" t="n">
        <f aca="false">IF(G11&gt;0,G11/E11,  )</f>
        <v>3.29078014184397</v>
      </c>
      <c r="I11" s="80" t="n">
        <f aca="false">IF(H11&gt;0,F11/H11,  )</f>
        <v>12478.4482758621</v>
      </c>
    </row>
    <row r="12" customFormat="false" ht="15" hidden="false" customHeight="false" outlineLevel="0" collapsed="false">
      <c r="A12" s="136" t="s">
        <v>15</v>
      </c>
      <c r="B12" s="78" t="n">
        <v>45422</v>
      </c>
      <c r="C12" s="67" t="n">
        <v>7959750</v>
      </c>
      <c r="D12" s="79" t="n">
        <f aca="false">IF(C12&gt;0, C12,(G$42/(G$39-G$40)))</f>
        <v>7959750</v>
      </c>
      <c r="E12" s="69" t="n">
        <v>172</v>
      </c>
      <c r="F12" s="80" t="n">
        <f aca="false">IF(E12&gt;0,C12/E12, )</f>
        <v>46277.6162790698</v>
      </c>
      <c r="G12" s="69" t="n">
        <v>593</v>
      </c>
      <c r="H12" s="80" t="n">
        <f aca="false">IF(G12&gt;0,G12/E12,  )</f>
        <v>3.44767441860465</v>
      </c>
      <c r="I12" s="80" t="n">
        <f aca="false">IF(H12&gt;0,F12/H12,  )</f>
        <v>13422.849915683</v>
      </c>
    </row>
    <row r="13" customFormat="false" ht="15" hidden="false" customHeight="false" outlineLevel="0" collapsed="false">
      <c r="A13" s="136" t="s">
        <v>16</v>
      </c>
      <c r="B13" s="78" t="n">
        <v>45423</v>
      </c>
      <c r="C13" s="67" t="n">
        <v>9706550</v>
      </c>
      <c r="D13" s="79" t="n">
        <f aca="false">IF(C13&gt;0, C13,(G$42/(G$39-G$40)))</f>
        <v>9706550</v>
      </c>
      <c r="E13" s="69" t="n">
        <v>208</v>
      </c>
      <c r="F13" s="80" t="n">
        <f aca="false">IF(E13&gt;0,C13/E13, )</f>
        <v>46666.1057692308</v>
      </c>
      <c r="G13" s="69" t="n">
        <v>753</v>
      </c>
      <c r="H13" s="80" t="n">
        <f aca="false">IF(G13&gt;0,G13/E13,  )</f>
        <v>3.62019230769231</v>
      </c>
      <c r="I13" s="80" t="n">
        <f aca="false">IF(H13&gt;0,F13/H13,  )</f>
        <v>12890.5046480744</v>
      </c>
    </row>
    <row r="14" customFormat="false" ht="15" hidden="false" customHeight="false" outlineLevel="0" collapsed="false">
      <c r="A14" s="136" t="s">
        <v>17</v>
      </c>
      <c r="B14" s="78" t="n">
        <v>45424</v>
      </c>
      <c r="C14" s="67" t="n">
        <v>6310150</v>
      </c>
      <c r="D14" s="79" t="n">
        <f aca="false">IF(C14&gt;0, C14,(G$42/(G$39-G$40)))</f>
        <v>6310150</v>
      </c>
      <c r="E14" s="69" t="n">
        <f aca="false">141+20</f>
        <v>161</v>
      </c>
      <c r="F14" s="80" t="n">
        <f aca="false">IF(E14&gt;0,C14/E14, )</f>
        <v>39193.4782608696</v>
      </c>
      <c r="G14" s="69" t="n">
        <v>506</v>
      </c>
      <c r="H14" s="80" t="n">
        <f aca="false">IF(G14&gt;0,G14/E14,  )</f>
        <v>3.14285714285714</v>
      </c>
      <c r="I14" s="80" t="n">
        <f aca="false">IF(H14&gt;0,F14/H14,  )</f>
        <v>12470.652173913</v>
      </c>
    </row>
    <row r="15" customFormat="false" ht="15" hidden="false" customHeight="false" outlineLevel="0" collapsed="false">
      <c r="A15" s="136" t="s">
        <v>39</v>
      </c>
      <c r="B15" s="78" t="n">
        <v>45425</v>
      </c>
      <c r="C15" s="67" t="n">
        <v>8321450</v>
      </c>
      <c r="D15" s="79" t="n">
        <f aca="false">IF(C15&gt;0, C15,(G$42/(G$39-G$40)))</f>
        <v>8321450</v>
      </c>
      <c r="E15" s="69" t="n">
        <v>196</v>
      </c>
      <c r="F15" s="80" t="n">
        <f aca="false">IF(E15&gt;0,C15/E15, )</f>
        <v>42456.3775510204</v>
      </c>
      <c r="G15" s="69" t="n">
        <v>607</v>
      </c>
      <c r="H15" s="80" t="n">
        <f aca="false">IF(G15&gt;0,G15/E15,  )</f>
        <v>3.0969387755102</v>
      </c>
      <c r="I15" s="80" t="n">
        <f aca="false">IF(H15&gt;0,F15/H15,  )</f>
        <v>13709.1433278418</v>
      </c>
    </row>
    <row r="16" customFormat="false" ht="15" hidden="false" customHeight="false" outlineLevel="0" collapsed="false">
      <c r="A16" s="136" t="s">
        <v>40</v>
      </c>
      <c r="B16" s="78" t="n">
        <v>45426</v>
      </c>
      <c r="C16" s="67" t="n">
        <v>5477700</v>
      </c>
      <c r="D16" s="79" t="n">
        <f aca="false">IF(C16&gt;0, C16,(G$42/(G$39-G$40)))</f>
        <v>5477700</v>
      </c>
      <c r="E16" s="69" t="n">
        <v>166</v>
      </c>
      <c r="F16" s="80" t="n">
        <f aca="false">IF(E16&gt;0,C16/E16, )</f>
        <v>32998.1927710843</v>
      </c>
      <c r="G16" s="69" t="n">
        <v>456</v>
      </c>
      <c r="H16" s="80" t="n">
        <f aca="false">IF(G16&gt;0,G16/E16,  )</f>
        <v>2.74698795180723</v>
      </c>
      <c r="I16" s="80" t="n">
        <f aca="false">IF(H16&gt;0,F16/H16,  )</f>
        <v>12012.5</v>
      </c>
    </row>
    <row r="17" customFormat="false" ht="15" hidden="false" customHeight="false" outlineLevel="0" collapsed="false">
      <c r="A17" s="136" t="s">
        <v>41</v>
      </c>
      <c r="B17" s="78" t="n">
        <v>45427</v>
      </c>
      <c r="C17" s="67" t="n">
        <v>2798600</v>
      </c>
      <c r="D17" s="79" t="n">
        <f aca="false">IF(C17&gt;0, C17,(G$42/(G$39-G$40)))</f>
        <v>2798600</v>
      </c>
      <c r="E17" s="69" t="n">
        <v>98</v>
      </c>
      <c r="F17" s="80" t="n">
        <f aca="false">IF(E17&gt;0,C17/E17, )</f>
        <v>28557.1428571429</v>
      </c>
      <c r="G17" s="69" t="n">
        <v>261</v>
      </c>
      <c r="H17" s="80" t="n">
        <f aca="false">IF(G17&gt;0,G17/E17,  )</f>
        <v>2.66326530612245</v>
      </c>
      <c r="I17" s="80" t="n">
        <f aca="false">IF(H17&gt;0,F17/H17,  )</f>
        <v>10722.6053639847</v>
      </c>
    </row>
    <row r="18" customFormat="false" ht="15" hidden="false" customHeight="false" outlineLevel="0" collapsed="false">
      <c r="A18" s="136" t="s">
        <v>42</v>
      </c>
      <c r="B18" s="78" t="n">
        <v>45428</v>
      </c>
      <c r="C18" s="67" t="n">
        <v>6097350</v>
      </c>
      <c r="D18" s="79" t="n">
        <f aca="false">IF(C18&gt;0, C18,(G$42/(G$39-G$40)))</f>
        <v>6097350</v>
      </c>
      <c r="E18" s="69" t="n">
        <v>132</v>
      </c>
      <c r="F18" s="80" t="n">
        <f aca="false">IF(E18&gt;0,C18/E18, )</f>
        <v>46192.0454545455</v>
      </c>
      <c r="G18" s="69" t="n">
        <v>453</v>
      </c>
      <c r="H18" s="80" t="n">
        <f aca="false">IF(G18&gt;0,G18/E18,  )</f>
        <v>3.43181818181818</v>
      </c>
      <c r="I18" s="80" t="n">
        <f aca="false">IF(H18&gt;0,F18/H18,  )</f>
        <v>13459.9337748344</v>
      </c>
    </row>
    <row r="19" customFormat="false" ht="15" hidden="false" customHeight="false" outlineLevel="0" collapsed="false">
      <c r="A19" s="136" t="s">
        <v>43</v>
      </c>
      <c r="B19" s="78" t="n">
        <v>45429</v>
      </c>
      <c r="C19" s="67" t="n">
        <v>5985550</v>
      </c>
      <c r="D19" s="79" t="n">
        <f aca="false">IF(C19&gt;0, C19,(G$42/(G$39-G$40)))</f>
        <v>5985550</v>
      </c>
      <c r="E19" s="69" t="n">
        <v>110</v>
      </c>
      <c r="F19" s="80" t="n">
        <f aca="false">IF(E19&gt;0,C19/E19, )</f>
        <v>54414.0909090909</v>
      </c>
      <c r="G19" s="69" t="n">
        <v>456</v>
      </c>
      <c r="H19" s="80" t="n">
        <f aca="false">IF(G19&gt;0,G19/E19,  )</f>
        <v>4.14545454545455</v>
      </c>
      <c r="I19" s="80" t="n">
        <f aca="false">IF(H19&gt;0,F19/H19,  )</f>
        <v>13126.2061403509</v>
      </c>
    </row>
    <row r="20" customFormat="false" ht="15" hidden="false" customHeight="false" outlineLevel="0" collapsed="false">
      <c r="A20" s="136" t="s">
        <v>44</v>
      </c>
      <c r="B20" s="78" t="n">
        <v>45430</v>
      </c>
      <c r="C20" s="67" t="n">
        <v>7184700</v>
      </c>
      <c r="D20" s="79" t="n">
        <f aca="false">IF(C20&gt;0, C20,(G$42/(G$39-G$40)))</f>
        <v>7184700</v>
      </c>
      <c r="E20" s="69" t="n">
        <f aca="false">168+6</f>
        <v>174</v>
      </c>
      <c r="F20" s="80" t="n">
        <f aca="false">IF(E20&gt;0,C20/E20, )</f>
        <v>41291.3793103448</v>
      </c>
      <c r="G20" s="69" t="n">
        <v>601</v>
      </c>
      <c r="H20" s="80" t="n">
        <f aca="false">IF(G20&gt;0,G20/E20,  )</f>
        <v>3.45402298850575</v>
      </c>
      <c r="I20" s="80" t="n">
        <f aca="false">IF(H20&gt;0,F20/H20,  )</f>
        <v>11954.5757071547</v>
      </c>
    </row>
    <row r="21" customFormat="false" ht="15" hidden="false" customHeight="false" outlineLevel="0" collapsed="false">
      <c r="A21" s="136" t="s">
        <v>38</v>
      </c>
      <c r="B21" s="78" t="n">
        <v>45431</v>
      </c>
      <c r="C21" s="67" t="n">
        <v>7435100</v>
      </c>
      <c r="D21" s="79" t="n">
        <f aca="false">IF(C21&gt;0, C21,(G$42/(G$39-G$40)))</f>
        <v>7435100</v>
      </c>
      <c r="E21" s="69" t="n">
        <f aca="false">133+2</f>
        <v>135</v>
      </c>
      <c r="F21" s="80" t="n">
        <f aca="false">IF(E21&gt;0,C21/E21, )</f>
        <v>55074.8148148148</v>
      </c>
      <c r="G21" s="69" t="n">
        <v>575</v>
      </c>
      <c r="H21" s="80" t="n">
        <f aca="false">IF(G21&gt;0,G21/E21,  )</f>
        <v>4.25925925925926</v>
      </c>
      <c r="I21" s="80" t="n">
        <f aca="false">IF(H21&gt;0,F21/H21,  )</f>
        <v>12930.6086956522</v>
      </c>
    </row>
    <row r="22" customFormat="false" ht="15" hidden="false" customHeight="false" outlineLevel="0" collapsed="false">
      <c r="A22" s="136" t="s">
        <v>39</v>
      </c>
      <c r="B22" s="78" t="n">
        <v>45432</v>
      </c>
      <c r="C22" s="67" t="n">
        <v>7234050</v>
      </c>
      <c r="D22" s="79" t="n">
        <f aca="false">IF(C22&gt;0, C22,(G$42/(G$39-G$40)))</f>
        <v>7234050</v>
      </c>
      <c r="E22" s="69" t="n">
        <f aca="false">20+162</f>
        <v>182</v>
      </c>
      <c r="F22" s="80" t="n">
        <f aca="false">IF(E22&gt;0,C22/E22, )</f>
        <v>39747.5274725275</v>
      </c>
      <c r="G22" s="138" t="n">
        <v>551</v>
      </c>
      <c r="H22" s="80" t="n">
        <f aca="false">IF(G22&gt;0,G22/E22,  )</f>
        <v>3.02747252747253</v>
      </c>
      <c r="I22" s="80" t="n">
        <f aca="false">IF(H22&gt;0,F22/H22,  )</f>
        <v>13128.9473684211</v>
      </c>
    </row>
    <row r="23" customFormat="false" ht="15" hidden="false" customHeight="false" outlineLevel="0" collapsed="false">
      <c r="A23" s="136" t="s">
        <v>40</v>
      </c>
      <c r="B23" s="78" t="n">
        <v>45433</v>
      </c>
      <c r="C23" s="67" t="n">
        <v>7593150</v>
      </c>
      <c r="D23" s="79" t="n">
        <f aca="false">IF(C23&gt;0, C23,(G$42/(G$39-G$40)))</f>
        <v>7593150</v>
      </c>
      <c r="E23" s="69" t="n">
        <f aca="false">171+5</f>
        <v>176</v>
      </c>
      <c r="F23" s="80" t="n">
        <f aca="false">IF(E23&gt;0,C23/E23, )</f>
        <v>43142.8977272727</v>
      </c>
      <c r="G23" s="69" t="n">
        <v>626</v>
      </c>
      <c r="H23" s="80" t="n">
        <f aca="false">IF(G23&gt;0,G23/E23,  )</f>
        <v>3.55681818181818</v>
      </c>
      <c r="I23" s="80" t="n">
        <f aca="false">IF(H23&gt;0,F23/H23,  )</f>
        <v>12129.6325878594</v>
      </c>
    </row>
    <row r="24" customFormat="false" ht="15" hidden="false" customHeight="false" outlineLevel="0" collapsed="false">
      <c r="A24" s="136" t="s">
        <v>41</v>
      </c>
      <c r="B24" s="78" t="n">
        <v>45434</v>
      </c>
      <c r="C24" s="67" t="n">
        <v>5759350</v>
      </c>
      <c r="D24" s="79" t="n">
        <f aca="false">IF(C24&gt;0, C24,(G$42/(G$39-G$40)))</f>
        <v>5759350</v>
      </c>
      <c r="E24" s="69" t="n">
        <f aca="false">162+4</f>
        <v>166</v>
      </c>
      <c r="F24" s="80" t="n">
        <f aca="false">IF(E24&gt;0,C24/E24, )</f>
        <v>34694.8795180723</v>
      </c>
      <c r="G24" s="69" t="n">
        <v>478</v>
      </c>
      <c r="H24" s="80" t="n">
        <f aca="false">IF(G24&gt;0,G24/E24,  )</f>
        <v>2.87951807228916</v>
      </c>
      <c r="I24" s="80" t="n">
        <f aca="false">IF(H24&gt;0,F24/H24,  )</f>
        <v>12048.8493723849</v>
      </c>
    </row>
    <row r="25" customFormat="false" ht="15" hidden="false" customHeight="false" outlineLevel="0" collapsed="false">
      <c r="A25" s="136" t="s">
        <v>42</v>
      </c>
      <c r="B25" s="78" t="n">
        <v>45435</v>
      </c>
      <c r="C25" s="67" t="n">
        <v>7499500</v>
      </c>
      <c r="D25" s="79" t="n">
        <f aca="false">IF(C25&gt;0, C25,(G$42/(G$39-G$40)))</f>
        <v>7499500</v>
      </c>
      <c r="E25" s="69" t="n">
        <f aca="false">15+179</f>
        <v>194</v>
      </c>
      <c r="F25" s="80" t="n">
        <f aca="false">IF(E25&gt;0,C25/E25, )</f>
        <v>38657.2164948454</v>
      </c>
      <c r="G25" s="69" t="n">
        <v>643</v>
      </c>
      <c r="H25" s="80" t="n">
        <f aca="false">IF(G25&gt;0,G25/E25,  )</f>
        <v>3.31443298969072</v>
      </c>
      <c r="I25" s="80" t="n">
        <f aca="false">IF(H25&gt;0,F25/H25,  )</f>
        <v>11663.2970451011</v>
      </c>
    </row>
    <row r="26" customFormat="false" ht="15" hidden="false" customHeight="false" outlineLevel="0" collapsed="false">
      <c r="A26" s="136" t="s">
        <v>43</v>
      </c>
      <c r="B26" s="78" t="n">
        <v>45436</v>
      </c>
      <c r="C26" s="67" t="n">
        <v>6335900</v>
      </c>
      <c r="D26" s="79" t="n">
        <f aca="false">IF(C26&gt;0, C26,(G$42/(G$39-G$40)))</f>
        <v>6335900</v>
      </c>
      <c r="E26" s="69" t="n">
        <v>167</v>
      </c>
      <c r="F26" s="80" t="n">
        <f aca="false">IF(E26&gt;0,C26/E26, )</f>
        <v>37939.5209580838</v>
      </c>
      <c r="G26" s="69" t="n">
        <v>527</v>
      </c>
      <c r="H26" s="80" t="n">
        <f aca="false">IF(G26&gt;0,G26/E26,  )</f>
        <v>3.15568862275449</v>
      </c>
      <c r="I26" s="80" t="n">
        <f aca="false">IF(H26&gt;0,F26/H26,  )</f>
        <v>12022.5806451613</v>
      </c>
    </row>
    <row r="27" customFormat="false" ht="15" hidden="false" customHeight="false" outlineLevel="0" collapsed="false">
      <c r="A27" s="136" t="s">
        <v>44</v>
      </c>
      <c r="B27" s="78" t="n">
        <v>45437</v>
      </c>
      <c r="C27" s="67" t="n">
        <v>8415600</v>
      </c>
      <c r="D27" s="79" t="n">
        <f aca="false">IF(C27&gt;0, C27,(G$42/(G$39-G$40)))</f>
        <v>8415600</v>
      </c>
      <c r="E27" s="69" t="n">
        <f aca="false">13+148</f>
        <v>161</v>
      </c>
      <c r="F27" s="80" t="n">
        <f aca="false">IF(E27&gt;0,C27/E27, )</f>
        <v>52270.8074534162</v>
      </c>
      <c r="G27" s="69" t="n">
        <v>649</v>
      </c>
      <c r="H27" s="80" t="n">
        <f aca="false">IF(G27&gt;0,G27/E27,  )</f>
        <v>4.03105590062112</v>
      </c>
      <c r="I27" s="80" t="n">
        <f aca="false">IF(H27&gt;0,F27/H27,  )</f>
        <v>12967.0261941448</v>
      </c>
    </row>
    <row r="28" customFormat="false" ht="15" hidden="false" customHeight="false" outlineLevel="0" collapsed="false">
      <c r="A28" s="136" t="s">
        <v>38</v>
      </c>
      <c r="B28" s="78" t="n">
        <v>45438</v>
      </c>
      <c r="C28" s="67" t="n">
        <v>12636150</v>
      </c>
      <c r="D28" s="79" t="n">
        <f aca="false">IF(C28&gt;0, C28,(G$42/(G$39-G$40)))</f>
        <v>12636150</v>
      </c>
      <c r="E28" s="69" t="n">
        <f aca="false">160+19</f>
        <v>179</v>
      </c>
      <c r="F28" s="80" t="n">
        <f aca="false">IF(E28&gt;0,C28/E28, )</f>
        <v>70593.0167597765</v>
      </c>
      <c r="G28" s="69" t="n">
        <v>854</v>
      </c>
      <c r="H28" s="80" t="n">
        <f aca="false">IF(G28&gt;0,G28/E28,  )</f>
        <v>4.77094972067039</v>
      </c>
      <c r="I28" s="80" t="n">
        <f aca="false">IF(H28&gt;0,F28/H28,  )</f>
        <v>14796.4285714286</v>
      </c>
    </row>
    <row r="29" customFormat="false" ht="15" hidden="false" customHeight="false" outlineLevel="0" collapsed="false">
      <c r="A29" s="136" t="s">
        <v>39</v>
      </c>
      <c r="B29" s="78" t="n">
        <v>45439</v>
      </c>
      <c r="C29" s="67" t="n">
        <v>7087600</v>
      </c>
      <c r="D29" s="79" t="n">
        <f aca="false">IF(C29&gt;0, C29,(G$42/(G$39-G$40)))</f>
        <v>7087600</v>
      </c>
      <c r="E29" s="69" t="n">
        <f aca="false">167+11</f>
        <v>178</v>
      </c>
      <c r="F29" s="80" t="n">
        <f aca="false">IF(E29&gt;0,C29/E29, )</f>
        <v>39817.9775280899</v>
      </c>
      <c r="G29" s="69" t="n">
        <v>552</v>
      </c>
      <c r="H29" s="80" t="n">
        <f aca="false">IF(G29&gt;0,G29/E29,  )</f>
        <v>3.10112359550562</v>
      </c>
      <c r="I29" s="80" t="n">
        <f aca="false">IF(H29&gt;0,F29/H29,  )</f>
        <v>12839.8550724638</v>
      </c>
    </row>
    <row r="30" customFormat="false" ht="15" hidden="false" customHeight="false" outlineLevel="0" collapsed="false">
      <c r="A30" s="136" t="s">
        <v>40</v>
      </c>
      <c r="B30" s="78" t="n">
        <v>45440</v>
      </c>
      <c r="C30" s="67" t="n">
        <v>7053200</v>
      </c>
      <c r="D30" s="79" t="n">
        <f aca="false">IF(C30&gt;0, C30,(G$42/(G$39-G$40)))</f>
        <v>7053200</v>
      </c>
      <c r="E30" s="69" t="n">
        <f aca="false">150+20</f>
        <v>170</v>
      </c>
      <c r="F30" s="80" t="n">
        <f aca="false">IF(E30&gt;0,C30/E30, )</f>
        <v>41489.4117647059</v>
      </c>
      <c r="G30" s="69" t="n">
        <v>565</v>
      </c>
      <c r="H30" s="80" t="n">
        <f aca="false">IF(G30&gt;0,G30/E30,  )</f>
        <v>3.32352941176471</v>
      </c>
      <c r="I30" s="80" t="n">
        <f aca="false">IF(H30&gt;0,F30/H30,  )</f>
        <v>12483.5398230089</v>
      </c>
    </row>
    <row r="31" customFormat="false" ht="15" hidden="false" customHeight="false" outlineLevel="0" collapsed="false">
      <c r="A31" s="136" t="s">
        <v>41</v>
      </c>
      <c r="B31" s="78" t="n">
        <v>45441</v>
      </c>
      <c r="C31" s="67" t="n">
        <v>7290800</v>
      </c>
      <c r="D31" s="79" t="n">
        <f aca="false">IF(C31&gt;0, C31,(G$42/(G$39-G$40)))</f>
        <v>7290800</v>
      </c>
      <c r="E31" s="69" t="n">
        <f aca="false">159+8</f>
        <v>167</v>
      </c>
      <c r="F31" s="80" t="n">
        <f aca="false">IF(E31&gt;0,C31/E31, )</f>
        <v>43657.4850299401</v>
      </c>
      <c r="G31" s="69" t="n">
        <v>646</v>
      </c>
      <c r="H31" s="80" t="n">
        <f aca="false">IF(G31&gt;0,G31/E31,  )</f>
        <v>3.86826347305389</v>
      </c>
      <c r="I31" s="80" t="n">
        <f aca="false">IF(H31&gt;0,F31/H31,  )</f>
        <v>11286.0681114551</v>
      </c>
    </row>
    <row r="32" customFormat="false" ht="15" hidden="false" customHeight="false" outlineLevel="0" collapsed="false">
      <c r="A32" s="136" t="s">
        <v>42</v>
      </c>
      <c r="B32" s="78" t="n">
        <v>45442</v>
      </c>
      <c r="C32" s="67" t="n">
        <v>8457850</v>
      </c>
      <c r="D32" s="79" t="n">
        <f aca="false">IF(C32&gt;0, C32,(G$42/(G$39-G$40)))</f>
        <v>8457850</v>
      </c>
      <c r="E32" s="69" t="n">
        <f aca="false">184+15</f>
        <v>199</v>
      </c>
      <c r="F32" s="80" t="n">
        <f aca="false">IF(E32&gt;0,C32/E32, )</f>
        <v>42501.7587939699</v>
      </c>
      <c r="G32" s="69" t="n">
        <v>604</v>
      </c>
      <c r="H32" s="80" t="n">
        <f aca="false">IF(G32&gt;0,G32/E32,  )</f>
        <v>3.03517587939698</v>
      </c>
      <c r="I32" s="80" t="n">
        <f aca="false">IF(H32&gt;0,F32/H32,  )</f>
        <v>14003.0629139073</v>
      </c>
    </row>
    <row r="33" customFormat="false" ht="15" hidden="false" customHeight="false" outlineLevel="0" collapsed="false">
      <c r="A33" s="136" t="s">
        <v>15</v>
      </c>
      <c r="B33" s="78" t="n">
        <v>45443</v>
      </c>
      <c r="C33" s="67" t="n">
        <v>11237150</v>
      </c>
      <c r="D33" s="79" t="n">
        <f aca="false">IF(C33&gt;0, C33,(G$42/(G$39-G$40)))</f>
        <v>11237150</v>
      </c>
      <c r="E33" s="69" t="n">
        <f aca="false">181+29</f>
        <v>210</v>
      </c>
      <c r="F33" s="80" t="n">
        <f aca="false">IF(E33&gt;0,C33/E33, )</f>
        <v>53510.2380952381</v>
      </c>
      <c r="G33" s="69" t="n">
        <v>877</v>
      </c>
      <c r="H33" s="80" t="n">
        <f aca="false">IF(G33&gt;0,G33/E33,  )</f>
        <v>4.17619047619048</v>
      </c>
      <c r="I33" s="80" t="n">
        <f aca="false">IF(H33&gt;0,F33/H33,  )</f>
        <v>12813.1698973774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7455577.41935484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586.548387096774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231122900</v>
      </c>
      <c r="D35" s="90"/>
      <c r="E35" s="91" t="n">
        <f aca="false">SUM(E3:E33)</f>
        <v>5286</v>
      </c>
      <c r="F35" s="92"/>
      <c r="G35" s="91" t="n">
        <f aca="false">SUM(G3:G33)</f>
        <v>18183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280000000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0.825438928571428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305000000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48877100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231122900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-73877100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9838709.67741936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7455577.41935484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-2383132.25806452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0.75778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0.75778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7" activeCellId="0" sqref="D37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"/>
    <col collapsed="false" customWidth="true" hidden="false" outlineLevel="0" max="4" min="4" style="0" width="12.91"/>
    <col collapsed="false" customWidth="true" hidden="false" outlineLevel="0" max="6" min="5" style="0" width="11.17"/>
    <col collapsed="false" customWidth="true" hidden="false" outlineLevel="0" max="7" min="7" style="0" width="9.2"/>
    <col collapsed="false" customWidth="true" hidden="false" outlineLevel="0" max="8" min="8" style="0" width="11.83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4" customFormat="false" ht="17.35" hidden="false" customHeight="false" outlineLevel="0" collapsed="false">
      <c r="B4" s="1" t="s">
        <v>36</v>
      </c>
      <c r="C4" s="2"/>
      <c r="D4" s="3" t="s">
        <v>1</v>
      </c>
      <c r="E4" s="3"/>
      <c r="F4" s="3"/>
      <c r="G4" s="3"/>
      <c r="H4" s="3"/>
      <c r="I4" s="3"/>
      <c r="J4" s="3"/>
    </row>
    <row r="5" customFormat="false" ht="30.55" hidden="false" customHeight="false" outlineLevel="0" collapsed="false">
      <c r="B5" s="4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 t="s">
        <v>8</v>
      </c>
      <c r="I5" s="8" t="s">
        <v>9</v>
      </c>
      <c r="J5" s="8" t="s">
        <v>10</v>
      </c>
    </row>
    <row r="6" customFormat="false" ht="15" hidden="false" customHeight="false" outlineLevel="0" collapsed="false">
      <c r="B6" s="9" t="s">
        <v>14</v>
      </c>
      <c r="C6" s="10" t="n">
        <v>44805</v>
      </c>
      <c r="D6" s="11" t="n">
        <v>3272350</v>
      </c>
      <c r="E6" s="12" t="n">
        <f aca="false">IF(D6&gt;0, D6,(H$44/(H$41-H$42)))</f>
        <v>3272350</v>
      </c>
      <c r="F6" s="13" t="n">
        <v>72</v>
      </c>
      <c r="G6" s="14" t="n">
        <f aca="false">IF(F6&gt;0,D6/F6, )</f>
        <v>45449.3055555556</v>
      </c>
      <c r="H6" s="13" t="n">
        <v>288</v>
      </c>
      <c r="I6" s="14" t="n">
        <f aca="false">IF(H6&gt;0,H6/F6,  )</f>
        <v>4</v>
      </c>
      <c r="J6" s="14" t="n">
        <f aca="false">IF(I6&gt;0,G6/I6,  )</f>
        <v>11362.3263888889</v>
      </c>
    </row>
    <row r="7" customFormat="false" ht="15" hidden="false" customHeight="false" outlineLevel="0" collapsed="false">
      <c r="B7" s="9" t="s">
        <v>15</v>
      </c>
      <c r="C7" s="10" t="n">
        <v>44806</v>
      </c>
      <c r="D7" s="11" t="n">
        <v>4714300</v>
      </c>
      <c r="E7" s="12" t="n">
        <f aca="false">IF(D7&gt;0, D7,(H$44/(H$41-H$42)))</f>
        <v>4714300</v>
      </c>
      <c r="F7" s="13" t="n">
        <v>75</v>
      </c>
      <c r="G7" s="14" t="n">
        <f aca="false">IF(F7&gt;0,D7/F7, )</f>
        <v>62857.3333333333</v>
      </c>
      <c r="H7" s="13" t="n">
        <v>437</v>
      </c>
      <c r="I7" s="14" t="n">
        <f aca="false">IF(H7&gt;0,H7/F7,  )</f>
        <v>5.82666666666667</v>
      </c>
      <c r="J7" s="14" t="n">
        <f aca="false">IF(I7&gt;0,G7/I7,  )</f>
        <v>10787.8718535469</v>
      </c>
    </row>
    <row r="8" customFormat="false" ht="15" hidden="false" customHeight="false" outlineLevel="0" collapsed="false">
      <c r="B8" s="9" t="s">
        <v>16</v>
      </c>
      <c r="C8" s="10" t="n">
        <v>44807</v>
      </c>
      <c r="D8" s="11" t="n">
        <v>4270400</v>
      </c>
      <c r="E8" s="12" t="n">
        <f aca="false">IF(D8&gt;0, D8,(H$44/(H$41-H$42)))</f>
        <v>4270400</v>
      </c>
      <c r="F8" s="13" t="n">
        <v>72</v>
      </c>
      <c r="G8" s="14" t="n">
        <f aca="false">IF(F8&gt;0,D8/F8, )</f>
        <v>59311.1111111111</v>
      </c>
      <c r="H8" s="13" t="n">
        <v>375</v>
      </c>
      <c r="I8" s="14" t="n">
        <f aca="false">IF(H8&gt;0,H8/F8,  )</f>
        <v>5.20833333333333</v>
      </c>
      <c r="J8" s="14" t="n">
        <f aca="false">IF(I8&gt;0,G8/I8,  )</f>
        <v>11387.7333333333</v>
      </c>
    </row>
    <row r="9" customFormat="false" ht="15" hidden="false" customHeight="false" outlineLevel="0" collapsed="false">
      <c r="B9" s="9" t="s">
        <v>17</v>
      </c>
      <c r="C9" s="10" t="n">
        <v>44808</v>
      </c>
      <c r="D9" s="15" t="n">
        <v>5238150</v>
      </c>
      <c r="E9" s="12" t="n">
        <f aca="false">IF(D9&gt;0, D9,(H$44/(H$41-H$42)))</f>
        <v>5238150</v>
      </c>
      <c r="F9" s="16" t="n">
        <v>95</v>
      </c>
      <c r="G9" s="17" t="n">
        <f aca="false">IF(F9&gt;0,D9/F9, )</f>
        <v>55138.4210526316</v>
      </c>
      <c r="H9" s="16" t="n">
        <v>544</v>
      </c>
      <c r="I9" s="17" t="n">
        <f aca="false">IF(H9&gt;0,H9/F9,  )</f>
        <v>5.72631578947368</v>
      </c>
      <c r="J9" s="17" t="n">
        <f aca="false">IF(I9&gt;0,G9/I9,  )</f>
        <v>9628.95220588235</v>
      </c>
    </row>
    <row r="10" customFormat="false" ht="15" hidden="false" customHeight="false" outlineLevel="0" collapsed="false">
      <c r="B10" s="9" t="s">
        <v>11</v>
      </c>
      <c r="C10" s="10" t="n">
        <v>44809</v>
      </c>
      <c r="D10" s="15" t="n">
        <v>3853200</v>
      </c>
      <c r="E10" s="12" t="n">
        <f aca="false">IF(D10&gt;0, D10,(H$44/(H$41-H$42)))</f>
        <v>3853200</v>
      </c>
      <c r="F10" s="16" t="n">
        <v>95</v>
      </c>
      <c r="G10" s="17" t="n">
        <f aca="false">IF(F10&gt;0,D10/F10, )</f>
        <v>40560</v>
      </c>
      <c r="H10" s="16" t="n">
        <v>312</v>
      </c>
      <c r="I10" s="17" t="n">
        <f aca="false">IF(H10&gt;0,H10/F10,  )</f>
        <v>3.28421052631579</v>
      </c>
      <c r="J10" s="17" t="n">
        <f aca="false">IF(I10&gt;0,G10/I10,  )</f>
        <v>12350</v>
      </c>
    </row>
    <row r="11" customFormat="false" ht="15" hidden="false" customHeight="false" outlineLevel="0" collapsed="false">
      <c r="B11" s="9" t="s">
        <v>12</v>
      </c>
      <c r="C11" s="10" t="n">
        <v>44810</v>
      </c>
      <c r="D11" s="11" t="n">
        <v>2852200</v>
      </c>
      <c r="E11" s="12" t="n">
        <f aca="false">IF(D11&gt;0, D11,(H$44/(H$41-H$42)))</f>
        <v>2852200</v>
      </c>
      <c r="F11" s="13" t="n">
        <v>84</v>
      </c>
      <c r="G11" s="14" t="n">
        <f aca="false">IF(F11&gt;0,D11/F11, )</f>
        <v>33954.7619047619</v>
      </c>
      <c r="H11" s="13" t="n">
        <v>275</v>
      </c>
      <c r="I11" s="14" t="n">
        <f aca="false">IF(H11&gt;0,H11/F11,  )</f>
        <v>3.27380952380952</v>
      </c>
      <c r="J11" s="14" t="n">
        <f aca="false">IF(I11&gt;0,G11/I11,  )</f>
        <v>10371.6363636364</v>
      </c>
    </row>
    <row r="12" customFormat="false" ht="15" hidden="false" customHeight="false" outlineLevel="0" collapsed="false">
      <c r="B12" s="9" t="s">
        <v>13</v>
      </c>
      <c r="C12" s="10" t="n">
        <v>44811</v>
      </c>
      <c r="D12" s="11" t="n">
        <v>2381500</v>
      </c>
      <c r="E12" s="12" t="n">
        <f aca="false">IF(D12&gt;0, D12,(H$44/(H$41-H$42)))</f>
        <v>2381500</v>
      </c>
      <c r="F12" s="13" t="n">
        <v>61</v>
      </c>
      <c r="G12" s="14" t="n">
        <f aca="false">IF(F12&gt;0,D12/F12, )</f>
        <v>39040.9836065574</v>
      </c>
      <c r="H12" s="13" t="n">
        <v>185</v>
      </c>
      <c r="I12" s="14" t="n">
        <f aca="false">IF(H12&gt;0,H12/F12,  )</f>
        <v>3.0327868852459</v>
      </c>
      <c r="J12" s="14" t="n">
        <f aca="false">IF(I12&gt;0,G12/I12,  )</f>
        <v>12872.972972973</v>
      </c>
    </row>
    <row r="13" customFormat="false" ht="15" hidden="false" customHeight="false" outlineLevel="0" collapsed="false">
      <c r="B13" s="9" t="s">
        <v>14</v>
      </c>
      <c r="C13" s="10" t="n">
        <v>44812</v>
      </c>
      <c r="D13" s="15" t="n">
        <v>2682950</v>
      </c>
      <c r="E13" s="12" t="n">
        <f aca="false">IF(D13&gt;0, D13,(H$44/(H$41-H$42)))</f>
        <v>2682950</v>
      </c>
      <c r="F13" s="13" t="n">
        <v>77</v>
      </c>
      <c r="G13" s="14" t="n">
        <f aca="false">IF(F13&gt;0,D13/F13, )</f>
        <v>34843.5064935065</v>
      </c>
      <c r="H13" s="13" t="n">
        <v>228</v>
      </c>
      <c r="I13" s="14" t="n">
        <f aca="false">IF(H13&gt;0,H13/F13,  )</f>
        <v>2.96103896103896</v>
      </c>
      <c r="J13" s="14" t="n">
        <f aca="false">IF(I13&gt;0,G13/I13,  )</f>
        <v>11767.3245614035</v>
      </c>
    </row>
    <row r="14" customFormat="false" ht="15" hidden="false" customHeight="false" outlineLevel="0" collapsed="false">
      <c r="B14" s="9" t="s">
        <v>15</v>
      </c>
      <c r="C14" s="10" t="n">
        <v>44813</v>
      </c>
      <c r="D14" s="11" t="n">
        <v>3605150</v>
      </c>
      <c r="E14" s="12" t="n">
        <f aca="false">IF(D14&gt;0, D14,(H$44/(H$41-H$42)))</f>
        <v>3605150</v>
      </c>
      <c r="F14" s="13" t="n">
        <v>78</v>
      </c>
      <c r="G14" s="14" t="n">
        <f aca="false">IF(F14&gt;0,D14/F14, )</f>
        <v>46219.8717948718</v>
      </c>
      <c r="H14" s="13" t="n">
        <v>338</v>
      </c>
      <c r="I14" s="14" t="n">
        <f aca="false">IF(H14&gt;0,H14/F14,  )</f>
        <v>4.33333333333333</v>
      </c>
      <c r="J14" s="14" t="n">
        <f aca="false">IF(I14&gt;0,G14/I14,  )</f>
        <v>10666.124260355</v>
      </c>
    </row>
    <row r="15" customFormat="false" ht="15" hidden="false" customHeight="false" outlineLevel="0" collapsed="false">
      <c r="B15" s="9" t="s">
        <v>16</v>
      </c>
      <c r="C15" s="10" t="n">
        <v>44814</v>
      </c>
      <c r="D15" s="11" t="n">
        <v>2307350</v>
      </c>
      <c r="E15" s="12" t="n">
        <f aca="false">IF(D15&gt;0, D15,(H$44/(H$41-H$42)))</f>
        <v>2307350</v>
      </c>
      <c r="F15" s="13" t="n">
        <v>76</v>
      </c>
      <c r="G15" s="14" t="n">
        <f aca="false">IF(F15&gt;0,D15/F15, )</f>
        <v>30359.8684210526</v>
      </c>
      <c r="H15" s="13" t="n">
        <v>229</v>
      </c>
      <c r="I15" s="14" t="n">
        <f aca="false">IF(H15&gt;0,H15/F15,  )</f>
        <v>3.01315789473684</v>
      </c>
      <c r="J15" s="14" t="n">
        <f aca="false">IF(I15&gt;0,G15/I15,  )</f>
        <v>10075.7641921397</v>
      </c>
    </row>
    <row r="16" customFormat="false" ht="15" hidden="false" customHeight="false" outlineLevel="0" collapsed="false">
      <c r="B16" s="9" t="s">
        <v>17</v>
      </c>
      <c r="C16" s="10" t="n">
        <v>44815</v>
      </c>
      <c r="D16" s="15" t="n">
        <v>2989900</v>
      </c>
      <c r="E16" s="12" t="n">
        <f aca="false">IF(D16&gt;0, D16,(H$44/(H$41-H$42)))</f>
        <v>2989900</v>
      </c>
      <c r="F16" s="16" t="n">
        <v>77</v>
      </c>
      <c r="G16" s="17" t="n">
        <f aca="false">IF(F16&gt;0,D16/F16, )</f>
        <v>38829.8701298701</v>
      </c>
      <c r="H16" s="16" t="n">
        <v>262</v>
      </c>
      <c r="I16" s="17" t="n">
        <f aca="false">IF(H16&gt;0,H16/F16,  )</f>
        <v>3.4025974025974</v>
      </c>
      <c r="J16" s="17" t="n">
        <f aca="false">IF(I16&gt;0,G16/I16,  )</f>
        <v>11411.8320610687</v>
      </c>
    </row>
    <row r="17" customFormat="false" ht="15" hidden="false" customHeight="false" outlineLevel="0" collapsed="false">
      <c r="B17" s="9" t="s">
        <v>11</v>
      </c>
      <c r="C17" s="10" t="n">
        <v>44816</v>
      </c>
      <c r="D17" s="15" t="n">
        <v>3391350</v>
      </c>
      <c r="E17" s="12" t="n">
        <f aca="false">IF(D17&gt;0, D17,(H$44/(H$41-H$42)))</f>
        <v>3391350</v>
      </c>
      <c r="F17" s="16" t="n">
        <v>86</v>
      </c>
      <c r="G17" s="17" t="n">
        <f aca="false">IF(F17&gt;0,D17/F17, )</f>
        <v>39434.3023255814</v>
      </c>
      <c r="H17" s="16" t="n">
        <v>285</v>
      </c>
      <c r="I17" s="17" t="n">
        <f aca="false">IF(H17&gt;0,H17/F17,  )</f>
        <v>3.31395348837209</v>
      </c>
      <c r="J17" s="17" t="n">
        <f aca="false">IF(I17&gt;0,G17/I17,  )</f>
        <v>11899.4736842105</v>
      </c>
    </row>
    <row r="18" customFormat="false" ht="15" hidden="false" customHeight="false" outlineLevel="0" collapsed="false">
      <c r="B18" s="9" t="s">
        <v>12</v>
      </c>
      <c r="C18" s="10" t="n">
        <v>44817</v>
      </c>
      <c r="D18" s="11" t="n">
        <v>2847350</v>
      </c>
      <c r="E18" s="12" t="n">
        <f aca="false">IF(D18&gt;0, D18,(H$44/(H$41-H$42)))</f>
        <v>2847350</v>
      </c>
      <c r="F18" s="13" t="n">
        <v>62</v>
      </c>
      <c r="G18" s="14" t="n">
        <f aca="false">IF(F18&gt;0,D18/F18, )</f>
        <v>45925</v>
      </c>
      <c r="H18" s="13" t="n">
        <v>199</v>
      </c>
      <c r="I18" s="14" t="n">
        <f aca="false">IF(H18&gt;0,H18/F18,  )</f>
        <v>3.20967741935484</v>
      </c>
      <c r="J18" s="14" t="n">
        <f aca="false">IF(I18&gt;0,G18/I18,  )</f>
        <v>14308.2914572864</v>
      </c>
    </row>
    <row r="19" customFormat="false" ht="15" hidden="false" customHeight="false" outlineLevel="0" collapsed="false">
      <c r="B19" s="9" t="s">
        <v>13</v>
      </c>
      <c r="C19" s="10" t="n">
        <v>44818</v>
      </c>
      <c r="D19" s="11" t="n">
        <v>2915550</v>
      </c>
      <c r="E19" s="12" t="n">
        <f aca="false">IF(D19&gt;0, D19,(H$44/(H$41-H$42)))</f>
        <v>2915550</v>
      </c>
      <c r="F19" s="13" t="n">
        <v>64</v>
      </c>
      <c r="G19" s="14" t="n">
        <f aca="false">IF(F19&gt;0,D19/F19, )</f>
        <v>45555.46875</v>
      </c>
      <c r="H19" s="13" t="n">
        <v>253</v>
      </c>
      <c r="I19" s="14" t="n">
        <f aca="false">IF(H19&gt;0,H19/F19,  )</f>
        <v>3.953125</v>
      </c>
      <c r="J19" s="14" t="n">
        <f aca="false">IF(I19&gt;0,G19/I19,  )</f>
        <v>11523.9130434783</v>
      </c>
    </row>
    <row r="20" customFormat="false" ht="15" hidden="false" customHeight="false" outlineLevel="0" collapsed="false">
      <c r="B20" s="9" t="s">
        <v>14</v>
      </c>
      <c r="C20" s="10" t="n">
        <v>44819</v>
      </c>
      <c r="D20" s="11" t="n">
        <v>1824500</v>
      </c>
      <c r="E20" s="12" t="n">
        <f aca="false">IF(D20&gt;0, D20,(H$44/(H$41-H$42)))</f>
        <v>1824500</v>
      </c>
      <c r="F20" s="13" t="n">
        <v>48</v>
      </c>
      <c r="G20" s="14" t="n">
        <f aca="false">IF(F20&gt;0,D20/F20, )</f>
        <v>38010.4166666667</v>
      </c>
      <c r="H20" s="13" t="n">
        <v>143</v>
      </c>
      <c r="I20" s="14" t="n">
        <f aca="false">IF(H20&gt;0,H20/F20,  )</f>
        <v>2.97916666666667</v>
      </c>
      <c r="J20" s="14" t="n">
        <f aca="false">IF(I20&gt;0,G20/I20,  )</f>
        <v>12758.7412587413</v>
      </c>
    </row>
    <row r="21" customFormat="false" ht="15" hidden="false" customHeight="false" outlineLevel="0" collapsed="false">
      <c r="B21" s="9" t="s">
        <v>15</v>
      </c>
      <c r="C21" s="10" t="n">
        <v>44820</v>
      </c>
      <c r="D21" s="11" t="n">
        <v>2513600</v>
      </c>
      <c r="E21" s="12" t="n">
        <f aca="false">IF(D21&gt;0, D21,(H$44/(H$41-H$42)))</f>
        <v>2513600</v>
      </c>
      <c r="F21" s="13" t="n">
        <v>56</v>
      </c>
      <c r="G21" s="14" t="n">
        <f aca="false">IF(F21&gt;0,D21/F21, )</f>
        <v>44885.7142857143</v>
      </c>
      <c r="H21" s="13" t="n">
        <v>186</v>
      </c>
      <c r="I21" s="14" t="n">
        <f aca="false">IF(H21&gt;0,H21/F21,  )</f>
        <v>3.32142857142857</v>
      </c>
      <c r="J21" s="14" t="n">
        <f aca="false">IF(I21&gt;0,G21/I21,  )</f>
        <v>13513.9784946237</v>
      </c>
    </row>
    <row r="22" customFormat="false" ht="15" hidden="false" customHeight="false" outlineLevel="0" collapsed="false">
      <c r="B22" s="9" t="s">
        <v>16</v>
      </c>
      <c r="C22" s="10" t="n">
        <v>44821</v>
      </c>
      <c r="D22" s="11" t="n">
        <v>3274900</v>
      </c>
      <c r="E22" s="12" t="n">
        <f aca="false">IF(D22&gt;0, D22,(H$44/(H$41-H$42)))</f>
        <v>3274900</v>
      </c>
      <c r="F22" s="13" t="n">
        <v>67</v>
      </c>
      <c r="G22" s="14" t="n">
        <f aca="false">IF(F22&gt;0,D22/F22, )</f>
        <v>48879.1044776119</v>
      </c>
      <c r="H22" s="13" t="n">
        <v>255</v>
      </c>
      <c r="I22" s="14" t="n">
        <f aca="false">IF(H22&gt;0,H22/F22,  )</f>
        <v>3.80597014925373</v>
      </c>
      <c r="J22" s="14" t="n">
        <f aca="false">IF(I22&gt;0,G22/I22,  )</f>
        <v>12842.7450980392</v>
      </c>
    </row>
    <row r="23" customFormat="false" ht="15" hidden="false" customHeight="false" outlineLevel="0" collapsed="false">
      <c r="B23" s="9" t="s">
        <v>17</v>
      </c>
      <c r="C23" s="10" t="n">
        <v>44822</v>
      </c>
      <c r="D23" s="15" t="n">
        <v>2479300</v>
      </c>
      <c r="E23" s="12" t="n">
        <f aca="false">IF(D23&gt;0, D23,(H$44/(H$41-H$42)))</f>
        <v>2479300</v>
      </c>
      <c r="F23" s="16" t="n">
        <v>61</v>
      </c>
      <c r="G23" s="17" t="n">
        <f aca="false">IF(F23&gt;0,D23/F23, )</f>
        <v>40644.262295082</v>
      </c>
      <c r="H23" s="16" t="n">
        <v>207</v>
      </c>
      <c r="I23" s="17" t="n">
        <f aca="false">IF(H23&gt;0,H23/F23,  )</f>
        <v>3.39344262295082</v>
      </c>
      <c r="J23" s="17" t="n">
        <f aca="false">IF(I23&gt;0,G23/I23,  )</f>
        <v>11977.2946859903</v>
      </c>
    </row>
    <row r="24" customFormat="false" ht="15" hidden="false" customHeight="false" outlineLevel="0" collapsed="false">
      <c r="B24" s="9" t="s">
        <v>11</v>
      </c>
      <c r="C24" s="10" t="n">
        <v>44823</v>
      </c>
      <c r="D24" s="15" t="n">
        <v>2241850</v>
      </c>
      <c r="E24" s="12" t="n">
        <f aca="false">IF(D24&gt;0, D24,(H$44/(H$41-H$42)))</f>
        <v>2241850</v>
      </c>
      <c r="F24" s="16" t="n">
        <v>56</v>
      </c>
      <c r="G24" s="17" t="n">
        <f aca="false">IF(F24&gt;0,D24/F24, )</f>
        <v>40033.0357142857</v>
      </c>
      <c r="H24" s="16" t="n">
        <v>186</v>
      </c>
      <c r="I24" s="17" t="n">
        <f aca="false">IF(H24&gt;0,H24/F24,  )</f>
        <v>3.32142857142857</v>
      </c>
      <c r="J24" s="17" t="n">
        <f aca="false">IF(I24&gt;0,G24/I24,  )</f>
        <v>12052.9569892473</v>
      </c>
    </row>
    <row r="25" customFormat="false" ht="15" hidden="false" customHeight="false" outlineLevel="0" collapsed="false">
      <c r="B25" s="9" t="s">
        <v>12</v>
      </c>
      <c r="C25" s="10" t="n">
        <v>44824</v>
      </c>
      <c r="D25" s="11" t="n">
        <v>2868900</v>
      </c>
      <c r="E25" s="12" t="n">
        <f aca="false">IF(D25&gt;0, D25,(H$44/(H$41-H$42)))</f>
        <v>2868900</v>
      </c>
      <c r="F25" s="19" t="n">
        <v>70</v>
      </c>
      <c r="G25" s="14" t="n">
        <f aca="false">IF(F25&gt;0,D25/F25, )</f>
        <v>40984.2857142857</v>
      </c>
      <c r="H25" s="13" t="n">
        <v>205</v>
      </c>
      <c r="I25" s="14" t="n">
        <f aca="false">IF(H25&gt;0,H25/F25,  )</f>
        <v>2.92857142857143</v>
      </c>
      <c r="J25" s="14" t="n">
        <f aca="false">IF(I25&gt;0,G25/I25,  )</f>
        <v>13994.6341463415</v>
      </c>
    </row>
    <row r="26" customFormat="false" ht="15" hidden="false" customHeight="false" outlineLevel="0" collapsed="false">
      <c r="B26" s="9" t="s">
        <v>13</v>
      </c>
      <c r="C26" s="10" t="n">
        <v>44825</v>
      </c>
      <c r="D26" s="11" t="n">
        <v>3161250</v>
      </c>
      <c r="E26" s="12" t="n">
        <f aca="false">IF(D26&gt;0, D26,(H$44/(H$41-H$42)))</f>
        <v>3161250</v>
      </c>
      <c r="F26" s="13" t="n">
        <v>67</v>
      </c>
      <c r="G26" s="14" t="n">
        <f aca="false">IF(F26&gt;0,D26/F26, )</f>
        <v>47182.8358208955</v>
      </c>
      <c r="H26" s="13" t="n">
        <v>215</v>
      </c>
      <c r="I26" s="14" t="n">
        <f aca="false">IF(H26&gt;0,H26/F26,  )</f>
        <v>3.2089552238806</v>
      </c>
      <c r="J26" s="14" t="n">
        <f aca="false">IF(I26&gt;0,G26/I26,  )</f>
        <v>14703.488372093</v>
      </c>
    </row>
    <row r="27" customFormat="false" ht="15" hidden="false" customHeight="false" outlineLevel="0" collapsed="false">
      <c r="B27" s="9" t="s">
        <v>14</v>
      </c>
      <c r="C27" s="10" t="n">
        <v>44826</v>
      </c>
      <c r="D27" s="11" t="n">
        <v>3270900</v>
      </c>
      <c r="E27" s="12" t="n">
        <f aca="false">IF(D27&gt;0, D27,(H$44/(H$41-H$42)))</f>
        <v>3270900</v>
      </c>
      <c r="F27" s="13" t="n">
        <v>71</v>
      </c>
      <c r="G27" s="14" t="n">
        <f aca="false">IF(F27&gt;0,D27/F27, )</f>
        <v>46069.014084507</v>
      </c>
      <c r="H27" s="13" t="n">
        <v>249</v>
      </c>
      <c r="I27" s="14" t="n">
        <f aca="false">IF(H27&gt;0,H27/F27,  )</f>
        <v>3.50704225352113</v>
      </c>
      <c r="J27" s="14" t="n">
        <f aca="false">IF(I27&gt;0,G27/I27,  )</f>
        <v>13136.1445783133</v>
      </c>
    </row>
    <row r="28" customFormat="false" ht="15" hidden="false" customHeight="false" outlineLevel="0" collapsed="false">
      <c r="B28" s="9" t="s">
        <v>15</v>
      </c>
      <c r="C28" s="10" t="n">
        <v>44827</v>
      </c>
      <c r="D28" s="11" t="n">
        <v>2797350</v>
      </c>
      <c r="E28" s="12" t="n">
        <f aca="false">IF(D28&gt;0, D28,(H$44/(H$41-H$42)))</f>
        <v>2797350</v>
      </c>
      <c r="F28" s="13" t="n">
        <v>63</v>
      </c>
      <c r="G28" s="14" t="n">
        <f aca="false">IF(F28&gt;0,D28/F28, )</f>
        <v>44402.380952381</v>
      </c>
      <c r="H28" s="13" t="n">
        <v>209</v>
      </c>
      <c r="I28" s="14" t="n">
        <f aca="false">IF(H28&gt;0,H28/F28,  )</f>
        <v>3.31746031746032</v>
      </c>
      <c r="J28" s="14" t="n">
        <f aca="false">IF(I28&gt;0,G28/I28,  )</f>
        <v>13384.4497607656</v>
      </c>
    </row>
    <row r="29" customFormat="false" ht="15" hidden="false" customHeight="false" outlineLevel="0" collapsed="false">
      <c r="B29" s="9" t="s">
        <v>16</v>
      </c>
      <c r="C29" s="10" t="n">
        <v>44828</v>
      </c>
      <c r="D29" s="11" t="n">
        <v>1269150</v>
      </c>
      <c r="E29" s="12" t="n">
        <f aca="false">IF(D29&gt;0, D29,(H$44/(H$41-H$42)))</f>
        <v>1269150</v>
      </c>
      <c r="F29" s="13" t="n">
        <v>48</v>
      </c>
      <c r="G29" s="14" t="n">
        <f aca="false">IF(F29&gt;0,D29/F29, )</f>
        <v>26440.625</v>
      </c>
      <c r="H29" s="13" t="n">
        <v>120</v>
      </c>
      <c r="I29" s="14" t="n">
        <f aca="false">IF(H29&gt;0,H29/F29,  )</f>
        <v>2.5</v>
      </c>
      <c r="J29" s="14" t="n">
        <f aca="false">IF(I29&gt;0,G29/I29,  )</f>
        <v>10576.25</v>
      </c>
    </row>
    <row r="30" customFormat="false" ht="15" hidden="false" customHeight="false" outlineLevel="0" collapsed="false">
      <c r="B30" s="9" t="s">
        <v>17</v>
      </c>
      <c r="C30" s="10" t="n">
        <v>44829</v>
      </c>
      <c r="D30" s="15" t="n">
        <v>3165650</v>
      </c>
      <c r="E30" s="12" t="n">
        <f aca="false">IF(D30&gt;0, D30,(H$44/(H$41-H$42)))</f>
        <v>3165650</v>
      </c>
      <c r="F30" s="16" t="n">
        <v>49</v>
      </c>
      <c r="G30" s="17" t="n">
        <f aca="false">IF(F30&gt;0,D30/F30, )</f>
        <v>64605.1020408163</v>
      </c>
      <c r="H30" s="16" t="n">
        <v>212</v>
      </c>
      <c r="I30" s="17" t="n">
        <f aca="false">IF(H30&gt;0,H30/F30,  )</f>
        <v>4.3265306122449</v>
      </c>
      <c r="J30" s="17" t="n">
        <f aca="false">IF(I30&gt;0,G30/I30,  )</f>
        <v>14932.3113207547</v>
      </c>
    </row>
    <row r="31" customFormat="false" ht="15" hidden="false" customHeight="false" outlineLevel="0" collapsed="false">
      <c r="B31" s="9" t="s">
        <v>11</v>
      </c>
      <c r="C31" s="10" t="n">
        <v>44830</v>
      </c>
      <c r="D31" s="15" t="n">
        <v>2375800</v>
      </c>
      <c r="E31" s="12" t="n">
        <f aca="false">IF(D31&gt;0, D31,(H$44/(H$41-H$42)))</f>
        <v>2375800</v>
      </c>
      <c r="F31" s="16" t="n">
        <v>60</v>
      </c>
      <c r="G31" s="17" t="n">
        <f aca="false">IF(F31&gt;0,D31/F31, )</f>
        <v>39596.6666666667</v>
      </c>
      <c r="H31" s="16" t="n">
        <v>219</v>
      </c>
      <c r="I31" s="17" t="n">
        <f aca="false">IF(H31&gt;0,H31/F31,  )</f>
        <v>3.65</v>
      </c>
      <c r="J31" s="17" t="n">
        <f aca="false">IF(I31&gt;0,G31/I31,  )</f>
        <v>10848.401826484</v>
      </c>
    </row>
    <row r="32" customFormat="false" ht="15" hidden="false" customHeight="false" outlineLevel="0" collapsed="false">
      <c r="B32" s="9" t="s">
        <v>12</v>
      </c>
      <c r="C32" s="10" t="n">
        <v>44831</v>
      </c>
      <c r="D32" s="11" t="n">
        <v>2063200</v>
      </c>
      <c r="E32" s="12" t="n">
        <f aca="false">IF(D32&gt;0, D32,(H$44/(H$41-H$42)))</f>
        <v>2063200</v>
      </c>
      <c r="F32" s="13" t="n">
        <v>59</v>
      </c>
      <c r="G32" s="14" t="n">
        <f aca="false">IF(F32&gt;0,D32/F32, )</f>
        <v>34969.4915254237</v>
      </c>
      <c r="H32" s="13" t="n">
        <v>164</v>
      </c>
      <c r="I32" s="14" t="n">
        <f aca="false">IF(H32&gt;0,H32/F32,  )</f>
        <v>2.77966101694915</v>
      </c>
      <c r="J32" s="14" t="n">
        <f aca="false">IF(I32&gt;0,G32/I32,  )</f>
        <v>12580.487804878</v>
      </c>
    </row>
    <row r="33" customFormat="false" ht="15" hidden="false" customHeight="false" outlineLevel="0" collapsed="false">
      <c r="B33" s="9" t="s">
        <v>13</v>
      </c>
      <c r="C33" s="10" t="n">
        <v>44832</v>
      </c>
      <c r="D33" s="11" t="n">
        <v>2029000</v>
      </c>
      <c r="E33" s="12" t="n">
        <f aca="false">IF(D33&gt;0, D33,(H$44/(H$41-H$42)))</f>
        <v>2029000</v>
      </c>
      <c r="F33" s="13" t="n">
        <v>56</v>
      </c>
      <c r="G33" s="14" t="n">
        <f aca="false">IF(F33&gt;0,D33/F33, )</f>
        <v>36232.1428571429</v>
      </c>
      <c r="H33" s="13" t="n">
        <v>164</v>
      </c>
      <c r="I33" s="14" t="n">
        <f aca="false">IF(H33&gt;0,H33/F33,  )</f>
        <v>2.92857142857143</v>
      </c>
      <c r="J33" s="14" t="n">
        <f aca="false">IF(I33&gt;0,G33/I33,  )</f>
        <v>12371.9512195122</v>
      </c>
      <c r="L33" s="20"/>
    </row>
    <row r="34" customFormat="false" ht="15" hidden="false" customHeight="false" outlineLevel="0" collapsed="false">
      <c r="B34" s="9" t="s">
        <v>14</v>
      </c>
      <c r="C34" s="10" t="n">
        <v>44833</v>
      </c>
      <c r="D34" s="11" t="n">
        <v>2746600</v>
      </c>
      <c r="E34" s="12" t="n">
        <f aca="false">IF(D34&gt;0, D34,(H$44/(H$41-H$42)))</f>
        <v>2746600</v>
      </c>
      <c r="F34" s="13" t="n">
        <v>70</v>
      </c>
      <c r="G34" s="14" t="n">
        <f aca="false">IF(F34&gt;0,D34/F34, )</f>
        <v>39237.1428571429</v>
      </c>
      <c r="H34" s="13" t="n">
        <v>197</v>
      </c>
      <c r="I34" s="14" t="n">
        <f aca="false">IF(H34&gt;0,H34/F34,  )</f>
        <v>2.81428571428571</v>
      </c>
      <c r="J34" s="14" t="n">
        <f aca="false">IF(I34&gt;0,G34/I34,  )</f>
        <v>13942.1319796954</v>
      </c>
    </row>
    <row r="35" customFormat="false" ht="15" hidden="false" customHeight="false" outlineLevel="0" collapsed="false">
      <c r="B35" s="9" t="s">
        <v>15</v>
      </c>
      <c r="C35" s="10" t="n">
        <v>44834</v>
      </c>
      <c r="D35" s="11" t="n">
        <v>2654300</v>
      </c>
      <c r="E35" s="12" t="n">
        <f aca="false">IF(D35&gt;0, D35,(H$44/(H$41-H$42)))</f>
        <v>2654300</v>
      </c>
      <c r="F35" s="13" t="n">
        <v>62</v>
      </c>
      <c r="G35" s="14" t="n">
        <f aca="false">IF(F35&gt;0,D35/F35, )</f>
        <v>42811.2903225806</v>
      </c>
      <c r="H35" s="13" t="n">
        <v>210</v>
      </c>
      <c r="I35" s="14" t="n">
        <f aca="false">IF(H35&gt;0,H35/F35,  )</f>
        <v>3.38709677419355</v>
      </c>
      <c r="J35" s="14" t="n">
        <f aca="false">IF(I35&gt;0,G35/I35,  )</f>
        <v>12639.5238095238</v>
      </c>
    </row>
    <row r="36" customFormat="false" ht="15" hidden="false" customHeight="false" outlineLevel="0" collapsed="false">
      <c r="B36" s="21" t="s">
        <v>18</v>
      </c>
      <c r="C36" s="22"/>
      <c r="D36" s="23" t="n">
        <f aca="false">AVERAGE(D6:D35)</f>
        <v>2935265</v>
      </c>
      <c r="E36" s="23"/>
      <c r="F36" s="24" t="n">
        <f aca="false">AVERAGE(F6:F35)</f>
        <v>67.9</v>
      </c>
      <c r="G36" s="23" t="n">
        <f aca="false">D36/F36</f>
        <v>43229.234167894</v>
      </c>
      <c r="H36" s="24" t="n">
        <f aca="false">AVERAGE(H6:H35)</f>
        <v>245.033333333333</v>
      </c>
      <c r="I36" s="24" t="n">
        <f aca="false">IF(H36&gt;0,H36/F36,  )</f>
        <v>3.6087383406971</v>
      </c>
      <c r="J36" s="25" t="n">
        <f aca="false">IF(I36&gt;0,G36/I36,  )</f>
        <v>11979.0436675282</v>
      </c>
    </row>
    <row r="37" customFormat="false" ht="15" hidden="false" customHeight="false" outlineLevel="0" collapsed="false">
      <c r="B37" s="26" t="s">
        <v>19</v>
      </c>
      <c r="C37" s="27"/>
      <c r="D37" s="28" t="n">
        <f aca="false">SUM(D6:D35)</f>
        <v>88057950</v>
      </c>
      <c r="E37" s="28"/>
      <c r="F37" s="29" t="n">
        <f aca="false">SUM(F6:F35)</f>
        <v>2037</v>
      </c>
      <c r="G37" s="30"/>
      <c r="H37" s="29" t="n">
        <f aca="false">SUM(H6:H35)</f>
        <v>7351</v>
      </c>
      <c r="I37" s="29"/>
      <c r="J37" s="29"/>
    </row>
    <row r="38" customFormat="false" ht="15" hidden="false" customHeight="false" outlineLevel="0" collapsed="false">
      <c r="B38" s="31" t="s">
        <v>20</v>
      </c>
      <c r="C38" s="32"/>
      <c r="D38" s="33" t="n">
        <v>105000000</v>
      </c>
      <c r="E38" s="34"/>
      <c r="F38" s="35"/>
      <c r="G38" s="36"/>
      <c r="H38" s="35"/>
      <c r="I38" s="35"/>
      <c r="J38" s="35"/>
    </row>
    <row r="39" customFormat="false" ht="15" hidden="false" customHeight="false" outlineLevel="0" collapsed="false">
      <c r="B39" s="37" t="s">
        <v>21</v>
      </c>
      <c r="C39" s="38"/>
      <c r="D39" s="39" t="n">
        <f aca="false">D37/D38</f>
        <v>0.838647142857143</v>
      </c>
      <c r="E39" s="39"/>
      <c r="F39" s="40"/>
      <c r="G39" s="41"/>
      <c r="H39" s="42"/>
      <c r="I39" s="42"/>
      <c r="J39" s="42"/>
    </row>
    <row r="41" customFormat="false" ht="15" hidden="false" customHeight="false" outlineLevel="0" collapsed="false">
      <c r="E41" s="43" t="s">
        <v>22</v>
      </c>
      <c r="F41" s="43"/>
      <c r="G41" s="43"/>
      <c r="H41" s="44" t="n">
        <f aca="false">COUNTA(C6:C35)</f>
        <v>30</v>
      </c>
    </row>
    <row r="42" customFormat="false" ht="15" hidden="false" customHeight="false" outlineLevel="0" collapsed="false">
      <c r="E42" s="45" t="s">
        <v>23</v>
      </c>
      <c r="F42" s="45"/>
      <c r="G42" s="45"/>
      <c r="H42" s="46" t="n">
        <f aca="false">COUNTA(D6:D35)</f>
        <v>30</v>
      </c>
    </row>
    <row r="43" customFormat="false" ht="15" hidden="false" customHeight="false" outlineLevel="0" collapsed="false">
      <c r="E43" s="47" t="s">
        <v>24</v>
      </c>
      <c r="F43" s="47"/>
      <c r="G43" s="47"/>
      <c r="H43" s="48" t="n">
        <f aca="false">D38</f>
        <v>105000000</v>
      </c>
    </row>
    <row r="44" customFormat="false" ht="15" hidden="false" customHeight="false" outlineLevel="0" collapsed="false">
      <c r="E44" s="49" t="s">
        <v>25</v>
      </c>
      <c r="F44" s="49"/>
      <c r="G44" s="49"/>
      <c r="H44" s="50" t="n">
        <f aca="false">D38-D37</f>
        <v>16942050</v>
      </c>
    </row>
    <row r="45" customFormat="false" ht="15" hidden="false" customHeight="false" outlineLevel="0" collapsed="false">
      <c r="E45" s="49" t="s">
        <v>26</v>
      </c>
      <c r="F45" s="49"/>
      <c r="G45" s="49"/>
      <c r="H45" s="51" t="n">
        <f aca="false">H48*H41</f>
        <v>88057950</v>
      </c>
    </row>
    <row r="46" customFormat="false" ht="15" hidden="false" customHeight="false" outlineLevel="0" collapsed="false">
      <c r="E46" s="52" t="s">
        <v>27</v>
      </c>
      <c r="F46" s="52"/>
      <c r="G46" s="52"/>
      <c r="H46" s="53" t="n">
        <f aca="false">H45-H43</f>
        <v>-16942050</v>
      </c>
    </row>
    <row r="47" customFormat="false" ht="15" hidden="false" customHeight="false" outlineLevel="0" collapsed="false">
      <c r="E47" s="54" t="s">
        <v>28</v>
      </c>
      <c r="F47" s="54"/>
      <c r="G47" s="54"/>
      <c r="H47" s="55" t="n">
        <f aca="false">H43/H41</f>
        <v>3500000</v>
      </c>
    </row>
    <row r="48" customFormat="false" ht="15" hidden="false" customHeight="false" outlineLevel="0" collapsed="false">
      <c r="E48" s="56" t="s">
        <v>29</v>
      </c>
      <c r="F48" s="56"/>
      <c r="G48" s="56"/>
      <c r="H48" s="57" t="n">
        <f aca="false">AVERAGE(D6:D35)</f>
        <v>2935265</v>
      </c>
    </row>
    <row r="49" customFormat="false" ht="15" hidden="false" customHeight="false" outlineLevel="0" collapsed="false">
      <c r="E49" s="56" t="s">
        <v>30</v>
      </c>
      <c r="F49" s="56"/>
      <c r="G49" s="56"/>
      <c r="H49" s="58" t="n">
        <f aca="false">(H43/H51)/H41</f>
        <v>80.9637289989149</v>
      </c>
    </row>
    <row r="50" customFormat="false" ht="15" hidden="false" customHeight="false" outlineLevel="0" collapsed="false">
      <c r="E50" s="56" t="s">
        <v>31</v>
      </c>
      <c r="F50" s="56"/>
      <c r="G50" s="56"/>
      <c r="H50" s="57" t="n">
        <f aca="false">F36</f>
        <v>67.9</v>
      </c>
    </row>
    <row r="51" customFormat="false" ht="15" hidden="false" customHeight="false" outlineLevel="0" collapsed="false">
      <c r="E51" s="56" t="s">
        <v>32</v>
      </c>
      <c r="F51" s="56"/>
      <c r="G51" s="56"/>
      <c r="H51" s="59" t="n">
        <f aca="false">G36</f>
        <v>43229.234167894</v>
      </c>
    </row>
    <row r="52" customFormat="false" ht="15" hidden="false" customHeight="false" outlineLevel="0" collapsed="false">
      <c r="E52" s="56" t="s">
        <v>33</v>
      </c>
      <c r="F52" s="56"/>
      <c r="G52" s="56"/>
      <c r="H52" s="60" t="n">
        <f aca="false">H48-H47</f>
        <v>-564735</v>
      </c>
    </row>
    <row r="53" customFormat="false" ht="15" hidden="false" customHeight="false" outlineLevel="0" collapsed="false">
      <c r="E53" s="56" t="s">
        <v>34</v>
      </c>
      <c r="F53" s="56"/>
      <c r="G53" s="56"/>
      <c r="H53" s="61" t="n">
        <f aca="false">H45/H43</f>
        <v>0.838647142857143</v>
      </c>
    </row>
    <row r="54" customFormat="false" ht="15" hidden="false" customHeight="false" outlineLevel="0" collapsed="false">
      <c r="E54" s="62" t="s">
        <v>35</v>
      </c>
      <c r="F54" s="62"/>
      <c r="G54" s="62"/>
      <c r="H54" s="63" t="n">
        <f aca="false">D37/H43</f>
        <v>0.838647142857143</v>
      </c>
    </row>
  </sheetData>
  <mergeCells count="15">
    <mergeCell ref="D4:J4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E5" activeCellId="0" sqref="E5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1.65"/>
    <col collapsed="false" customWidth="true" hidden="false" outlineLevel="0" max="5" min="5" style="0" width="14.82"/>
    <col collapsed="false" customWidth="true" hidden="false" outlineLevel="0" max="7" min="7" style="0" width="11.9"/>
  </cols>
  <sheetData>
    <row r="1" customFormat="false" ht="17.35" hidden="false" customHeight="false" outlineLevel="0" collapsed="false">
      <c r="A1" s="128" t="s">
        <v>61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45444</v>
      </c>
      <c r="B3" s="78" t="s">
        <v>16</v>
      </c>
      <c r="C3" s="67" t="n">
        <v>9484550</v>
      </c>
      <c r="D3" s="79" t="n">
        <f aca="false">IF(C3&gt;0, C3,(G$42/(G$39-G$40)))</f>
        <v>9484550</v>
      </c>
      <c r="E3" s="69" t="n">
        <f aca="false">30+158</f>
        <v>188</v>
      </c>
      <c r="F3" s="80" t="n">
        <f aca="false">IF(E3&gt;0,C3/E3, )</f>
        <v>50449.7340425532</v>
      </c>
      <c r="G3" s="69" t="n">
        <v>736</v>
      </c>
      <c r="H3" s="80" t="n">
        <f aca="false">IF(G3&gt;0,G3/E3,  )</f>
        <v>3.91489361702128</v>
      </c>
      <c r="I3" s="80" t="n">
        <f aca="false">IF(H3&gt;0,F3/H3,  )</f>
        <v>12886.6168478261</v>
      </c>
    </row>
    <row r="4" customFormat="false" ht="15" hidden="false" customHeight="false" outlineLevel="0" collapsed="false">
      <c r="A4" s="139" t="n">
        <v>45445</v>
      </c>
      <c r="B4" s="78" t="s">
        <v>17</v>
      </c>
      <c r="C4" s="67" t="n">
        <v>7713400</v>
      </c>
      <c r="D4" s="79" t="n">
        <f aca="false">IF(C4&gt;0, C4,(G$42/(G$39-G$40)))</f>
        <v>7713400</v>
      </c>
      <c r="E4" s="69" t="n">
        <v>166</v>
      </c>
      <c r="F4" s="80" t="n">
        <f aca="false">IF(E4&gt;0,C4/E4, )</f>
        <v>46466.265060241</v>
      </c>
      <c r="G4" s="69" t="n">
        <v>577</v>
      </c>
      <c r="H4" s="80" t="n">
        <f aca="false">IF(G4&gt;0,G4/E4,  )</f>
        <v>3.47590361445783</v>
      </c>
      <c r="I4" s="80" t="n">
        <f aca="false">IF(H4&gt;0,F4/H4,  )</f>
        <v>13368.1109185442</v>
      </c>
    </row>
    <row r="5" customFormat="false" ht="15" hidden="false" customHeight="false" outlineLevel="0" collapsed="false">
      <c r="A5" s="139" t="n">
        <v>45446</v>
      </c>
      <c r="B5" s="78" t="s">
        <v>11</v>
      </c>
      <c r="C5" s="67" t="n">
        <v>5646850</v>
      </c>
      <c r="D5" s="79" t="n">
        <f aca="false">IF(C5&gt;0, C5,(G$42/(G$39-G$40)))</f>
        <v>5646850</v>
      </c>
      <c r="E5" s="69" t="n">
        <f aca="false">168+1</f>
        <v>169</v>
      </c>
      <c r="F5" s="80" t="n">
        <f aca="false">IF(E5&gt;0,C5/E5, )</f>
        <v>33413.3136094675</v>
      </c>
      <c r="G5" s="69" t="n">
        <v>486</v>
      </c>
      <c r="H5" s="80" t="n">
        <f aca="false">IF(G5&gt;0,G5/E5,  )</f>
        <v>2.87573964497041</v>
      </c>
      <c r="I5" s="80" t="n">
        <f aca="false">IF(H5&gt;0,F5/H5,  )</f>
        <v>11619.0329218107</v>
      </c>
    </row>
    <row r="6" customFormat="false" ht="15" hidden="false" customHeight="false" outlineLevel="0" collapsed="false">
      <c r="A6" s="139" t="n">
        <v>45447</v>
      </c>
      <c r="B6" s="78" t="s">
        <v>12</v>
      </c>
      <c r="C6" s="67" t="n">
        <v>7137950</v>
      </c>
      <c r="D6" s="79" t="n">
        <f aca="false">IF(C6&gt;0, C6,(G$42/(G$39-G$40)))</f>
        <v>7137950</v>
      </c>
      <c r="E6" s="69" t="n">
        <v>168</v>
      </c>
      <c r="F6" s="80" t="n">
        <f aca="false">IF(E6&gt;0,C6/E6, )</f>
        <v>42487.7976190476</v>
      </c>
      <c r="G6" s="69" t="n">
        <v>549</v>
      </c>
      <c r="H6" s="80" t="n">
        <f aca="false">IF(G6&gt;0,G6/E6,  )</f>
        <v>3.26785714285714</v>
      </c>
      <c r="I6" s="80" t="n">
        <f aca="false">IF(H6&gt;0,F6/H6,  )</f>
        <v>13001.7304189435</v>
      </c>
    </row>
    <row r="7" customFormat="false" ht="15" hidden="false" customHeight="false" outlineLevel="0" collapsed="false">
      <c r="A7" s="139" t="n">
        <v>45448</v>
      </c>
      <c r="B7" s="78" t="s">
        <v>13</v>
      </c>
      <c r="C7" s="67" t="n">
        <v>6769900</v>
      </c>
      <c r="D7" s="79" t="n">
        <f aca="false">IF(C7&gt;0, C7,(G$42/(G$39-G$40)))</f>
        <v>6769900</v>
      </c>
      <c r="E7" s="69" t="n">
        <v>155</v>
      </c>
      <c r="F7" s="80" t="n">
        <f aca="false">IF(E7&gt;0,C7/E7, )</f>
        <v>43676.7741935484</v>
      </c>
      <c r="G7" s="69" t="n">
        <v>516</v>
      </c>
      <c r="H7" s="80" t="n">
        <f aca="false">IF(G7&gt;0,G7/E7,  )</f>
        <v>3.32903225806452</v>
      </c>
      <c r="I7" s="80" t="n">
        <f aca="false">IF(H7&gt;0,F7/H7,  )</f>
        <v>13119.9612403101</v>
      </c>
    </row>
    <row r="8" customFormat="false" ht="15" hidden="false" customHeight="false" outlineLevel="0" collapsed="false">
      <c r="A8" s="139" t="n">
        <v>45449</v>
      </c>
      <c r="B8" s="78" t="s">
        <v>14</v>
      </c>
      <c r="C8" s="67" t="n">
        <v>6269000</v>
      </c>
      <c r="D8" s="79" t="n">
        <f aca="false">IF(C8&gt;0, C8,(G$42/(G$39-G$40)))</f>
        <v>6269000</v>
      </c>
      <c r="E8" s="69" t="n">
        <f aca="false">144+6</f>
        <v>150</v>
      </c>
      <c r="F8" s="80" t="n">
        <f aca="false">IF(E8&gt;0,C8/E8, )</f>
        <v>41793.3333333333</v>
      </c>
      <c r="G8" s="69" t="n">
        <v>495</v>
      </c>
      <c r="H8" s="80" t="n">
        <f aca="false">IF(G8&gt;0,G8/E8,  )</f>
        <v>3.3</v>
      </c>
      <c r="I8" s="80" t="n">
        <f aca="false">IF(H8&gt;0,F8/H8,  )</f>
        <v>12664.6464646465</v>
      </c>
    </row>
    <row r="9" customFormat="false" ht="15" hidden="false" customHeight="false" outlineLevel="0" collapsed="false">
      <c r="A9" s="139" t="n">
        <v>45450</v>
      </c>
      <c r="B9" s="78" t="s">
        <v>15</v>
      </c>
      <c r="C9" s="67" t="n">
        <v>8394450</v>
      </c>
      <c r="D9" s="79" t="n">
        <f aca="false">IF(C9&gt;0, C9,(G$42/(G$39-G$40)))</f>
        <v>8394450</v>
      </c>
      <c r="E9" s="69" t="n">
        <f aca="false">194+10</f>
        <v>204</v>
      </c>
      <c r="F9" s="80" t="n">
        <f aca="false">IF(E9&gt;0,C9/E9, )</f>
        <v>41149.2647058824</v>
      </c>
      <c r="G9" s="69" t="n">
        <v>632</v>
      </c>
      <c r="H9" s="80" t="n">
        <f aca="false">IF(G9&gt;0,G9/E9,  )</f>
        <v>3.09803921568627</v>
      </c>
      <c r="I9" s="80" t="n">
        <f aca="false">IF(H9&gt;0,F9/H9,  )</f>
        <v>13282.3575949367</v>
      </c>
    </row>
    <row r="10" customFormat="false" ht="15" hidden="false" customHeight="false" outlineLevel="0" collapsed="false">
      <c r="A10" s="139" t="n">
        <v>45451</v>
      </c>
      <c r="B10" s="78" t="s">
        <v>16</v>
      </c>
      <c r="C10" s="67" t="n">
        <v>9240600</v>
      </c>
      <c r="D10" s="79" t="n">
        <f aca="false">IF(C10&gt;0, C10,(G$42/(G$39-G$40)))</f>
        <v>9240600</v>
      </c>
      <c r="E10" s="69" t="n">
        <v>194</v>
      </c>
      <c r="F10" s="80" t="n">
        <f aca="false">IF(E10&gt;0,C10/E10, )</f>
        <v>47631.9587628866</v>
      </c>
      <c r="G10" s="69" t="n">
        <v>701</v>
      </c>
      <c r="H10" s="80" t="n">
        <f aca="false">IF(G10&gt;0,G10/E10,  )</f>
        <v>3.61340206185567</v>
      </c>
      <c r="I10" s="80" t="n">
        <f aca="false">IF(H10&gt;0,F10/H10,  )</f>
        <v>13182.0256776034</v>
      </c>
    </row>
    <row r="11" customFormat="false" ht="15" hidden="false" customHeight="false" outlineLevel="0" collapsed="false">
      <c r="A11" s="139" t="n">
        <v>45452</v>
      </c>
      <c r="B11" s="78" t="s">
        <v>17</v>
      </c>
      <c r="C11" s="67" t="n">
        <v>7943100</v>
      </c>
      <c r="D11" s="79" t="n">
        <f aca="false">IF(C11&gt;0, C11,(G$42/(G$39-G$40)))</f>
        <v>7943100</v>
      </c>
      <c r="E11" s="69" t="n">
        <f aca="false">136+12</f>
        <v>148</v>
      </c>
      <c r="F11" s="80" t="n">
        <f aca="false">IF(E11&gt;0,C11/E11, )</f>
        <v>53669.5945945946</v>
      </c>
      <c r="G11" s="69" t="n">
        <v>599</v>
      </c>
      <c r="H11" s="80" t="n">
        <f aca="false">IF(G11&gt;0,G11/E11,  )</f>
        <v>4.0472972972973</v>
      </c>
      <c r="I11" s="80" t="n">
        <f aca="false">IF(H11&gt;0,F11/H11,  )</f>
        <v>13260.6010016695</v>
      </c>
    </row>
    <row r="12" customFormat="false" ht="15" hidden="false" customHeight="false" outlineLevel="0" collapsed="false">
      <c r="A12" s="139" t="n">
        <v>45453</v>
      </c>
      <c r="B12" s="78" t="s">
        <v>39</v>
      </c>
      <c r="C12" s="67" t="n">
        <v>7618400</v>
      </c>
      <c r="D12" s="79" t="n">
        <f aca="false">IF(C12&gt;0, C12,(G$42/(G$39-G$40)))</f>
        <v>7618400</v>
      </c>
      <c r="E12" s="69" t="n">
        <v>198</v>
      </c>
      <c r="F12" s="80" t="n">
        <f aca="false">IF(E12&gt;0,C12/E12, )</f>
        <v>38476.7676767677</v>
      </c>
      <c r="G12" s="69" t="n">
        <v>612</v>
      </c>
      <c r="H12" s="80" t="n">
        <f aca="false">IF(G12&gt;0,G12/E12,  )</f>
        <v>3.09090909090909</v>
      </c>
      <c r="I12" s="80" t="n">
        <f aca="false">IF(H12&gt;0,F12/H12,  )</f>
        <v>12448.3660130719</v>
      </c>
    </row>
    <row r="13" customFormat="false" ht="15" hidden="false" customHeight="false" outlineLevel="0" collapsed="false">
      <c r="A13" s="139" t="n">
        <v>45454</v>
      </c>
      <c r="B13" s="78" t="s">
        <v>40</v>
      </c>
      <c r="C13" s="67" t="n">
        <v>20195200</v>
      </c>
      <c r="D13" s="79" t="n">
        <f aca="false">IF(C13&gt;0, C13,(G$42/(G$39-G$40)))</f>
        <v>20195200</v>
      </c>
      <c r="E13" s="69" t="n">
        <f aca="false">207+77</f>
        <v>284</v>
      </c>
      <c r="F13" s="80" t="n">
        <f aca="false">IF(E13&gt;0,C13/E13, )</f>
        <v>71109.8591549296</v>
      </c>
      <c r="G13" s="69" t="n">
        <v>1947</v>
      </c>
      <c r="H13" s="80" t="n">
        <f aca="false">IF(G13&gt;0,G13/E13,  )</f>
        <v>6.8556338028169</v>
      </c>
      <c r="I13" s="80" t="n">
        <f aca="false">IF(H13&gt;0,F13/H13,  )</f>
        <v>10372.4704673857</v>
      </c>
    </row>
    <row r="14" customFormat="false" ht="15" hidden="false" customHeight="false" outlineLevel="0" collapsed="false">
      <c r="A14" s="139" t="n">
        <v>45455</v>
      </c>
      <c r="B14" s="78" t="s">
        <v>41</v>
      </c>
      <c r="C14" s="67" t="n">
        <v>16619900</v>
      </c>
      <c r="D14" s="79" t="n">
        <f aca="false">IF(C14&gt;0, C14,(G$42/(G$39-G$40)))</f>
        <v>16619900</v>
      </c>
      <c r="E14" s="69" t="n">
        <f aca="false">189+96</f>
        <v>285</v>
      </c>
      <c r="F14" s="80" t="n">
        <f aca="false">IF(E14&gt;0,C14/E14, )</f>
        <v>58315.4385964912</v>
      </c>
      <c r="G14" s="69" t="n">
        <v>1566</v>
      </c>
      <c r="H14" s="80" t="n">
        <f aca="false">IF(G14&gt;0,G14/E14,  )</f>
        <v>5.49473684210526</v>
      </c>
      <c r="I14" s="80" t="n">
        <f aca="false">IF(H14&gt;0,F14/H14,  )</f>
        <v>10612.962962963</v>
      </c>
    </row>
    <row r="15" customFormat="false" ht="15" hidden="false" customHeight="false" outlineLevel="0" collapsed="false">
      <c r="A15" s="139" t="n">
        <v>45456</v>
      </c>
      <c r="B15" s="78" t="s">
        <v>42</v>
      </c>
      <c r="C15" s="67" t="n">
        <v>18667400</v>
      </c>
      <c r="D15" s="79" t="n">
        <f aca="false">IF(C15&gt;0, C15,(G$42/(G$39-G$40)))</f>
        <v>18667400</v>
      </c>
      <c r="E15" s="69" t="n">
        <f aca="false">79+213</f>
        <v>292</v>
      </c>
      <c r="F15" s="80" t="n">
        <f aca="false">IF(E15&gt;0,C15/E15, )</f>
        <v>63929.4520547945</v>
      </c>
      <c r="G15" s="69" t="n">
        <v>1526</v>
      </c>
      <c r="H15" s="80" t="n">
        <f aca="false">IF(G15&gt;0,G15/E15,  )</f>
        <v>5.22602739726027</v>
      </c>
      <c r="I15" s="80" t="n">
        <f aca="false">IF(H15&gt;0,F15/H15,  )</f>
        <v>12232.8964613368</v>
      </c>
    </row>
    <row r="16" customFormat="false" ht="15" hidden="false" customHeight="false" outlineLevel="0" collapsed="false">
      <c r="A16" s="139" t="n">
        <v>45457</v>
      </c>
      <c r="B16" s="78" t="s">
        <v>43</v>
      </c>
      <c r="C16" s="67" t="n">
        <v>9309400</v>
      </c>
      <c r="D16" s="79" t="n">
        <f aca="false">IF(C16&gt;0, C16,(G$42/(G$39-G$40)))</f>
        <v>9309400</v>
      </c>
      <c r="E16" s="69" t="n">
        <f aca="false">169+23</f>
        <v>192</v>
      </c>
      <c r="F16" s="80" t="n">
        <f aca="false">IF(E16&gt;0,C16/E16, )</f>
        <v>48486.4583333333</v>
      </c>
      <c r="G16" s="69" t="n">
        <v>749</v>
      </c>
      <c r="H16" s="80" t="n">
        <f aca="false">IF(G16&gt;0,G16/E16,  )</f>
        <v>3.90104166666667</v>
      </c>
      <c r="I16" s="80" t="n">
        <f aca="false">IF(H16&gt;0,F16/H16,  )</f>
        <v>12429.1054739653</v>
      </c>
    </row>
    <row r="17" customFormat="false" ht="15" hidden="false" customHeight="false" outlineLevel="0" collapsed="false">
      <c r="A17" s="139" t="n">
        <v>45458</v>
      </c>
      <c r="B17" s="78" t="s">
        <v>44</v>
      </c>
      <c r="C17" s="67" t="n">
        <v>9153700</v>
      </c>
      <c r="D17" s="79" t="n">
        <f aca="false">IF(C17&gt;0, C17,(G$42/(G$39-G$40)))</f>
        <v>9153700</v>
      </c>
      <c r="E17" s="69" t="n">
        <v>181</v>
      </c>
      <c r="F17" s="80" t="n">
        <f aca="false">IF(E17&gt;0,C17/E17, )</f>
        <v>50572.9281767956</v>
      </c>
      <c r="G17" s="69" t="n">
        <v>652</v>
      </c>
      <c r="H17" s="80" t="n">
        <f aca="false">IF(G17&gt;0,G17/E17,  )</f>
        <v>3.60220994475138</v>
      </c>
      <c r="I17" s="80" t="n">
        <f aca="false">IF(H17&gt;0,F17/H17,  )</f>
        <v>14039.4171779141</v>
      </c>
    </row>
    <row r="18" customFormat="false" ht="15" hidden="false" customHeight="false" outlineLevel="0" collapsed="false">
      <c r="A18" s="139" t="n">
        <v>45459</v>
      </c>
      <c r="B18" s="78" t="s">
        <v>38</v>
      </c>
      <c r="C18" s="67" t="n">
        <v>7233900</v>
      </c>
      <c r="D18" s="79" t="n">
        <f aca="false">IF(C18&gt;0, C18,(G$42/(G$39-G$40)))</f>
        <v>7233900</v>
      </c>
      <c r="E18" s="69" t="n">
        <v>154</v>
      </c>
      <c r="F18" s="80" t="n">
        <f aca="false">IF(E18&gt;0,C18/E18, )</f>
        <v>46973.3766233766</v>
      </c>
      <c r="G18" s="69" t="n">
        <v>499</v>
      </c>
      <c r="H18" s="80" t="n">
        <f aca="false">IF(G18&gt;0,G18/E18,  )</f>
        <v>3.24025974025974</v>
      </c>
      <c r="I18" s="80" t="n">
        <f aca="false">IF(H18&gt;0,F18/H18,  )</f>
        <v>14496.7935871743</v>
      </c>
    </row>
    <row r="19" customFormat="false" ht="15" hidden="false" customHeight="false" outlineLevel="0" collapsed="false">
      <c r="A19" s="139" t="n">
        <v>45460</v>
      </c>
      <c r="B19" s="78" t="s">
        <v>39</v>
      </c>
      <c r="C19" s="67" t="n">
        <v>8167700</v>
      </c>
      <c r="D19" s="79" t="n">
        <f aca="false">IF(C19&gt;0, C19,(G$42/(G$39-G$40)))</f>
        <v>8167700</v>
      </c>
      <c r="E19" s="69" t="n">
        <f aca="false">138+9</f>
        <v>147</v>
      </c>
      <c r="F19" s="80" t="n">
        <f aca="false">IF(E19&gt;0,C19/E19, )</f>
        <v>55562.5850340136</v>
      </c>
      <c r="G19" s="69" t="n">
        <v>598</v>
      </c>
      <c r="H19" s="80" t="n">
        <f aca="false">IF(G19&gt;0,G19/E19,  )</f>
        <v>4.06802721088435</v>
      </c>
      <c r="I19" s="80" t="n">
        <f aca="false">IF(H19&gt;0,F19/H19,  )</f>
        <v>13658.3612040134</v>
      </c>
    </row>
    <row r="20" customFormat="false" ht="15" hidden="false" customHeight="false" outlineLevel="0" collapsed="false">
      <c r="A20" s="139" t="n">
        <v>45461</v>
      </c>
      <c r="B20" s="78" t="s">
        <v>40</v>
      </c>
      <c r="C20" s="67" t="n">
        <v>7827200</v>
      </c>
      <c r="D20" s="79" t="n">
        <f aca="false">IF(C20&gt;0, C20,(G$42/(G$39-G$40)))</f>
        <v>7827200</v>
      </c>
      <c r="E20" s="69" t="n">
        <f aca="false">146+37</f>
        <v>183</v>
      </c>
      <c r="F20" s="80" t="n">
        <f aca="false">IF(E20&gt;0,C20/E20, )</f>
        <v>42771.5846994536</v>
      </c>
      <c r="G20" s="69" t="n">
        <v>546</v>
      </c>
      <c r="H20" s="80" t="n">
        <f aca="false">IF(G20&gt;0,G20/E20,  )</f>
        <v>2.98360655737705</v>
      </c>
      <c r="I20" s="80" t="n">
        <f aca="false">IF(H20&gt;0,F20/H20,  )</f>
        <v>14335.5311355311</v>
      </c>
    </row>
    <row r="21" customFormat="false" ht="15" hidden="false" customHeight="false" outlineLevel="0" collapsed="false">
      <c r="A21" s="139" t="n">
        <v>45462</v>
      </c>
      <c r="B21" s="78" t="s">
        <v>41</v>
      </c>
      <c r="C21" s="67" t="n">
        <v>6447500</v>
      </c>
      <c r="D21" s="79" t="n">
        <f aca="false">IF(C21&gt;0, C21,(G$42/(G$39-G$40)))</f>
        <v>6447500</v>
      </c>
      <c r="E21" s="69" t="n">
        <f aca="false">180+16</f>
        <v>196</v>
      </c>
      <c r="F21" s="80" t="n">
        <f aca="false">IF(E21&gt;0,C21/E21, )</f>
        <v>32895.4081632653</v>
      </c>
      <c r="G21" s="69" t="n">
        <v>501</v>
      </c>
      <c r="H21" s="80" t="n">
        <f aca="false">IF(G21&gt;0,G21/E21,  )</f>
        <v>2.55612244897959</v>
      </c>
      <c r="I21" s="80" t="n">
        <f aca="false">IF(H21&gt;0,F21/H21,  )</f>
        <v>12869.2614770459</v>
      </c>
    </row>
    <row r="22" customFormat="false" ht="15" hidden="false" customHeight="false" outlineLevel="0" collapsed="false">
      <c r="A22" s="139" t="n">
        <v>45463</v>
      </c>
      <c r="B22" s="78" t="s">
        <v>42</v>
      </c>
      <c r="C22" s="67" t="n">
        <v>6825300</v>
      </c>
      <c r="D22" s="79" t="n">
        <f aca="false">IF(C22&gt;0, C22,(G$42/(G$39-G$40)))</f>
        <v>6825300</v>
      </c>
      <c r="E22" s="69" t="n">
        <v>174</v>
      </c>
      <c r="F22" s="80" t="n">
        <f aca="false">IF(E22&gt;0,C22/E22, )</f>
        <v>39225.8620689655</v>
      </c>
      <c r="G22" s="138" t="n">
        <v>537</v>
      </c>
      <c r="H22" s="80" t="n">
        <f aca="false">IF(G22&gt;0,G22/E22,  )</f>
        <v>3.08620689655172</v>
      </c>
      <c r="I22" s="80" t="n">
        <f aca="false">IF(H22&gt;0,F22/H22,  )</f>
        <v>12710.0558659218</v>
      </c>
    </row>
    <row r="23" customFormat="false" ht="15" hidden="false" customHeight="false" outlineLevel="0" collapsed="false">
      <c r="A23" s="139" t="n">
        <v>45464</v>
      </c>
      <c r="B23" s="78" t="s">
        <v>43</v>
      </c>
      <c r="C23" s="67" t="n">
        <v>7593550</v>
      </c>
      <c r="D23" s="79" t="n">
        <f aca="false">IF(C23&gt;0, C23,(G$42/(G$39-G$40)))</f>
        <v>7593550</v>
      </c>
      <c r="E23" s="69" t="n">
        <v>178</v>
      </c>
      <c r="F23" s="80" t="n">
        <f aca="false">IF(E23&gt;0,C23/E23, )</f>
        <v>42660.393258427</v>
      </c>
      <c r="G23" s="69" t="n">
        <v>735</v>
      </c>
      <c r="H23" s="80" t="n">
        <f aca="false">IF(G23&gt;0,G23/E23,  )</f>
        <v>4.12921348314607</v>
      </c>
      <c r="I23" s="80" t="n">
        <f aca="false">IF(H23&gt;0,F23/H23,  )</f>
        <v>10331.3605442177</v>
      </c>
    </row>
    <row r="24" customFormat="false" ht="15" hidden="false" customHeight="false" outlineLevel="0" collapsed="false">
      <c r="A24" s="139" t="n">
        <v>45465</v>
      </c>
      <c r="B24" s="78" t="s">
        <v>44</v>
      </c>
      <c r="C24" s="67" t="n">
        <v>8245000</v>
      </c>
      <c r="D24" s="79" t="n">
        <f aca="false">IF(C24&gt;0, C24,(G$42/(G$39-G$40)))</f>
        <v>8245000</v>
      </c>
      <c r="E24" s="69" t="n">
        <f aca="false">73+41</f>
        <v>114</v>
      </c>
      <c r="F24" s="80" t="n">
        <f aca="false">IF(E24&gt;0,C24/E24, )</f>
        <v>72324.5614035088</v>
      </c>
      <c r="G24" s="69" t="n">
        <v>219</v>
      </c>
      <c r="H24" s="80" t="n">
        <f aca="false">IF(G24&gt;0,G24/E24,  )</f>
        <v>1.92105263157895</v>
      </c>
      <c r="I24" s="80" t="n">
        <f aca="false">IF(H24&gt;0,F24/H24,  )</f>
        <v>37648.401826484</v>
      </c>
    </row>
    <row r="25" customFormat="false" ht="15" hidden="false" customHeight="false" outlineLevel="0" collapsed="false">
      <c r="A25" s="139" t="n">
        <v>45466</v>
      </c>
      <c r="B25" s="78" t="s">
        <v>38</v>
      </c>
      <c r="C25" s="67"/>
      <c r="D25" s="79" t="n">
        <f aca="false">IF(C25&gt;0, C25,(G$42/(G$39-G$40)))</f>
        <v>28322200</v>
      </c>
      <c r="E25" s="69"/>
      <c r="F25" s="80" t="n">
        <f aca="false">IF(E25&gt;0,C25/E25, )</f>
        <v>0</v>
      </c>
      <c r="G25" s="69"/>
      <c r="H25" s="80" t="n">
        <f aca="false">IF(G25&gt;0,G25/E25,  )</f>
        <v>0</v>
      </c>
      <c r="I25" s="80" t="n">
        <f aca="false">IF(H25&gt;0,F25/H25,  )</f>
        <v>0</v>
      </c>
    </row>
    <row r="26" customFormat="false" ht="15" hidden="false" customHeight="false" outlineLevel="0" collapsed="false">
      <c r="A26" s="139" t="n">
        <v>45467</v>
      </c>
      <c r="B26" s="78" t="s">
        <v>39</v>
      </c>
      <c r="C26" s="67" t="n">
        <v>2751000</v>
      </c>
      <c r="D26" s="79" t="n">
        <f aca="false">IF(C26&gt;0, C26,(G$42/(G$39-G$40)))</f>
        <v>2751000</v>
      </c>
      <c r="E26" s="69" t="n">
        <f aca="false">18+60</f>
        <v>78</v>
      </c>
      <c r="F26" s="80" t="n">
        <f aca="false">IF(E26&gt;0,C26/E26, )</f>
        <v>35269.2307692308</v>
      </c>
      <c r="G26" s="69" t="n">
        <v>230</v>
      </c>
      <c r="H26" s="80" t="n">
        <f aca="false">IF(G26&gt;0,G26/E26,  )</f>
        <v>2.94871794871795</v>
      </c>
      <c r="I26" s="80" t="n">
        <f aca="false">IF(H26&gt;0,F26/H26,  )</f>
        <v>11960.8695652174</v>
      </c>
    </row>
    <row r="27" customFormat="false" ht="15" hidden="false" customHeight="false" outlineLevel="0" collapsed="false">
      <c r="A27" s="139" t="n">
        <v>45468</v>
      </c>
      <c r="B27" s="78" t="s">
        <v>40</v>
      </c>
      <c r="C27" s="67" t="n">
        <v>7597100</v>
      </c>
      <c r="D27" s="79" t="n">
        <f aca="false">IF(C27&gt;0, C27,(G$42/(G$39-G$40)))</f>
        <v>7597100</v>
      </c>
      <c r="E27" s="69" t="n">
        <f aca="false">155+25</f>
        <v>180</v>
      </c>
      <c r="F27" s="80" t="n">
        <f aca="false">IF(E27&gt;0,C27/E27, )</f>
        <v>42206.1111111111</v>
      </c>
      <c r="G27" s="69" t="n">
        <v>571</v>
      </c>
      <c r="H27" s="80" t="n">
        <f aca="false">IF(G27&gt;0,G27/E27,  )</f>
        <v>3.17222222222222</v>
      </c>
      <c r="I27" s="80" t="n">
        <f aca="false">IF(H27&gt;0,F27/H27,  )</f>
        <v>13304.9036777583</v>
      </c>
    </row>
    <row r="28" customFormat="false" ht="15" hidden="false" customHeight="false" outlineLevel="0" collapsed="false">
      <c r="A28" s="139" t="n">
        <v>45469</v>
      </c>
      <c r="B28" s="78" t="s">
        <v>41</v>
      </c>
      <c r="C28" s="67" t="n">
        <v>8823950</v>
      </c>
      <c r="D28" s="79" t="n">
        <f aca="false">IF(C28&gt;0, C28,(G$42/(G$39-G$40)))</f>
        <v>8823950</v>
      </c>
      <c r="E28" s="69" t="n">
        <f aca="false">178+25</f>
        <v>203</v>
      </c>
      <c r="F28" s="80" t="n">
        <f aca="false">IF(E28&gt;0,C28/E28, )</f>
        <v>43467.7339901478</v>
      </c>
      <c r="G28" s="69" t="n">
        <v>690</v>
      </c>
      <c r="H28" s="80" t="n">
        <f aca="false">IF(G28&gt;0,G28/E28,  )</f>
        <v>3.39901477832512</v>
      </c>
      <c r="I28" s="80" t="n">
        <f aca="false">IF(H28&gt;0,F28/H28,  )</f>
        <v>12788.3333333333</v>
      </c>
    </row>
    <row r="29" customFormat="false" ht="15" hidden="false" customHeight="false" outlineLevel="0" collapsed="false">
      <c r="A29" s="139" t="n">
        <v>45470</v>
      </c>
      <c r="B29" s="78" t="s">
        <v>42</v>
      </c>
      <c r="C29" s="67" t="n">
        <v>5372200</v>
      </c>
      <c r="D29" s="79" t="n">
        <f aca="false">IF(C29&gt;0, C29,(G$42/(G$39-G$40)))</f>
        <v>5372200</v>
      </c>
      <c r="E29" s="69" t="n">
        <f aca="false">10+165</f>
        <v>175</v>
      </c>
      <c r="F29" s="80" t="n">
        <f aca="false">IF(E29&gt;0,C29/E29, )</f>
        <v>30698.2857142857</v>
      </c>
      <c r="G29" s="69" t="n">
        <v>449</v>
      </c>
      <c r="H29" s="80" t="n">
        <f aca="false">IF(G29&gt;0,G29/E29,  )</f>
        <v>2.56571428571429</v>
      </c>
      <c r="I29" s="80" t="n">
        <f aca="false">IF(H29&gt;0,F29/H29,  )</f>
        <v>11964.8106904232</v>
      </c>
    </row>
    <row r="30" customFormat="false" ht="15" hidden="false" customHeight="false" outlineLevel="0" collapsed="false">
      <c r="A30" s="139" t="n">
        <v>45471</v>
      </c>
      <c r="B30" s="78" t="s">
        <v>43</v>
      </c>
      <c r="C30" s="67" t="n">
        <v>7782900</v>
      </c>
      <c r="D30" s="79" t="n">
        <f aca="false">IF(C30&gt;0, C30,(G$42/(G$39-G$40)))</f>
        <v>7782900</v>
      </c>
      <c r="E30" s="69" t="n">
        <f aca="false">30+156</f>
        <v>186</v>
      </c>
      <c r="F30" s="80" t="n">
        <f aca="false">IF(E30&gt;0,C30/E30, )</f>
        <v>41843.5483870968</v>
      </c>
      <c r="G30" s="69" t="n">
        <v>568</v>
      </c>
      <c r="H30" s="80" t="n">
        <f aca="false">IF(G30&gt;0,G30/E30,  )</f>
        <v>3.05376344086021</v>
      </c>
      <c r="I30" s="80" t="n">
        <f aca="false">IF(H30&gt;0,F30/H30,  )</f>
        <v>13702.2887323944</v>
      </c>
    </row>
    <row r="31" customFormat="false" ht="15" hidden="false" customHeight="false" outlineLevel="0" collapsed="false">
      <c r="A31" s="139" t="n">
        <v>45472</v>
      </c>
      <c r="B31" s="78" t="s">
        <v>44</v>
      </c>
      <c r="C31" s="67" t="n">
        <v>7572450</v>
      </c>
      <c r="D31" s="79" t="n">
        <f aca="false">IF(C31&gt;0, C31,(G$42/(G$39-G$40)))</f>
        <v>7572450</v>
      </c>
      <c r="E31" s="69" t="n">
        <v>166</v>
      </c>
      <c r="F31" s="80" t="n">
        <f aca="false">IF(E31&gt;0,C31/E31, )</f>
        <v>45617.1686746988</v>
      </c>
      <c r="G31" s="69" t="n">
        <v>582</v>
      </c>
      <c r="H31" s="80" t="n">
        <f aca="false">IF(G31&gt;0,G31/E31,  )</f>
        <v>3.50602409638554</v>
      </c>
      <c r="I31" s="80" t="n">
        <f aca="false">IF(H31&gt;0,F31/H31,  )</f>
        <v>13011.0824742268</v>
      </c>
    </row>
    <row r="32" customFormat="false" ht="15" hidden="false" customHeight="false" outlineLevel="0" collapsed="false">
      <c r="A32" s="139" t="n">
        <v>45473</v>
      </c>
      <c r="B32" s="78" t="s">
        <v>38</v>
      </c>
      <c r="C32" s="67" t="n">
        <v>6274250</v>
      </c>
      <c r="D32" s="79" t="n">
        <f aca="false">IF(C32&gt;0, C32,(G$42/(G$39-G$40)))</f>
        <v>6274250</v>
      </c>
      <c r="E32" s="69" t="n">
        <v>136</v>
      </c>
      <c r="F32" s="80" t="n">
        <f aca="false">IF(E32&gt;0,C32/E32, )</f>
        <v>46134.1911764706</v>
      </c>
      <c r="G32" s="69" t="n">
        <v>491</v>
      </c>
      <c r="H32" s="80" t="n">
        <f aca="false">IF(G32&gt;0,G32/E32,  )</f>
        <v>3.61029411764706</v>
      </c>
      <c r="I32" s="80" t="n">
        <f aca="false">IF(H32&gt;0,F32/H32,  )</f>
        <v>12778.5132382892</v>
      </c>
    </row>
    <row r="33" customFormat="false" ht="15" hidden="false" customHeight="false" outlineLevel="0" collapsed="false">
      <c r="A33" s="139"/>
      <c r="B33" s="78"/>
      <c r="C33" s="67"/>
      <c r="D33" s="79" t="n">
        <f aca="false">IF(C33&gt;0, C33,(G$42/(G$39-G$40)))</f>
        <v>28322200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84"/>
      <c r="C34" s="85" t="n">
        <f aca="false">AVERAGE(C3:C33)</f>
        <v>8575096.55172414</v>
      </c>
      <c r="D34" s="85"/>
      <c r="E34" s="86" t="s">
        <v>53</v>
      </c>
      <c r="F34" s="85" t="e">
        <f aca="false">C34/E34</f>
        <v>#VALUE!</v>
      </c>
      <c r="G34" s="86" t="n">
        <f aca="false">AVERAGE(G3:G33)</f>
        <v>674.448275862069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248677800</v>
      </c>
      <c r="D35" s="90"/>
      <c r="E35" s="91" t="n">
        <f aca="false">SUM(E3:E33)</f>
        <v>5244</v>
      </c>
      <c r="F35" s="92"/>
      <c r="G35" s="91" t="n">
        <f aca="false">SUM(G3:G33)</f>
        <v>19559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277000000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0.897753790613718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30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29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277000000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28322200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257252896.551724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-19747103.4482759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9233333.33333333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8575096.55172414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-658236.781609196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0.92871081787626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0.897753790613718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18" activePane="bottomLeft" state="frozen"/>
      <selection pane="topLeft" activeCell="A1" activeCellId="0" sqref="A1"/>
      <selection pane="bottomLeft" activeCell="N20" activeCellId="0" sqref="N20"/>
    </sheetView>
  </sheetViews>
  <sheetFormatPr defaultColWidth="10.25" defaultRowHeight="15" zeroHeight="false" outlineLevelRow="0" outlineLevelCol="0"/>
  <cols>
    <col collapsed="false" customWidth="true" hidden="false" outlineLevel="0" max="3" min="3" style="0" width="19.73"/>
    <col collapsed="false" customWidth="true" hidden="false" outlineLevel="0" max="7" min="7" style="0" width="13.1"/>
  </cols>
  <sheetData>
    <row r="1" customFormat="false" ht="17.35" hidden="false" customHeight="false" outlineLevel="0" collapsed="false">
      <c r="A1" s="128" t="s">
        <v>62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45474</v>
      </c>
      <c r="B3" s="140" t="s">
        <v>11</v>
      </c>
      <c r="C3" s="67" t="n">
        <v>8475800</v>
      </c>
      <c r="D3" s="79" t="n">
        <f aca="false">IF(C3&gt;0, C3,(G$42/(G$39-G$40)))</f>
        <v>8475800</v>
      </c>
      <c r="E3" s="69" t="n">
        <v>206</v>
      </c>
      <c r="F3" s="80" t="n">
        <f aca="false">IF(E3&gt;0,C3/E3, )</f>
        <v>41144.6601941748</v>
      </c>
      <c r="G3" s="69" t="n">
        <v>671</v>
      </c>
      <c r="H3" s="80" t="n">
        <f aca="false">IF(G3&gt;0,G3/E3,  )</f>
        <v>3.25728155339806</v>
      </c>
      <c r="I3" s="80" t="n">
        <f aca="false">IF(H3&gt;0,F3/H3,  )</f>
        <v>12631.5946348733</v>
      </c>
    </row>
    <row r="4" customFormat="false" ht="15" hidden="false" customHeight="false" outlineLevel="0" collapsed="false">
      <c r="A4" s="139" t="n">
        <v>45475</v>
      </c>
      <c r="B4" s="140" t="s">
        <v>12</v>
      </c>
      <c r="C4" s="67" t="n">
        <v>7391300</v>
      </c>
      <c r="D4" s="79" t="n">
        <f aca="false">IF(C4&gt;0, C4,(G$42/(G$39-G$40)))</f>
        <v>7391300</v>
      </c>
      <c r="E4" s="69" t="n">
        <f aca="false">170+29</f>
        <v>199</v>
      </c>
      <c r="F4" s="80" t="n">
        <f aca="false">IF(E4&gt;0,C4/E4, )</f>
        <v>37142.2110552764</v>
      </c>
      <c r="G4" s="69" t="n">
        <v>572</v>
      </c>
      <c r="H4" s="80" t="n">
        <f aca="false">IF(G4&gt;0,G4/E4,  )</f>
        <v>2.87437185929648</v>
      </c>
      <c r="I4" s="80" t="n">
        <f aca="false">IF(H4&gt;0,F4/H4,  )</f>
        <v>12921.8531468531</v>
      </c>
    </row>
    <row r="5" customFormat="false" ht="15" hidden="false" customHeight="false" outlineLevel="0" collapsed="false">
      <c r="A5" s="139" t="n">
        <v>45476</v>
      </c>
      <c r="B5" s="140" t="s">
        <v>13</v>
      </c>
      <c r="C5" s="67" t="n">
        <v>9487950</v>
      </c>
      <c r="D5" s="79" t="n">
        <f aca="false">IF(C5&gt;0, C5,(G$42/(G$39-G$40)))</f>
        <v>9487950</v>
      </c>
      <c r="E5" s="69" t="n">
        <v>225</v>
      </c>
      <c r="F5" s="80" t="n">
        <f aca="false">IF(E5&gt;0,C5/E5, )</f>
        <v>42168.6666666667</v>
      </c>
      <c r="G5" s="69" t="n">
        <v>704</v>
      </c>
      <c r="H5" s="80" t="n">
        <f aca="false">IF(G5&gt;0,G5/E5,  )</f>
        <v>3.12888888888889</v>
      </c>
      <c r="I5" s="80" t="n">
        <f aca="false">IF(H5&gt;0,F5/H5,  )</f>
        <v>13477.2017045455</v>
      </c>
    </row>
    <row r="6" customFormat="false" ht="15" hidden="false" customHeight="false" outlineLevel="0" collapsed="false">
      <c r="A6" s="139" t="n">
        <v>45477</v>
      </c>
      <c r="B6" s="140" t="s">
        <v>14</v>
      </c>
      <c r="C6" s="67" t="n">
        <v>10616200</v>
      </c>
      <c r="D6" s="79" t="n">
        <f aca="false">IF(C6&gt;0, C6,(G$42/(G$39-G$40)))</f>
        <v>10616200</v>
      </c>
      <c r="E6" s="69" t="n">
        <v>218</v>
      </c>
      <c r="F6" s="80" t="n">
        <f aca="false">IF(E6&gt;0,C6/E6, )</f>
        <v>48698.1651376147</v>
      </c>
      <c r="G6" s="69" t="n">
        <v>777</v>
      </c>
      <c r="H6" s="80" t="n">
        <f aca="false">IF(G6&gt;0,G6/E6,  )</f>
        <v>3.56422018348624</v>
      </c>
      <c r="I6" s="80" t="n">
        <f aca="false">IF(H6&gt;0,F6/H6,  )</f>
        <v>13663.0630630631</v>
      </c>
    </row>
    <row r="7" customFormat="false" ht="15" hidden="false" customHeight="false" outlineLevel="0" collapsed="false">
      <c r="A7" s="139" t="n">
        <v>45478</v>
      </c>
      <c r="B7" s="140" t="s">
        <v>15</v>
      </c>
      <c r="C7" s="67" t="n">
        <v>6785700</v>
      </c>
      <c r="D7" s="79" t="n">
        <f aca="false">IF(C7&gt;0, C7,(G$42/(G$39-G$40)))</f>
        <v>6785700</v>
      </c>
      <c r="E7" s="69" t="n">
        <v>170</v>
      </c>
      <c r="F7" s="80" t="n">
        <f aca="false">IF(E7&gt;0,C7/E7, )</f>
        <v>39915.8823529412</v>
      </c>
      <c r="G7" s="69" t="n">
        <v>553</v>
      </c>
      <c r="H7" s="80" t="n">
        <f aca="false">IF(G7&gt;0,G7/E7,  )</f>
        <v>3.25294117647059</v>
      </c>
      <c r="I7" s="80" t="n">
        <f aca="false">IF(H7&gt;0,F7/H7,  )</f>
        <v>12270.705244123</v>
      </c>
    </row>
    <row r="8" customFormat="false" ht="15" hidden="false" customHeight="false" outlineLevel="0" collapsed="false">
      <c r="A8" s="139" t="n">
        <v>45479</v>
      </c>
      <c r="B8" s="140" t="s">
        <v>16</v>
      </c>
      <c r="C8" s="67" t="n">
        <v>7607650</v>
      </c>
      <c r="D8" s="79" t="n">
        <f aca="false">IF(C8&gt;0, C8,(G$42/(G$39-G$40)))</f>
        <v>7607650</v>
      </c>
      <c r="E8" s="69" t="n">
        <f aca="false">44+142</f>
        <v>186</v>
      </c>
      <c r="F8" s="80" t="n">
        <f aca="false">IF(E8&gt;0,C8/E8, )</f>
        <v>40901.3440860215</v>
      </c>
      <c r="G8" s="69" t="n">
        <v>542</v>
      </c>
      <c r="H8" s="80" t="n">
        <f aca="false">IF(G8&gt;0,G8/E8,  )</f>
        <v>2.91397849462366</v>
      </c>
      <c r="I8" s="80" t="n">
        <f aca="false">IF(H8&gt;0,F8/H8,  )</f>
        <v>14036.2546125461</v>
      </c>
    </row>
    <row r="9" customFormat="false" ht="15" hidden="false" customHeight="false" outlineLevel="0" collapsed="false">
      <c r="A9" s="139" t="n">
        <v>45480</v>
      </c>
      <c r="B9" s="140" t="s">
        <v>17</v>
      </c>
      <c r="C9" s="67" t="n">
        <v>8878400</v>
      </c>
      <c r="D9" s="79" t="n">
        <f aca="false">IF(C9&gt;0, C9,(G$42/(G$39-G$40)))</f>
        <v>8878400</v>
      </c>
      <c r="E9" s="69" t="n">
        <v>164</v>
      </c>
      <c r="F9" s="80" t="n">
        <f aca="false">IF(E9&gt;0,C9/E9, )</f>
        <v>54136.5853658537</v>
      </c>
      <c r="G9" s="69" t="n">
        <v>646</v>
      </c>
      <c r="H9" s="80" t="n">
        <f aca="false">IF(G9&gt;0,G9/E9,  )</f>
        <v>3.9390243902439</v>
      </c>
      <c r="I9" s="80" t="n">
        <f aca="false">IF(H9&gt;0,F9/H9,  )</f>
        <v>13743.653250774</v>
      </c>
    </row>
    <row r="10" customFormat="false" ht="15" hidden="false" customHeight="false" outlineLevel="0" collapsed="false">
      <c r="A10" s="139" t="n">
        <v>45481</v>
      </c>
      <c r="B10" s="140" t="s">
        <v>11</v>
      </c>
      <c r="C10" s="67" t="n">
        <v>7318900</v>
      </c>
      <c r="D10" s="79" t="n">
        <f aca="false">IF(C10&gt;0, C10,(G$42/(G$39-G$40)))</f>
        <v>7318900</v>
      </c>
      <c r="E10" s="69" t="n">
        <f aca="false">45+145</f>
        <v>190</v>
      </c>
      <c r="F10" s="80" t="n">
        <f aca="false">IF(E10&gt;0,C10/E10, )</f>
        <v>38520.5263157895</v>
      </c>
      <c r="G10" s="69" t="n">
        <v>603</v>
      </c>
      <c r="H10" s="80" t="n">
        <f aca="false">IF(G10&gt;0,G10/E10,  )</f>
        <v>3.17368421052632</v>
      </c>
      <c r="I10" s="80" t="n">
        <f aca="false">IF(H10&gt;0,F10/H10,  )</f>
        <v>12137.4792703151</v>
      </c>
    </row>
    <row r="11" customFormat="false" ht="15" hidden="false" customHeight="false" outlineLevel="0" collapsed="false">
      <c r="A11" s="139" t="n">
        <v>45482</v>
      </c>
      <c r="B11" s="140" t="s">
        <v>12</v>
      </c>
      <c r="C11" s="67" t="n">
        <v>8137150</v>
      </c>
      <c r="D11" s="79" t="n">
        <f aca="false">IF(C11&gt;0, C11,(G$42/(G$39-G$40)))</f>
        <v>8137150</v>
      </c>
      <c r="E11" s="69" t="n">
        <f aca="false">135+58</f>
        <v>193</v>
      </c>
      <c r="F11" s="80" t="n">
        <f aca="false">IF(E11&gt;0,C11/E11, )</f>
        <v>42161.3989637306</v>
      </c>
      <c r="G11" s="69" t="n">
        <v>613</v>
      </c>
      <c r="H11" s="80" t="n">
        <f aca="false">IF(G11&gt;0,G11/E11,  )</f>
        <v>3.17616580310881</v>
      </c>
      <c r="I11" s="80" t="n">
        <f aca="false">IF(H11&gt;0,F11/H11,  )</f>
        <v>13274.3066884176</v>
      </c>
    </row>
    <row r="12" customFormat="false" ht="15" hidden="false" customHeight="false" outlineLevel="0" collapsed="false">
      <c r="A12" s="139" t="n">
        <v>45483</v>
      </c>
      <c r="B12" s="140" t="s">
        <v>13</v>
      </c>
      <c r="C12" s="67" t="n">
        <v>5805400</v>
      </c>
      <c r="D12" s="79" t="n">
        <f aca="false">IF(C12&gt;0, C12,(G$42/(G$39-G$40)))</f>
        <v>5805400</v>
      </c>
      <c r="E12" s="69" t="n">
        <f aca="false">98+85</f>
        <v>183</v>
      </c>
      <c r="F12" s="80" t="n">
        <f aca="false">IF(E12&gt;0,C12/E12, )</f>
        <v>31723.4972677596</v>
      </c>
      <c r="G12" s="69" t="n">
        <v>508</v>
      </c>
      <c r="H12" s="80" t="n">
        <f aca="false">IF(G12&gt;0,G12/E12,  )</f>
        <v>2.77595628415301</v>
      </c>
      <c r="I12" s="80" t="n">
        <f aca="false">IF(H12&gt;0,F12/H12,  )</f>
        <v>11427.9527559055</v>
      </c>
    </row>
    <row r="13" customFormat="false" ht="15" hidden="false" customHeight="false" outlineLevel="0" collapsed="false">
      <c r="A13" s="139" t="n">
        <v>45484</v>
      </c>
      <c r="B13" s="140" t="s">
        <v>14</v>
      </c>
      <c r="C13" s="67" t="n">
        <v>8753700</v>
      </c>
      <c r="D13" s="79" t="n">
        <f aca="false">IF(C13&gt;0, C13,(G$42/(G$39-G$40)))</f>
        <v>8753700</v>
      </c>
      <c r="E13" s="69" t="n">
        <f aca="false">111+90</f>
        <v>201</v>
      </c>
      <c r="F13" s="80" t="n">
        <f aca="false">IF(E13&gt;0,C13/E13, )</f>
        <v>43550.7462686567</v>
      </c>
      <c r="G13" s="69" t="n">
        <v>676</v>
      </c>
      <c r="H13" s="80" t="n">
        <f aca="false">IF(G13&gt;0,G13/E13,  )</f>
        <v>3.36318407960199</v>
      </c>
      <c r="I13" s="80" t="n">
        <f aca="false">IF(H13&gt;0,F13/H13,  )</f>
        <v>12949.2603550296</v>
      </c>
    </row>
    <row r="14" customFormat="false" ht="15" hidden="false" customHeight="false" outlineLevel="0" collapsed="false">
      <c r="A14" s="139" t="n">
        <v>45485</v>
      </c>
      <c r="B14" s="140" t="s">
        <v>15</v>
      </c>
      <c r="C14" s="67" t="n">
        <v>26794950</v>
      </c>
      <c r="D14" s="79" t="n">
        <f aca="false">IF(C14&gt;0, C14,(G$42/(G$39-G$40)))</f>
        <v>26794950</v>
      </c>
      <c r="E14" s="69" t="n">
        <f aca="false">208+151</f>
        <v>359</v>
      </c>
      <c r="F14" s="80" t="n">
        <f aca="false">IF(E14&gt;0,C14/E14, )</f>
        <v>74637.7437325905</v>
      </c>
      <c r="G14" s="69" t="n">
        <v>2234</v>
      </c>
      <c r="H14" s="80" t="n">
        <f aca="false">IF(G14&gt;0,G14/E14,  )</f>
        <v>6.22284122562674</v>
      </c>
      <c r="I14" s="80" t="n">
        <f aca="false">IF(H14&gt;0,F14/H14,  )</f>
        <v>11994.1584601611</v>
      </c>
    </row>
    <row r="15" customFormat="false" ht="15" hidden="false" customHeight="false" outlineLevel="0" collapsed="false">
      <c r="A15" s="139" t="n">
        <v>45486</v>
      </c>
      <c r="B15" s="140" t="s">
        <v>16</v>
      </c>
      <c r="C15" s="67" t="n">
        <v>19290150</v>
      </c>
      <c r="D15" s="79" t="n">
        <f aca="false">IF(C15&gt;0, C15,(G$42/(G$39-G$40)))</f>
        <v>19290150</v>
      </c>
      <c r="E15" s="69" t="n">
        <f aca="false">118+166</f>
        <v>284</v>
      </c>
      <c r="F15" s="80" t="n">
        <f aca="false">IF(E15&gt;0,C15/E15, )</f>
        <v>67923.0633802817</v>
      </c>
      <c r="G15" s="69" t="n">
        <v>1541</v>
      </c>
      <c r="H15" s="80" t="n">
        <f aca="false">IF(G15&gt;0,G15/E15,  )</f>
        <v>5.42605633802817</v>
      </c>
      <c r="I15" s="80" t="n">
        <f aca="false">IF(H15&gt;0,F15/H15,  )</f>
        <v>12517.9428942245</v>
      </c>
    </row>
    <row r="16" customFormat="false" ht="15" hidden="false" customHeight="false" outlineLevel="0" collapsed="false">
      <c r="A16" s="139" t="n">
        <v>45487</v>
      </c>
      <c r="B16" s="140" t="s">
        <v>17</v>
      </c>
      <c r="C16" s="67" t="n">
        <v>16147050</v>
      </c>
      <c r="D16" s="79" t="n">
        <f aca="false">IF(C16&gt;0, C16,(G$42/(G$39-G$40)))</f>
        <v>16147050</v>
      </c>
      <c r="E16" s="69" t="n">
        <f aca="false">134+132</f>
        <v>266</v>
      </c>
      <c r="F16" s="80" t="n">
        <f aca="false">IF(E16&gt;0,C16/E16, )</f>
        <v>60703.1954887218</v>
      </c>
      <c r="G16" s="69" t="n">
        <v>1501</v>
      </c>
      <c r="H16" s="80" t="n">
        <f aca="false">IF(G16&gt;0,G16/E16,  )</f>
        <v>5.64285714285714</v>
      </c>
      <c r="I16" s="80" t="n">
        <f aca="false">IF(H16&gt;0,F16/H16,  )</f>
        <v>10757.528314457</v>
      </c>
    </row>
    <row r="17" customFormat="false" ht="15" hidden="false" customHeight="false" outlineLevel="0" collapsed="false">
      <c r="A17" s="139" t="n">
        <v>45488</v>
      </c>
      <c r="B17" s="140" t="s">
        <v>11</v>
      </c>
      <c r="C17" s="67" t="n">
        <v>9089650</v>
      </c>
      <c r="D17" s="79" t="n">
        <f aca="false">IF(C17&gt;0, C17,(G$42/(G$39-G$40)))</f>
        <v>9089650</v>
      </c>
      <c r="E17" s="69" t="n">
        <f aca="false">132+58</f>
        <v>190</v>
      </c>
      <c r="F17" s="80" t="n">
        <f aca="false">IF(E17&gt;0,C17/E17, )</f>
        <v>47840.2631578947</v>
      </c>
      <c r="G17" s="69" t="n">
        <v>678</v>
      </c>
      <c r="H17" s="80" t="n">
        <f aca="false">IF(G17&gt;0,G17/E17,  )</f>
        <v>3.56842105263158</v>
      </c>
      <c r="I17" s="80" t="n">
        <f aca="false">IF(H17&gt;0,F17/H17,  )</f>
        <v>13406.5634218289</v>
      </c>
    </row>
    <row r="18" customFormat="false" ht="15" hidden="false" customHeight="false" outlineLevel="0" collapsed="false">
      <c r="A18" s="139" t="n">
        <v>45489</v>
      </c>
      <c r="B18" s="140" t="s">
        <v>12</v>
      </c>
      <c r="C18" s="67" t="n">
        <v>6591800</v>
      </c>
      <c r="D18" s="79" t="n">
        <f aca="false">IF(C18&gt;0, C18,(G$42/(G$39-G$40)))</f>
        <v>6591800</v>
      </c>
      <c r="E18" s="69" t="n">
        <f aca="false">98+76</f>
        <v>174</v>
      </c>
      <c r="F18" s="80" t="n">
        <f aca="false">IF(E18&gt;0,C18/E18, )</f>
        <v>37883.908045977</v>
      </c>
      <c r="G18" s="69" t="n">
        <v>491</v>
      </c>
      <c r="H18" s="80" t="n">
        <f aca="false">IF(G18&gt;0,G18/E18,  )</f>
        <v>2.82183908045977</v>
      </c>
      <c r="I18" s="80" t="n">
        <f aca="false">IF(H18&gt;0,F18/H18,  )</f>
        <v>13425.2545824847</v>
      </c>
    </row>
    <row r="19" customFormat="false" ht="15" hidden="false" customHeight="false" outlineLevel="0" collapsed="false">
      <c r="A19" s="139" t="n">
        <v>45490</v>
      </c>
      <c r="B19" s="140" t="s">
        <v>13</v>
      </c>
      <c r="C19" s="67" t="n">
        <v>5658600</v>
      </c>
      <c r="D19" s="79" t="n">
        <f aca="false">IF(C19&gt;0, C19,(G$42/(G$39-G$40)))</f>
        <v>5658600</v>
      </c>
      <c r="E19" s="69" t="n">
        <f aca="false">45+113</f>
        <v>158</v>
      </c>
      <c r="F19" s="80" t="n">
        <f aca="false">IF(E19&gt;0,C19/E19, )</f>
        <v>35813.9240506329</v>
      </c>
      <c r="G19" s="69" t="n">
        <v>400</v>
      </c>
      <c r="H19" s="80" t="n">
        <f aca="false">IF(G19&gt;0,G19/E19,  )</f>
        <v>2.53164556962025</v>
      </c>
      <c r="I19" s="80" t="n">
        <f aca="false">IF(H19&gt;0,F19/H19,  )</f>
        <v>14146.5</v>
      </c>
    </row>
    <row r="20" customFormat="false" ht="15" hidden="false" customHeight="false" outlineLevel="0" collapsed="false">
      <c r="A20" s="139" t="n">
        <v>45491</v>
      </c>
      <c r="B20" s="140" t="s">
        <v>14</v>
      </c>
      <c r="C20" s="67" t="n">
        <v>8157850</v>
      </c>
      <c r="D20" s="79" t="n">
        <f aca="false">IF(C20&gt;0, C20,(G$42/(G$39-G$40)))</f>
        <v>8157850</v>
      </c>
      <c r="E20" s="69" t="n">
        <f aca="false">100+66</f>
        <v>166</v>
      </c>
      <c r="F20" s="80" t="n">
        <f aca="false">IF(E20&gt;0,C20/E20, )</f>
        <v>49143.6746987952</v>
      </c>
      <c r="G20" s="69" t="n">
        <v>673</v>
      </c>
      <c r="H20" s="80" t="n">
        <f aca="false">IF(G20&gt;0,G20/E20,  )</f>
        <v>4.05421686746988</v>
      </c>
      <c r="I20" s="80" t="n">
        <f aca="false">IF(H20&gt;0,F20/H20,  )</f>
        <v>12121.6196136701</v>
      </c>
    </row>
    <row r="21" customFormat="false" ht="15" hidden="false" customHeight="false" outlineLevel="0" collapsed="false">
      <c r="A21" s="139" t="n">
        <v>45492</v>
      </c>
      <c r="B21" s="140" t="s">
        <v>15</v>
      </c>
      <c r="C21" s="67" t="n">
        <v>5572850</v>
      </c>
      <c r="D21" s="79" t="n">
        <f aca="false">IF(C21&gt;0, C21,(G$42/(G$39-G$40)))</f>
        <v>5572850</v>
      </c>
      <c r="E21" s="69" t="n">
        <f aca="false">35+129</f>
        <v>164</v>
      </c>
      <c r="F21" s="80" t="n">
        <f aca="false">IF(E21&gt;0,C21/E21, )</f>
        <v>33980.7926829268</v>
      </c>
      <c r="G21" s="69" t="n">
        <v>496</v>
      </c>
      <c r="H21" s="80" t="n">
        <f aca="false">IF(G21&gt;0,G21/E21,  )</f>
        <v>3.02439024390244</v>
      </c>
      <c r="I21" s="80" t="n">
        <f aca="false">IF(H21&gt;0,F21/H21,  )</f>
        <v>11235.5846774194</v>
      </c>
    </row>
    <row r="22" customFormat="false" ht="15" hidden="false" customHeight="false" outlineLevel="0" collapsed="false">
      <c r="A22" s="139" t="n">
        <v>45493</v>
      </c>
      <c r="B22" s="140" t="s">
        <v>16</v>
      </c>
      <c r="C22" s="67" t="n">
        <v>7178500</v>
      </c>
      <c r="D22" s="79" t="n">
        <f aca="false">IF(C22&gt;0, C22,(G$42/(G$39-G$40)))</f>
        <v>7178500</v>
      </c>
      <c r="E22" s="69" t="n">
        <f aca="false">145+18</f>
        <v>163</v>
      </c>
      <c r="F22" s="80" t="n">
        <f aca="false">IF(E22&gt;0,C22/E22, )</f>
        <v>44039.8773006135</v>
      </c>
      <c r="G22" s="138" t="n">
        <v>544</v>
      </c>
      <c r="H22" s="80" t="n">
        <f aca="false">IF(G22&gt;0,G22/E22,  )</f>
        <v>3.33742331288344</v>
      </c>
      <c r="I22" s="80" t="n">
        <f aca="false">IF(H22&gt;0,F22/H22,  )</f>
        <v>13195.7720588235</v>
      </c>
    </row>
    <row r="23" customFormat="false" ht="15" hidden="false" customHeight="false" outlineLevel="0" collapsed="false">
      <c r="A23" s="139" t="n">
        <v>45494</v>
      </c>
      <c r="B23" s="140" t="s">
        <v>17</v>
      </c>
      <c r="C23" s="67" t="n">
        <v>5780050</v>
      </c>
      <c r="D23" s="79" t="n">
        <f aca="false">IF(C23&gt;0, C23,(G$42/(G$39-G$40)))</f>
        <v>5780050</v>
      </c>
      <c r="E23" s="69" t="n">
        <v>144</v>
      </c>
      <c r="F23" s="80" t="n">
        <f aca="false">IF(E23&gt;0,C23/E23, )</f>
        <v>40139.2361111111</v>
      </c>
      <c r="G23" s="69" t="n">
        <v>436</v>
      </c>
      <c r="H23" s="80" t="n">
        <f aca="false">IF(G23&gt;0,G23/E23,  )</f>
        <v>3.02777777777778</v>
      </c>
      <c r="I23" s="80" t="n">
        <f aca="false">IF(H23&gt;0,F23/H23,  )</f>
        <v>13256.995412844</v>
      </c>
    </row>
    <row r="24" customFormat="false" ht="15" hidden="false" customHeight="false" outlineLevel="0" collapsed="false">
      <c r="A24" s="139" t="n">
        <v>45495</v>
      </c>
      <c r="B24" s="140" t="s">
        <v>11</v>
      </c>
      <c r="C24" s="67" t="n">
        <v>8117950</v>
      </c>
      <c r="D24" s="79" t="n">
        <f aca="false">IF(C24&gt;0, C24,(G$42/(G$39-G$40)))</f>
        <v>8117950</v>
      </c>
      <c r="E24" s="69" t="n">
        <f aca="false">148+33</f>
        <v>181</v>
      </c>
      <c r="F24" s="80" t="n">
        <f aca="false">IF(E24&gt;0,C24/E24, )</f>
        <v>44850.5524861878</v>
      </c>
      <c r="G24" s="69" t="n">
        <v>597</v>
      </c>
      <c r="H24" s="80" t="n">
        <f aca="false">IF(G24&gt;0,G24/E24,  )</f>
        <v>3.29834254143646</v>
      </c>
      <c r="I24" s="80" t="n">
        <f aca="false">IF(H24&gt;0,F24/H24,  )</f>
        <v>13597.9061976549</v>
      </c>
    </row>
    <row r="25" customFormat="false" ht="15" hidden="false" customHeight="false" outlineLevel="0" collapsed="false">
      <c r="A25" s="139" t="n">
        <v>45496</v>
      </c>
      <c r="B25" s="140" t="s">
        <v>12</v>
      </c>
      <c r="C25" s="67" t="n">
        <v>7215650</v>
      </c>
      <c r="D25" s="79" t="n">
        <f aca="false">IF(C25&gt;0, C25,(G$42/(G$39-G$40)))</f>
        <v>7215650</v>
      </c>
      <c r="E25" s="69" t="n">
        <v>164</v>
      </c>
      <c r="F25" s="80" t="n">
        <f aca="false">IF(E25&gt;0,C25/E25, )</f>
        <v>43997.8658536585</v>
      </c>
      <c r="G25" s="69" t="n">
        <v>552</v>
      </c>
      <c r="H25" s="80" t="n">
        <f aca="false">IF(G25&gt;0,G25/E25,  )</f>
        <v>3.36585365853659</v>
      </c>
      <c r="I25" s="80" t="n">
        <f aca="false">IF(H25&gt;0,F25/H25,  )</f>
        <v>13071.8297101449</v>
      </c>
    </row>
    <row r="26" customFormat="false" ht="15" hidden="false" customHeight="false" outlineLevel="0" collapsed="false">
      <c r="A26" s="139" t="n">
        <v>45497</v>
      </c>
      <c r="B26" s="140" t="s">
        <v>13</v>
      </c>
      <c r="C26" s="67" t="n">
        <v>7153950</v>
      </c>
      <c r="D26" s="79" t="n">
        <f aca="false">IF(C26&gt;0, C26,(G$42/(G$39-G$40)))</f>
        <v>7153950</v>
      </c>
      <c r="E26" s="69" t="n">
        <f aca="false">35+124</f>
        <v>159</v>
      </c>
      <c r="F26" s="80" t="n">
        <f aca="false">IF(E26&gt;0,C26/E26, )</f>
        <v>44993.3962264151</v>
      </c>
      <c r="G26" s="69" t="n">
        <v>537</v>
      </c>
      <c r="H26" s="80" t="n">
        <f aca="false">IF(G26&gt;0,G26/E26,  )</f>
        <v>3.37735849056604</v>
      </c>
      <c r="I26" s="80" t="n">
        <f aca="false">IF(H26&gt;0,F26/H26,  )</f>
        <v>13322.0670391061</v>
      </c>
    </row>
    <row r="27" customFormat="false" ht="15" hidden="false" customHeight="false" outlineLevel="0" collapsed="false">
      <c r="A27" s="139" t="n">
        <v>45498</v>
      </c>
      <c r="B27" s="140" t="s">
        <v>14</v>
      </c>
      <c r="C27" s="67" t="n">
        <v>6663500</v>
      </c>
      <c r="D27" s="79" t="n">
        <f aca="false">IF(C27&gt;0, C27,(G$42/(G$39-G$40)))</f>
        <v>6663500</v>
      </c>
      <c r="E27" s="69" t="n">
        <f aca="false">144+23</f>
        <v>167</v>
      </c>
      <c r="F27" s="80" t="n">
        <f aca="false">IF(E27&gt;0,C27/E27, )</f>
        <v>39901.1976047904</v>
      </c>
      <c r="G27" s="69" t="n">
        <v>478</v>
      </c>
      <c r="H27" s="80" t="n">
        <f aca="false">IF(G27&gt;0,G27/E27,  )</f>
        <v>2.8622754491018</v>
      </c>
      <c r="I27" s="80" t="n">
        <f aca="false">IF(H27&gt;0,F27/H27,  )</f>
        <v>13940.3765690377</v>
      </c>
    </row>
    <row r="28" customFormat="false" ht="15" hidden="false" customHeight="false" outlineLevel="0" collapsed="false">
      <c r="A28" s="139" t="n">
        <v>45499</v>
      </c>
      <c r="B28" s="140" t="s">
        <v>15</v>
      </c>
      <c r="C28" s="67" t="n">
        <v>7184100</v>
      </c>
      <c r="D28" s="79" t="n">
        <f aca="false">IF(C28&gt;0, C28,(G$42/(G$39-G$40)))</f>
        <v>7184100</v>
      </c>
      <c r="E28" s="69" t="n">
        <f aca="false">102+60</f>
        <v>162</v>
      </c>
      <c r="F28" s="80" t="n">
        <f aca="false">IF(E28&gt;0,C28/E28, )</f>
        <v>44346.2962962963</v>
      </c>
      <c r="G28" s="69" t="n">
        <v>501</v>
      </c>
      <c r="H28" s="80" t="n">
        <f aca="false">IF(G28&gt;0,G28/E28,  )</f>
        <v>3.09259259259259</v>
      </c>
      <c r="I28" s="80" t="n">
        <f aca="false">IF(H28&gt;0,F28/H28,  )</f>
        <v>14339.5209580838</v>
      </c>
    </row>
    <row r="29" customFormat="false" ht="15" hidden="false" customHeight="false" outlineLevel="0" collapsed="false">
      <c r="A29" s="139" t="n">
        <v>45500</v>
      </c>
      <c r="B29" s="140" t="s">
        <v>16</v>
      </c>
      <c r="C29" s="67" t="n">
        <v>7239150</v>
      </c>
      <c r="D29" s="79" t="n">
        <f aca="false">IF(C29&gt;0, C29,(G$42/(G$39-G$40)))</f>
        <v>7239150</v>
      </c>
      <c r="E29" s="69" t="n">
        <f aca="false">112+48</f>
        <v>160</v>
      </c>
      <c r="F29" s="80" t="n">
        <f aca="false">IF(E29&gt;0,C29/E29, )</f>
        <v>45244.6875</v>
      </c>
      <c r="G29" s="69" t="n">
        <v>631</v>
      </c>
      <c r="H29" s="80" t="n">
        <f aca="false">IF(G29&gt;0,G29/E29,  )</f>
        <v>3.94375</v>
      </c>
      <c r="I29" s="80" t="n">
        <f aca="false">IF(H29&gt;0,F29/H29,  )</f>
        <v>11472.5039619651</v>
      </c>
    </row>
    <row r="30" customFormat="false" ht="15" hidden="false" customHeight="false" outlineLevel="0" collapsed="false">
      <c r="A30" s="139" t="n">
        <v>45501</v>
      </c>
      <c r="B30" s="140" t="s">
        <v>17</v>
      </c>
      <c r="C30" s="67" t="n">
        <v>6833900</v>
      </c>
      <c r="D30" s="79" t="n">
        <f aca="false">IF(C30&gt;0, C30,(G$42/(G$39-G$40)))</f>
        <v>6833900</v>
      </c>
      <c r="E30" s="69" t="n">
        <f aca="false">133+13</f>
        <v>146</v>
      </c>
      <c r="F30" s="80" t="n">
        <f aca="false">IF(E30&gt;0,C30/E30, )</f>
        <v>46807.5342465753</v>
      </c>
      <c r="G30" s="69" t="n">
        <v>501</v>
      </c>
      <c r="H30" s="80" t="n">
        <f aca="false">IF(G30&gt;0,G30/E30,  )</f>
        <v>3.43150684931507</v>
      </c>
      <c r="I30" s="80" t="n">
        <f aca="false">IF(H30&gt;0,F30/H30,  )</f>
        <v>13640.5189620759</v>
      </c>
    </row>
    <row r="31" customFormat="false" ht="15" hidden="false" customHeight="false" outlineLevel="0" collapsed="false">
      <c r="A31" s="139" t="n">
        <v>45502</v>
      </c>
      <c r="B31" s="140" t="s">
        <v>11</v>
      </c>
      <c r="C31" s="67" t="n">
        <f aca="false">1001900+5356200</f>
        <v>6358100</v>
      </c>
      <c r="D31" s="79" t="n">
        <f aca="false">IF(C31&gt;0, C31,(G$42/(G$39-G$40)))</f>
        <v>6358100</v>
      </c>
      <c r="E31" s="69" t="n">
        <f aca="false">152+24</f>
        <v>176</v>
      </c>
      <c r="F31" s="80" t="n">
        <f aca="false">IF(E31&gt;0,C31/E31, )</f>
        <v>36125.5681818182</v>
      </c>
      <c r="G31" s="69" t="n">
        <v>406</v>
      </c>
      <c r="H31" s="80" t="n">
        <f aca="false">IF(G31&gt;0,G31/E31,  )</f>
        <v>2.30681818181818</v>
      </c>
      <c r="I31" s="80" t="n">
        <f aca="false">IF(H31&gt;0,F31/H31,  )</f>
        <v>15660.3448275862</v>
      </c>
    </row>
    <row r="32" customFormat="false" ht="15" hidden="false" customHeight="false" outlineLevel="0" collapsed="false">
      <c r="A32" s="139" t="n">
        <v>45503</v>
      </c>
      <c r="B32" s="140" t="s">
        <v>12</v>
      </c>
      <c r="C32" s="67" t="n">
        <v>6515150</v>
      </c>
      <c r="D32" s="79" t="n">
        <f aca="false">IF(C32&gt;0, C32,(G$42/(G$39-G$40)))</f>
        <v>6515150</v>
      </c>
      <c r="E32" s="69" t="n">
        <f aca="false">110+66</f>
        <v>176</v>
      </c>
      <c r="F32" s="80" t="n">
        <f aca="false">IF(E32&gt;0,C32/E32, )</f>
        <v>37017.8977272727</v>
      </c>
      <c r="G32" s="69" t="n">
        <v>549</v>
      </c>
      <c r="H32" s="80" t="n">
        <f aca="false">IF(G32&gt;0,G32/E32,  )</f>
        <v>3.11931818181818</v>
      </c>
      <c r="I32" s="80" t="n">
        <f aca="false">IF(H32&gt;0,F32/H32,  )</f>
        <v>11867.3041894353</v>
      </c>
    </row>
    <row r="33" customFormat="false" ht="15" hidden="false" customHeight="false" outlineLevel="0" collapsed="false">
      <c r="A33" s="139" t="n">
        <v>45504</v>
      </c>
      <c r="B33" s="140" t="s">
        <v>13</v>
      </c>
      <c r="C33" s="67" t="n">
        <v>6597200</v>
      </c>
      <c r="D33" s="79" t="n">
        <f aca="false">IF(C33&gt;0, C33,(G$42/(G$39-G$40)))</f>
        <v>6597200</v>
      </c>
      <c r="E33" s="69" t="n">
        <v>188</v>
      </c>
      <c r="F33" s="80" t="n">
        <f aca="false">IF(E33&gt;0,C33/E33, )</f>
        <v>35091.4893617021</v>
      </c>
      <c r="G33" s="69" t="n">
        <v>547</v>
      </c>
      <c r="H33" s="80" t="n">
        <f aca="false">IF(G33&gt;0,G33/E33,  )</f>
        <v>2.90957446808511</v>
      </c>
      <c r="I33" s="80" t="n">
        <f aca="false">IF(H33&gt;0,F33/H33,  )</f>
        <v>12060.6946983547</v>
      </c>
    </row>
    <row r="34" customFormat="false" ht="15" hidden="false" customHeight="false" outlineLevel="0" collapsed="false">
      <c r="A34" s="83" t="s">
        <v>18</v>
      </c>
      <c r="B34" s="84"/>
      <c r="C34" s="85"/>
      <c r="D34" s="85"/>
      <c r="E34" s="86" t="s">
        <v>53</v>
      </c>
      <c r="F34" s="85" t="e">
        <f aca="false">C34/E34</f>
        <v>#VALUE!</v>
      </c>
      <c r="G34" s="86" t="n">
        <f aca="false">AVERAGE(G3:G33)</f>
        <v>682.516129032258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269398250</v>
      </c>
      <c r="D35" s="90"/>
      <c r="E35" s="91" t="n">
        <f aca="false">SUM(E3:E33)</f>
        <v>5882</v>
      </c>
      <c r="F35" s="92"/>
      <c r="G35" s="91" t="n">
        <f aca="false">SUM(G3:G33)</f>
        <v>21158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240000000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1.12249270833333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240000000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-29398250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269398250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29398250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7741935.48387097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8690266.12903226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948330.645161291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1.12249270833333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1.12249270833333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&amp;C&amp;"Arial,Обычный"&amp;10&amp;A</oddHeader>
    <oddFooter>&amp;C&amp;"Arial,Обычный"&amp;10Страница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G34" activeCellId="0" sqref="G34"/>
    </sheetView>
  </sheetViews>
  <sheetFormatPr defaultColWidth="10.25" defaultRowHeight="12.8" zeroHeight="false" outlineLevelRow="0" outlineLevelCol="0"/>
  <cols>
    <col collapsed="false" customWidth="true" hidden="false" outlineLevel="0" max="3" min="3" style="0" width="13.53"/>
    <col collapsed="false" customWidth="true" hidden="false" outlineLevel="0" max="7" min="7" style="0" width="12.94"/>
  </cols>
  <sheetData>
    <row r="1" customFormat="false" ht="17.35" hidden="false" customHeight="false" outlineLevel="0" collapsed="false">
      <c r="A1" s="128" t="s">
        <v>63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1.2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45505</v>
      </c>
      <c r="B3" s="140" t="s">
        <v>14</v>
      </c>
      <c r="C3" s="67" t="n">
        <v>6379800</v>
      </c>
      <c r="D3" s="79" t="n">
        <f aca="false">IF(C3&gt;0, C3,(G$42/(G$39-G$40)))</f>
        <v>6379800</v>
      </c>
      <c r="E3" s="69" t="n">
        <f aca="false">114+33</f>
        <v>147</v>
      </c>
      <c r="F3" s="80" t="n">
        <f aca="false">IF(E3&gt;0,C3/E3, )</f>
        <v>43400</v>
      </c>
      <c r="G3" s="69" t="n">
        <v>500</v>
      </c>
      <c r="H3" s="80" t="n">
        <f aca="false">IF(G3&gt;0,G3/E3,  )</f>
        <v>3.40136054421769</v>
      </c>
      <c r="I3" s="80" t="n">
        <f aca="false">IF(H3&gt;0,F3/H3,  )</f>
        <v>12759.6</v>
      </c>
    </row>
    <row r="4" customFormat="false" ht="15" hidden="false" customHeight="false" outlineLevel="0" collapsed="false">
      <c r="A4" s="139" t="n">
        <v>45506</v>
      </c>
      <c r="B4" s="140" t="s">
        <v>15</v>
      </c>
      <c r="C4" s="67" t="n">
        <v>4538900</v>
      </c>
      <c r="D4" s="79" t="n">
        <f aca="false">IF(C4&gt;0, C4,(G$42/(G$39-G$40)))</f>
        <v>4538900</v>
      </c>
      <c r="E4" s="69" t="n">
        <f aca="false">94+29</f>
        <v>123</v>
      </c>
      <c r="F4" s="80" t="n">
        <f aca="false">IF(E4&gt;0,C4/E4, )</f>
        <v>36901.6260162602</v>
      </c>
      <c r="G4" s="69" t="n">
        <v>373</v>
      </c>
      <c r="H4" s="80" t="n">
        <f aca="false">IF(G4&gt;0,G4/E4,  )</f>
        <v>3.03252032520325</v>
      </c>
      <c r="I4" s="80" t="n">
        <f aca="false">IF(H4&gt;0,F4/H4,  )</f>
        <v>12168.6327077748</v>
      </c>
    </row>
    <row r="5" customFormat="false" ht="15" hidden="false" customHeight="false" outlineLevel="0" collapsed="false">
      <c r="A5" s="139" t="n">
        <v>45507</v>
      </c>
      <c r="B5" s="140" t="s">
        <v>16</v>
      </c>
      <c r="C5" s="67" t="n">
        <v>7322800</v>
      </c>
      <c r="D5" s="79" t="n">
        <f aca="false">IF(C5&gt;0, C5,(G$42/(G$39-G$40)))</f>
        <v>7322800</v>
      </c>
      <c r="E5" s="69" t="n">
        <f aca="false">100+61</f>
        <v>161</v>
      </c>
      <c r="F5" s="80" t="n">
        <f aca="false">IF(E5&gt;0,C5/E5, )</f>
        <v>45483.2298136646</v>
      </c>
      <c r="G5" s="69" t="n">
        <v>584</v>
      </c>
      <c r="H5" s="80" t="n">
        <f aca="false">IF(G5&gt;0,G5/E5,  )</f>
        <v>3.62732919254658</v>
      </c>
      <c r="I5" s="80" t="n">
        <f aca="false">IF(H5&gt;0,F5/H5,  )</f>
        <v>12539.0410958904</v>
      </c>
    </row>
    <row r="6" customFormat="false" ht="15" hidden="false" customHeight="false" outlineLevel="0" collapsed="false">
      <c r="A6" s="139" t="n">
        <v>45508</v>
      </c>
      <c r="B6" s="140" t="s">
        <v>17</v>
      </c>
      <c r="C6" s="67" t="n">
        <v>6516000</v>
      </c>
      <c r="D6" s="79" t="n">
        <f aca="false">IF(C6&gt;0, C6,(G$42/(G$39-G$40)))</f>
        <v>6516000</v>
      </c>
      <c r="E6" s="69" t="n">
        <v>141</v>
      </c>
      <c r="F6" s="80" t="n">
        <f aca="false">IF(E6&gt;0,C6/E6, )</f>
        <v>46212.7659574468</v>
      </c>
      <c r="G6" s="69" t="n">
        <v>470</v>
      </c>
      <c r="H6" s="80" t="n">
        <f aca="false">IF(G6&gt;0,G6/E6,  )</f>
        <v>3.33333333333333</v>
      </c>
      <c r="I6" s="80" t="n">
        <f aca="false">IF(H6&gt;0,F6/H6,  )</f>
        <v>13863.829787234</v>
      </c>
    </row>
    <row r="7" customFormat="false" ht="15" hidden="false" customHeight="false" outlineLevel="0" collapsed="false">
      <c r="A7" s="139" t="n">
        <v>45509</v>
      </c>
      <c r="B7" s="140" t="s">
        <v>11</v>
      </c>
      <c r="C7" s="67" t="n">
        <v>6138600</v>
      </c>
      <c r="D7" s="79" t="n">
        <f aca="false">IF(C7&gt;0, C7,(G$42/(G$39-G$40)))</f>
        <v>6138600</v>
      </c>
      <c r="E7" s="69" t="n">
        <f aca="false">38+115</f>
        <v>153</v>
      </c>
      <c r="F7" s="80" t="n">
        <f aca="false">IF(E7&gt;0,C7/E7, )</f>
        <v>40121.568627451</v>
      </c>
      <c r="G7" s="69" t="n">
        <v>502</v>
      </c>
      <c r="H7" s="80" t="n">
        <f aca="false">IF(G7&gt;0,G7/E7,  )</f>
        <v>3.28104575163399</v>
      </c>
      <c r="I7" s="80" t="n">
        <f aca="false">IF(H7&gt;0,F7/H7,  )</f>
        <v>12228.2868525896</v>
      </c>
    </row>
    <row r="8" customFormat="false" ht="15" hidden="false" customHeight="false" outlineLevel="0" collapsed="false">
      <c r="A8" s="139" t="n">
        <v>45510</v>
      </c>
      <c r="B8" s="140" t="s">
        <v>12</v>
      </c>
      <c r="C8" s="67" t="n">
        <v>9618950</v>
      </c>
      <c r="D8" s="79" t="n">
        <f aca="false">IF(C8&gt;0, C8,(G$42/(G$39-G$40)))</f>
        <v>9618950</v>
      </c>
      <c r="E8" s="69" t="n">
        <f aca="false">154+51</f>
        <v>205</v>
      </c>
      <c r="F8" s="80" t="n">
        <f aca="false">IF(E8&gt;0,C8/E8, )</f>
        <v>46921.7073170732</v>
      </c>
      <c r="G8" s="69" t="n">
        <v>745</v>
      </c>
      <c r="H8" s="80" t="n">
        <f aca="false">IF(G8&gt;0,G8/E8,  )</f>
        <v>3.63414634146341</v>
      </c>
      <c r="I8" s="80" t="n">
        <f aca="false">IF(H8&gt;0,F8/H8,  )</f>
        <v>12911.3422818792</v>
      </c>
    </row>
    <row r="9" customFormat="false" ht="15" hidden="false" customHeight="false" outlineLevel="0" collapsed="false">
      <c r="A9" s="139" t="n">
        <v>45511</v>
      </c>
      <c r="B9" s="140" t="s">
        <v>13</v>
      </c>
      <c r="C9" s="67" t="n">
        <v>7560300</v>
      </c>
      <c r="D9" s="79" t="n">
        <f aca="false">IF(C9&gt;0, C9,(G$42/(G$39-G$40)))</f>
        <v>7560300</v>
      </c>
      <c r="E9" s="69" t="n">
        <f aca="false">160+44</f>
        <v>204</v>
      </c>
      <c r="F9" s="80" t="n">
        <f aca="false">IF(E9&gt;0,C9/E9, )</f>
        <v>37060.2941176471</v>
      </c>
      <c r="G9" s="69" t="n">
        <v>645</v>
      </c>
      <c r="H9" s="80" t="n">
        <f aca="false">IF(G9&gt;0,G9/E9,  )</f>
        <v>3.16176470588235</v>
      </c>
      <c r="I9" s="80" t="n">
        <f aca="false">IF(H9&gt;0,F9/H9,  )</f>
        <v>11721.3953488372</v>
      </c>
    </row>
    <row r="10" customFormat="false" ht="15" hidden="false" customHeight="false" outlineLevel="0" collapsed="false">
      <c r="A10" s="139" t="n">
        <v>45512</v>
      </c>
      <c r="B10" s="140" t="s">
        <v>14</v>
      </c>
      <c r="C10" s="67" t="n">
        <v>11018550</v>
      </c>
      <c r="D10" s="79" t="n">
        <f aca="false">IF(C10&gt;0, C10,(G$42/(G$39-G$40)))</f>
        <v>11018550</v>
      </c>
      <c r="E10" s="69" t="n">
        <f aca="false">147+64</f>
        <v>211</v>
      </c>
      <c r="F10" s="80" t="n">
        <f aca="false">IF(E10&gt;0,C10/E10, )</f>
        <v>52220.6161137441</v>
      </c>
      <c r="G10" s="69" t="n">
        <v>919</v>
      </c>
      <c r="H10" s="80" t="n">
        <f aca="false">IF(G10&gt;0,G10/E10,  )</f>
        <v>4.35545023696682</v>
      </c>
      <c r="I10" s="80" t="n">
        <f aca="false">IF(H10&gt;0,F10/H10,  )</f>
        <v>11989.7170837867</v>
      </c>
    </row>
    <row r="11" customFormat="false" ht="15" hidden="false" customHeight="false" outlineLevel="0" collapsed="false">
      <c r="A11" s="139" t="n">
        <v>45513</v>
      </c>
      <c r="B11" s="140" t="s">
        <v>15</v>
      </c>
      <c r="C11" s="67" t="n">
        <v>8901100</v>
      </c>
      <c r="D11" s="79" t="n">
        <f aca="false">IF(C11&gt;0, C11,(G$42/(G$39-G$40)))</f>
        <v>8901100</v>
      </c>
      <c r="E11" s="69" t="n">
        <v>211</v>
      </c>
      <c r="F11" s="80" t="n">
        <f aca="false">IF(E11&gt;0,C11/E11, )</f>
        <v>42185.308056872</v>
      </c>
      <c r="G11" s="69" t="n">
        <v>696</v>
      </c>
      <c r="H11" s="80" t="n">
        <f aca="false">IF(G11&gt;0,G11/E11,  )</f>
        <v>3.29857819905213</v>
      </c>
      <c r="I11" s="80" t="n">
        <f aca="false">IF(H11&gt;0,F11/H11,  )</f>
        <v>12788.9367816092</v>
      </c>
    </row>
    <row r="12" customFormat="false" ht="15" hidden="false" customHeight="false" outlineLevel="0" collapsed="false">
      <c r="A12" s="139" t="n">
        <v>45514</v>
      </c>
      <c r="B12" s="140" t="s">
        <v>16</v>
      </c>
      <c r="C12" s="67" t="n">
        <v>10242950</v>
      </c>
      <c r="D12" s="79" t="n">
        <f aca="false">IF(C12&gt;0, C12,(G$42/(G$39-G$40)))</f>
        <v>10242950</v>
      </c>
      <c r="E12" s="69" t="n">
        <v>191</v>
      </c>
      <c r="F12" s="80" t="n">
        <f aca="false">IF(E12&gt;0,C12/E12, )</f>
        <v>53628.0104712042</v>
      </c>
      <c r="G12" s="69" t="n">
        <v>904</v>
      </c>
      <c r="H12" s="80" t="n">
        <f aca="false">IF(G12&gt;0,G12/E12,  )</f>
        <v>4.73298429319372</v>
      </c>
      <c r="I12" s="80" t="n">
        <f aca="false">IF(H12&gt;0,F12/H12,  )</f>
        <v>11330.6969026549</v>
      </c>
    </row>
    <row r="13" customFormat="false" ht="15" hidden="false" customHeight="false" outlineLevel="0" collapsed="false">
      <c r="A13" s="139" t="n">
        <v>45515</v>
      </c>
      <c r="B13" s="140" t="s">
        <v>17</v>
      </c>
      <c r="C13" s="67" t="n">
        <v>7427700</v>
      </c>
      <c r="D13" s="79" t="n">
        <f aca="false">IF(C13&gt;0, C13,(G$42/(G$39-G$40)))</f>
        <v>7427700</v>
      </c>
      <c r="E13" s="69" t="n">
        <v>116</v>
      </c>
      <c r="F13" s="80" t="n">
        <f aca="false">IF(E13&gt;0,C13/E13, )</f>
        <v>64031.8965517241</v>
      </c>
      <c r="G13" s="69" t="n">
        <v>566</v>
      </c>
      <c r="H13" s="80" t="n">
        <f aca="false">IF(G13&gt;0,G13/E13,  )</f>
        <v>4.87931034482759</v>
      </c>
      <c r="I13" s="80" t="n">
        <f aca="false">IF(H13&gt;0,F13/H13,  )</f>
        <v>13123.1448763251</v>
      </c>
    </row>
    <row r="14" customFormat="false" ht="15" hidden="false" customHeight="false" outlineLevel="0" collapsed="false">
      <c r="A14" s="139" t="n">
        <v>45516</v>
      </c>
      <c r="B14" s="140" t="s">
        <v>11</v>
      </c>
      <c r="C14" s="67" t="n">
        <v>4268500</v>
      </c>
      <c r="D14" s="79" t="n">
        <f aca="false">IF(C14&gt;0, C14,(G$42/(G$39-G$40)))</f>
        <v>4268500</v>
      </c>
      <c r="E14" s="69" t="n">
        <f aca="false">41+58</f>
        <v>99</v>
      </c>
      <c r="F14" s="80" t="n">
        <f aca="false">IF(E14&gt;0,C14/E14, )</f>
        <v>43116.1616161616</v>
      </c>
      <c r="G14" s="69" t="n">
        <v>363</v>
      </c>
      <c r="H14" s="80" t="n">
        <f aca="false">IF(G14&gt;0,G14/E14,  )</f>
        <v>3.66666666666667</v>
      </c>
      <c r="I14" s="80" t="n">
        <f aca="false">IF(H14&gt;0,F14/H14,  )</f>
        <v>11758.9531680441</v>
      </c>
    </row>
    <row r="15" customFormat="false" ht="15" hidden="false" customHeight="false" outlineLevel="0" collapsed="false">
      <c r="A15" s="139" t="n">
        <v>45517</v>
      </c>
      <c r="B15" s="140" t="s">
        <v>12</v>
      </c>
      <c r="C15" s="67" t="n">
        <v>7018000</v>
      </c>
      <c r="D15" s="79" t="n">
        <f aca="false">IF(C15&gt;0, C15,(G$42/(G$39-G$40)))</f>
        <v>7018000</v>
      </c>
      <c r="E15" s="69" t="n">
        <f aca="false">148+43</f>
        <v>191</v>
      </c>
      <c r="F15" s="80" t="n">
        <f aca="false">IF(E15&gt;0,C15/E15, )</f>
        <v>36743.4554973822</v>
      </c>
      <c r="G15" s="69" t="n">
        <v>636</v>
      </c>
      <c r="H15" s="80" t="n">
        <f aca="false">IF(G15&gt;0,G15/E15,  )</f>
        <v>3.32984293193717</v>
      </c>
      <c r="I15" s="80" t="n">
        <f aca="false">IF(H15&gt;0,F15/H15,  )</f>
        <v>11034.5911949686</v>
      </c>
    </row>
    <row r="16" customFormat="false" ht="15" hidden="false" customHeight="false" outlineLevel="0" collapsed="false">
      <c r="A16" s="139" t="n">
        <v>45518</v>
      </c>
      <c r="B16" s="140" t="s">
        <v>13</v>
      </c>
      <c r="C16" s="67" t="n">
        <v>5473950</v>
      </c>
      <c r="D16" s="79" t="n">
        <f aca="false">IF(C16&gt;0, C16,(G$42/(G$39-G$40)))</f>
        <v>5473950</v>
      </c>
      <c r="E16" s="69" t="n">
        <v>125</v>
      </c>
      <c r="F16" s="80" t="n">
        <f aca="false">IF(E16&gt;0,C16/E16, )</f>
        <v>43791.6</v>
      </c>
      <c r="G16" s="69" t="n">
        <v>423</v>
      </c>
      <c r="H16" s="80" t="n">
        <f aca="false">IF(G16&gt;0,G16/E16,  )</f>
        <v>3.384</v>
      </c>
      <c r="I16" s="80" t="n">
        <f aca="false">IF(H16&gt;0,F16/H16,  )</f>
        <v>12940.780141844</v>
      </c>
    </row>
    <row r="17" customFormat="false" ht="15" hidden="false" customHeight="false" outlineLevel="0" collapsed="false">
      <c r="A17" s="139" t="n">
        <v>45519</v>
      </c>
      <c r="B17" s="140" t="s">
        <v>14</v>
      </c>
      <c r="C17" s="67" t="n">
        <v>4279500</v>
      </c>
      <c r="D17" s="79" t="n">
        <f aca="false">IF(C17&gt;0, C17,(G$42/(G$39-G$40)))</f>
        <v>4279500</v>
      </c>
      <c r="E17" s="69" t="n">
        <f aca="false">54+48</f>
        <v>102</v>
      </c>
      <c r="F17" s="80" t="n">
        <f aca="false">IF(E17&gt;0,C17/E17, )</f>
        <v>41955.8823529412</v>
      </c>
      <c r="G17" s="69" t="n">
        <v>344</v>
      </c>
      <c r="H17" s="80" t="n">
        <f aca="false">IF(G17&gt;0,G17/E17,  )</f>
        <v>3.37254901960784</v>
      </c>
      <c r="I17" s="80" t="n">
        <f aca="false">IF(H17&gt;0,F17/H17,  )</f>
        <v>12440.4069767442</v>
      </c>
    </row>
    <row r="18" customFormat="false" ht="15" hidden="false" customHeight="false" outlineLevel="0" collapsed="false">
      <c r="A18" s="139" t="n">
        <v>45520</v>
      </c>
      <c r="B18" s="140" t="s">
        <v>15</v>
      </c>
      <c r="C18" s="67" t="n">
        <v>6209200</v>
      </c>
      <c r="D18" s="79" t="n">
        <f aca="false">IF(C18&gt;0, C18,(G$42/(G$39-G$40)))</f>
        <v>6209200</v>
      </c>
      <c r="E18" s="69" t="n">
        <f aca="false">58+66</f>
        <v>124</v>
      </c>
      <c r="F18" s="80" t="n">
        <f aca="false">IF(E18&gt;0,C18/E18, )</f>
        <v>50074.1935483871</v>
      </c>
      <c r="G18" s="69" t="n">
        <v>556</v>
      </c>
      <c r="H18" s="80" t="n">
        <f aca="false">IF(G18&gt;0,G18/E18,  )</f>
        <v>4.48387096774194</v>
      </c>
      <c r="I18" s="80" t="n">
        <f aca="false">IF(H18&gt;0,F18/H18,  )</f>
        <v>11167.6258992806</v>
      </c>
    </row>
    <row r="19" customFormat="false" ht="15" hidden="false" customHeight="false" outlineLevel="0" collapsed="false">
      <c r="A19" s="139" t="n">
        <v>45521</v>
      </c>
      <c r="B19" s="140" t="s">
        <v>16</v>
      </c>
      <c r="C19" s="67" t="n">
        <v>13374550</v>
      </c>
      <c r="D19" s="79" t="n">
        <f aca="false">IF(C19&gt;0, C19,(G$42/(G$39-G$40)))</f>
        <v>13374550</v>
      </c>
      <c r="E19" s="69" t="n">
        <v>208</v>
      </c>
      <c r="F19" s="80" t="n">
        <f aca="false">IF(E19&gt;0,C19/E19, )</f>
        <v>64300.7211538462</v>
      </c>
      <c r="G19" s="69" t="n">
        <v>1178</v>
      </c>
      <c r="H19" s="80" t="n">
        <f aca="false">IF(G19&gt;0,G19/E19,  )</f>
        <v>5.66346153846154</v>
      </c>
      <c r="I19" s="80" t="n">
        <f aca="false">IF(H19&gt;0,F19/H19,  )</f>
        <v>11353.6078098472</v>
      </c>
    </row>
    <row r="20" customFormat="false" ht="15" hidden="false" customHeight="false" outlineLevel="0" collapsed="false">
      <c r="A20" s="139" t="n">
        <v>45522</v>
      </c>
      <c r="B20" s="140" t="s">
        <v>17</v>
      </c>
      <c r="C20" s="67" t="n">
        <v>9384750</v>
      </c>
      <c r="D20" s="79" t="n">
        <f aca="false">IF(C20&gt;0, C20,(G$42/(G$39-G$40)))</f>
        <v>9384750</v>
      </c>
      <c r="E20" s="69" t="n">
        <f aca="false">29+149</f>
        <v>178</v>
      </c>
      <c r="F20" s="80" t="n">
        <f aca="false">IF(E20&gt;0,C20/E20, )</f>
        <v>52723.3146067416</v>
      </c>
      <c r="G20" s="69" t="n">
        <v>794</v>
      </c>
      <c r="H20" s="80" t="n">
        <f aca="false">IF(G20&gt;0,G20/E20,  )</f>
        <v>4.46067415730337</v>
      </c>
      <c r="I20" s="80" t="n">
        <f aca="false">IF(H20&gt;0,F20/H20,  )</f>
        <v>11819.5843828715</v>
      </c>
    </row>
    <row r="21" customFormat="false" ht="15" hidden="false" customHeight="false" outlineLevel="0" collapsed="false">
      <c r="A21" s="139" t="n">
        <v>45523</v>
      </c>
      <c r="B21" s="140" t="s">
        <v>11</v>
      </c>
      <c r="C21" s="67" t="n">
        <v>8308150</v>
      </c>
      <c r="D21" s="79" t="n">
        <f aca="false">IF(C21&gt;0, C21,(G$42/(G$39-G$40)))</f>
        <v>8308150</v>
      </c>
      <c r="E21" s="69" t="n">
        <v>197</v>
      </c>
      <c r="F21" s="80" t="n">
        <f aca="false">IF(E21&gt;0,C21/E21, )</f>
        <v>42173.3502538071</v>
      </c>
      <c r="G21" s="69" t="n">
        <v>273</v>
      </c>
      <c r="H21" s="80" t="n">
        <f aca="false">IF(G21&gt;0,G21/E21,  )</f>
        <v>1.38578680203046</v>
      </c>
      <c r="I21" s="80" t="n">
        <f aca="false">IF(H21&gt;0,F21/H21,  )</f>
        <v>30432.7838827839</v>
      </c>
    </row>
    <row r="22" customFormat="false" ht="15" hidden="false" customHeight="false" outlineLevel="0" collapsed="false">
      <c r="A22" s="139" t="n">
        <v>45524</v>
      </c>
      <c r="B22" s="140" t="s">
        <v>12</v>
      </c>
      <c r="C22" s="67" t="n">
        <v>8394800</v>
      </c>
      <c r="D22" s="79" t="n">
        <f aca="false">IF(C22&gt;0, C22,(G$42/(G$39-G$40)))</f>
        <v>8394800</v>
      </c>
      <c r="E22" s="69" t="n">
        <f aca="false">76+100</f>
        <v>176</v>
      </c>
      <c r="F22" s="80" t="n">
        <f aca="false">IF(E22&gt;0,C22/E22, )</f>
        <v>47697.7272727273</v>
      </c>
      <c r="G22" s="138" t="n">
        <v>678</v>
      </c>
      <c r="H22" s="80" t="n">
        <f aca="false">IF(G22&gt;0,G22/E22,  )</f>
        <v>3.85227272727273</v>
      </c>
      <c r="I22" s="80" t="n">
        <f aca="false">IF(H22&gt;0,F22/H22,  )</f>
        <v>12381.7109144543</v>
      </c>
    </row>
    <row r="23" customFormat="false" ht="15" hidden="false" customHeight="false" outlineLevel="0" collapsed="false">
      <c r="A23" s="139" t="n">
        <v>45525</v>
      </c>
      <c r="B23" s="140" t="s">
        <v>13</v>
      </c>
      <c r="C23" s="67" t="n">
        <v>6793300</v>
      </c>
      <c r="D23" s="79" t="n">
        <f aca="false">IF(C23&gt;0, C23,(G$42/(G$39-G$40)))</f>
        <v>6793300</v>
      </c>
      <c r="E23" s="69" t="n">
        <v>159</v>
      </c>
      <c r="F23" s="80" t="n">
        <f aca="false">IF(E23&gt;0,C23/E23, )</f>
        <v>42725.1572327044</v>
      </c>
      <c r="G23" s="69" t="n">
        <v>634</v>
      </c>
      <c r="H23" s="80" t="n">
        <f aca="false">IF(G23&gt;0,G23/E23,  )</f>
        <v>3.9874213836478</v>
      </c>
      <c r="I23" s="80" t="n">
        <f aca="false">IF(H23&gt;0,F23/H23,  )</f>
        <v>10714.9842271293</v>
      </c>
    </row>
    <row r="24" customFormat="false" ht="15" hidden="false" customHeight="false" outlineLevel="0" collapsed="false">
      <c r="A24" s="139" t="n">
        <v>45526</v>
      </c>
      <c r="B24" s="140" t="s">
        <v>14</v>
      </c>
      <c r="C24" s="67" t="n">
        <v>7810900</v>
      </c>
      <c r="D24" s="79" t="n">
        <f aca="false">IF(C24&gt;0, C24,(G$42/(G$39-G$40)))</f>
        <v>7810900</v>
      </c>
      <c r="E24" s="69" t="n">
        <v>186</v>
      </c>
      <c r="F24" s="80" t="n">
        <f aca="false">IF(E24&gt;0,C24/E24, )</f>
        <v>41994.0860215054</v>
      </c>
      <c r="G24" s="69" t="n">
        <v>617</v>
      </c>
      <c r="H24" s="80" t="n">
        <f aca="false">IF(G24&gt;0,G24/E24,  )</f>
        <v>3.31720430107527</v>
      </c>
      <c r="I24" s="80" t="n">
        <f aca="false">IF(H24&gt;0,F24/H24,  )</f>
        <v>12659.4813614263</v>
      </c>
    </row>
    <row r="25" customFormat="false" ht="15" hidden="false" customHeight="false" outlineLevel="0" collapsed="false">
      <c r="A25" s="139" t="n">
        <v>45527</v>
      </c>
      <c r="B25" s="140" t="s">
        <v>15</v>
      </c>
      <c r="C25" s="67" t="n">
        <v>7699400</v>
      </c>
      <c r="D25" s="79" t="n">
        <f aca="false">IF(C25&gt;0, C25,(G$42/(G$39-G$40)))</f>
        <v>7699400</v>
      </c>
      <c r="E25" s="69" t="n">
        <f aca="false">91+76</f>
        <v>167</v>
      </c>
      <c r="F25" s="80" t="n">
        <f aca="false">IF(E25&gt;0,C25/E25, )</f>
        <v>46104.1916167665</v>
      </c>
      <c r="G25" s="69" t="n">
        <v>610</v>
      </c>
      <c r="H25" s="80" t="n">
        <f aca="false">IF(G25&gt;0,G25/E25,  )</f>
        <v>3.65269461077844</v>
      </c>
      <c r="I25" s="80" t="n">
        <f aca="false">IF(H25&gt;0,F25/H25,  )</f>
        <v>12621.9672131148</v>
      </c>
    </row>
    <row r="26" customFormat="false" ht="15" hidden="false" customHeight="false" outlineLevel="0" collapsed="false">
      <c r="A26" s="139" t="n">
        <v>45528</v>
      </c>
      <c r="B26" s="140" t="s">
        <v>16</v>
      </c>
      <c r="C26" s="67" t="n">
        <v>6220150</v>
      </c>
      <c r="D26" s="79" t="n">
        <f aca="false">IF(C26&gt;0, C26,(G$42/(G$39-G$40)))</f>
        <v>6220150</v>
      </c>
      <c r="E26" s="69" t="n">
        <v>150</v>
      </c>
      <c r="F26" s="80" t="n">
        <f aca="false">IF(E26&gt;0,C26/E26, )</f>
        <v>41467.6666666667</v>
      </c>
      <c r="G26" s="69" t="n">
        <v>490</v>
      </c>
      <c r="H26" s="80" t="n">
        <f aca="false">IF(G26&gt;0,G26/E26,  )</f>
        <v>3.26666666666667</v>
      </c>
      <c r="I26" s="80" t="n">
        <f aca="false">IF(H26&gt;0,F26/H26,  )</f>
        <v>12694.1836734694</v>
      </c>
    </row>
    <row r="27" customFormat="false" ht="15" hidden="false" customHeight="false" outlineLevel="0" collapsed="false">
      <c r="A27" s="139" t="n">
        <v>45529</v>
      </c>
      <c r="B27" s="140" t="s">
        <v>17</v>
      </c>
      <c r="C27" s="67" t="n">
        <v>8045650</v>
      </c>
      <c r="D27" s="79" t="n">
        <f aca="false">IF(C27&gt;0, C27,(G$42/(G$39-G$40)))</f>
        <v>8045650</v>
      </c>
      <c r="E27" s="69" t="n">
        <f aca="false">123+45</f>
        <v>168</v>
      </c>
      <c r="F27" s="80" t="n">
        <f aca="false">IF(E27&gt;0,C27/E27, )</f>
        <v>47890.7738095238</v>
      </c>
      <c r="G27" s="69" t="n">
        <v>616</v>
      </c>
      <c r="H27" s="80" t="n">
        <f aca="false">IF(G27&gt;0,G27/E27,  )</f>
        <v>3.66666666666667</v>
      </c>
      <c r="I27" s="80" t="n">
        <f aca="false">IF(H27&gt;0,F27/H27,  )</f>
        <v>13061.1201298701</v>
      </c>
    </row>
    <row r="28" customFormat="false" ht="15" hidden="false" customHeight="false" outlineLevel="0" collapsed="false">
      <c r="A28" s="139" t="n">
        <v>45530</v>
      </c>
      <c r="B28" s="140" t="s">
        <v>11</v>
      </c>
      <c r="C28" s="67" t="n">
        <v>8842350</v>
      </c>
      <c r="D28" s="79" t="n">
        <f aca="false">IF(C28&gt;0, C28,(G$42/(G$39-G$40)))</f>
        <v>8842350</v>
      </c>
      <c r="E28" s="69" t="n">
        <v>190</v>
      </c>
      <c r="F28" s="80" t="n">
        <f aca="false">IF(E28&gt;0,C28/E28, )</f>
        <v>46538.6842105263</v>
      </c>
      <c r="G28" s="69" t="n">
        <v>737</v>
      </c>
      <c r="H28" s="80" t="n">
        <f aca="false">IF(G28&gt;0,G28/E28,  )</f>
        <v>3.87894736842105</v>
      </c>
      <c r="I28" s="80" t="n">
        <f aca="false">IF(H28&gt;0,F28/H28,  )</f>
        <v>11997.7611940299</v>
      </c>
    </row>
    <row r="29" customFormat="false" ht="15" hidden="false" customHeight="false" outlineLevel="0" collapsed="false">
      <c r="A29" s="139" t="n">
        <v>45531</v>
      </c>
      <c r="B29" s="140" t="s">
        <v>12</v>
      </c>
      <c r="C29" s="67" t="n">
        <v>9108150</v>
      </c>
      <c r="D29" s="79" t="n">
        <f aca="false">IF(C29&gt;0, C29,(G$42/(G$39-G$40)))</f>
        <v>9108150</v>
      </c>
      <c r="E29" s="69" t="n">
        <v>186</v>
      </c>
      <c r="F29" s="80" t="n">
        <f aca="false">IF(E29&gt;0,C29/E29, )</f>
        <v>48968.5483870968</v>
      </c>
      <c r="G29" s="69" t="n">
        <v>710</v>
      </c>
      <c r="H29" s="80" t="n">
        <f aca="false">IF(G29&gt;0,G29/E29,  )</f>
        <v>3.81720430107527</v>
      </c>
      <c r="I29" s="80" t="n">
        <f aca="false">IF(H29&gt;0,F29/H29,  )</f>
        <v>12828.3802816901</v>
      </c>
    </row>
    <row r="30" customFormat="false" ht="15" hidden="false" customHeight="false" outlineLevel="0" collapsed="false">
      <c r="A30" s="139" t="n">
        <v>45532</v>
      </c>
      <c r="B30" s="140" t="s">
        <v>13</v>
      </c>
      <c r="C30" s="67" t="n">
        <v>8486450</v>
      </c>
      <c r="D30" s="79" t="n">
        <f aca="false">IF(C30&gt;0, C30,(G$42/(G$39-G$40)))</f>
        <v>8486450</v>
      </c>
      <c r="E30" s="69" t="n">
        <v>182</v>
      </c>
      <c r="F30" s="80" t="n">
        <f aca="false">IF(E30&gt;0,C30/E30, )</f>
        <v>46628.8461538462</v>
      </c>
      <c r="G30" s="69" t="n">
        <v>761</v>
      </c>
      <c r="H30" s="80" t="n">
        <f aca="false">IF(G30&gt;0,G30/E30,  )</f>
        <v>4.18131868131868</v>
      </c>
      <c r="I30" s="80" t="n">
        <f aca="false">IF(H30&gt;0,F30/H30,  )</f>
        <v>11151.7082785808</v>
      </c>
    </row>
    <row r="31" customFormat="false" ht="15" hidden="false" customHeight="false" outlineLevel="0" collapsed="false">
      <c r="A31" s="139" t="n">
        <v>45533</v>
      </c>
      <c r="B31" s="140" t="s">
        <v>42</v>
      </c>
      <c r="C31" s="67" t="n">
        <v>8909500</v>
      </c>
      <c r="D31" s="79" t="n">
        <f aca="false">IF(C31&gt;0, C31,(G$42/(G$39-G$40)))</f>
        <v>8909500</v>
      </c>
      <c r="E31" s="69" t="n">
        <v>198</v>
      </c>
      <c r="F31" s="80" t="n">
        <f aca="false">IF(E31&gt;0,C31/E31, )</f>
        <v>44997.4747474748</v>
      </c>
      <c r="G31" s="69" t="n">
        <v>825</v>
      </c>
      <c r="H31" s="80" t="n">
        <f aca="false">IF(G31&gt;0,G31/E31,  )</f>
        <v>4.16666666666667</v>
      </c>
      <c r="I31" s="80" t="n">
        <f aca="false">IF(H31&gt;0,F31/H31,  )</f>
        <v>10799.3939393939</v>
      </c>
    </row>
    <row r="32" customFormat="false" ht="15" hidden="false" customHeight="false" outlineLevel="0" collapsed="false">
      <c r="A32" s="139" t="n">
        <v>45534</v>
      </c>
      <c r="B32" s="140" t="s">
        <v>43</v>
      </c>
      <c r="C32" s="67" t="n">
        <v>7433500</v>
      </c>
      <c r="D32" s="79" t="n">
        <f aca="false">IF(C32&gt;0, C32,(G$42/(G$39-G$40)))</f>
        <v>7433500</v>
      </c>
      <c r="E32" s="69" t="n">
        <f aca="false">161+39</f>
        <v>200</v>
      </c>
      <c r="F32" s="80" t="n">
        <f aca="false">IF(E32&gt;0,C32/E32, )</f>
        <v>37167.5</v>
      </c>
      <c r="G32" s="69" t="n">
        <v>766</v>
      </c>
      <c r="H32" s="80" t="n">
        <f aca="false">IF(G32&gt;0,G32/E32,  )</f>
        <v>3.83</v>
      </c>
      <c r="I32" s="80" t="n">
        <f aca="false">IF(H32&gt;0,F32/H32,  )</f>
        <v>9704.30809399478</v>
      </c>
    </row>
    <row r="33" customFormat="false" ht="15" hidden="false" customHeight="false" outlineLevel="0" collapsed="false">
      <c r="A33" s="139" t="n">
        <v>45535</v>
      </c>
      <c r="B33" s="140" t="s">
        <v>44</v>
      </c>
      <c r="C33" s="67" t="n">
        <v>8788450</v>
      </c>
      <c r="D33" s="79" t="n">
        <f aca="false">IF(C33&gt;0, C33,(G$42/(G$39-G$40)))</f>
        <v>8788450</v>
      </c>
      <c r="E33" s="69" t="n">
        <f aca="false">97+96</f>
        <v>193</v>
      </c>
      <c r="F33" s="80" t="n">
        <f aca="false">IF(E33&gt;0,C33/E33, )</f>
        <v>45536.0103626943</v>
      </c>
      <c r="G33" s="69" t="n">
        <v>724</v>
      </c>
      <c r="H33" s="80" t="n">
        <f aca="false">IF(G33&gt;0,G33/E33,  )</f>
        <v>3.75129533678756</v>
      </c>
      <c r="I33" s="80" t="n">
        <f aca="false">IF(H33&gt;0,F33/H33,  )</f>
        <v>12138.7430939227</v>
      </c>
    </row>
    <row r="34" customFormat="false" ht="15" hidden="false" customHeight="false" outlineLevel="0" collapsed="false">
      <c r="A34" s="83" t="s">
        <v>18</v>
      </c>
      <c r="B34" s="84"/>
      <c r="C34" s="85"/>
      <c r="D34" s="85"/>
      <c r="E34" s="86" t="s">
        <v>53</v>
      </c>
      <c r="F34" s="85" t="e">
        <f aca="false">C34/E34</f>
        <v>#VALUE!</v>
      </c>
      <c r="G34" s="86" t="n">
        <f aca="false">AVERAGE(G3:G33)</f>
        <v>633.516129032258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240514850</v>
      </c>
      <c r="D35" s="90"/>
      <c r="E35" s="91" t="n">
        <f aca="false">SUM(E3:E33)</f>
        <v>5242</v>
      </c>
      <c r="F35" s="92"/>
      <c r="G35" s="91" t="n">
        <f aca="false">SUM(G3:G33)</f>
        <v>19639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300000000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0.801716166666667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300000000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59485150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240514850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-59485150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9677419.35483871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7758543.5483871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-1918875.80645161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0.801716166666667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0.801716166666667</v>
      </c>
      <c r="H52" s="71"/>
      <c r="I52" s="71"/>
    </row>
    <row r="53" customFormat="false" ht="15" hidden="false" customHeight="false" outlineLevel="0" collapsed="false"/>
    <row r="54" customFormat="false" ht="15" hidden="false" customHeight="false" outlineLevel="0" collapsed="false"/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cols>
    <col collapsed="false" customWidth="true" hidden="false" outlineLevel="0" max="3" min="3" style="0" width="11.67"/>
  </cols>
  <sheetData>
    <row r="1" customFormat="false" ht="17.35" hidden="false" customHeight="false" outlineLevel="0" collapsed="false">
      <c r="A1" s="128" t="s">
        <v>64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1.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45536</v>
      </c>
      <c r="B3" s="140" t="s">
        <v>17</v>
      </c>
      <c r="C3" s="67" t="n">
        <v>8909400</v>
      </c>
      <c r="D3" s="79" t="n">
        <f aca="false">IF(C3&gt;0, C3,(G$42/(G$39-G$40)))</f>
        <v>8909400</v>
      </c>
      <c r="E3" s="69" t="n">
        <v>149</v>
      </c>
      <c r="F3" s="80" t="n">
        <f aca="false">IF(E3&gt;0,C3/E3, )</f>
        <v>59794.6308724832</v>
      </c>
      <c r="G3" s="69" t="n">
        <v>752</v>
      </c>
      <c r="H3" s="80" t="n">
        <f aca="false">IF(G3&gt;0,G3/E3,  )</f>
        <v>5.04697986577181</v>
      </c>
      <c r="I3" s="80" t="n">
        <f aca="false">IF(H3&gt;0,F3/H3,  )</f>
        <v>11847.6063829787</v>
      </c>
    </row>
    <row r="4" customFormat="false" ht="15" hidden="false" customHeight="false" outlineLevel="0" collapsed="false">
      <c r="A4" s="139" t="n">
        <v>45537</v>
      </c>
      <c r="B4" s="140" t="s">
        <v>11</v>
      </c>
      <c r="C4" s="67" t="n">
        <v>13229850</v>
      </c>
      <c r="D4" s="79" t="n">
        <f aca="false">IF(C4&gt;0, C4,(G$42/(G$39-G$40)))</f>
        <v>13229850</v>
      </c>
      <c r="E4" s="69" t="n">
        <f aca="false">155+76</f>
        <v>231</v>
      </c>
      <c r="F4" s="80" t="n">
        <f aca="false">IF(E4&gt;0,C4/E4, )</f>
        <v>57272.0779220779</v>
      </c>
      <c r="G4" s="69" t="n">
        <v>1003</v>
      </c>
      <c r="H4" s="80" t="n">
        <f aca="false">IF(G4&gt;0,G4/E4,  )</f>
        <v>4.34199134199134</v>
      </c>
      <c r="I4" s="80" t="n">
        <f aca="false">IF(H4&gt;0,F4/H4,  )</f>
        <v>13190.2791625125</v>
      </c>
    </row>
    <row r="5" customFormat="false" ht="15" hidden="false" customHeight="false" outlineLevel="0" collapsed="false">
      <c r="A5" s="139" t="n">
        <v>45538</v>
      </c>
      <c r="B5" s="140" t="s">
        <v>12</v>
      </c>
      <c r="C5" s="67" t="n">
        <v>11665700</v>
      </c>
      <c r="D5" s="79" t="n">
        <f aca="false">IF(C5&gt;0, C5,(G$42/(G$39-G$40)))</f>
        <v>11665700</v>
      </c>
      <c r="E5" s="69" t="n">
        <v>210</v>
      </c>
      <c r="F5" s="80" t="n">
        <f aca="false">IF(E5&gt;0,C5/E5, )</f>
        <v>55550.9523809524</v>
      </c>
      <c r="G5" s="69" t="n">
        <v>1119</v>
      </c>
      <c r="H5" s="80" t="n">
        <f aca="false">IF(G5&gt;0,G5/E5,  )</f>
        <v>5.32857142857143</v>
      </c>
      <c r="I5" s="80" t="n">
        <f aca="false">IF(H5&gt;0,F5/H5,  )</f>
        <v>10425.1117068811</v>
      </c>
    </row>
    <row r="6" customFormat="false" ht="15" hidden="false" customHeight="false" outlineLevel="0" collapsed="false">
      <c r="A6" s="139" t="n">
        <v>45539</v>
      </c>
      <c r="B6" s="140" t="s">
        <v>13</v>
      </c>
      <c r="C6" s="67" t="n">
        <v>8854100</v>
      </c>
      <c r="D6" s="79" t="n">
        <f aca="false">IF(C6&gt;0, C6,(G$42/(G$39-G$40)))</f>
        <v>8854100</v>
      </c>
      <c r="E6" s="69" t="n">
        <f aca="false">114+89</f>
        <v>203</v>
      </c>
      <c r="F6" s="80" t="n">
        <f aca="false">IF(E6&gt;0,C6/E6, )</f>
        <v>43616.2561576355</v>
      </c>
      <c r="G6" s="69" t="n">
        <v>767</v>
      </c>
      <c r="H6" s="80" t="n">
        <f aca="false">IF(G6&gt;0,G6/E6,  )</f>
        <v>3.77832512315271</v>
      </c>
      <c r="I6" s="80" t="n">
        <f aca="false">IF(H6&gt;0,F6/H6,  )</f>
        <v>11543.8070404172</v>
      </c>
    </row>
    <row r="7" customFormat="false" ht="15" hidden="false" customHeight="false" outlineLevel="0" collapsed="false">
      <c r="A7" s="139" t="n">
        <v>45540</v>
      </c>
      <c r="B7" s="140" t="s">
        <v>14</v>
      </c>
      <c r="C7" s="67" t="n">
        <v>9997550</v>
      </c>
      <c r="D7" s="79" t="n">
        <f aca="false">IF(C7&gt;0, C7,(G$42/(G$39-G$40)))</f>
        <v>9997550</v>
      </c>
      <c r="E7" s="69" t="n">
        <f aca="false">108+110</f>
        <v>218</v>
      </c>
      <c r="F7" s="80" t="n">
        <f aca="false">IF(E7&gt;0,C7/E7, )</f>
        <v>45860.3211009174</v>
      </c>
      <c r="G7" s="69" t="n">
        <v>811</v>
      </c>
      <c r="H7" s="80" t="n">
        <f aca="false">IF(G7&gt;0,G7/E7,  )</f>
        <v>3.72018348623853</v>
      </c>
      <c r="I7" s="80" t="n">
        <f aca="false">IF(H7&gt;0,F7/H7,  )</f>
        <v>12327.4352651048</v>
      </c>
    </row>
    <row r="8" customFormat="false" ht="15" hidden="false" customHeight="false" outlineLevel="0" collapsed="false">
      <c r="A8" s="139" t="n">
        <v>45541</v>
      </c>
      <c r="B8" s="140" t="s">
        <v>15</v>
      </c>
      <c r="C8" s="67" t="n">
        <v>7469800</v>
      </c>
      <c r="D8" s="79" t="n">
        <f aca="false">IF(C8&gt;0, C8,(G$42/(G$39-G$40)))</f>
        <v>7469800</v>
      </c>
      <c r="E8" s="69" t="n">
        <f aca="false">30+155</f>
        <v>185</v>
      </c>
      <c r="F8" s="80" t="n">
        <f aca="false">IF(E8&gt;0,C8/E8, )</f>
        <v>40377.2972972973</v>
      </c>
      <c r="G8" s="69" t="n">
        <v>598</v>
      </c>
      <c r="H8" s="80" t="n">
        <f aca="false">IF(G8&gt;0,G8/E8,  )</f>
        <v>3.23243243243243</v>
      </c>
      <c r="I8" s="80" t="n">
        <f aca="false">IF(H8&gt;0,F8/H8,  )</f>
        <v>12491.3043478261</v>
      </c>
    </row>
    <row r="9" customFormat="false" ht="15" hidden="false" customHeight="false" outlineLevel="0" collapsed="false">
      <c r="A9" s="139" t="n">
        <v>45542</v>
      </c>
      <c r="B9" s="140" t="s">
        <v>16</v>
      </c>
      <c r="C9" s="67" t="n">
        <v>9740350</v>
      </c>
      <c r="D9" s="79" t="n">
        <f aca="false">IF(C9&gt;0, C9,(G$42/(G$39-G$40)))</f>
        <v>9740350</v>
      </c>
      <c r="E9" s="69" t="n">
        <v>207</v>
      </c>
      <c r="F9" s="80" t="n">
        <f aca="false">IF(E9&gt;0,C9/E9, )</f>
        <v>47054.8309178744</v>
      </c>
      <c r="G9" s="69" t="n">
        <v>787</v>
      </c>
      <c r="H9" s="80" t="n">
        <f aca="false">IF(G9&gt;0,G9/E9,  )</f>
        <v>3.80193236714976</v>
      </c>
      <c r="I9" s="80" t="n">
        <f aca="false">IF(H9&gt;0,F9/H9,  )</f>
        <v>12376.5565438374</v>
      </c>
    </row>
    <row r="10" customFormat="false" ht="15" hidden="false" customHeight="false" outlineLevel="0" collapsed="false">
      <c r="A10" s="139" t="n">
        <v>45543</v>
      </c>
      <c r="B10" s="140" t="s">
        <v>17</v>
      </c>
      <c r="C10" s="67" t="n">
        <v>10176550</v>
      </c>
      <c r="D10" s="79" t="n">
        <f aca="false">IF(C10&gt;0, C10,(G$42/(G$39-G$40)))</f>
        <v>10176550</v>
      </c>
      <c r="E10" s="69" t="n">
        <v>209</v>
      </c>
      <c r="F10" s="80" t="n">
        <f aca="false">IF(E10&gt;0,C10/E10, )</f>
        <v>48691.6267942584</v>
      </c>
      <c r="G10" s="69" t="n">
        <v>768</v>
      </c>
      <c r="H10" s="80" t="n">
        <f aca="false">IF(G10&gt;0,G10/E10,  )</f>
        <v>3.67464114832536</v>
      </c>
      <c r="I10" s="80" t="n">
        <f aca="false">IF(H10&gt;0,F10/H10,  )</f>
        <v>13250.7161458333</v>
      </c>
    </row>
    <row r="11" customFormat="false" ht="15" hidden="false" customHeight="false" outlineLevel="0" collapsed="false">
      <c r="A11" s="139" t="n">
        <v>45544</v>
      </c>
      <c r="B11" s="140" t="s">
        <v>39</v>
      </c>
      <c r="C11" s="67" t="n">
        <v>7577950</v>
      </c>
      <c r="D11" s="79" t="n">
        <f aca="false">IF(C11&gt;0, C11,(G$42/(G$39-G$40)))</f>
        <v>7577950</v>
      </c>
      <c r="E11" s="69" t="n">
        <f aca="false">112+76</f>
        <v>188</v>
      </c>
      <c r="F11" s="80" t="n">
        <f aca="false">IF(E11&gt;0,C11/E11, )</f>
        <v>40308.2446808511</v>
      </c>
      <c r="G11" s="69" t="n">
        <v>594</v>
      </c>
      <c r="H11" s="80" t="n">
        <f aca="false">IF(G11&gt;0,G11/E11,  )</f>
        <v>3.15957446808511</v>
      </c>
      <c r="I11" s="80" t="n">
        <f aca="false">IF(H11&gt;0,F11/H11,  )</f>
        <v>12757.4915824916</v>
      </c>
    </row>
    <row r="12" customFormat="false" ht="15" hidden="false" customHeight="false" outlineLevel="0" collapsed="false">
      <c r="A12" s="139" t="n">
        <v>45545</v>
      </c>
      <c r="B12" s="140" t="s">
        <v>40</v>
      </c>
      <c r="C12" s="67" t="n">
        <v>9803700</v>
      </c>
      <c r="D12" s="79" t="n">
        <f aca="false">IF(C12&gt;0, C12,(G$42/(G$39-G$40)))</f>
        <v>9803700</v>
      </c>
      <c r="E12" s="69" t="n">
        <f aca="false">85+159</f>
        <v>244</v>
      </c>
      <c r="F12" s="80" t="n">
        <f aca="false">IF(E12&gt;0,C12/E12, )</f>
        <v>40179.0983606557</v>
      </c>
      <c r="G12" s="69" t="n">
        <v>764</v>
      </c>
      <c r="H12" s="80" t="n">
        <f aca="false">IF(G12&gt;0,G12/E12,  )</f>
        <v>3.13114754098361</v>
      </c>
      <c r="I12" s="80" t="n">
        <f aca="false">IF(H12&gt;0,F12/H12,  )</f>
        <v>12832.0680628272</v>
      </c>
    </row>
    <row r="13" customFormat="false" ht="15" hidden="false" customHeight="false" outlineLevel="0" collapsed="false">
      <c r="A13" s="139" t="n">
        <v>45546</v>
      </c>
      <c r="B13" s="140" t="s">
        <v>41</v>
      </c>
      <c r="C13" s="67" t="n">
        <v>7889100</v>
      </c>
      <c r="D13" s="79" t="n">
        <f aca="false">IF(C13&gt;0, C13,(G$42/(G$39-G$40)))</f>
        <v>7889100</v>
      </c>
      <c r="E13" s="69" t="n">
        <v>294</v>
      </c>
      <c r="F13" s="80" t="n">
        <f aca="false">IF(E13&gt;0,C13/E13, )</f>
        <v>26833.6734693878</v>
      </c>
      <c r="G13" s="69" t="n">
        <v>538</v>
      </c>
      <c r="H13" s="80" t="n">
        <f aca="false">IF(G13&gt;0,G13/E13,  )</f>
        <v>1.82993197278912</v>
      </c>
      <c r="I13" s="80" t="n">
        <f aca="false">IF(H13&gt;0,F13/H13,  )</f>
        <v>14663.7546468401</v>
      </c>
    </row>
    <row r="14" customFormat="false" ht="15" hidden="false" customHeight="false" outlineLevel="0" collapsed="false">
      <c r="A14" s="139" t="n">
        <v>45547</v>
      </c>
      <c r="B14" s="140" t="s">
        <v>42</v>
      </c>
      <c r="C14" s="67" t="n">
        <v>9314900</v>
      </c>
      <c r="D14" s="79" t="n">
        <f aca="false">IF(C14&gt;0, C14,(G$42/(G$39-G$40)))</f>
        <v>9314900</v>
      </c>
      <c r="E14" s="69" t="n">
        <v>196</v>
      </c>
      <c r="F14" s="80" t="n">
        <f aca="false">IF(E14&gt;0,C14/E14, )</f>
        <v>47525</v>
      </c>
      <c r="G14" s="69" t="n">
        <v>651</v>
      </c>
      <c r="H14" s="80" t="n">
        <f aca="false">IF(G14&gt;0,G14/E14,  )</f>
        <v>3.32142857142857</v>
      </c>
      <c r="I14" s="80" t="n">
        <f aca="false">IF(H14&gt;0,F14/H14,  )</f>
        <v>14308.6021505376</v>
      </c>
    </row>
    <row r="15" customFormat="false" ht="15" hidden="false" customHeight="false" outlineLevel="0" collapsed="false">
      <c r="A15" s="139" t="n">
        <v>45548</v>
      </c>
      <c r="B15" s="140" t="s">
        <v>43</v>
      </c>
      <c r="C15" s="67" t="n">
        <v>10585200</v>
      </c>
      <c r="D15" s="79" t="n">
        <f aca="false">IF(C15&gt;0, C15,(G$42/(G$39-G$40)))</f>
        <v>10585200</v>
      </c>
      <c r="E15" s="69" t="n">
        <f aca="false">151+100</f>
        <v>251</v>
      </c>
      <c r="F15" s="80" t="n">
        <f aca="false">IF(E15&gt;0,C15/E15, )</f>
        <v>42172.1115537849</v>
      </c>
      <c r="G15" s="69" t="n">
        <v>730</v>
      </c>
      <c r="H15" s="80" t="n">
        <f aca="false">IF(G15&gt;0,G15/E15,  )</f>
        <v>2.90836653386454</v>
      </c>
      <c r="I15" s="80" t="n">
        <f aca="false">IF(H15&gt;0,F15/H15,  )</f>
        <v>14500.2739726027</v>
      </c>
    </row>
    <row r="16" customFormat="false" ht="15" hidden="false" customHeight="false" outlineLevel="0" collapsed="false">
      <c r="A16" s="139" t="n">
        <v>45549</v>
      </c>
      <c r="B16" s="140" t="s">
        <v>44</v>
      </c>
      <c r="C16" s="67" t="n">
        <v>7988350</v>
      </c>
      <c r="D16" s="79" t="n">
        <f aca="false">IF(C16&gt;0, C16,(G$42/(G$39-G$40)))</f>
        <v>7988350</v>
      </c>
      <c r="E16" s="69" t="n">
        <f aca="false">28+155</f>
        <v>183</v>
      </c>
      <c r="F16" s="80" t="n">
        <f aca="false">IF(E16&gt;0,C16/E16, )</f>
        <v>43652.1857923497</v>
      </c>
      <c r="G16" s="69" t="n">
        <v>549</v>
      </c>
      <c r="H16" s="80" t="n">
        <f aca="false">IF(G16&gt;0,G16/E16,  )</f>
        <v>3</v>
      </c>
      <c r="I16" s="80" t="n">
        <f aca="false">IF(H16&gt;0,F16/H16,  )</f>
        <v>14550.7285974499</v>
      </c>
    </row>
    <row r="17" customFormat="false" ht="15" hidden="false" customHeight="false" outlineLevel="0" collapsed="false">
      <c r="A17" s="139" t="n">
        <v>45550</v>
      </c>
      <c r="B17" s="140" t="s">
        <v>38</v>
      </c>
      <c r="C17" s="67" t="n">
        <v>9762000</v>
      </c>
      <c r="D17" s="79" t="n">
        <f aca="false">IF(C17&gt;0, C17,(G$42/(G$39-G$40)))</f>
        <v>9762000</v>
      </c>
      <c r="E17" s="69" t="n">
        <f aca="false">145+54</f>
        <v>199</v>
      </c>
      <c r="F17" s="80" t="n">
        <f aca="false">IF(E17&gt;0,C17/E17, )</f>
        <v>49055.2763819095</v>
      </c>
      <c r="G17" s="69" t="n">
        <v>705</v>
      </c>
      <c r="H17" s="80" t="n">
        <f aca="false">IF(G17&gt;0,G17/E17,  )</f>
        <v>3.5427135678392</v>
      </c>
      <c r="I17" s="80" t="n">
        <f aca="false">IF(H17&gt;0,F17/H17,  )</f>
        <v>13846.8085106383</v>
      </c>
    </row>
    <row r="18" customFormat="false" ht="15" hidden="false" customHeight="false" outlineLevel="0" collapsed="false">
      <c r="A18" s="139" t="n">
        <v>45551</v>
      </c>
      <c r="B18" s="140" t="s">
        <v>39</v>
      </c>
      <c r="C18" s="67" t="n">
        <v>7135200</v>
      </c>
      <c r="D18" s="79" t="n">
        <f aca="false">IF(C18&gt;0, C18,(G$42/(G$39-G$40)))</f>
        <v>7135200</v>
      </c>
      <c r="E18" s="69" t="n">
        <f aca="false">126+85</f>
        <v>211</v>
      </c>
      <c r="F18" s="80" t="n">
        <f aca="false">IF(E18&gt;0,C18/E18, )</f>
        <v>33816.1137440758</v>
      </c>
      <c r="G18" s="69" t="n">
        <v>501</v>
      </c>
      <c r="H18" s="80" t="n">
        <f aca="false">IF(G18&gt;0,G18/E18,  )</f>
        <v>2.37440758293839</v>
      </c>
      <c r="I18" s="80" t="n">
        <f aca="false">IF(H18&gt;0,F18/H18,  )</f>
        <v>14241.9161676647</v>
      </c>
    </row>
    <row r="19" customFormat="false" ht="15" hidden="false" customHeight="false" outlineLevel="0" collapsed="false">
      <c r="A19" s="139" t="n">
        <v>45552</v>
      </c>
      <c r="B19" s="140" t="s">
        <v>40</v>
      </c>
      <c r="C19" s="67" t="n">
        <v>6991250</v>
      </c>
      <c r="D19" s="79" t="n">
        <f aca="false">IF(C19&gt;0, C19,(G$42/(G$39-G$40)))</f>
        <v>6991250</v>
      </c>
      <c r="E19" s="69" t="n">
        <v>181</v>
      </c>
      <c r="F19" s="80" t="n">
        <f aca="false">IF(E19&gt;0,C19/E19, )</f>
        <v>38625.6906077348</v>
      </c>
      <c r="G19" s="69" t="n">
        <v>537</v>
      </c>
      <c r="H19" s="80" t="n">
        <f aca="false">IF(G19&gt;0,G19/E19,  )</f>
        <v>2.96685082872928</v>
      </c>
      <c r="I19" s="80" t="n">
        <f aca="false">IF(H19&gt;0,F19/H19,  )</f>
        <v>13019.0875232775</v>
      </c>
    </row>
    <row r="20" customFormat="false" ht="15" hidden="false" customHeight="false" outlineLevel="0" collapsed="false">
      <c r="A20" s="139" t="n">
        <v>45553</v>
      </c>
      <c r="B20" s="140" t="s">
        <v>41</v>
      </c>
      <c r="C20" s="67" t="n">
        <v>8378150</v>
      </c>
      <c r="D20" s="79" t="n">
        <f aca="false">IF(C20&gt;0, C20,(G$42/(G$39-G$40)))</f>
        <v>8378150</v>
      </c>
      <c r="E20" s="69" t="n">
        <v>216</v>
      </c>
      <c r="F20" s="80" t="n">
        <f aca="false">IF(E20&gt;0,C20/E20, )</f>
        <v>38787.7314814815</v>
      </c>
      <c r="G20" s="69" t="n">
        <v>643</v>
      </c>
      <c r="H20" s="80" t="n">
        <f aca="false">IF(G20&gt;0,G20/E20,  )</f>
        <v>2.97685185185185</v>
      </c>
      <c r="I20" s="80" t="n">
        <f aca="false">IF(H20&gt;0,F20/H20,  )</f>
        <v>13029.7822706065</v>
      </c>
    </row>
    <row r="21" customFormat="false" ht="15" hidden="false" customHeight="false" outlineLevel="0" collapsed="false">
      <c r="A21" s="139" t="n">
        <v>45554</v>
      </c>
      <c r="B21" s="140" t="s">
        <v>42</v>
      </c>
      <c r="C21" s="67" t="n">
        <v>7953500</v>
      </c>
      <c r="D21" s="79" t="n">
        <f aca="false">IF(C21&gt;0, C21,(G$42/(G$39-G$40)))</f>
        <v>7953500</v>
      </c>
      <c r="E21" s="69" t="n">
        <v>214</v>
      </c>
      <c r="F21" s="80" t="n">
        <f aca="false">IF(E21&gt;0,C21/E21, )</f>
        <v>37165.8878504673</v>
      </c>
      <c r="G21" s="69" t="n">
        <v>584</v>
      </c>
      <c r="H21" s="80" t="n">
        <f aca="false">IF(G21&gt;0,G21/E21,  )</f>
        <v>2.72897196261682</v>
      </c>
      <c r="I21" s="80" t="n">
        <f aca="false">IF(H21&gt;0,F21/H21,  )</f>
        <v>13619.0068493151</v>
      </c>
    </row>
    <row r="22" customFormat="false" ht="15" hidden="false" customHeight="false" outlineLevel="0" collapsed="false">
      <c r="A22" s="139" t="n">
        <v>45555</v>
      </c>
      <c r="B22" s="140" t="s">
        <v>43</v>
      </c>
      <c r="C22" s="67" t="n">
        <v>8343750</v>
      </c>
      <c r="D22" s="79" t="n">
        <f aca="false">IF(C22&gt;0, C22,(G$42/(G$39-G$40)))</f>
        <v>8343750</v>
      </c>
      <c r="E22" s="69" t="n">
        <v>207</v>
      </c>
      <c r="F22" s="80" t="n">
        <f aca="false">IF(E22&gt;0,C22/E22, )</f>
        <v>40307.9710144928</v>
      </c>
      <c r="G22" s="138" t="n">
        <v>550</v>
      </c>
      <c r="H22" s="80" t="n">
        <f aca="false">IF(G22&gt;0,G22/E22,  )</f>
        <v>2.65700483091787</v>
      </c>
      <c r="I22" s="80" t="n">
        <f aca="false">IF(H22&gt;0,F22/H22,  )</f>
        <v>15170.4545454545</v>
      </c>
    </row>
    <row r="23" customFormat="false" ht="15" hidden="false" customHeight="false" outlineLevel="0" collapsed="false">
      <c r="A23" s="139" t="n">
        <v>45556</v>
      </c>
      <c r="B23" s="140" t="s">
        <v>44</v>
      </c>
      <c r="C23" s="67" t="n">
        <v>7034450</v>
      </c>
      <c r="D23" s="79" t="n">
        <f aca="false">IF(C23&gt;0, C23,(G$42/(G$39-G$40)))</f>
        <v>7034450</v>
      </c>
      <c r="E23" s="69" t="n">
        <v>203</v>
      </c>
      <c r="F23" s="80" t="n">
        <f aca="false">IF(E23&gt;0,C23/E23, )</f>
        <v>34652.4630541872</v>
      </c>
      <c r="G23" s="69" t="n">
        <v>535</v>
      </c>
      <c r="H23" s="80" t="n">
        <f aca="false">IF(G23&gt;0,G23/E23,  )</f>
        <v>2.63546798029557</v>
      </c>
      <c r="I23" s="80" t="n">
        <f aca="false">IF(H23&gt;0,F23/H23,  )</f>
        <v>13148.5046728972</v>
      </c>
    </row>
    <row r="24" customFormat="false" ht="15" hidden="false" customHeight="false" outlineLevel="0" collapsed="false">
      <c r="A24" s="139" t="n">
        <v>45557</v>
      </c>
      <c r="B24" s="140" t="s">
        <v>38</v>
      </c>
      <c r="C24" s="67" t="n">
        <v>8010050</v>
      </c>
      <c r="D24" s="79" t="n">
        <f aca="false">IF(C24&gt;0, C24,(G$42/(G$39-G$40)))</f>
        <v>8010050</v>
      </c>
      <c r="E24" s="69" t="n">
        <f aca="false">117+29</f>
        <v>146</v>
      </c>
      <c r="F24" s="80" t="n">
        <f aca="false">IF(E24&gt;0,C24/E24, )</f>
        <v>54863.3561643836</v>
      </c>
      <c r="G24" s="69" t="n">
        <v>542</v>
      </c>
      <c r="H24" s="80" t="n">
        <f aca="false">IF(G24&gt;0,G24/E24,  )</f>
        <v>3.71232876712329</v>
      </c>
      <c r="I24" s="80" t="n">
        <f aca="false">IF(H24&gt;0,F24/H24,  )</f>
        <v>14778.6900369004</v>
      </c>
    </row>
    <row r="25" customFormat="false" ht="15" hidden="false" customHeight="false" outlineLevel="0" collapsed="false">
      <c r="A25" s="139" t="n">
        <v>45558</v>
      </c>
      <c r="B25" s="140" t="s">
        <v>39</v>
      </c>
      <c r="C25" s="67" t="n">
        <v>7664350</v>
      </c>
      <c r="D25" s="79" t="n">
        <f aca="false">IF(C25&gt;0, C25,(G$42/(G$39-G$40)))</f>
        <v>7664350</v>
      </c>
      <c r="E25" s="69" t="n">
        <v>208</v>
      </c>
      <c r="F25" s="80" t="n">
        <f aca="false">IF(E25&gt;0,C25/E25, )</f>
        <v>36847.8365384615</v>
      </c>
      <c r="G25" s="69" t="n">
        <v>560</v>
      </c>
      <c r="H25" s="80" t="n">
        <f aca="false">IF(G25&gt;0,G25/E25,  )</f>
        <v>2.69230769230769</v>
      </c>
      <c r="I25" s="80" t="n">
        <f aca="false">IF(H25&gt;0,F25/H25,  )</f>
        <v>13686.3392857143</v>
      </c>
    </row>
    <row r="26" customFormat="false" ht="15" hidden="false" customHeight="false" outlineLevel="0" collapsed="false">
      <c r="A26" s="139" t="n">
        <v>45559</v>
      </c>
      <c r="B26" s="140" t="s">
        <v>40</v>
      </c>
      <c r="C26" s="67" t="n">
        <v>7960450</v>
      </c>
      <c r="D26" s="79" t="n">
        <f aca="false">IF(C26&gt;0, C26,(G$42/(G$39-G$40)))</f>
        <v>7960450</v>
      </c>
      <c r="E26" s="69" t="n">
        <f aca="false">102+94</f>
        <v>196</v>
      </c>
      <c r="F26" s="80" t="n">
        <f aca="false">IF(E26&gt;0,C26/E26, )</f>
        <v>40614.5408163265</v>
      </c>
      <c r="G26" s="69" t="n">
        <v>607</v>
      </c>
      <c r="H26" s="80" t="n">
        <f aca="false">IF(G26&gt;0,G26/E26,  )</f>
        <v>3.0969387755102</v>
      </c>
      <c r="I26" s="80" t="n">
        <f aca="false">IF(H26&gt;0,F26/H26,  )</f>
        <v>13114.4151565074</v>
      </c>
    </row>
    <row r="27" customFormat="false" ht="15" hidden="false" customHeight="false" outlineLevel="0" collapsed="false">
      <c r="A27" s="139" t="n">
        <v>45560</v>
      </c>
      <c r="B27" s="140" t="s">
        <v>41</v>
      </c>
      <c r="C27" s="67" t="n">
        <v>6342050</v>
      </c>
      <c r="D27" s="79" t="n">
        <f aca="false">IF(C27&gt;0, C27,(G$42/(G$39-G$40)))</f>
        <v>6342050</v>
      </c>
      <c r="E27" s="69" t="n">
        <f aca="false">86+125</f>
        <v>211</v>
      </c>
      <c r="F27" s="80" t="n">
        <f aca="false">IF(E27&gt;0,C27/E27, )</f>
        <v>30057.1090047393</v>
      </c>
      <c r="G27" s="69" t="n">
        <v>586</v>
      </c>
      <c r="H27" s="80" t="n">
        <f aca="false">IF(G27&gt;0,G27/E27,  )</f>
        <v>2.77725118483412</v>
      </c>
      <c r="I27" s="80" t="n">
        <f aca="false">IF(H27&gt;0,F27/H27,  )</f>
        <v>10822.6109215017</v>
      </c>
    </row>
    <row r="28" customFormat="false" ht="15" hidden="false" customHeight="false" outlineLevel="0" collapsed="false">
      <c r="A28" s="139" t="n">
        <v>45561</v>
      </c>
      <c r="B28" s="140" t="s">
        <v>42</v>
      </c>
      <c r="C28" s="67" t="n">
        <v>7799250</v>
      </c>
      <c r="D28" s="79" t="n">
        <f aca="false">IF(C28&gt;0, C28,(G$42/(G$39-G$40)))</f>
        <v>7799250</v>
      </c>
      <c r="E28" s="69" t="n">
        <v>202</v>
      </c>
      <c r="F28" s="80" t="n">
        <f aca="false">IF(E28&gt;0,C28/E28, )</f>
        <v>38610.1485148515</v>
      </c>
      <c r="G28" s="69" t="n">
        <v>633</v>
      </c>
      <c r="H28" s="80" t="n">
        <f aca="false">IF(G28&gt;0,G28/E28,  )</f>
        <v>3.13366336633663</v>
      </c>
      <c r="I28" s="80" t="n">
        <f aca="false">IF(H28&gt;0,F28/H28,  )</f>
        <v>12321.0900473934</v>
      </c>
    </row>
    <row r="29" customFormat="false" ht="15" hidden="false" customHeight="false" outlineLevel="0" collapsed="false">
      <c r="A29" s="139" t="n">
        <v>45562</v>
      </c>
      <c r="B29" s="140" t="s">
        <v>43</v>
      </c>
      <c r="C29" s="67" t="n">
        <v>7724800</v>
      </c>
      <c r="D29" s="79" t="n">
        <f aca="false">IF(C29&gt;0, C29,(G$42/(G$39-G$40)))</f>
        <v>7724800</v>
      </c>
      <c r="E29" s="69" t="n">
        <v>198</v>
      </c>
      <c r="F29" s="80" t="n">
        <f aca="false">IF(E29&gt;0,C29/E29, )</f>
        <v>39014.1414141414</v>
      </c>
      <c r="G29" s="69" t="n">
        <v>541</v>
      </c>
      <c r="H29" s="80" t="n">
        <f aca="false">IF(G29&gt;0,G29/E29,  )</f>
        <v>2.73232323232323</v>
      </c>
      <c r="I29" s="80" t="n">
        <f aca="false">IF(H29&gt;0,F29/H29,  )</f>
        <v>14278.7430683919</v>
      </c>
    </row>
    <row r="30" customFormat="false" ht="15" hidden="false" customHeight="false" outlineLevel="0" collapsed="false">
      <c r="A30" s="139" t="n">
        <v>45563</v>
      </c>
      <c r="B30" s="140" t="s">
        <v>44</v>
      </c>
      <c r="C30" s="67" t="n">
        <v>9813750</v>
      </c>
      <c r="D30" s="79" t="n">
        <f aca="false">IF(C30&gt;0, C30,(G$42/(G$39-G$40)))</f>
        <v>9813750</v>
      </c>
      <c r="E30" s="69" t="n">
        <f aca="false">108+112</f>
        <v>220</v>
      </c>
      <c r="F30" s="80" t="n">
        <f aca="false">IF(E30&gt;0,C30/E30, )</f>
        <v>44607.9545454546</v>
      </c>
      <c r="G30" s="69" t="n">
        <v>681</v>
      </c>
      <c r="H30" s="80" t="n">
        <f aca="false">IF(G30&gt;0,G30/E30,  )</f>
        <v>3.09545454545455</v>
      </c>
      <c r="I30" s="80" t="n">
        <f aca="false">IF(H30&gt;0,F30/H30,  )</f>
        <v>14410.7929515419</v>
      </c>
    </row>
    <row r="31" customFormat="false" ht="15" hidden="false" customHeight="false" outlineLevel="0" collapsed="false">
      <c r="A31" s="139" t="n">
        <v>45564</v>
      </c>
      <c r="B31" s="140" t="s">
        <v>38</v>
      </c>
      <c r="C31" s="67" t="n">
        <v>8576500</v>
      </c>
      <c r="D31" s="79" t="n">
        <f aca="false">IF(C31&gt;0, C31,(G$42/(G$39-G$40)))</f>
        <v>8576500</v>
      </c>
      <c r="E31" s="69" t="n">
        <v>183</v>
      </c>
      <c r="F31" s="80" t="n">
        <f aca="false">IF(E31&gt;0,C31/E31, )</f>
        <v>46866.1202185792</v>
      </c>
      <c r="G31" s="69" t="n">
        <v>617</v>
      </c>
      <c r="H31" s="80" t="n">
        <f aca="false">IF(G31&gt;0,G31/E31,  )</f>
        <v>3.37158469945355</v>
      </c>
      <c r="I31" s="80" t="n">
        <f aca="false">IF(H31&gt;0,F31/H31,  )</f>
        <v>13900.3241491086</v>
      </c>
    </row>
    <row r="32" customFormat="false" ht="15" hidden="false" customHeight="false" outlineLevel="0" collapsed="false">
      <c r="A32" s="139" t="n">
        <v>45565</v>
      </c>
      <c r="B32" s="140" t="s">
        <v>39</v>
      </c>
      <c r="C32" s="67" t="n">
        <v>7801400</v>
      </c>
      <c r="D32" s="79" t="n">
        <f aca="false">IF(C32&gt;0, C32,(G$42/(G$39-G$40)))</f>
        <v>7801400</v>
      </c>
      <c r="E32" s="69" t="n">
        <f aca="false">81+125</f>
        <v>206</v>
      </c>
      <c r="F32" s="80" t="n">
        <f aca="false">IF(E32&gt;0,C32/E32, )</f>
        <v>37870.8737864078</v>
      </c>
      <c r="G32" s="69" t="n">
        <v>596</v>
      </c>
      <c r="H32" s="80" t="n">
        <f aca="false">IF(G32&gt;0,G32/E32,  )</f>
        <v>2.89320388349515</v>
      </c>
      <c r="I32" s="80" t="n">
        <f aca="false">IF(H32&gt;0,F32/H32,  )</f>
        <v>13089.5973154362</v>
      </c>
    </row>
    <row r="33" customFormat="false" ht="15" hidden="false" customHeight="false" outlineLevel="0" collapsed="false">
      <c r="A33" s="139"/>
      <c r="B33" s="140"/>
      <c r="C33" s="67"/>
      <c r="D33" s="79" t="e">
        <f aca="false">IF(C33&gt;0, C33,(G$42/(G$39-G$40)))</f>
        <v>#DIV/0!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84"/>
      <c r="C34" s="85"/>
      <c r="D34" s="85"/>
      <c r="E34" s="86" t="s">
        <v>53</v>
      </c>
      <c r="F34" s="85" t="e">
        <f aca="false">C34/E34</f>
        <v>#VALUE!</v>
      </c>
      <c r="G34" s="86" t="n">
        <f aca="false">AVERAGE(G3:G33)</f>
        <v>661.633333333333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260493400</v>
      </c>
      <c r="D35" s="90"/>
      <c r="E35" s="91" t="n">
        <f aca="false">SUM(E3:E33)</f>
        <v>6169</v>
      </c>
      <c r="F35" s="92"/>
      <c r="G35" s="91" t="n">
        <f aca="false">SUM(G3:G33)</f>
        <v>19849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260000000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1.00189769230769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30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30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260000000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-493400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260493400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493400.00000003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8666666.66666667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8683113.33333334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16446.6666666679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1.00189769230769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1.00189769230769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2" colorId="64" zoomScale="90" zoomScaleNormal="90" zoomScalePageLayoutView="100" workbookViewId="0">
      <selection pane="topLeft" activeCell="E34" activeCellId="0" sqref="E34"/>
    </sheetView>
  </sheetViews>
  <sheetFormatPr defaultColWidth="10.25" defaultRowHeight="12.8" zeroHeight="false" outlineLevelRow="0" outlineLevelCol="0"/>
  <cols>
    <col collapsed="false" customWidth="true" hidden="false" outlineLevel="0" max="3" min="3" style="0" width="11.52"/>
    <col collapsed="false" customWidth="true" hidden="false" outlineLevel="0" max="7" min="7" style="0" width="11.65"/>
  </cols>
  <sheetData>
    <row r="1" customFormat="false" ht="17.35" hidden="false" customHeight="false" outlineLevel="0" collapsed="false">
      <c r="A1" s="128" t="s">
        <v>65</v>
      </c>
      <c r="B1" s="100"/>
      <c r="C1" s="129" t="s">
        <v>1</v>
      </c>
      <c r="D1" s="129"/>
      <c r="E1" s="129"/>
      <c r="F1" s="129"/>
      <c r="G1" s="129"/>
      <c r="H1" s="129"/>
      <c r="I1" s="129"/>
    </row>
    <row r="2" customFormat="false" ht="30.5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45566</v>
      </c>
      <c r="B3" s="140" t="s">
        <v>12</v>
      </c>
      <c r="C3" s="67" t="n">
        <v>9433300</v>
      </c>
      <c r="D3" s="79" t="n">
        <f aca="false">IF(C3&gt;0, C3,(G$42/(G$39-G$40)))</f>
        <v>9433300</v>
      </c>
      <c r="E3" s="69" t="n">
        <v>194</v>
      </c>
      <c r="F3" s="80" t="n">
        <f aca="false">IF(E3&gt;0,C3/E3, )</f>
        <v>48625.2577319588</v>
      </c>
      <c r="G3" s="69" t="n">
        <v>597</v>
      </c>
      <c r="H3" s="80" t="n">
        <f aca="false">IF(G3&gt;0,G3/E3,  )</f>
        <v>3.07731958762887</v>
      </c>
      <c r="I3" s="80" t="n">
        <f aca="false">IF(H3&gt;0,F3/H3,  )</f>
        <v>15801.1725293132</v>
      </c>
    </row>
    <row r="4" customFormat="false" ht="15" hidden="false" customHeight="false" outlineLevel="0" collapsed="false">
      <c r="A4" s="139" t="n">
        <v>45567</v>
      </c>
      <c r="B4" s="140" t="s">
        <v>13</v>
      </c>
      <c r="C4" s="67" t="n">
        <v>7429150</v>
      </c>
      <c r="D4" s="79" t="n">
        <f aca="false">IF(C4&gt;0, C4,(G$42/(G$39-G$40)))</f>
        <v>7429150</v>
      </c>
      <c r="E4" s="69" t="n">
        <v>197</v>
      </c>
      <c r="F4" s="80" t="n">
        <f aca="false">IF(E4&gt;0,C4/E4, )</f>
        <v>37711.4213197969</v>
      </c>
      <c r="G4" s="69" t="n">
        <v>567</v>
      </c>
      <c r="H4" s="80" t="n">
        <f aca="false">IF(G4&gt;0,G4/E4,  )</f>
        <v>2.87817258883249</v>
      </c>
      <c r="I4" s="80" t="n">
        <f aca="false">IF(H4&gt;0,F4/H4,  )</f>
        <v>13102.557319224</v>
      </c>
    </row>
    <row r="5" customFormat="false" ht="15" hidden="false" customHeight="false" outlineLevel="0" collapsed="false">
      <c r="A5" s="139" t="n">
        <v>45568</v>
      </c>
      <c r="B5" s="140" t="s">
        <v>14</v>
      </c>
      <c r="C5" s="67" t="n">
        <v>8004800</v>
      </c>
      <c r="D5" s="79" t="n">
        <f aca="false">IF(C5&gt;0, C5,(G$42/(G$39-G$40)))</f>
        <v>8004800</v>
      </c>
      <c r="E5" s="69" t="n">
        <v>205</v>
      </c>
      <c r="F5" s="80" t="n">
        <f aca="false">IF(E5&gt;0,C5/E5, )</f>
        <v>39047.8048780488</v>
      </c>
      <c r="G5" s="69" t="n">
        <v>668</v>
      </c>
      <c r="H5" s="80" t="n">
        <f aca="false">IF(G5&gt;0,G5/E5,  )</f>
        <v>3.25853658536585</v>
      </c>
      <c r="I5" s="80" t="n">
        <f aca="false">IF(H5&gt;0,F5/H5,  )</f>
        <v>11983.2335329341</v>
      </c>
    </row>
    <row r="6" customFormat="false" ht="15" hidden="false" customHeight="false" outlineLevel="0" collapsed="false">
      <c r="A6" s="139" t="n">
        <v>45569</v>
      </c>
      <c r="B6" s="140" t="s">
        <v>15</v>
      </c>
      <c r="C6" s="67" t="n">
        <v>8804950</v>
      </c>
      <c r="D6" s="79" t="n">
        <f aca="false">IF(C6&gt;0, C6,(G$42/(G$39-G$40)))</f>
        <v>8804950</v>
      </c>
      <c r="E6" s="69" t="n">
        <v>205</v>
      </c>
      <c r="F6" s="80" t="n">
        <f aca="false">IF(E6&gt;0,C6/E6, )</f>
        <v>42950.9756097561</v>
      </c>
      <c r="G6" s="69" t="n">
        <v>642</v>
      </c>
      <c r="H6" s="80" t="n">
        <f aca="false">IF(G6&gt;0,G6/E6,  )</f>
        <v>3.13170731707317</v>
      </c>
      <c r="I6" s="80" t="n">
        <f aca="false">IF(H6&gt;0,F6/H6,  )</f>
        <v>13714.8753894081</v>
      </c>
    </row>
    <row r="7" customFormat="false" ht="15" hidden="false" customHeight="false" outlineLevel="0" collapsed="false">
      <c r="A7" s="139" t="n">
        <v>45570</v>
      </c>
      <c r="B7" s="140" t="s">
        <v>16</v>
      </c>
      <c r="C7" s="67" t="n">
        <v>8796900</v>
      </c>
      <c r="D7" s="79" t="n">
        <f aca="false">IF(C7&gt;0, C7,(G$42/(G$39-G$40)))</f>
        <v>8796900</v>
      </c>
      <c r="E7" s="69" t="n">
        <v>209</v>
      </c>
      <c r="F7" s="80" t="n">
        <f aca="false">IF(E7&gt;0,C7/E7, )</f>
        <v>42090.4306220096</v>
      </c>
      <c r="G7" s="69" t="n">
        <v>635</v>
      </c>
      <c r="H7" s="80" t="n">
        <f aca="false">IF(G7&gt;0,G7/E7,  )</f>
        <v>3.03827751196172</v>
      </c>
      <c r="I7" s="80" t="n">
        <f aca="false">IF(H7&gt;0,F7/H7,  )</f>
        <v>13853.3858267717</v>
      </c>
    </row>
    <row r="8" customFormat="false" ht="15" hidden="false" customHeight="false" outlineLevel="0" collapsed="false">
      <c r="A8" s="139" t="n">
        <v>45571</v>
      </c>
      <c r="B8" s="140" t="s">
        <v>17</v>
      </c>
      <c r="C8" s="67" t="n">
        <v>10455350</v>
      </c>
      <c r="D8" s="79" t="n">
        <f aca="false">IF(C8&gt;0, C8,(G$42/(G$39-G$40)))</f>
        <v>10455350</v>
      </c>
      <c r="E8" s="69" t="n">
        <v>221</v>
      </c>
      <c r="F8" s="80" t="n">
        <f aca="false">IF(E8&gt;0,C8/E8, )</f>
        <v>47309.2760180996</v>
      </c>
      <c r="G8" s="69" t="n">
        <v>817</v>
      </c>
      <c r="H8" s="80" t="n">
        <f aca="false">IF(G8&gt;0,G8/E8,  )</f>
        <v>3.69683257918552</v>
      </c>
      <c r="I8" s="80" t="n">
        <f aca="false">IF(H8&gt;0,F8/H8,  )</f>
        <v>12797.2460220318</v>
      </c>
    </row>
    <row r="9" customFormat="false" ht="15" hidden="false" customHeight="false" outlineLevel="0" collapsed="false">
      <c r="A9" s="139" t="n">
        <v>45572</v>
      </c>
      <c r="B9" s="140" t="s">
        <v>11</v>
      </c>
      <c r="C9" s="67" t="n">
        <v>8505950</v>
      </c>
      <c r="D9" s="79" t="n">
        <f aca="false">IF(C9&gt;0, C9,(G$42/(G$39-G$40)))</f>
        <v>8505950</v>
      </c>
      <c r="E9" s="69" t="n">
        <v>210</v>
      </c>
      <c r="F9" s="80" t="n">
        <f aca="false">IF(E9&gt;0,C9/E9, )</f>
        <v>40504.5238095238</v>
      </c>
      <c r="G9" s="69" t="n">
        <v>592</v>
      </c>
      <c r="H9" s="80" t="n">
        <f aca="false">IF(G9&gt;0,G9/E9,  )</f>
        <v>2.81904761904762</v>
      </c>
      <c r="I9" s="80" t="n">
        <f aca="false">IF(H9&gt;0,F9/H9,  )</f>
        <v>14368.1587837838</v>
      </c>
    </row>
    <row r="10" customFormat="false" ht="15" hidden="false" customHeight="false" outlineLevel="0" collapsed="false">
      <c r="A10" s="139" t="n">
        <v>45573</v>
      </c>
      <c r="B10" s="140" t="s">
        <v>12</v>
      </c>
      <c r="C10" s="67" t="n">
        <v>9027900</v>
      </c>
      <c r="D10" s="79" t="n">
        <f aca="false">IF(C10&gt;0, C10,(G$42/(G$39-G$40)))</f>
        <v>9027900</v>
      </c>
      <c r="E10" s="69" t="n">
        <v>228</v>
      </c>
      <c r="F10" s="80" t="n">
        <f aca="false">IF(E10&gt;0,C10/E10, )</f>
        <v>39596.0526315789</v>
      </c>
      <c r="G10" s="69" t="n">
        <v>698</v>
      </c>
      <c r="H10" s="80" t="n">
        <f aca="false">IF(G10&gt;0,G10/E10,  )</f>
        <v>3.06140350877193</v>
      </c>
      <c r="I10" s="80" t="n">
        <f aca="false">IF(H10&gt;0,F10/H10,  )</f>
        <v>12933.9541547278</v>
      </c>
    </row>
    <row r="11" customFormat="false" ht="15" hidden="false" customHeight="false" outlineLevel="0" collapsed="false">
      <c r="A11" s="139" t="n">
        <v>45574</v>
      </c>
      <c r="B11" s="140" t="s">
        <v>13</v>
      </c>
      <c r="C11" s="67" t="n">
        <v>6258500</v>
      </c>
      <c r="D11" s="79" t="n">
        <f aca="false">IF(C11&gt;0, C11,(G$42/(G$39-G$40)))</f>
        <v>6258500</v>
      </c>
      <c r="E11" s="69" t="n">
        <v>197</v>
      </c>
      <c r="F11" s="80" t="n">
        <f aca="false">IF(E11&gt;0,C11/E11, )</f>
        <v>31769.0355329949</v>
      </c>
      <c r="G11" s="69" t="n">
        <v>500</v>
      </c>
      <c r="H11" s="80" t="n">
        <f aca="false">IF(G11&gt;0,G11/E11,  )</f>
        <v>2.53807106598985</v>
      </c>
      <c r="I11" s="80" t="n">
        <f aca="false">IF(H11&gt;0,F11/H11,  )</f>
        <v>12517</v>
      </c>
    </row>
    <row r="12" customFormat="false" ht="15" hidden="false" customHeight="false" outlineLevel="0" collapsed="false">
      <c r="A12" s="139" t="n">
        <v>45575</v>
      </c>
      <c r="B12" s="140" t="s">
        <v>14</v>
      </c>
      <c r="C12" s="67" t="n">
        <v>10162500</v>
      </c>
      <c r="D12" s="79" t="n">
        <f aca="false">IF(C12&gt;0, C12,(G$42/(G$39-G$40)))</f>
        <v>10162500</v>
      </c>
      <c r="E12" s="69" t="n">
        <f aca="false">127+88</f>
        <v>215</v>
      </c>
      <c r="F12" s="80" t="n">
        <f aca="false">IF(E12&gt;0,C12/E12, )</f>
        <v>47267.4418604651</v>
      </c>
      <c r="G12" s="69" t="n">
        <v>622</v>
      </c>
      <c r="H12" s="80" t="n">
        <f aca="false">IF(G12&gt;0,G12/E12,  )</f>
        <v>2.89302325581395</v>
      </c>
      <c r="I12" s="80" t="n">
        <f aca="false">IF(H12&gt;0,F12/H12,  )</f>
        <v>16338.424437299</v>
      </c>
    </row>
    <row r="13" customFormat="false" ht="15" hidden="false" customHeight="false" outlineLevel="0" collapsed="false">
      <c r="A13" s="139" t="n">
        <v>45576</v>
      </c>
      <c r="B13" s="140" t="s">
        <v>15</v>
      </c>
      <c r="C13" s="67" t="n">
        <v>8119850</v>
      </c>
      <c r="D13" s="79" t="n">
        <f aca="false">IF(C13&gt;0, C13,(G$42/(G$39-G$40)))</f>
        <v>8119850</v>
      </c>
      <c r="E13" s="69" t="n">
        <v>212</v>
      </c>
      <c r="F13" s="80" t="n">
        <f aca="false">IF(E13&gt;0,C13/E13, )</f>
        <v>38301.179245283</v>
      </c>
      <c r="G13" s="69" t="n">
        <v>567</v>
      </c>
      <c r="H13" s="80" t="n">
        <f aca="false">IF(G13&gt;0,G13/E13,  )</f>
        <v>2.67452830188679</v>
      </c>
      <c r="I13" s="80" t="n">
        <f aca="false">IF(H13&gt;0,F13/H13,  )</f>
        <v>14320.7231040564</v>
      </c>
    </row>
    <row r="14" customFormat="false" ht="15" hidden="false" customHeight="false" outlineLevel="0" collapsed="false">
      <c r="A14" s="139" t="n">
        <v>45577</v>
      </c>
      <c r="B14" s="140" t="s">
        <v>16</v>
      </c>
      <c r="C14" s="67" t="n">
        <v>9165250</v>
      </c>
      <c r="D14" s="79" t="n">
        <f aca="false">IF(C14&gt;0, C14,(G$42/(G$39-G$40)))</f>
        <v>9165250</v>
      </c>
      <c r="E14" s="69" t="n">
        <f aca="false">134+77</f>
        <v>211</v>
      </c>
      <c r="F14" s="80" t="n">
        <f aca="false">IF(E14&gt;0,C14/E14, )</f>
        <v>43437.2037914692</v>
      </c>
      <c r="G14" s="69" t="n">
        <v>664</v>
      </c>
      <c r="H14" s="80" t="n">
        <f aca="false">IF(G14&gt;0,G14/E14,  )</f>
        <v>3.14691943127962</v>
      </c>
      <c r="I14" s="80" t="n">
        <f aca="false">IF(H14&gt;0,F14/H14,  )</f>
        <v>13803.0873493976</v>
      </c>
    </row>
    <row r="15" customFormat="false" ht="15" hidden="false" customHeight="false" outlineLevel="0" collapsed="false">
      <c r="A15" s="139" t="n">
        <v>45578</v>
      </c>
      <c r="B15" s="140" t="s">
        <v>17</v>
      </c>
      <c r="C15" s="67" t="n">
        <v>7844200</v>
      </c>
      <c r="D15" s="79" t="n">
        <f aca="false">IF(C15&gt;0, C15,(G$42/(G$39-G$40)))</f>
        <v>7844200</v>
      </c>
      <c r="E15" s="69" t="n">
        <v>206</v>
      </c>
      <c r="F15" s="80" t="n">
        <f aca="false">IF(E15&gt;0,C15/E15, )</f>
        <v>38078.640776699</v>
      </c>
      <c r="G15" s="69" t="n">
        <v>575</v>
      </c>
      <c r="H15" s="80" t="n">
        <f aca="false">IF(G15&gt;0,G15/E15,  )</f>
        <v>2.79126213592233</v>
      </c>
      <c r="I15" s="80" t="n">
        <f aca="false">IF(H15&gt;0,F15/H15,  )</f>
        <v>13642.0869565217</v>
      </c>
    </row>
    <row r="16" customFormat="false" ht="15" hidden="false" customHeight="false" outlineLevel="0" collapsed="false">
      <c r="A16" s="139" t="n">
        <v>45579</v>
      </c>
      <c r="B16" s="140" t="s">
        <v>39</v>
      </c>
      <c r="C16" s="67" t="n">
        <v>5451200</v>
      </c>
      <c r="D16" s="79" t="n">
        <f aca="false">IF(C16&gt;0, C16,(G$42/(G$39-G$40)))</f>
        <v>5451200</v>
      </c>
      <c r="E16" s="69" t="n">
        <v>154</v>
      </c>
      <c r="F16" s="80" t="n">
        <f aca="false">IF(E16&gt;0,C16/E16, )</f>
        <v>35397.4025974026</v>
      </c>
      <c r="G16" s="69" t="n">
        <v>422</v>
      </c>
      <c r="H16" s="80" t="n">
        <f aca="false">IF(G16&gt;0,G16/E16,  )</f>
        <v>2.74025974025974</v>
      </c>
      <c r="I16" s="80" t="n">
        <f aca="false">IF(H16&gt;0,F16/H16,  )</f>
        <v>12917.5355450237</v>
      </c>
    </row>
    <row r="17" customFormat="false" ht="15" hidden="false" customHeight="false" outlineLevel="0" collapsed="false">
      <c r="A17" s="139" t="n">
        <v>45580</v>
      </c>
      <c r="B17" s="140" t="s">
        <v>40</v>
      </c>
      <c r="C17" s="67" t="n">
        <v>7324050</v>
      </c>
      <c r="D17" s="79" t="n">
        <f aca="false">IF(C17&gt;0, C17,(G$42/(G$39-G$40)))</f>
        <v>7324050</v>
      </c>
      <c r="E17" s="69" t="n">
        <v>176</v>
      </c>
      <c r="F17" s="80" t="n">
        <f aca="false">IF(E17&gt;0,C17/E17, )</f>
        <v>41613.9204545455</v>
      </c>
      <c r="G17" s="69" t="n">
        <v>523</v>
      </c>
      <c r="H17" s="80" t="n">
        <f aca="false">IF(G17&gt;0,G17/E17,  )</f>
        <v>2.97159090909091</v>
      </c>
      <c r="I17" s="80" t="n">
        <f aca="false">IF(H17&gt;0,F17/H17,  )</f>
        <v>14003.9196940727</v>
      </c>
    </row>
    <row r="18" customFormat="false" ht="15" hidden="false" customHeight="false" outlineLevel="0" collapsed="false">
      <c r="A18" s="139" t="n">
        <v>45581</v>
      </c>
      <c r="B18" s="140" t="s">
        <v>41</v>
      </c>
      <c r="C18" s="67" t="n">
        <v>9283100</v>
      </c>
      <c r="D18" s="79" t="n">
        <f aca="false">IF(C18&gt;0, C18,(G$42/(G$39-G$40)))</f>
        <v>9283100</v>
      </c>
      <c r="E18" s="69" t="n">
        <v>189</v>
      </c>
      <c r="F18" s="80" t="n">
        <f aca="false">IF(E18&gt;0,C18/E18, )</f>
        <v>49116.9312169312</v>
      </c>
      <c r="G18" s="69" t="n">
        <v>606</v>
      </c>
      <c r="H18" s="80" t="n">
        <f aca="false">IF(G18&gt;0,G18/E18,  )</f>
        <v>3.20634920634921</v>
      </c>
      <c r="I18" s="80" t="n">
        <f aca="false">IF(H18&gt;0,F18/H18,  )</f>
        <v>15318.6468646865</v>
      </c>
    </row>
    <row r="19" customFormat="false" ht="15" hidden="false" customHeight="false" outlineLevel="0" collapsed="false">
      <c r="A19" s="139" t="n">
        <v>45582</v>
      </c>
      <c r="B19" s="140" t="s">
        <v>42</v>
      </c>
      <c r="C19" s="67" t="n">
        <v>8500350</v>
      </c>
      <c r="D19" s="79" t="n">
        <f aca="false">IF(C19&gt;0, C19,(G$42/(G$39-G$40)))</f>
        <v>8500350</v>
      </c>
      <c r="E19" s="69" t="n">
        <v>200</v>
      </c>
      <c r="F19" s="80" t="n">
        <f aca="false">IF(E19&gt;0,C19/E19, )</f>
        <v>42501.75</v>
      </c>
      <c r="G19" s="69" t="n">
        <v>565</v>
      </c>
      <c r="H19" s="80" t="n">
        <f aca="false">IF(G19&gt;0,G19/E19,  )</f>
        <v>2.825</v>
      </c>
      <c r="I19" s="80" t="n">
        <f aca="false">IF(H19&gt;0,F19/H19,  )</f>
        <v>15044.8672566372</v>
      </c>
    </row>
    <row r="20" customFormat="false" ht="15" hidden="false" customHeight="false" outlineLevel="0" collapsed="false">
      <c r="A20" s="139" t="n">
        <v>45583</v>
      </c>
      <c r="B20" s="140" t="s">
        <v>43</v>
      </c>
      <c r="C20" s="67" t="n">
        <v>7266450</v>
      </c>
      <c r="D20" s="79" t="n">
        <f aca="false">IF(C20&gt;0, C20,(G$42/(G$39-G$40)))</f>
        <v>7266450</v>
      </c>
      <c r="E20" s="69" t="n">
        <v>196</v>
      </c>
      <c r="F20" s="80" t="n">
        <f aca="false">IF(E20&gt;0,C20/E20, )</f>
        <v>37073.7244897959</v>
      </c>
      <c r="G20" s="69" t="n">
        <v>511</v>
      </c>
      <c r="H20" s="80" t="n">
        <f aca="false">IF(G20&gt;0,G20/E20,  )</f>
        <v>2.60714285714286</v>
      </c>
      <c r="I20" s="80" t="n">
        <f aca="false">IF(H20&gt;0,F20/H20,  )</f>
        <v>14220.0587084149</v>
      </c>
    </row>
    <row r="21" customFormat="false" ht="15" hidden="false" customHeight="false" outlineLevel="0" collapsed="false">
      <c r="A21" s="139" t="n">
        <v>45584</v>
      </c>
      <c r="B21" s="140" t="s">
        <v>44</v>
      </c>
      <c r="C21" s="67" t="n">
        <v>8901000</v>
      </c>
      <c r="D21" s="79" t="n">
        <f aca="false">IF(C21&gt;0, C21,(G$42/(G$39-G$40)))</f>
        <v>8901000</v>
      </c>
      <c r="E21" s="69" t="n">
        <v>193</v>
      </c>
      <c r="F21" s="80" t="n">
        <f aca="false">IF(E21&gt;0,C21/E21, )</f>
        <v>46119.170984456</v>
      </c>
      <c r="G21" s="69" t="n">
        <v>596</v>
      </c>
      <c r="H21" s="80" t="n">
        <f aca="false">IF(G21&gt;0,G21/E21,  )</f>
        <v>3.0880829015544</v>
      </c>
      <c r="I21" s="80" t="n">
        <f aca="false">IF(H21&gt;0,F21/H21,  )</f>
        <v>14934.5637583893</v>
      </c>
    </row>
    <row r="22" customFormat="false" ht="15" hidden="false" customHeight="false" outlineLevel="0" collapsed="false">
      <c r="A22" s="139" t="n">
        <v>45585</v>
      </c>
      <c r="B22" s="140" t="s">
        <v>38</v>
      </c>
      <c r="C22" s="67" t="n">
        <v>10189800</v>
      </c>
      <c r="D22" s="79" t="n">
        <f aca="false">IF(C22&gt;0, C22,(G$42/(G$39-G$40)))</f>
        <v>10189800</v>
      </c>
      <c r="E22" s="69" t="n">
        <v>198</v>
      </c>
      <c r="F22" s="80" t="n">
        <f aca="false">IF(E22&gt;0,C22/E22, )</f>
        <v>51463.6363636364</v>
      </c>
      <c r="G22" s="138" t="n">
        <v>699</v>
      </c>
      <c r="H22" s="80" t="n">
        <f aca="false">IF(G22&gt;0,G22/E22,  )</f>
        <v>3.53030303030303</v>
      </c>
      <c r="I22" s="80" t="n">
        <f aca="false">IF(H22&gt;0,F22/H22,  )</f>
        <v>14577.6824034335</v>
      </c>
    </row>
    <row r="23" customFormat="false" ht="15" hidden="false" customHeight="false" outlineLevel="0" collapsed="false">
      <c r="A23" s="139" t="n">
        <v>45586</v>
      </c>
      <c r="B23" s="140" t="s">
        <v>39</v>
      </c>
      <c r="C23" s="67" t="n">
        <v>7152300</v>
      </c>
      <c r="D23" s="79" t="n">
        <f aca="false">IF(C23&gt;0, C23,(G$42/(G$39-G$40)))</f>
        <v>7152300</v>
      </c>
      <c r="E23" s="69" t="n">
        <v>187</v>
      </c>
      <c r="F23" s="80" t="n">
        <f aca="false">IF(E23&gt;0,C23/E23, )</f>
        <v>38247.5935828877</v>
      </c>
      <c r="G23" s="69" t="n">
        <v>501</v>
      </c>
      <c r="H23" s="80" t="n">
        <f aca="false">IF(G23&gt;0,G23/E23,  )</f>
        <v>2.67914438502674</v>
      </c>
      <c r="I23" s="80" t="n">
        <f aca="false">IF(H23&gt;0,F23/H23,  )</f>
        <v>14276.0479041916</v>
      </c>
    </row>
    <row r="24" customFormat="false" ht="15" hidden="false" customHeight="false" outlineLevel="0" collapsed="false">
      <c r="A24" s="139" t="n">
        <v>45587</v>
      </c>
      <c r="B24" s="140" t="s">
        <v>40</v>
      </c>
      <c r="C24" s="67" t="n">
        <v>8422900</v>
      </c>
      <c r="D24" s="79" t="n">
        <f aca="false">IF(C24&gt;0, C24,(G$42/(G$39-G$40)))</f>
        <v>8422900</v>
      </c>
      <c r="E24" s="69" t="n">
        <v>183</v>
      </c>
      <c r="F24" s="80" t="n">
        <f aca="false">IF(E24&gt;0,C24/E24, )</f>
        <v>46026.7759562842</v>
      </c>
      <c r="G24" s="69" t="n">
        <v>578</v>
      </c>
      <c r="H24" s="80" t="n">
        <f aca="false">IF(G24&gt;0,G24/E24,  )</f>
        <v>3.15846994535519</v>
      </c>
      <c r="I24" s="80" t="n">
        <f aca="false">IF(H24&gt;0,F24/H24,  )</f>
        <v>14572.491349481</v>
      </c>
    </row>
    <row r="25" customFormat="false" ht="15" hidden="false" customHeight="false" outlineLevel="0" collapsed="false">
      <c r="A25" s="139" t="n">
        <v>45588</v>
      </c>
      <c r="B25" s="140" t="s">
        <v>41</v>
      </c>
      <c r="C25" s="67" t="n">
        <v>9138350</v>
      </c>
      <c r="D25" s="79" t="n">
        <f aca="false">IF(C25&gt;0, C25,(G$42/(G$39-G$40)))</f>
        <v>9138350</v>
      </c>
      <c r="E25" s="69" t="n">
        <v>188</v>
      </c>
      <c r="F25" s="80" t="n">
        <f aca="false">IF(E25&gt;0,C25/E25, )</f>
        <v>48608.2446808511</v>
      </c>
      <c r="G25" s="69" t="n">
        <v>602</v>
      </c>
      <c r="H25" s="80" t="n">
        <f aca="false">IF(G25&gt;0,G25/E25,  )</f>
        <v>3.20212765957447</v>
      </c>
      <c r="I25" s="80" t="n">
        <f aca="false">IF(H25&gt;0,F25/H25,  )</f>
        <v>15179.9833887043</v>
      </c>
    </row>
    <row r="26" customFormat="false" ht="15" hidden="false" customHeight="false" outlineLevel="0" collapsed="false">
      <c r="A26" s="139" t="n">
        <v>45589</v>
      </c>
      <c r="B26" s="140" t="s">
        <v>42</v>
      </c>
      <c r="C26" s="67" t="n">
        <v>2118850</v>
      </c>
      <c r="D26" s="79" t="n">
        <f aca="false">IF(C26&gt;0, C26,(G$42/(G$39-G$40)))</f>
        <v>2118850</v>
      </c>
      <c r="E26" s="69" t="n">
        <v>63</v>
      </c>
      <c r="F26" s="80" t="n">
        <f aca="false">IF(E26&gt;0,C26/E26, )</f>
        <v>33632.5396825397</v>
      </c>
      <c r="G26" s="69" t="n">
        <v>175</v>
      </c>
      <c r="H26" s="80" t="n">
        <f aca="false">IF(G26&gt;0,G26/E26,  )</f>
        <v>2.77777777777778</v>
      </c>
      <c r="I26" s="80" t="n">
        <f aca="false">IF(H26&gt;0,F26/H26,  )</f>
        <v>12107.7142857143</v>
      </c>
    </row>
    <row r="27" customFormat="false" ht="15" hidden="false" customHeight="false" outlineLevel="0" collapsed="false">
      <c r="A27" s="139" t="n">
        <v>45590</v>
      </c>
      <c r="B27" s="140" t="s">
        <v>43</v>
      </c>
      <c r="C27" s="67" t="n">
        <v>27538650</v>
      </c>
      <c r="D27" s="79" t="n">
        <f aca="false">IF(C27&gt;0, C27,(G$42/(G$39-G$40)))</f>
        <v>27538650</v>
      </c>
      <c r="E27" s="69" t="n">
        <f aca="false">148+278</f>
        <v>426</v>
      </c>
      <c r="F27" s="80" t="n">
        <f aca="false">IF(E27&gt;0,C27/E27, )</f>
        <v>64644.7183098592</v>
      </c>
      <c r="G27" s="69" t="n">
        <v>2035</v>
      </c>
      <c r="H27" s="80" t="n">
        <f aca="false">IF(G27&gt;0,G27/E27,  )</f>
        <v>4.77699530516432</v>
      </c>
      <c r="I27" s="80" t="n">
        <f aca="false">IF(H27&gt;0,F27/H27,  )</f>
        <v>13532.5061425061</v>
      </c>
    </row>
    <row r="28" customFormat="false" ht="15" hidden="false" customHeight="false" outlineLevel="0" collapsed="false">
      <c r="A28" s="139" t="n">
        <v>45591</v>
      </c>
      <c r="B28" s="140" t="s">
        <v>44</v>
      </c>
      <c r="C28" s="67" t="n">
        <v>21472300</v>
      </c>
      <c r="D28" s="79" t="n">
        <f aca="false">IF(C28&gt;0, C28,(G$42/(G$39-G$40)))</f>
        <v>21472300</v>
      </c>
      <c r="E28" s="69" t="n">
        <v>330</v>
      </c>
      <c r="F28" s="80" t="n">
        <f aca="false">IF(E28&gt;0,C28/E28, )</f>
        <v>65067.5757575758</v>
      </c>
      <c r="G28" s="69" t="n">
        <v>1414</v>
      </c>
      <c r="H28" s="80" t="n">
        <f aca="false">IF(G28&gt;0,G28/E28,  )</f>
        <v>4.28484848484849</v>
      </c>
      <c r="I28" s="80" t="n">
        <f aca="false">IF(H28&gt;0,F28/H28,  )</f>
        <v>15185.5021216407</v>
      </c>
    </row>
    <row r="29" customFormat="false" ht="15" hidden="false" customHeight="false" outlineLevel="0" collapsed="false">
      <c r="A29" s="139" t="n">
        <v>45592</v>
      </c>
      <c r="B29" s="140" t="s">
        <v>38</v>
      </c>
      <c r="C29" s="67" t="n">
        <v>11149750</v>
      </c>
      <c r="D29" s="79" t="n">
        <f aca="false">IF(C29&gt;0, C29,(G$42/(G$39-G$40)))</f>
        <v>11149750</v>
      </c>
      <c r="E29" s="69" t="n">
        <v>141</v>
      </c>
      <c r="F29" s="80" t="n">
        <f aca="false">IF(E29&gt;0,C29/E29, )</f>
        <v>79076.2411347518</v>
      </c>
      <c r="G29" s="69" t="n">
        <v>750</v>
      </c>
      <c r="H29" s="80" t="n">
        <f aca="false">IF(G29&gt;0,G29/E29,  )</f>
        <v>5.31914893617021</v>
      </c>
      <c r="I29" s="80" t="n">
        <f aca="false">IF(H29&gt;0,F29/H29,  )</f>
        <v>14866.3333333333</v>
      </c>
    </row>
    <row r="30" customFormat="false" ht="15" hidden="false" customHeight="false" outlineLevel="0" collapsed="false">
      <c r="A30" s="139" t="n">
        <v>45593</v>
      </c>
      <c r="B30" s="140" t="s">
        <v>39</v>
      </c>
      <c r="C30" s="67" t="n">
        <v>6389350</v>
      </c>
      <c r="D30" s="79" t="n">
        <f aca="false">IF(C30&gt;0, C30,(G$42/(G$39-G$40)))</f>
        <v>6389350</v>
      </c>
      <c r="E30" s="69" t="n">
        <v>163</v>
      </c>
      <c r="F30" s="80" t="n">
        <f aca="false">IF(E30&gt;0,C30/E30, )</f>
        <v>39198.4662576687</v>
      </c>
      <c r="G30" s="69" t="n">
        <v>440</v>
      </c>
      <c r="H30" s="80" t="n">
        <f aca="false">IF(G30&gt;0,G30/E30,  )</f>
        <v>2.69938650306748</v>
      </c>
      <c r="I30" s="80" t="n">
        <f aca="false">IF(H30&gt;0,F30/H30,  )</f>
        <v>14521.25</v>
      </c>
    </row>
    <row r="31" customFormat="false" ht="15" hidden="false" customHeight="false" outlineLevel="0" collapsed="false">
      <c r="A31" s="139" t="n">
        <v>45594</v>
      </c>
      <c r="B31" s="140" t="s">
        <v>40</v>
      </c>
      <c r="C31" s="67" t="n">
        <v>8723250</v>
      </c>
      <c r="D31" s="79" t="n">
        <f aca="false">IF(C31&gt;0, C31,(G$42/(G$39-G$40)))</f>
        <v>8723250</v>
      </c>
      <c r="E31" s="69" t="n">
        <v>173</v>
      </c>
      <c r="F31" s="80" t="n">
        <f aca="false">IF(E31&gt;0,C31/E31, )</f>
        <v>50423.4104046243</v>
      </c>
      <c r="G31" s="69" t="n">
        <v>562</v>
      </c>
      <c r="H31" s="80" t="n">
        <f aca="false">IF(G31&gt;0,G31/E31,  )</f>
        <v>3.2485549132948</v>
      </c>
      <c r="I31" s="80" t="n">
        <f aca="false">IF(H31&gt;0,F31/H31,  )</f>
        <v>15521.7971530249</v>
      </c>
    </row>
    <row r="32" customFormat="false" ht="15" hidden="false" customHeight="false" outlineLevel="0" collapsed="false">
      <c r="A32" s="139" t="n">
        <v>45595</v>
      </c>
      <c r="B32" s="140" t="s">
        <v>41</v>
      </c>
      <c r="C32" s="67" t="n">
        <v>5105650</v>
      </c>
      <c r="D32" s="79" t="n">
        <f aca="false">IF(C32&gt;0, C32,(G$42/(G$39-G$40)))</f>
        <v>5105650</v>
      </c>
      <c r="E32" s="69" t="n">
        <v>99</v>
      </c>
      <c r="F32" s="80" t="n">
        <f aca="false">IF(E32&gt;0,C32/E32, )</f>
        <v>51572.2222222222</v>
      </c>
      <c r="G32" s="69" t="n">
        <v>327</v>
      </c>
      <c r="H32" s="80" t="n">
        <f aca="false">IF(G32&gt;0,G32/E32,  )</f>
        <v>3.3030303030303</v>
      </c>
      <c r="I32" s="80" t="n">
        <f aca="false">IF(H32&gt;0,F32/H32,  )</f>
        <v>15613.6085626911</v>
      </c>
    </row>
    <row r="33" customFormat="false" ht="15" hidden="false" customHeight="false" outlineLevel="0" collapsed="false">
      <c r="A33" s="139" t="n">
        <v>45596</v>
      </c>
      <c r="B33" s="140" t="s">
        <v>42</v>
      </c>
      <c r="C33" s="67" t="n">
        <v>9253450</v>
      </c>
      <c r="D33" s="79" t="n">
        <f aca="false">IF(C33&gt;0, C33,(G$42/(G$39-G$40)))</f>
        <v>9253450</v>
      </c>
      <c r="E33" s="69" t="n">
        <v>200</v>
      </c>
      <c r="F33" s="80" t="n">
        <f aca="false">IF(E33&gt;0,C33/E33, )</f>
        <v>46267.25</v>
      </c>
      <c r="G33" s="69" t="n">
        <v>611</v>
      </c>
      <c r="H33" s="80" t="n">
        <f aca="false">IF(G33&gt;0,G33/E33,  )</f>
        <v>3.055</v>
      </c>
      <c r="I33" s="80" t="n">
        <f aca="false">IF(H33&gt;0,F33/H33,  )</f>
        <v>15144.7626841244</v>
      </c>
    </row>
    <row r="34" customFormat="false" ht="15" hidden="false" customHeight="false" outlineLevel="0" collapsed="false">
      <c r="A34" s="83" t="s">
        <v>18</v>
      </c>
      <c r="B34" s="84"/>
      <c r="C34" s="85"/>
      <c r="D34" s="85"/>
      <c r="E34" s="86" t="s">
        <v>53</v>
      </c>
      <c r="F34" s="85" t="e">
        <f aca="false">C34/E34</f>
        <v>#VALUE!</v>
      </c>
      <c r="G34" s="86" t="n">
        <f aca="false">AVERAGE(G3:G33)</f>
        <v>647.129032258065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89"/>
      <c r="C35" s="90" t="n">
        <f aca="false">SUM(C3:C33)</f>
        <v>285389350</v>
      </c>
      <c r="D35" s="90"/>
      <c r="E35" s="91" t="n">
        <f aca="false">SUM(E3:E33)</f>
        <v>6169</v>
      </c>
      <c r="F35" s="92"/>
      <c r="G35" s="91" t="n">
        <f aca="false">SUM(G3:G33)</f>
        <v>20061</v>
      </c>
      <c r="H35" s="91"/>
      <c r="I35" s="91"/>
    </row>
    <row r="36" customFormat="false" ht="15" hidden="false" customHeight="false" outlineLevel="0" collapsed="false">
      <c r="A36" s="93" t="s">
        <v>20</v>
      </c>
      <c r="B36" s="94"/>
      <c r="C36" s="137" t="n">
        <v>300000000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00"/>
      <c r="C37" s="101" t="n">
        <f aca="false">C35/C36</f>
        <v>0.951297833333333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71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71"/>
      <c r="C39" s="71"/>
      <c r="D39" s="107" t="s">
        <v>22</v>
      </c>
      <c r="E39" s="107"/>
      <c r="F39" s="107"/>
      <c r="G39" s="108" t="n">
        <f aca="false">COUNTA(B3:B33)</f>
        <v>31</v>
      </c>
      <c r="H39" s="71"/>
      <c r="I39" s="71"/>
    </row>
    <row r="40" customFormat="false" ht="15" hidden="false" customHeight="false" outlineLevel="0" collapsed="false">
      <c r="A40" s="71"/>
      <c r="B40" s="71"/>
      <c r="C40" s="71"/>
      <c r="D40" s="109" t="s">
        <v>23</v>
      </c>
      <c r="E40" s="109"/>
      <c r="F40" s="109"/>
      <c r="G40" s="110" t="n">
        <f aca="false">COUNTA(C3:C33)</f>
        <v>31</v>
      </c>
      <c r="H40" s="71"/>
      <c r="I40" s="71"/>
    </row>
    <row r="41" customFormat="false" ht="15" hidden="false" customHeight="false" outlineLevel="0" collapsed="false">
      <c r="A41" s="71"/>
      <c r="B41" s="71"/>
      <c r="C41" s="71"/>
      <c r="D41" s="111" t="s">
        <v>24</v>
      </c>
      <c r="E41" s="111"/>
      <c r="F41" s="111"/>
      <c r="G41" s="112" t="n">
        <v>300000000</v>
      </c>
      <c r="H41" s="71"/>
      <c r="I41" s="71"/>
    </row>
    <row r="42" customFormat="false" ht="15" hidden="false" customHeight="false" outlineLevel="0" collapsed="false">
      <c r="A42" s="71"/>
      <c r="B42" s="71"/>
      <c r="C42" s="71"/>
      <c r="D42" s="113" t="s">
        <v>25</v>
      </c>
      <c r="E42" s="113"/>
      <c r="F42" s="113"/>
      <c r="G42" s="114" t="n">
        <f aca="false">C36-C35</f>
        <v>14610650</v>
      </c>
      <c r="H42" s="71"/>
      <c r="I42" s="71"/>
    </row>
    <row r="43" customFormat="false" ht="15" hidden="false" customHeight="false" outlineLevel="0" collapsed="false">
      <c r="A43" s="71"/>
      <c r="B43" s="71"/>
      <c r="C43" s="71"/>
      <c r="D43" s="113" t="s">
        <v>26</v>
      </c>
      <c r="E43" s="113"/>
      <c r="F43" s="113"/>
      <c r="G43" s="115" t="n">
        <f aca="false">G46*G39</f>
        <v>285389350</v>
      </c>
      <c r="H43" s="71"/>
      <c r="I43" s="71"/>
    </row>
    <row r="44" customFormat="false" ht="15" hidden="false" customHeight="false" outlineLevel="0" collapsed="false">
      <c r="A44" s="71"/>
      <c r="B44" s="71"/>
      <c r="C44" s="71"/>
      <c r="D44" s="116" t="s">
        <v>27</v>
      </c>
      <c r="E44" s="116"/>
      <c r="F44" s="116"/>
      <c r="G44" s="117" t="n">
        <f aca="false">G43-G41</f>
        <v>-14610650</v>
      </c>
      <c r="H44" s="71"/>
      <c r="I44" s="71"/>
    </row>
    <row r="45" customFormat="false" ht="15" hidden="false" customHeight="false" outlineLevel="0" collapsed="false">
      <c r="A45" s="71"/>
      <c r="B45" s="71"/>
      <c r="C45" s="71"/>
      <c r="D45" s="118" t="s">
        <v>28</v>
      </c>
      <c r="E45" s="118"/>
      <c r="F45" s="118"/>
      <c r="G45" s="119" t="n">
        <f aca="false">G41/G39</f>
        <v>9677419.35483871</v>
      </c>
      <c r="H45" s="71"/>
      <c r="I45" s="71"/>
    </row>
    <row r="46" customFormat="false" ht="15" hidden="false" customHeight="false" outlineLevel="0" collapsed="false">
      <c r="A46" s="71"/>
      <c r="B46" s="71"/>
      <c r="C46" s="71"/>
      <c r="D46" s="120" t="s">
        <v>29</v>
      </c>
      <c r="E46" s="120"/>
      <c r="F46" s="120"/>
      <c r="G46" s="121" t="n">
        <f aca="false">AVERAGE(C3:C33)</f>
        <v>9206108.06451613</v>
      </c>
      <c r="H46" s="71"/>
      <c r="I46" s="71"/>
    </row>
    <row r="47" customFormat="false" ht="15" hidden="false" customHeight="false" outlineLevel="0" collapsed="false">
      <c r="A47" s="71"/>
      <c r="B47" s="71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71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71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71"/>
      <c r="C50" s="71"/>
      <c r="D50" s="120" t="s">
        <v>33</v>
      </c>
      <c r="E50" s="120"/>
      <c r="F50" s="120"/>
      <c r="G50" s="124" t="n">
        <f aca="false">G46-G45</f>
        <v>-471311.290322581</v>
      </c>
      <c r="H50" s="71"/>
      <c r="I50" s="71"/>
    </row>
    <row r="51" customFormat="false" ht="15" hidden="false" customHeight="false" outlineLevel="0" collapsed="false">
      <c r="A51" s="71"/>
      <c r="B51" s="71"/>
      <c r="C51" s="71"/>
      <c r="D51" s="120" t="s">
        <v>34</v>
      </c>
      <c r="E51" s="120"/>
      <c r="F51" s="120"/>
      <c r="G51" s="125" t="n">
        <f aca="false">G43/G41</f>
        <v>0.951297833333333</v>
      </c>
      <c r="H51" s="71"/>
      <c r="I51" s="71"/>
    </row>
    <row r="52" customFormat="false" ht="15" hidden="false" customHeight="false" outlineLevel="0" collapsed="false">
      <c r="A52" s="71"/>
      <c r="B52" s="71"/>
      <c r="C52" s="71"/>
      <c r="D52" s="126" t="s">
        <v>35</v>
      </c>
      <c r="E52" s="126"/>
      <c r="F52" s="126"/>
      <c r="G52" s="127" t="n">
        <f aca="false">C35/G41</f>
        <v>0.951297833333333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G29" activeCellId="0" sqref="G29"/>
    </sheetView>
  </sheetViews>
  <sheetFormatPr defaultColWidth="10.25" defaultRowHeight="15" zeroHeight="false" outlineLevelRow="0" outlineLevelCol="0"/>
  <cols>
    <col collapsed="false" customWidth="true" hidden="false" outlineLevel="0" max="2" min="2" style="141" width="10.5"/>
    <col collapsed="false" customWidth="true" hidden="false" outlineLevel="0" max="3" min="3" style="0" width="11.53"/>
  </cols>
  <sheetData>
    <row r="1" customFormat="false" ht="17.35" hidden="false" customHeight="false" outlineLevel="0" collapsed="false">
      <c r="A1" s="128" t="s">
        <v>66</v>
      </c>
      <c r="B1" s="142"/>
      <c r="C1" s="129" t="s">
        <v>1</v>
      </c>
      <c r="D1" s="129"/>
      <c r="E1" s="129"/>
      <c r="F1" s="129"/>
      <c r="G1" s="129"/>
      <c r="H1" s="129"/>
      <c r="I1" s="129"/>
    </row>
    <row r="2" customFormat="false" ht="31.5" hidden="false" customHeight="false" outlineLevel="0" collapsed="false">
      <c r="A2" s="130" t="s">
        <v>2</v>
      </c>
      <c r="B2" s="131" t="s">
        <v>3</v>
      </c>
      <c r="C2" s="132" t="s">
        <v>4</v>
      </c>
      <c r="D2" s="132" t="s">
        <v>5</v>
      </c>
      <c r="E2" s="132" t="s">
        <v>6</v>
      </c>
      <c r="F2" s="133" t="s">
        <v>7</v>
      </c>
      <c r="G2" s="134" t="s">
        <v>8</v>
      </c>
      <c r="H2" s="134" t="s">
        <v>9</v>
      </c>
      <c r="I2" s="134" t="s">
        <v>10</v>
      </c>
    </row>
    <row r="3" customFormat="false" ht="15" hidden="false" customHeight="false" outlineLevel="0" collapsed="false">
      <c r="A3" s="139" t="n">
        <v>45597</v>
      </c>
      <c r="B3" s="143" t="s">
        <v>15</v>
      </c>
      <c r="C3" s="67" t="n">
        <v>10793250</v>
      </c>
      <c r="D3" s="79" t="n">
        <f aca="false">IF(C3&gt;0, C3,(G$42/(G$39-G$40)))</f>
        <v>10793250</v>
      </c>
      <c r="E3" s="69" t="n">
        <v>193</v>
      </c>
      <c r="F3" s="80" t="n">
        <f aca="false">IF(E3&gt;0,C3/E3, )</f>
        <v>55923.5751295337</v>
      </c>
      <c r="G3" s="69" t="n">
        <v>695</v>
      </c>
      <c r="H3" s="80" t="n">
        <f aca="false">IF(G3&gt;0,G3/E3,  )</f>
        <v>3.60103626943005</v>
      </c>
      <c r="I3" s="80" t="n">
        <f aca="false">IF(H3&gt;0,F3/H3,  )</f>
        <v>15529.8561151079</v>
      </c>
    </row>
    <row r="4" customFormat="false" ht="15" hidden="false" customHeight="false" outlineLevel="0" collapsed="false">
      <c r="A4" s="139" t="n">
        <v>45598</v>
      </c>
      <c r="B4" s="143" t="s">
        <v>16</v>
      </c>
      <c r="C4" s="67" t="n">
        <v>9283950</v>
      </c>
      <c r="D4" s="79" t="n">
        <f aca="false">IF(C4&gt;0, C4,(G$42/(G$39-G$40)))</f>
        <v>9283950</v>
      </c>
      <c r="E4" s="69" t="n">
        <v>211</v>
      </c>
      <c r="F4" s="80" t="n">
        <f aca="false">IF(E4&gt;0,C4/E4, )</f>
        <v>43999.7630331754</v>
      </c>
      <c r="G4" s="69" t="n">
        <v>680</v>
      </c>
      <c r="H4" s="80" t="n">
        <f aca="false">IF(G4&gt;0,G4/E4,  )</f>
        <v>3.22274881516588</v>
      </c>
      <c r="I4" s="80" t="n">
        <f aca="false">IF(H4&gt;0,F4/H4,  )</f>
        <v>13652.8676470588</v>
      </c>
    </row>
    <row r="5" customFormat="false" ht="15" hidden="false" customHeight="false" outlineLevel="0" collapsed="false">
      <c r="A5" s="139" t="n">
        <v>45599</v>
      </c>
      <c r="B5" s="143" t="s">
        <v>17</v>
      </c>
      <c r="C5" s="67" t="n">
        <v>9439850</v>
      </c>
      <c r="D5" s="79" t="n">
        <f aca="false">IF(C5&gt;0, C5,(G$42/(G$39-G$40)))</f>
        <v>9439850</v>
      </c>
      <c r="E5" s="69" t="n">
        <v>188</v>
      </c>
      <c r="F5" s="80" t="n">
        <f aca="false">IF(E5&gt;0,C5/E5, )</f>
        <v>50211.9680851064</v>
      </c>
      <c r="G5" s="69" t="n">
        <v>654</v>
      </c>
      <c r="H5" s="80" t="n">
        <f aca="false">IF(G5&gt;0,G5/E5,  )</f>
        <v>3.47872340425532</v>
      </c>
      <c r="I5" s="80" t="n">
        <f aca="false">IF(H5&gt;0,F5/H5,  )</f>
        <v>14434.0214067278</v>
      </c>
    </row>
    <row r="6" customFormat="false" ht="15" hidden="false" customHeight="false" outlineLevel="0" collapsed="false">
      <c r="A6" s="139" t="n">
        <v>45600</v>
      </c>
      <c r="B6" s="143" t="s">
        <v>11</v>
      </c>
      <c r="C6" s="67" t="n">
        <v>10528400</v>
      </c>
      <c r="D6" s="79" t="n">
        <f aca="false">IF(C6&gt;0, C6,(G$42/(G$39-G$40)))</f>
        <v>10528400</v>
      </c>
      <c r="E6" s="69" t="n">
        <v>208</v>
      </c>
      <c r="F6" s="80" t="n">
        <f aca="false">IF(E6&gt;0,C6/E6, )</f>
        <v>50617.3076923077</v>
      </c>
      <c r="G6" s="69" t="n">
        <v>725</v>
      </c>
      <c r="H6" s="80" t="n">
        <f aca="false">IF(G6&gt;0,G6/E6,  )</f>
        <v>3.48557692307692</v>
      </c>
      <c r="I6" s="80" t="n">
        <f aca="false">IF(H6&gt;0,F6/H6,  )</f>
        <v>14521.9310344828</v>
      </c>
    </row>
    <row r="7" customFormat="false" ht="15" hidden="false" customHeight="false" outlineLevel="0" collapsed="false">
      <c r="A7" s="139" t="n">
        <v>45601</v>
      </c>
      <c r="B7" s="143" t="s">
        <v>12</v>
      </c>
      <c r="C7" s="67" t="n">
        <v>8284200</v>
      </c>
      <c r="D7" s="79" t="n">
        <f aca="false">IF(C7&gt;0, C7,(G$42/(G$39-G$40)))</f>
        <v>8284200</v>
      </c>
      <c r="E7" s="69" t="n">
        <v>195</v>
      </c>
      <c r="F7" s="80" t="n">
        <f aca="false">IF(E7&gt;0,C7/E7, )</f>
        <v>42483.0769230769</v>
      </c>
      <c r="G7" s="69" t="n">
        <v>584</v>
      </c>
      <c r="H7" s="80" t="n">
        <f aca="false">IF(G7&gt;0,G7/E7,  )</f>
        <v>2.99487179487179</v>
      </c>
      <c r="I7" s="80" t="n">
        <f aca="false">IF(H7&gt;0,F7/H7,  )</f>
        <v>14185.2739726027</v>
      </c>
    </row>
    <row r="8" customFormat="false" ht="15" hidden="false" customHeight="false" outlineLevel="0" collapsed="false">
      <c r="A8" s="139" t="n">
        <v>45602</v>
      </c>
      <c r="B8" s="143" t="s">
        <v>13</v>
      </c>
      <c r="C8" s="67" t="n">
        <v>5729700</v>
      </c>
      <c r="D8" s="79" t="n">
        <f aca="false">IF(C8&gt;0, C8,(G$42/(G$39-G$40)))</f>
        <v>5729700</v>
      </c>
      <c r="E8" s="69" t="n">
        <v>148</v>
      </c>
      <c r="F8" s="80" t="n">
        <f aca="false">IF(E8&gt;0,C8/E8, )</f>
        <v>38714.1891891892</v>
      </c>
      <c r="G8" s="69" t="n">
        <v>415</v>
      </c>
      <c r="H8" s="80" t="n">
        <f aca="false">IF(G8&gt;0,G8/E8,  )</f>
        <v>2.80405405405405</v>
      </c>
      <c r="I8" s="80" t="n">
        <f aca="false">IF(H8&gt;0,F8/H8,  )</f>
        <v>13806.5060240964</v>
      </c>
    </row>
    <row r="9" customFormat="false" ht="15" hidden="false" customHeight="false" outlineLevel="0" collapsed="false">
      <c r="A9" s="139" t="n">
        <v>45603</v>
      </c>
      <c r="B9" s="143" t="s">
        <v>14</v>
      </c>
      <c r="C9" s="67" t="n">
        <v>9035750</v>
      </c>
      <c r="D9" s="79" t="n">
        <f aca="false">IF(C9&gt;0, C9,(G$42/(G$39-G$40)))</f>
        <v>9035750</v>
      </c>
      <c r="E9" s="69" t="n">
        <f aca="false">119+49</f>
        <v>168</v>
      </c>
      <c r="F9" s="80" t="n">
        <f aca="false">IF(E9&gt;0,C9/E9, )</f>
        <v>53784.2261904762</v>
      </c>
      <c r="G9" s="69" t="n">
        <v>607</v>
      </c>
      <c r="H9" s="80" t="n">
        <f aca="false">IF(G9&gt;0,G9/E9,  )</f>
        <v>3.61309523809524</v>
      </c>
      <c r="I9" s="80" t="n">
        <f aca="false">IF(H9&gt;0,F9/H9,  )</f>
        <v>14885.9143327842</v>
      </c>
    </row>
    <row r="10" customFormat="false" ht="15" hidden="false" customHeight="false" outlineLevel="0" collapsed="false">
      <c r="A10" s="139" t="n">
        <v>45604</v>
      </c>
      <c r="B10" s="143" t="s">
        <v>15</v>
      </c>
      <c r="C10" s="67" t="n">
        <v>11358400</v>
      </c>
      <c r="D10" s="79" t="n">
        <f aca="false">IF(C10&gt;0, C10,(G$42/(G$39-G$40)))</f>
        <v>11358400</v>
      </c>
      <c r="E10" s="69" t="n">
        <v>204</v>
      </c>
      <c r="F10" s="80" t="n">
        <f aca="false">IF(E10&gt;0,C10/E10, )</f>
        <v>55678.431372549</v>
      </c>
      <c r="G10" s="69" t="n">
        <v>780</v>
      </c>
      <c r="H10" s="80" t="n">
        <f aca="false">IF(G10&gt;0,G10/E10,  )</f>
        <v>3.82352941176471</v>
      </c>
      <c r="I10" s="80" t="n">
        <f aca="false">IF(H10&gt;0,F10/H10,  )</f>
        <v>14562.0512820513</v>
      </c>
    </row>
    <row r="11" customFormat="false" ht="15" hidden="false" customHeight="false" outlineLevel="0" collapsed="false">
      <c r="A11" s="139" t="n">
        <v>45605</v>
      </c>
      <c r="B11" s="143" t="s">
        <v>16</v>
      </c>
      <c r="C11" s="67" t="n">
        <v>6501000</v>
      </c>
      <c r="D11" s="79" t="n">
        <f aca="false">IF(C11&gt;0, C11,(G$42/(G$39-G$40)))</f>
        <v>6501000</v>
      </c>
      <c r="E11" s="69" t="n">
        <v>176</v>
      </c>
      <c r="F11" s="80" t="n">
        <f aca="false">IF(E11&gt;0,C11/E11, )</f>
        <v>36937.5</v>
      </c>
      <c r="G11" s="69" t="n">
        <v>477</v>
      </c>
      <c r="H11" s="80" t="n">
        <f aca="false">IF(G11&gt;0,G11/E11,  )</f>
        <v>2.71022727272727</v>
      </c>
      <c r="I11" s="80" t="n">
        <f aca="false">IF(H11&gt;0,F11/H11,  )</f>
        <v>13628.9308176101</v>
      </c>
    </row>
    <row r="12" customFormat="false" ht="15" hidden="false" customHeight="false" outlineLevel="0" collapsed="false">
      <c r="A12" s="139" t="n">
        <v>45606</v>
      </c>
      <c r="B12" s="143" t="s">
        <v>17</v>
      </c>
      <c r="C12" s="67" t="n">
        <v>11694650</v>
      </c>
      <c r="D12" s="79" t="n">
        <f aca="false">IF(C12&gt;0, C12,(G$42/(G$39-G$40)))</f>
        <v>11694650</v>
      </c>
      <c r="E12" s="69" t="n">
        <v>198</v>
      </c>
      <c r="F12" s="80" t="n">
        <f aca="false">IF(E12&gt;0,C12/E12, )</f>
        <v>59063.8888888889</v>
      </c>
      <c r="G12" s="69" t="n">
        <v>779</v>
      </c>
      <c r="H12" s="80" t="n">
        <f aca="false">IF(G12&gt;0,G12/E12,  )</f>
        <v>3.93434343434343</v>
      </c>
      <c r="I12" s="80" t="n">
        <f aca="false">IF(H12&gt;0,F12/H12,  )</f>
        <v>15012.3876765083</v>
      </c>
    </row>
    <row r="13" customFormat="false" ht="15" hidden="false" customHeight="false" outlineLevel="0" collapsed="false">
      <c r="A13" s="139" t="n">
        <v>45607</v>
      </c>
      <c r="B13" s="143" t="s">
        <v>39</v>
      </c>
      <c r="C13" s="67" t="n">
        <v>15942800</v>
      </c>
      <c r="D13" s="79" t="n">
        <f aca="false">IF(C13&gt;0, C13,(G$42/(G$39-G$40)))</f>
        <v>15942800</v>
      </c>
      <c r="E13" s="69" t="n">
        <f aca="false">160+152</f>
        <v>312</v>
      </c>
      <c r="F13" s="80" t="n">
        <f aca="false">IF(E13&gt;0,C13/E13, )</f>
        <v>51098.7179487179</v>
      </c>
      <c r="G13" s="69" t="n">
        <v>1183</v>
      </c>
      <c r="H13" s="80" t="n">
        <f aca="false">IF(G13&gt;0,G13/E13,  )</f>
        <v>3.79166666666667</v>
      </c>
      <c r="I13" s="80" t="n">
        <f aca="false">IF(H13&gt;0,F13/H13,  )</f>
        <v>13476.584953508</v>
      </c>
    </row>
    <row r="14" customFormat="false" ht="15" hidden="false" customHeight="false" outlineLevel="0" collapsed="false">
      <c r="A14" s="139" t="n">
        <v>45608</v>
      </c>
      <c r="B14" s="143" t="s">
        <v>40</v>
      </c>
      <c r="C14" s="67" t="n">
        <v>8711200</v>
      </c>
      <c r="D14" s="79" t="n">
        <f aca="false">IF(C14&gt;0, C14,(G$42/(G$39-G$40)))</f>
        <v>8711200</v>
      </c>
      <c r="E14" s="69" t="n">
        <f aca="false">59+150</f>
        <v>209</v>
      </c>
      <c r="F14" s="80" t="n">
        <f aca="false">IF(E14&gt;0,C14/E14, )</f>
        <v>41680.3827751196</v>
      </c>
      <c r="G14" s="69" t="n">
        <v>626</v>
      </c>
      <c r="H14" s="80" t="n">
        <f aca="false">IF(G14&gt;0,G14/E14,  )</f>
        <v>2.99521531100478</v>
      </c>
      <c r="I14" s="80" t="n">
        <f aca="false">IF(H14&gt;0,F14/H14,  )</f>
        <v>13915.6549520767</v>
      </c>
    </row>
    <row r="15" customFormat="false" ht="15" hidden="false" customHeight="false" outlineLevel="0" collapsed="false">
      <c r="A15" s="139" t="n">
        <v>45609</v>
      </c>
      <c r="B15" s="143" t="s">
        <v>41</v>
      </c>
      <c r="C15" s="67" t="n">
        <v>6862600</v>
      </c>
      <c r="D15" s="79" t="n">
        <f aca="false">IF(C15&gt;0, C15,(G$42/(G$39-G$40)))</f>
        <v>6862600</v>
      </c>
      <c r="E15" s="69" t="n">
        <v>161</v>
      </c>
      <c r="F15" s="80" t="n">
        <f aca="false">IF(E15&gt;0,C15/E15, )</f>
        <v>42624.8447204969</v>
      </c>
      <c r="G15" s="69" t="n">
        <v>490</v>
      </c>
      <c r="H15" s="80" t="n">
        <f aca="false">IF(G15&gt;0,G15/E15,  )</f>
        <v>3.04347826086957</v>
      </c>
      <c r="I15" s="80" t="n">
        <f aca="false">IF(H15&gt;0,F15/H15,  )</f>
        <v>14005.306122449</v>
      </c>
    </row>
    <row r="16" customFormat="false" ht="15" hidden="false" customHeight="false" outlineLevel="0" collapsed="false">
      <c r="A16" s="139" t="n">
        <v>45610</v>
      </c>
      <c r="B16" s="143" t="s">
        <v>42</v>
      </c>
      <c r="C16" s="67" t="n">
        <v>8285900</v>
      </c>
      <c r="D16" s="79" t="n">
        <f aca="false">IF(C16&gt;0, C16,(G$42/(G$39-G$40)))</f>
        <v>8285900</v>
      </c>
      <c r="E16" s="69" t="n">
        <v>191</v>
      </c>
      <c r="F16" s="80" t="n">
        <f aca="false">IF(E16&gt;0,C16/E16, )</f>
        <v>43381.6753926702</v>
      </c>
      <c r="G16" s="69" t="n">
        <v>560</v>
      </c>
      <c r="H16" s="80" t="n">
        <f aca="false">IF(G16&gt;0,G16/E16,  )</f>
        <v>2.93193717277487</v>
      </c>
      <c r="I16" s="80" t="n">
        <f aca="false">IF(H16&gt;0,F16/H16,  )</f>
        <v>14796.25</v>
      </c>
    </row>
    <row r="17" customFormat="false" ht="15" hidden="false" customHeight="false" outlineLevel="0" collapsed="false">
      <c r="A17" s="139" t="n">
        <v>45611</v>
      </c>
      <c r="B17" s="143" t="s">
        <v>43</v>
      </c>
      <c r="C17" s="67" t="n">
        <v>7427850</v>
      </c>
      <c r="D17" s="79" t="n">
        <f aca="false">IF(C17&gt;0, C17,(G$42/(G$39-G$40)))</f>
        <v>7427850</v>
      </c>
      <c r="E17" s="69" t="n">
        <f aca="false">92+75</f>
        <v>167</v>
      </c>
      <c r="F17" s="80" t="n">
        <f aca="false">IF(E17&gt;0,C17/E17, )</f>
        <v>44478.1437125748</v>
      </c>
      <c r="G17" s="69" t="n">
        <v>499</v>
      </c>
      <c r="H17" s="80" t="n">
        <f aca="false">IF(G17&gt;0,G17/E17,  )</f>
        <v>2.98802395209581</v>
      </c>
      <c r="I17" s="80" t="n">
        <f aca="false">IF(H17&gt;0,F17/H17,  )</f>
        <v>14885.4709418838</v>
      </c>
    </row>
    <row r="18" customFormat="false" ht="15" hidden="false" customHeight="false" outlineLevel="0" collapsed="false">
      <c r="A18" s="139" t="n">
        <v>45612</v>
      </c>
      <c r="B18" s="143" t="s">
        <v>44</v>
      </c>
      <c r="C18" s="67" t="n">
        <v>8303200</v>
      </c>
      <c r="D18" s="79" t="n">
        <f aca="false">IF(C18&gt;0, C18,(G$42/(G$39-G$40)))</f>
        <v>8303200</v>
      </c>
      <c r="E18" s="69" t="n">
        <f aca="false">108+60</f>
        <v>168</v>
      </c>
      <c r="F18" s="80" t="n">
        <f aca="false">IF(E18&gt;0,C18/E18, )</f>
        <v>49423.8095238095</v>
      </c>
      <c r="G18" s="69" t="n">
        <v>586</v>
      </c>
      <c r="H18" s="80" t="n">
        <f aca="false">IF(G18&gt;0,G18/E18,  )</f>
        <v>3.48809523809524</v>
      </c>
      <c r="I18" s="80" t="n">
        <f aca="false">IF(H18&gt;0,F18/H18,  )</f>
        <v>14169.2832764505</v>
      </c>
    </row>
    <row r="19" customFormat="false" ht="15" hidden="false" customHeight="false" outlineLevel="0" collapsed="false">
      <c r="A19" s="139" t="n">
        <v>45613</v>
      </c>
      <c r="B19" s="143" t="s">
        <v>38</v>
      </c>
      <c r="C19" s="67" t="n">
        <v>9185700</v>
      </c>
      <c r="D19" s="79" t="n">
        <f aca="false">IF(C19&gt;0, C19,(G$42/(G$39-G$40)))</f>
        <v>9185700</v>
      </c>
      <c r="E19" s="69" t="n">
        <v>187</v>
      </c>
      <c r="F19" s="80" t="n">
        <f aca="false">IF(E19&gt;0,C19/E19, )</f>
        <v>49121.3903743316</v>
      </c>
      <c r="G19" s="69" t="n">
        <v>634</v>
      </c>
      <c r="H19" s="80" t="n">
        <f aca="false">IF(G19&gt;0,G19/E19,  )</f>
        <v>3.3903743315508</v>
      </c>
      <c r="I19" s="80" t="n">
        <f aca="false">IF(H19&gt;0,F19/H19,  )</f>
        <v>14488.4858044164</v>
      </c>
    </row>
    <row r="20" customFormat="false" ht="15" hidden="false" customHeight="false" outlineLevel="0" collapsed="false">
      <c r="A20" s="139" t="n">
        <v>45614</v>
      </c>
      <c r="B20" s="143" t="s">
        <v>39</v>
      </c>
      <c r="C20" s="67" t="n">
        <v>4240450</v>
      </c>
      <c r="D20" s="79" t="n">
        <f aca="false">IF(C20&gt;0, C20,(G$42/(G$39-G$40)))</f>
        <v>4240450</v>
      </c>
      <c r="E20" s="69" t="n">
        <v>114</v>
      </c>
      <c r="F20" s="80" t="n">
        <f aca="false">IF(E20&gt;0,C20/E20, )</f>
        <v>37196.9298245614</v>
      </c>
      <c r="G20" s="69" t="n">
        <v>309</v>
      </c>
      <c r="H20" s="80" t="n">
        <f aca="false">IF(G20&gt;0,G20/E20,  )</f>
        <v>2.71052631578947</v>
      </c>
      <c r="I20" s="80" t="n">
        <f aca="false">IF(H20&gt;0,F20/H20,  )</f>
        <v>13723.1391585761</v>
      </c>
    </row>
    <row r="21" customFormat="false" ht="15" hidden="false" customHeight="false" outlineLevel="0" collapsed="false">
      <c r="A21" s="139" t="n">
        <v>45615</v>
      </c>
      <c r="B21" s="143" t="s">
        <v>40</v>
      </c>
      <c r="C21" s="69" t="n">
        <v>6392750</v>
      </c>
      <c r="D21" s="79" t="n">
        <f aca="false">IF(C21&gt;0, C21,(G$42/(G$39-G$40)))</f>
        <v>6392750</v>
      </c>
      <c r="E21" s="69" t="n">
        <f aca="false">97+57</f>
        <v>154</v>
      </c>
      <c r="F21" s="80" t="n">
        <f aca="false">IF(E21&gt;0,C21/E21, )</f>
        <v>41511.3636363636</v>
      </c>
      <c r="G21" s="69" t="n">
        <v>495</v>
      </c>
      <c r="H21" s="80" t="n">
        <f aca="false">IF(G21&gt;0,G21/E21,  )</f>
        <v>3.21428571428571</v>
      </c>
      <c r="I21" s="80" t="n">
        <f aca="false">IF(H21&gt;0,F21/H21,  )</f>
        <v>12914.6464646465</v>
      </c>
    </row>
    <row r="22" customFormat="false" ht="15" hidden="false" customHeight="false" outlineLevel="0" collapsed="false">
      <c r="A22" s="139" t="n">
        <v>45616</v>
      </c>
      <c r="B22" s="143" t="s">
        <v>41</v>
      </c>
      <c r="C22" s="67" t="n">
        <v>6959250</v>
      </c>
      <c r="D22" s="79" t="n">
        <f aca="false">IF(C22&gt;0, C22,(G$42/(G$39-G$40)))</f>
        <v>6959250</v>
      </c>
      <c r="E22" s="69" t="n">
        <f aca="false">87+84</f>
        <v>171</v>
      </c>
      <c r="F22" s="80" t="n">
        <f aca="false">IF(E22&gt;0,C22/E22, )</f>
        <v>40697.3684210526</v>
      </c>
      <c r="G22" s="138" t="n">
        <v>510</v>
      </c>
      <c r="H22" s="80" t="n">
        <f aca="false">IF(G22&gt;0,G22/E22,  )</f>
        <v>2.98245614035088</v>
      </c>
      <c r="I22" s="80" t="n">
        <f aca="false">IF(H22&gt;0,F22/H22,  )</f>
        <v>13645.5882352941</v>
      </c>
    </row>
    <row r="23" customFormat="false" ht="15" hidden="false" customHeight="false" outlineLevel="0" collapsed="false">
      <c r="A23" s="139" t="n">
        <v>45617</v>
      </c>
      <c r="B23" s="143" t="s">
        <v>42</v>
      </c>
      <c r="C23" s="67" t="n">
        <v>8526500</v>
      </c>
      <c r="D23" s="79" t="n">
        <f aca="false">IF(C23&gt;0, C23,(G$42/(G$39-G$40)))</f>
        <v>8526500</v>
      </c>
      <c r="E23" s="69" t="n">
        <v>176</v>
      </c>
      <c r="F23" s="80" t="n">
        <f aca="false">IF(E23&gt;0,C23/E23, )</f>
        <v>48446.0227272727</v>
      </c>
      <c r="G23" s="69" t="n">
        <v>550</v>
      </c>
      <c r="H23" s="80" t="n">
        <f aca="false">IF(G23&gt;0,G23/E23,  )</f>
        <v>3.125</v>
      </c>
      <c r="I23" s="80" t="n">
        <f aca="false">IF(H23&gt;0,F23/H23,  )</f>
        <v>15502.7272727273</v>
      </c>
    </row>
    <row r="24" customFormat="false" ht="15" hidden="false" customHeight="false" outlineLevel="0" collapsed="false">
      <c r="A24" s="139" t="n">
        <v>45618</v>
      </c>
      <c r="B24" s="143" t="s">
        <v>43</v>
      </c>
      <c r="C24" s="67" t="n">
        <v>7577700</v>
      </c>
      <c r="D24" s="79" t="n">
        <f aca="false">IF(C24&gt;0, C24,(G$42/(G$39-G$40)))</f>
        <v>7577700</v>
      </c>
      <c r="E24" s="69" t="n">
        <v>154</v>
      </c>
      <c r="F24" s="80" t="n">
        <f aca="false">IF(E24&gt;0,C24/E24, )</f>
        <v>49205.8441558442</v>
      </c>
      <c r="G24" s="69" t="n">
        <v>502</v>
      </c>
      <c r="H24" s="80" t="n">
        <f aca="false">IF(G24&gt;0,G24/E24,  )</f>
        <v>3.25974025974026</v>
      </c>
      <c r="I24" s="80" t="n">
        <f aca="false">IF(H24&gt;0,F24/H24,  )</f>
        <v>15095.0199203187</v>
      </c>
    </row>
    <row r="25" customFormat="false" ht="15" hidden="false" customHeight="false" outlineLevel="0" collapsed="false">
      <c r="A25" s="139" t="n">
        <v>45619</v>
      </c>
      <c r="B25" s="143" t="s">
        <v>44</v>
      </c>
      <c r="C25" s="67" t="n">
        <v>11063950</v>
      </c>
      <c r="D25" s="79" t="n">
        <f aca="false">IF(C25&gt;0, C25,(G$42/(G$39-G$40)))</f>
        <v>11063950</v>
      </c>
      <c r="E25" s="69" t="n">
        <v>205</v>
      </c>
      <c r="F25" s="80" t="n">
        <f aca="false">IF(E25&gt;0,C25/E25, )</f>
        <v>53970.4878048781</v>
      </c>
      <c r="G25" s="69" t="n">
        <v>698</v>
      </c>
      <c r="H25" s="80" t="n">
        <f aca="false">IF(G25&gt;0,G25/E25,  )</f>
        <v>3.40487804878049</v>
      </c>
      <c r="I25" s="80" t="n">
        <f aca="false">IF(H25&gt;0,F25/H25,  )</f>
        <v>15850.9312320917</v>
      </c>
    </row>
    <row r="26" customFormat="false" ht="15" hidden="false" customHeight="false" outlineLevel="0" collapsed="false">
      <c r="A26" s="139" t="n">
        <v>45620</v>
      </c>
      <c r="B26" s="143" t="s">
        <v>38</v>
      </c>
      <c r="C26" s="67" t="n">
        <v>10367150</v>
      </c>
      <c r="D26" s="79" t="n">
        <f aca="false">IF(C26&gt;0, C26,(G$42/(G$39-G$40)))</f>
        <v>10367150</v>
      </c>
      <c r="E26" s="69" t="n">
        <f aca="false">103+72</f>
        <v>175</v>
      </c>
      <c r="F26" s="80" t="n">
        <f aca="false">IF(E26&gt;0,C26/E26, )</f>
        <v>59240.8571428572</v>
      </c>
      <c r="G26" s="69" t="n">
        <v>607</v>
      </c>
      <c r="H26" s="80" t="n">
        <f aca="false">IF(G26&gt;0,G26/E26,  )</f>
        <v>3.46857142857143</v>
      </c>
      <c r="I26" s="80" t="n">
        <f aca="false">IF(H26&gt;0,F26/H26,  )</f>
        <v>17079.3245469522</v>
      </c>
    </row>
    <row r="27" customFormat="false" ht="15" hidden="false" customHeight="false" outlineLevel="0" collapsed="false">
      <c r="A27" s="139" t="n">
        <v>45621</v>
      </c>
      <c r="B27" s="143" t="s">
        <v>39</v>
      </c>
      <c r="C27" s="67" t="n">
        <v>8269450</v>
      </c>
      <c r="D27" s="79" t="n">
        <f aca="false">IF(C27&gt;0, C27,(G$42/(G$39-G$40)))</f>
        <v>8269450</v>
      </c>
      <c r="E27" s="69" t="n">
        <v>196</v>
      </c>
      <c r="F27" s="80" t="n">
        <f aca="false">IF(E27&gt;0,C27/E27, )</f>
        <v>42191.0714285714</v>
      </c>
      <c r="G27" s="69" t="n">
        <v>568</v>
      </c>
      <c r="H27" s="80" t="n">
        <f aca="false">IF(G27&gt;0,G27/E27,  )</f>
        <v>2.89795918367347</v>
      </c>
      <c r="I27" s="80" t="n">
        <f aca="false">IF(H27&gt;0,F27/H27,  )</f>
        <v>14558.8908450704</v>
      </c>
    </row>
    <row r="28" customFormat="false" ht="15" hidden="false" customHeight="false" outlineLevel="0" collapsed="false">
      <c r="A28" s="139" t="n">
        <v>45622</v>
      </c>
      <c r="B28" s="143" t="s">
        <v>40</v>
      </c>
      <c r="C28" s="67" t="n">
        <v>10669950</v>
      </c>
      <c r="D28" s="79" t="n">
        <f aca="false">IF(C28&gt;0, C28,(G$42/(G$39-G$40)))</f>
        <v>10669950</v>
      </c>
      <c r="E28" s="69" t="n">
        <v>206</v>
      </c>
      <c r="F28" s="80" t="n">
        <f aca="false">IF(E28&gt;0,C28/E28, )</f>
        <v>51795.8737864078</v>
      </c>
      <c r="G28" s="69" t="n">
        <v>657</v>
      </c>
      <c r="H28" s="80" t="n">
        <f aca="false">IF(G28&gt;0,G28/E28,  )</f>
        <v>3.18932038834951</v>
      </c>
      <c r="I28" s="80" t="n">
        <f aca="false">IF(H28&gt;0,F28/H28,  )</f>
        <v>16240.4109589041</v>
      </c>
    </row>
    <row r="29" customFormat="false" ht="15" hidden="false" customHeight="false" outlineLevel="0" collapsed="false">
      <c r="A29" s="139" t="n">
        <v>45623</v>
      </c>
      <c r="B29" s="143" t="s">
        <v>41</v>
      </c>
      <c r="C29" s="67" t="n">
        <v>5699550</v>
      </c>
      <c r="D29" s="79" t="n">
        <f aca="false">IF(C29&gt;0, C29,(G$42/(G$39-G$40)))</f>
        <v>5699550</v>
      </c>
      <c r="E29" s="69" t="n">
        <f aca="false">90+74</f>
        <v>164</v>
      </c>
      <c r="F29" s="80" t="n">
        <f aca="false">IF(E29&gt;0,C29/E29, )</f>
        <v>34753.3536585366</v>
      </c>
      <c r="G29" s="69"/>
      <c r="H29" s="80" t="n">
        <f aca="false">IF(G29&gt;0,G29/E29,  )</f>
        <v>0</v>
      </c>
      <c r="I29" s="80" t="n">
        <f aca="false">IF(H29&gt;0,F29/H29,  )</f>
        <v>0</v>
      </c>
    </row>
    <row r="30" customFormat="false" ht="15" hidden="false" customHeight="false" outlineLevel="0" collapsed="false">
      <c r="A30" s="139" t="n">
        <v>45624</v>
      </c>
      <c r="B30" s="143" t="s">
        <v>42</v>
      </c>
      <c r="C30" s="67" t="n">
        <v>20809900</v>
      </c>
      <c r="D30" s="79" t="n">
        <f aca="false">IF(C30&gt;0, C30,(G$42/(G$39-G$40)))</f>
        <v>20809900</v>
      </c>
      <c r="E30" s="69" t="n">
        <v>301</v>
      </c>
      <c r="F30" s="80" t="n">
        <f aca="false">IF(E30&gt;0,C30/E30, )</f>
        <v>69135.8803986711</v>
      </c>
      <c r="G30" s="69" t="n">
        <v>1440</v>
      </c>
      <c r="H30" s="80" t="n">
        <f aca="false">IF(G30&gt;0,G30/E30,  )</f>
        <v>4.78405315614618</v>
      </c>
      <c r="I30" s="80" t="n">
        <f aca="false">IF(H30&gt;0,F30/H30,  )</f>
        <v>14451.3194444444</v>
      </c>
    </row>
    <row r="31" customFormat="false" ht="15" hidden="false" customHeight="false" outlineLevel="0" collapsed="false">
      <c r="A31" s="139" t="n">
        <v>45625</v>
      </c>
      <c r="B31" s="143" t="s">
        <v>43</v>
      </c>
      <c r="C31" s="67"/>
      <c r="D31" s="79" t="n">
        <f aca="false">IF(C31&gt;0, C31,(G$42/(G$39-G$40)))</f>
        <v>28527500</v>
      </c>
      <c r="E31" s="69"/>
      <c r="F31" s="80" t="n">
        <f aca="false">IF(E31&gt;0,C31/E31, )</f>
        <v>0</v>
      </c>
      <c r="G31" s="69"/>
      <c r="H31" s="80" t="n">
        <f aca="false">IF(G31&gt;0,G31/E31,  )</f>
        <v>0</v>
      </c>
      <c r="I31" s="80" t="n">
        <f aca="false">IF(H31&gt;0,F31/H31,  )</f>
        <v>0</v>
      </c>
    </row>
    <row r="32" customFormat="false" ht="15" hidden="false" customHeight="false" outlineLevel="0" collapsed="false">
      <c r="A32" s="139" t="n">
        <v>45626</v>
      </c>
      <c r="B32" s="143" t="s">
        <v>44</v>
      </c>
      <c r="C32" s="67"/>
      <c r="D32" s="79" t="n">
        <f aca="false">IF(C32&gt;0, C32,(G$42/(G$39-G$40)))</f>
        <v>28527500</v>
      </c>
      <c r="E32" s="69"/>
      <c r="F32" s="80" t="n">
        <f aca="false">IF(E32&gt;0,C32/E32, )</f>
        <v>0</v>
      </c>
      <c r="G32" s="69"/>
      <c r="H32" s="80" t="n">
        <f aca="false">IF(G32&gt;0,G32/E32,  )</f>
        <v>0</v>
      </c>
      <c r="I32" s="80" t="n">
        <f aca="false">IF(H32&gt;0,F32/H32,  )</f>
        <v>0</v>
      </c>
    </row>
    <row r="33" customFormat="false" ht="15" hidden="false" customHeight="false" outlineLevel="0" collapsed="false">
      <c r="A33" s="139"/>
      <c r="B33" s="143"/>
      <c r="C33" s="67"/>
      <c r="D33" s="79" t="n">
        <f aca="false">IF(C33&gt;0, C33,(G$42/(G$39-G$40)))</f>
        <v>28527500</v>
      </c>
      <c r="E33" s="69"/>
      <c r="F33" s="80" t="n">
        <f aca="false">IF(E33&gt;0,C33/E33, )</f>
        <v>0</v>
      </c>
      <c r="G33" s="69"/>
      <c r="H33" s="80" t="n">
        <f aca="false">IF(G33&gt;0,G33/E33,  )</f>
        <v>0</v>
      </c>
      <c r="I33" s="80" t="n">
        <f aca="false">IF(H33&gt;0,F33/H33,  )</f>
        <v>0</v>
      </c>
    </row>
    <row r="34" customFormat="false" ht="15" hidden="false" customHeight="false" outlineLevel="0" collapsed="false">
      <c r="A34" s="83" t="s">
        <v>18</v>
      </c>
      <c r="B34" s="144"/>
      <c r="C34" s="85"/>
      <c r="D34" s="85"/>
      <c r="E34" s="86" t="s">
        <v>53</v>
      </c>
      <c r="F34" s="85" t="e">
        <f aca="false">C34/E34</f>
        <v>#VALUE!</v>
      </c>
      <c r="G34" s="86" t="n">
        <f aca="false">AVERAGE(G3:G33)</f>
        <v>641.111111111111</v>
      </c>
      <c r="H34" s="86" t="e">
        <f aca="false">IF(G34&gt;0,G34/E34,  )</f>
        <v>#VALUE!</v>
      </c>
      <c r="I34" s="87" t="e">
        <f aca="false">IF(H34&gt;0,F34/H34,  )</f>
        <v>#VALUE!</v>
      </c>
    </row>
    <row r="35" customFormat="false" ht="15" hidden="false" customHeight="false" outlineLevel="0" collapsed="false">
      <c r="A35" s="88" t="s">
        <v>19</v>
      </c>
      <c r="B35" s="145"/>
      <c r="C35" s="90" t="n">
        <f aca="false">SUM(C3:C33)</f>
        <v>257945000</v>
      </c>
      <c r="D35" s="90"/>
      <c r="E35" s="91" t="n">
        <f aca="false">SUM(E3:E33)</f>
        <v>5300</v>
      </c>
      <c r="F35" s="92"/>
      <c r="G35" s="91" t="n">
        <f aca="false">SUM(G3:G33)</f>
        <v>17310</v>
      </c>
      <c r="H35" s="91"/>
      <c r="I35" s="91"/>
    </row>
    <row r="36" customFormat="false" ht="15" hidden="false" customHeight="false" outlineLevel="0" collapsed="false">
      <c r="A36" s="93" t="s">
        <v>20</v>
      </c>
      <c r="B36" s="146"/>
      <c r="C36" s="137" t="n">
        <v>315000000</v>
      </c>
      <c r="D36" s="96"/>
      <c r="E36" s="97"/>
      <c r="F36" s="98"/>
      <c r="G36" s="97"/>
      <c r="H36" s="97"/>
      <c r="I36" s="97"/>
    </row>
    <row r="37" customFormat="false" ht="15" hidden="false" customHeight="false" outlineLevel="0" collapsed="false">
      <c r="A37" s="99" t="s">
        <v>21</v>
      </c>
      <c r="B37" s="142"/>
      <c r="C37" s="101" t="n">
        <f aca="false">C35/C36</f>
        <v>0.818873015873016</v>
      </c>
      <c r="D37" s="101"/>
      <c r="E37" s="102"/>
      <c r="F37" s="103"/>
      <c r="G37" s="104"/>
      <c r="H37" s="104"/>
      <c r="I37" s="104"/>
    </row>
    <row r="38" customFormat="false" ht="15" hidden="false" customHeight="false" outlineLevel="0" collapsed="false">
      <c r="A38" s="71"/>
      <c r="B38" s="147"/>
      <c r="C38" s="71"/>
      <c r="D38" s="71"/>
      <c r="E38" s="71"/>
      <c r="F38" s="71"/>
      <c r="G38" s="71"/>
      <c r="H38" s="71"/>
      <c r="I38" s="71"/>
    </row>
    <row r="39" customFormat="false" ht="15" hidden="false" customHeight="false" outlineLevel="0" collapsed="false">
      <c r="A39" s="71"/>
      <c r="B39" s="147"/>
      <c r="C39" s="71"/>
      <c r="D39" s="107" t="s">
        <v>22</v>
      </c>
      <c r="E39" s="107"/>
      <c r="F39" s="107"/>
      <c r="G39" s="108" t="n">
        <f aca="false">COUNTA(B3:B33)</f>
        <v>30</v>
      </c>
      <c r="H39" s="71"/>
      <c r="I39" s="71"/>
    </row>
    <row r="40" customFormat="false" ht="15" hidden="false" customHeight="false" outlineLevel="0" collapsed="false">
      <c r="A40" s="71"/>
      <c r="B40" s="147"/>
      <c r="C40" s="71"/>
      <c r="D40" s="109" t="s">
        <v>23</v>
      </c>
      <c r="E40" s="109"/>
      <c r="F40" s="109"/>
      <c r="G40" s="110" t="n">
        <f aca="false">COUNTA(C3:C33)</f>
        <v>28</v>
      </c>
      <c r="H40" s="71"/>
      <c r="I40" s="71"/>
    </row>
    <row r="41" customFormat="false" ht="15" hidden="false" customHeight="false" outlineLevel="0" collapsed="false">
      <c r="A41" s="71"/>
      <c r="B41" s="147"/>
      <c r="C41" s="71"/>
      <c r="D41" s="111" t="s">
        <v>24</v>
      </c>
      <c r="E41" s="111"/>
      <c r="F41" s="111"/>
      <c r="G41" s="112" t="n">
        <v>315000000</v>
      </c>
      <c r="H41" s="71"/>
      <c r="I41" s="71"/>
    </row>
    <row r="42" customFormat="false" ht="15" hidden="false" customHeight="false" outlineLevel="0" collapsed="false">
      <c r="A42" s="71"/>
      <c r="B42" s="147"/>
      <c r="C42" s="71"/>
      <c r="D42" s="113" t="s">
        <v>25</v>
      </c>
      <c r="E42" s="113"/>
      <c r="F42" s="113"/>
      <c r="G42" s="114" t="n">
        <f aca="false">C36-C35</f>
        <v>57055000</v>
      </c>
      <c r="H42" s="71"/>
      <c r="I42" s="71"/>
    </row>
    <row r="43" customFormat="false" ht="15" hidden="false" customHeight="false" outlineLevel="0" collapsed="false">
      <c r="A43" s="71"/>
      <c r="B43" s="147"/>
      <c r="C43" s="71"/>
      <c r="D43" s="113" t="s">
        <v>26</v>
      </c>
      <c r="E43" s="113"/>
      <c r="F43" s="113"/>
      <c r="G43" s="115" t="n">
        <f aca="false">G46*G39</f>
        <v>276369642.857143</v>
      </c>
      <c r="H43" s="71"/>
      <c r="I43" s="71"/>
    </row>
    <row r="44" customFormat="false" ht="15" hidden="false" customHeight="false" outlineLevel="0" collapsed="false">
      <c r="A44" s="71"/>
      <c r="B44" s="147"/>
      <c r="C44" s="71"/>
      <c r="D44" s="116" t="s">
        <v>27</v>
      </c>
      <c r="E44" s="116"/>
      <c r="F44" s="116"/>
      <c r="G44" s="117" t="n">
        <f aca="false">G43-G41</f>
        <v>-38630357.1428571</v>
      </c>
      <c r="H44" s="71"/>
      <c r="I44" s="71"/>
    </row>
    <row r="45" customFormat="false" ht="15" hidden="false" customHeight="false" outlineLevel="0" collapsed="false">
      <c r="A45" s="71"/>
      <c r="B45" s="147"/>
      <c r="C45" s="71"/>
      <c r="D45" s="118" t="s">
        <v>28</v>
      </c>
      <c r="E45" s="118"/>
      <c r="F45" s="118"/>
      <c r="G45" s="119" t="n">
        <f aca="false">G41/G39</f>
        <v>10500000</v>
      </c>
      <c r="H45" s="71"/>
      <c r="I45" s="71"/>
    </row>
    <row r="46" customFormat="false" ht="15" hidden="false" customHeight="false" outlineLevel="0" collapsed="false">
      <c r="A46" s="71"/>
      <c r="B46" s="147"/>
      <c r="C46" s="71"/>
      <c r="D46" s="120" t="s">
        <v>29</v>
      </c>
      <c r="E46" s="120"/>
      <c r="F46" s="120"/>
      <c r="G46" s="121" t="n">
        <f aca="false">AVERAGE(C3:C33)</f>
        <v>9212321.42857143</v>
      </c>
      <c r="H46" s="71"/>
      <c r="I46" s="71"/>
    </row>
    <row r="47" customFormat="false" ht="15" hidden="false" customHeight="false" outlineLevel="0" collapsed="false">
      <c r="A47" s="71"/>
      <c r="B47" s="147"/>
      <c r="C47" s="71"/>
      <c r="D47" s="120" t="s">
        <v>30</v>
      </c>
      <c r="E47" s="120"/>
      <c r="F47" s="120"/>
      <c r="G47" s="122" t="e">
        <f aca="false">(G41/G49)/G39</f>
        <v>#VALUE!</v>
      </c>
      <c r="H47" s="71"/>
      <c r="I47" s="71"/>
    </row>
    <row r="48" customFormat="false" ht="15" hidden="false" customHeight="false" outlineLevel="0" collapsed="false">
      <c r="A48" s="71"/>
      <c r="B48" s="147"/>
      <c r="C48" s="71"/>
      <c r="D48" s="120" t="s">
        <v>31</v>
      </c>
      <c r="E48" s="120"/>
      <c r="F48" s="120"/>
      <c r="G48" s="121" t="str">
        <f aca="false">E34</f>
        <v>                                                                                                                                    </v>
      </c>
      <c r="H48" s="71"/>
      <c r="I48" s="71"/>
    </row>
    <row r="49" customFormat="false" ht="15" hidden="false" customHeight="false" outlineLevel="0" collapsed="false">
      <c r="A49" s="71"/>
      <c r="B49" s="147"/>
      <c r="C49" s="71"/>
      <c r="D49" s="120" t="s">
        <v>32</v>
      </c>
      <c r="E49" s="120"/>
      <c r="F49" s="120"/>
      <c r="G49" s="123" t="e">
        <f aca="false">F34</f>
        <v>#VALUE!</v>
      </c>
      <c r="H49" s="71"/>
      <c r="I49" s="71"/>
    </row>
    <row r="50" customFormat="false" ht="15" hidden="false" customHeight="false" outlineLevel="0" collapsed="false">
      <c r="A50" s="71"/>
      <c r="B50" s="147"/>
      <c r="C50" s="71"/>
      <c r="D50" s="120" t="s">
        <v>33</v>
      </c>
      <c r="E50" s="120"/>
      <c r="F50" s="120"/>
      <c r="G50" s="124" t="n">
        <f aca="false">G46-G45</f>
        <v>-1287678.57142857</v>
      </c>
      <c r="H50" s="71"/>
      <c r="I50" s="71"/>
    </row>
    <row r="51" customFormat="false" ht="15" hidden="false" customHeight="false" outlineLevel="0" collapsed="false">
      <c r="A51" s="71"/>
      <c r="B51" s="147"/>
      <c r="C51" s="71"/>
      <c r="D51" s="120" t="s">
        <v>34</v>
      </c>
      <c r="E51" s="120"/>
      <c r="F51" s="120"/>
      <c r="G51" s="125" t="n">
        <f aca="false">G43/G41</f>
        <v>0.877363945578231</v>
      </c>
      <c r="H51" s="71"/>
      <c r="I51" s="71"/>
    </row>
    <row r="52" customFormat="false" ht="15" hidden="false" customHeight="false" outlineLevel="0" collapsed="false">
      <c r="A52" s="71"/>
      <c r="B52" s="147"/>
      <c r="C52" s="71"/>
      <c r="D52" s="126" t="s">
        <v>35</v>
      </c>
      <c r="E52" s="126"/>
      <c r="F52" s="126"/>
      <c r="G52" s="127" t="n">
        <f aca="false">C35/G41</f>
        <v>0.818873015873016</v>
      </c>
      <c r="H52" s="71"/>
      <c r="I52" s="71"/>
    </row>
  </sheetData>
  <mergeCells count="15">
    <mergeCell ref="C1:I1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L55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H37" activeCellId="0" sqref="H37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"/>
    <col collapsed="false" customWidth="true" hidden="false" outlineLevel="0" max="4" min="4" style="0" width="12.91"/>
    <col collapsed="false" customWidth="true" hidden="false" outlineLevel="0" max="6" min="5" style="0" width="11.17"/>
    <col collapsed="false" customWidth="true" hidden="false" outlineLevel="0" max="7" min="7" style="0" width="9.2"/>
    <col collapsed="false" customWidth="true" hidden="false" outlineLevel="0" max="8" min="8" style="0" width="11.83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4" customFormat="false" ht="17.35" hidden="false" customHeight="false" outlineLevel="0" collapsed="false">
      <c r="B4" s="1" t="s">
        <v>37</v>
      </c>
      <c r="C4" s="2"/>
      <c r="D4" s="3" t="s">
        <v>1</v>
      </c>
      <c r="E4" s="3"/>
      <c r="F4" s="3"/>
      <c r="G4" s="3"/>
      <c r="H4" s="3"/>
      <c r="I4" s="3"/>
      <c r="J4" s="3"/>
    </row>
    <row r="5" customFormat="false" ht="30.55" hidden="false" customHeight="false" outlineLevel="0" collapsed="false">
      <c r="B5" s="4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 t="s">
        <v>8</v>
      </c>
      <c r="I5" s="8" t="s">
        <v>9</v>
      </c>
      <c r="J5" s="8" t="s">
        <v>10</v>
      </c>
    </row>
    <row r="6" customFormat="false" ht="15" hidden="false" customHeight="false" outlineLevel="0" collapsed="false">
      <c r="B6" s="9" t="s">
        <v>16</v>
      </c>
      <c r="C6" s="10" t="n">
        <v>44835</v>
      </c>
      <c r="D6" s="11" t="n">
        <v>2678250</v>
      </c>
      <c r="E6" s="12" t="n">
        <f aca="false">IF(D6&gt;0, D6,(H$45/(H$42-H$43)))</f>
        <v>2678250</v>
      </c>
      <c r="F6" s="13" t="n">
        <v>59</v>
      </c>
      <c r="G6" s="14" t="n">
        <f aca="false">IF(F6&gt;0,D6/F6, )</f>
        <v>45394.0677966102</v>
      </c>
      <c r="H6" s="13" t="n">
        <v>232</v>
      </c>
      <c r="I6" s="14" t="n">
        <f aca="false">IF(H6&gt;0,H6/F6,  )</f>
        <v>3.93220338983051</v>
      </c>
      <c r="J6" s="14" t="n">
        <f aca="false">IF(I6&gt;0,G6/I6,  )</f>
        <v>11544.1810344828</v>
      </c>
    </row>
    <row r="7" customFormat="false" ht="15" hidden="false" customHeight="false" outlineLevel="0" collapsed="false">
      <c r="B7" s="9" t="s">
        <v>38</v>
      </c>
      <c r="C7" s="10" t="n">
        <v>44836</v>
      </c>
      <c r="D7" s="11" t="n">
        <v>3412500</v>
      </c>
      <c r="E7" s="12" t="n">
        <f aca="false">IF(D7&gt;0, D7,(H$45/(H$42-H$43)))</f>
        <v>3412500</v>
      </c>
      <c r="F7" s="13" t="n">
        <v>67</v>
      </c>
      <c r="G7" s="14" t="n">
        <f aca="false">IF(F7&gt;0,D7/F7, )</f>
        <v>50932.8358208955</v>
      </c>
      <c r="H7" s="13" t="n">
        <v>228</v>
      </c>
      <c r="I7" s="14" t="n">
        <f aca="false">IF(H7&gt;0,H7/F7,  )</f>
        <v>3.40298507462687</v>
      </c>
      <c r="J7" s="14" t="n">
        <f aca="false">IF(I7&gt;0,G7/I7,  )</f>
        <v>14967.1052631579</v>
      </c>
    </row>
    <row r="8" customFormat="false" ht="15" hidden="false" customHeight="false" outlineLevel="0" collapsed="false">
      <c r="B8" s="9" t="s">
        <v>39</v>
      </c>
      <c r="C8" s="10" t="n">
        <v>44837</v>
      </c>
      <c r="D8" s="11" t="n">
        <v>3255200</v>
      </c>
      <c r="E8" s="12" t="n">
        <f aca="false">IF(D8&gt;0, D8,(H$45/(H$42-H$43)))</f>
        <v>3255200</v>
      </c>
      <c r="F8" s="13" t="n">
        <v>78</v>
      </c>
      <c r="G8" s="14" t="n">
        <f aca="false">IF(F8&gt;0,D8/F8, )</f>
        <v>41733.3333333333</v>
      </c>
      <c r="H8" s="13" t="n">
        <v>281</v>
      </c>
      <c r="I8" s="14" t="n">
        <f aca="false">IF(H8&gt;0,H8/F8,  )</f>
        <v>3.6025641025641</v>
      </c>
      <c r="J8" s="14" t="n">
        <f aca="false">IF(I8&gt;0,G8/I8,  )</f>
        <v>11584.3416370107</v>
      </c>
    </row>
    <row r="9" customFormat="false" ht="15" hidden="false" customHeight="false" outlineLevel="0" collapsed="false">
      <c r="B9" s="9" t="s">
        <v>40</v>
      </c>
      <c r="C9" s="10" t="n">
        <v>44838</v>
      </c>
      <c r="D9" s="15" t="n">
        <v>3726500</v>
      </c>
      <c r="E9" s="12" t="n">
        <f aca="false">IF(D9&gt;0, D9,(H$45/(H$42-H$43)))</f>
        <v>3726500</v>
      </c>
      <c r="F9" s="16" t="n">
        <v>75</v>
      </c>
      <c r="G9" s="17" t="n">
        <f aca="false">IF(F9&gt;0,D9/F9, )</f>
        <v>49686.6666666667</v>
      </c>
      <c r="H9" s="16" t="n">
        <v>336</v>
      </c>
      <c r="I9" s="17" t="n">
        <f aca="false">IF(H9&gt;0,H9/F9,  )</f>
        <v>4.48</v>
      </c>
      <c r="J9" s="17" t="n">
        <f aca="false">IF(I9&gt;0,G9/I9,  )</f>
        <v>11090.7738095238</v>
      </c>
    </row>
    <row r="10" customFormat="false" ht="15" hidden="false" customHeight="false" outlineLevel="0" collapsed="false">
      <c r="B10" s="9" t="s">
        <v>41</v>
      </c>
      <c r="C10" s="10" t="n">
        <v>44839</v>
      </c>
      <c r="D10" s="15" t="n">
        <v>3070950</v>
      </c>
      <c r="E10" s="12" t="n">
        <f aca="false">IF(D10&gt;0, D10,(H$45/(H$42-H$43)))</f>
        <v>3070950</v>
      </c>
      <c r="F10" s="16" t="n">
        <v>75</v>
      </c>
      <c r="G10" s="17" t="n">
        <f aca="false">IF(F10&gt;0,D10/F10, )</f>
        <v>40946</v>
      </c>
      <c r="H10" s="16" t="n">
        <v>219</v>
      </c>
      <c r="I10" s="17" t="n">
        <f aca="false">IF(H10&gt;0,H10/F10,  )</f>
        <v>2.92</v>
      </c>
      <c r="J10" s="17" t="n">
        <f aca="false">IF(I10&gt;0,G10/I10,  )</f>
        <v>14022.602739726</v>
      </c>
    </row>
    <row r="11" customFormat="false" ht="15" hidden="false" customHeight="false" outlineLevel="0" collapsed="false">
      <c r="B11" s="9" t="s">
        <v>42</v>
      </c>
      <c r="C11" s="10" t="n">
        <v>44840</v>
      </c>
      <c r="D11" s="11" t="n">
        <v>3330550</v>
      </c>
      <c r="E11" s="12" t="n">
        <f aca="false">IF(D11&gt;0, D11,(H$45/(H$42-H$43)))</f>
        <v>3330550</v>
      </c>
      <c r="F11" s="13" t="n">
        <v>71</v>
      </c>
      <c r="G11" s="14" t="n">
        <f aca="false">IF(F11&gt;0,D11/F11, )</f>
        <v>46909.1549295775</v>
      </c>
      <c r="H11" s="13" t="n">
        <v>251</v>
      </c>
      <c r="I11" s="14" t="n">
        <f aca="false">IF(H11&gt;0,H11/F11,  )</f>
        <v>3.53521126760563</v>
      </c>
      <c r="J11" s="14" t="n">
        <f aca="false">IF(I11&gt;0,G11/I11,  )</f>
        <v>13269.1235059761</v>
      </c>
    </row>
    <row r="12" customFormat="false" ht="15" hidden="false" customHeight="false" outlineLevel="0" collapsed="false">
      <c r="B12" s="9" t="s">
        <v>43</v>
      </c>
      <c r="C12" s="10" t="n">
        <v>44841</v>
      </c>
      <c r="D12" s="11" t="n">
        <v>2737400</v>
      </c>
      <c r="E12" s="12" t="n">
        <f aca="false">IF(D12&gt;0, D12,(H$45/(H$42-H$43)))</f>
        <v>2737400</v>
      </c>
      <c r="F12" s="13" t="n">
        <v>68</v>
      </c>
      <c r="G12" s="14" t="n">
        <f aca="false">IF(F12&gt;0,D12/F12, )</f>
        <v>40255.8823529412</v>
      </c>
      <c r="H12" s="13" t="n">
        <v>225</v>
      </c>
      <c r="I12" s="14" t="n">
        <f aca="false">IF(H12&gt;0,H12/F12,  )</f>
        <v>3.30882352941176</v>
      </c>
      <c r="J12" s="14" t="n">
        <f aca="false">IF(I12&gt;0,G12/I12,  )</f>
        <v>12166.2222222222</v>
      </c>
    </row>
    <row r="13" customFormat="false" ht="15" hidden="false" customHeight="false" outlineLevel="0" collapsed="false">
      <c r="B13" s="9" t="s">
        <v>44</v>
      </c>
      <c r="C13" s="10" t="n">
        <v>44842</v>
      </c>
      <c r="D13" s="15" t="n">
        <v>2778700</v>
      </c>
      <c r="E13" s="12" t="n">
        <f aca="false">IF(D13&gt;0, D13,(H$45/(H$42-H$43)))</f>
        <v>2778700</v>
      </c>
      <c r="F13" s="13" t="n">
        <v>57</v>
      </c>
      <c r="G13" s="14" t="n">
        <f aca="false">IF(F13&gt;0,D13/F13, )</f>
        <v>48749.1228070175</v>
      </c>
      <c r="H13" s="13" t="n">
        <v>202</v>
      </c>
      <c r="I13" s="14" t="n">
        <f aca="false">IF(H13&gt;0,H13/F13,  )</f>
        <v>3.54385964912281</v>
      </c>
      <c r="J13" s="14" t="n">
        <f aca="false">IF(I13&gt;0,G13/I13,  )</f>
        <v>13755.9405940594</v>
      </c>
    </row>
    <row r="14" customFormat="false" ht="15" hidden="false" customHeight="false" outlineLevel="0" collapsed="false">
      <c r="B14" s="9" t="s">
        <v>38</v>
      </c>
      <c r="C14" s="10" t="n">
        <v>44843</v>
      </c>
      <c r="D14" s="11" t="n">
        <v>2675900</v>
      </c>
      <c r="E14" s="12" t="n">
        <f aca="false">IF(D14&gt;0, D14,(H$45/(H$42-H$43)))</f>
        <v>2675900</v>
      </c>
      <c r="F14" s="13" t="n">
        <v>60</v>
      </c>
      <c r="G14" s="14" t="n">
        <f aca="false">IF(F14&gt;0,D14/F14, )</f>
        <v>44598.3333333333</v>
      </c>
      <c r="H14" s="13" t="n">
        <v>177</v>
      </c>
      <c r="I14" s="14" t="n">
        <f aca="false">IF(H14&gt;0,H14/F14,  )</f>
        <v>2.95</v>
      </c>
      <c r="J14" s="14" t="n">
        <f aca="false">IF(I14&gt;0,G14/I14,  )</f>
        <v>15118.0790960452</v>
      </c>
    </row>
    <row r="15" customFormat="false" ht="15" hidden="false" customHeight="false" outlineLevel="0" collapsed="false">
      <c r="B15" s="9" t="s">
        <v>39</v>
      </c>
      <c r="C15" s="10" t="n">
        <v>44844</v>
      </c>
      <c r="D15" s="11" t="n">
        <v>2940600</v>
      </c>
      <c r="E15" s="12" t="n">
        <f aca="false">IF(D15&gt;0, D15,(H$45/(H$42-H$43)))</f>
        <v>2940600</v>
      </c>
      <c r="F15" s="13" t="n">
        <v>82</v>
      </c>
      <c r="G15" s="14" t="n">
        <f aca="false">IF(F15&gt;0,D15/F15, )</f>
        <v>35860.9756097561</v>
      </c>
      <c r="H15" s="13" t="n">
        <v>240</v>
      </c>
      <c r="I15" s="14" t="n">
        <f aca="false">IF(H15&gt;0,H15/F15,  )</f>
        <v>2.92682926829268</v>
      </c>
      <c r="J15" s="14" t="n">
        <f aca="false">IF(I15&gt;0,G15/I15,  )</f>
        <v>12252.5</v>
      </c>
    </row>
    <row r="16" customFormat="false" ht="15" hidden="false" customHeight="false" outlineLevel="0" collapsed="false">
      <c r="B16" s="9" t="s">
        <v>40</v>
      </c>
      <c r="C16" s="10" t="n">
        <v>44845</v>
      </c>
      <c r="D16" s="15" t="n">
        <v>3959750</v>
      </c>
      <c r="E16" s="12" t="n">
        <f aca="false">IF(D16&gt;0, D16,(H$45/(H$42-H$43)))</f>
        <v>3959750</v>
      </c>
      <c r="F16" s="16" t="n">
        <v>98</v>
      </c>
      <c r="G16" s="17" t="n">
        <f aca="false">IF(F16&gt;0,D16/F16, )</f>
        <v>40405.612244898</v>
      </c>
      <c r="H16" s="16" t="n">
        <v>349</v>
      </c>
      <c r="I16" s="17" t="n">
        <f aca="false">IF(H16&gt;0,H16/F16,  )</f>
        <v>3.56122448979592</v>
      </c>
      <c r="J16" s="17" t="n">
        <f aca="false">IF(I16&gt;0,G16/I16,  )</f>
        <v>11345.988538682</v>
      </c>
    </row>
    <row r="17" customFormat="false" ht="15" hidden="false" customHeight="false" outlineLevel="0" collapsed="false">
      <c r="B17" s="9" t="s">
        <v>41</v>
      </c>
      <c r="C17" s="10" t="n">
        <v>44846</v>
      </c>
      <c r="D17" s="15" t="n">
        <v>2874450</v>
      </c>
      <c r="E17" s="12" t="n">
        <f aca="false">IF(D17&gt;0, D17,(H$45/(H$42-H$43)))</f>
        <v>2874450</v>
      </c>
      <c r="F17" s="16" t="n">
        <v>89</v>
      </c>
      <c r="G17" s="17" t="n">
        <f aca="false">IF(F17&gt;0,D17/F17, )</f>
        <v>32297.191011236</v>
      </c>
      <c r="H17" s="16" t="n">
        <v>268</v>
      </c>
      <c r="I17" s="17" t="n">
        <f aca="false">IF(H17&gt;0,H17/F17,  )</f>
        <v>3.01123595505618</v>
      </c>
      <c r="J17" s="17" t="n">
        <f aca="false">IF(I17&gt;0,G17/I17,  )</f>
        <v>10725.5597014925</v>
      </c>
    </row>
    <row r="18" customFormat="false" ht="15" hidden="false" customHeight="false" outlineLevel="0" collapsed="false">
      <c r="B18" s="9" t="s">
        <v>42</v>
      </c>
      <c r="C18" s="10" t="n">
        <v>44847</v>
      </c>
      <c r="D18" s="11" t="n">
        <v>4008000</v>
      </c>
      <c r="E18" s="12" t="n">
        <f aca="false">IF(D18&gt;0, D18,(H$45/(H$42-H$43)))</f>
        <v>4008000</v>
      </c>
      <c r="F18" s="13" t="n">
        <v>82</v>
      </c>
      <c r="G18" s="14" t="n">
        <f aca="false">IF(F18&gt;0,D18/F18, )</f>
        <v>48878.0487804878</v>
      </c>
      <c r="H18" s="13" t="n">
        <v>312</v>
      </c>
      <c r="I18" s="14" t="n">
        <f aca="false">IF(H18&gt;0,H18/F18,  )</f>
        <v>3.80487804878049</v>
      </c>
      <c r="J18" s="14" t="n">
        <f aca="false">IF(I18&gt;0,G18/I18,  )</f>
        <v>12846.1538461538</v>
      </c>
    </row>
    <row r="19" customFormat="false" ht="15" hidden="false" customHeight="false" outlineLevel="0" collapsed="false">
      <c r="B19" s="9" t="s">
        <v>43</v>
      </c>
      <c r="C19" s="10" t="n">
        <v>44848</v>
      </c>
      <c r="D19" s="11" t="n">
        <v>2883150</v>
      </c>
      <c r="E19" s="12" t="n">
        <f aca="false">IF(D19&gt;0, D19,(H$45/(H$42-H$43)))</f>
        <v>2883150</v>
      </c>
      <c r="F19" s="13" t="n">
        <v>64</v>
      </c>
      <c r="G19" s="14" t="n">
        <f aca="false">IF(F19&gt;0,D19/F19, )</f>
        <v>45049.21875</v>
      </c>
      <c r="H19" s="13" t="n">
        <v>234</v>
      </c>
      <c r="I19" s="14" t="n">
        <f aca="false">IF(H19&gt;0,H19/F19,  )</f>
        <v>3.65625</v>
      </c>
      <c r="J19" s="14" t="n">
        <f aca="false">IF(I19&gt;0,G19/I19,  )</f>
        <v>12321.1538461538</v>
      </c>
    </row>
    <row r="20" customFormat="false" ht="15" hidden="false" customHeight="false" outlineLevel="0" collapsed="false">
      <c r="B20" s="9" t="s">
        <v>44</v>
      </c>
      <c r="C20" s="10" t="n">
        <v>44849</v>
      </c>
      <c r="D20" s="11" t="n">
        <v>2111750</v>
      </c>
      <c r="E20" s="12" t="n">
        <f aca="false">IF(D20&gt;0, D20,(H$45/(H$42-H$43)))</f>
        <v>2111750</v>
      </c>
      <c r="F20" s="13" t="n">
        <v>56</v>
      </c>
      <c r="G20" s="14" t="n">
        <f aca="false">IF(F20&gt;0,D20/F20, )</f>
        <v>37709.8214285714</v>
      </c>
      <c r="H20" s="13" t="n">
        <v>147</v>
      </c>
      <c r="I20" s="14" t="n">
        <f aca="false">IF(H20&gt;0,H20/F20,  )</f>
        <v>2.625</v>
      </c>
      <c r="J20" s="14" t="n">
        <f aca="false">IF(I20&gt;0,G20/I20,  )</f>
        <v>14365.6462585034</v>
      </c>
    </row>
    <row r="21" customFormat="false" ht="15" hidden="false" customHeight="false" outlineLevel="0" collapsed="false">
      <c r="B21" s="9" t="s">
        <v>38</v>
      </c>
      <c r="C21" s="10" t="n">
        <v>44850</v>
      </c>
      <c r="D21" s="11" t="n">
        <v>3694750</v>
      </c>
      <c r="E21" s="12" t="n">
        <f aca="false">IF(D21&gt;0, D21,(H$45/(H$42-H$43)))</f>
        <v>3694750</v>
      </c>
      <c r="F21" s="13" t="n">
        <v>69</v>
      </c>
      <c r="G21" s="14" t="n">
        <f aca="false">IF(F21&gt;0,D21/F21, )</f>
        <v>53547.1014492754</v>
      </c>
      <c r="H21" s="13" t="n">
        <v>274</v>
      </c>
      <c r="I21" s="14" t="n">
        <f aca="false">IF(H21&gt;0,H21/F21,  )</f>
        <v>3.97101449275362</v>
      </c>
      <c r="J21" s="14" t="n">
        <f aca="false">IF(I21&gt;0,G21/I21,  )</f>
        <v>13484.4890510949</v>
      </c>
    </row>
    <row r="22" customFormat="false" ht="15" hidden="false" customHeight="false" outlineLevel="0" collapsed="false">
      <c r="B22" s="9" t="s">
        <v>39</v>
      </c>
      <c r="C22" s="10" t="n">
        <v>44851</v>
      </c>
      <c r="D22" s="11" t="n">
        <v>3802700</v>
      </c>
      <c r="E22" s="12" t="n">
        <f aca="false">IF(D22&gt;0, D22,(H$45/(H$42-H$43)))</f>
        <v>3802700</v>
      </c>
      <c r="F22" s="13" t="n">
        <v>80</v>
      </c>
      <c r="G22" s="14" t="n">
        <f aca="false">IF(F22&gt;0,D22/F22, )</f>
        <v>47533.75</v>
      </c>
      <c r="H22" s="13" t="n">
        <v>290</v>
      </c>
      <c r="I22" s="14" t="n">
        <f aca="false">IF(H22&gt;0,H22/F22,  )</f>
        <v>3.625</v>
      </c>
      <c r="J22" s="14" t="n">
        <f aca="false">IF(I22&gt;0,G22/I22,  )</f>
        <v>13112.7586206897</v>
      </c>
    </row>
    <row r="23" customFormat="false" ht="15" hidden="false" customHeight="false" outlineLevel="0" collapsed="false">
      <c r="B23" s="9" t="s">
        <v>40</v>
      </c>
      <c r="C23" s="10" t="n">
        <v>44852</v>
      </c>
      <c r="D23" s="15" t="n">
        <v>2125350</v>
      </c>
      <c r="E23" s="12" t="n">
        <f aca="false">IF(D23&gt;0, D23,(H$45/(H$42-H$43)))</f>
        <v>2125350</v>
      </c>
      <c r="F23" s="16" t="n">
        <v>63</v>
      </c>
      <c r="G23" s="17" t="n">
        <f aca="false">IF(F23&gt;0,D23/F23, )</f>
        <v>33735.7142857143</v>
      </c>
      <c r="H23" s="16" t="n">
        <v>168</v>
      </c>
      <c r="I23" s="17" t="n">
        <f aca="false">IF(H23&gt;0,H23/F23,  )</f>
        <v>2.66666666666667</v>
      </c>
      <c r="J23" s="17" t="n">
        <f aca="false">IF(I23&gt;0,G23/I23,  )</f>
        <v>12650.8928571429</v>
      </c>
    </row>
    <row r="24" customFormat="false" ht="15" hidden="false" customHeight="false" outlineLevel="0" collapsed="false">
      <c r="B24" s="9" t="s">
        <v>41</v>
      </c>
      <c r="C24" s="10" t="n">
        <v>44853</v>
      </c>
      <c r="D24" s="15" t="n">
        <v>2499300</v>
      </c>
      <c r="E24" s="12" t="n">
        <f aca="false">IF(D24&gt;0, D24,(H$45/(H$42-H$43)))</f>
        <v>2499300</v>
      </c>
      <c r="F24" s="16" t="n">
        <v>52</v>
      </c>
      <c r="G24" s="17" t="n">
        <f aca="false">IF(F24&gt;0,D24/F24, )</f>
        <v>48063.4615384615</v>
      </c>
      <c r="H24" s="16" t="n">
        <v>164</v>
      </c>
      <c r="I24" s="17" t="n">
        <f aca="false">IF(H24&gt;0,H24/F24,  )</f>
        <v>3.15384615384615</v>
      </c>
      <c r="J24" s="17" t="n">
        <f aca="false">IF(I24&gt;0,G24/I24,  )</f>
        <v>15239.6341463415</v>
      </c>
    </row>
    <row r="25" customFormat="false" ht="15" hidden="false" customHeight="false" outlineLevel="0" collapsed="false">
      <c r="B25" s="9" t="s">
        <v>42</v>
      </c>
      <c r="C25" s="10" t="n">
        <v>44854</v>
      </c>
      <c r="D25" s="11" t="n">
        <v>2669350</v>
      </c>
      <c r="E25" s="12" t="n">
        <f aca="false">IF(D25&gt;0, D25,(H$45/(H$42-H$43)))</f>
        <v>2669350</v>
      </c>
      <c r="F25" s="19" t="n">
        <v>58</v>
      </c>
      <c r="G25" s="14" t="n">
        <f aca="false">IF(F25&gt;0,D25/F25, )</f>
        <v>46023.275862069</v>
      </c>
      <c r="H25" s="13" t="n">
        <v>215</v>
      </c>
      <c r="I25" s="14" t="n">
        <f aca="false">IF(H25&gt;0,H25/F25,  )</f>
        <v>3.70689655172414</v>
      </c>
      <c r="J25" s="14" t="n">
        <f aca="false">IF(I25&gt;0,G25/I25,  )</f>
        <v>12415.5813953488</v>
      </c>
    </row>
    <row r="26" customFormat="false" ht="15" hidden="false" customHeight="false" outlineLevel="0" collapsed="false">
      <c r="B26" s="9" t="s">
        <v>43</v>
      </c>
      <c r="C26" s="10" t="n">
        <v>44855</v>
      </c>
      <c r="D26" s="11" t="n">
        <v>3067000</v>
      </c>
      <c r="E26" s="12" t="n">
        <f aca="false">IF(D26&gt;0, D26,(H$45/(H$42-H$43)))</f>
        <v>3067000</v>
      </c>
      <c r="F26" s="13" t="n">
        <v>71</v>
      </c>
      <c r="G26" s="14" t="n">
        <f aca="false">IF(F26&gt;0,D26/F26, )</f>
        <v>43197.1830985916</v>
      </c>
      <c r="H26" s="13" t="n">
        <v>248</v>
      </c>
      <c r="I26" s="14" t="n">
        <f aca="false">IF(H26&gt;0,H26/F26,  )</f>
        <v>3.49295774647887</v>
      </c>
      <c r="J26" s="14" t="n">
        <f aca="false">IF(I26&gt;0,G26/I26,  )</f>
        <v>12366.935483871</v>
      </c>
    </row>
    <row r="27" customFormat="false" ht="15" hidden="false" customHeight="false" outlineLevel="0" collapsed="false">
      <c r="B27" s="9" t="s">
        <v>44</v>
      </c>
      <c r="C27" s="10" t="n">
        <v>44856</v>
      </c>
      <c r="D27" s="11" t="n">
        <v>3170900</v>
      </c>
      <c r="E27" s="12" t="n">
        <f aca="false">IF(D27&gt;0, D27,(H$45/(H$42-H$43)))</f>
        <v>3170900</v>
      </c>
      <c r="F27" s="13" t="n">
        <v>66</v>
      </c>
      <c r="G27" s="14" t="n">
        <f aca="false">IF(F27&gt;0,D27/F27, )</f>
        <v>48043.9393939394</v>
      </c>
      <c r="H27" s="13" t="n">
        <v>262</v>
      </c>
      <c r="I27" s="14" t="n">
        <f aca="false">IF(H27&gt;0,H27/F27,  )</f>
        <v>3.96969696969697</v>
      </c>
      <c r="J27" s="14" t="n">
        <f aca="false">IF(I27&gt;0,G27/I27,  )</f>
        <v>12102.6717557252</v>
      </c>
    </row>
    <row r="28" customFormat="false" ht="15" hidden="false" customHeight="false" outlineLevel="0" collapsed="false">
      <c r="B28" s="9" t="s">
        <v>38</v>
      </c>
      <c r="C28" s="10" t="n">
        <v>44857</v>
      </c>
      <c r="D28" s="11" t="n">
        <v>3407650</v>
      </c>
      <c r="E28" s="12" t="n">
        <f aca="false">IF(D28&gt;0, D28,(H$45/(H$42-H$43)))</f>
        <v>3407650</v>
      </c>
      <c r="F28" s="13" t="n">
        <v>64</v>
      </c>
      <c r="G28" s="14" t="n">
        <f aca="false">IF(F28&gt;0,D28/F28, )</f>
        <v>53244.53125</v>
      </c>
      <c r="H28" s="13" t="n">
        <v>213</v>
      </c>
      <c r="I28" s="14" t="n">
        <f aca="false">IF(H28&gt;0,H28/F28,  )</f>
        <v>3.328125</v>
      </c>
      <c r="J28" s="14" t="n">
        <f aca="false">IF(I28&gt;0,G28/I28,  )</f>
        <v>15998.3568075117</v>
      </c>
    </row>
    <row r="29" customFormat="false" ht="15" hidden="false" customHeight="false" outlineLevel="0" collapsed="false">
      <c r="B29" s="9" t="s">
        <v>39</v>
      </c>
      <c r="C29" s="10" t="n">
        <v>44858</v>
      </c>
      <c r="D29" s="11" t="n">
        <v>2562300</v>
      </c>
      <c r="E29" s="12" t="n">
        <f aca="false">IF(D29&gt;0, D29,(H$45/(H$42-H$43)))</f>
        <v>2562300</v>
      </c>
      <c r="F29" s="13" t="n">
        <v>56</v>
      </c>
      <c r="G29" s="14" t="n">
        <f aca="false">IF(F29&gt;0,D29/F29, )</f>
        <v>45755.3571428571</v>
      </c>
      <c r="H29" s="13" t="n">
        <v>196</v>
      </c>
      <c r="I29" s="14" t="n">
        <f aca="false">IF(H29&gt;0,H29/F29,  )</f>
        <v>3.5</v>
      </c>
      <c r="J29" s="14" t="n">
        <f aca="false">IF(I29&gt;0,G29/I29,  )</f>
        <v>13072.9591836735</v>
      </c>
    </row>
    <row r="30" customFormat="false" ht="15" hidden="false" customHeight="false" outlineLevel="0" collapsed="false">
      <c r="B30" s="9" t="s">
        <v>40</v>
      </c>
      <c r="C30" s="10" t="n">
        <v>44859</v>
      </c>
      <c r="D30" s="15" t="n">
        <v>2252250</v>
      </c>
      <c r="E30" s="12" t="n">
        <f aca="false">IF(D30&gt;0, D30,(H$45/(H$42-H$43)))</f>
        <v>2252250</v>
      </c>
      <c r="F30" s="16" t="n">
        <v>62</v>
      </c>
      <c r="G30" s="17" t="n">
        <f aca="false">IF(F30&gt;0,D30/F30, )</f>
        <v>36326.6129032258</v>
      </c>
      <c r="H30" s="16" t="n">
        <v>156</v>
      </c>
      <c r="I30" s="17" t="n">
        <f aca="false">IF(H30&gt;0,H30/F30,  )</f>
        <v>2.51612903225806</v>
      </c>
      <c r="J30" s="17" t="n">
        <f aca="false">IF(I30&gt;0,G30/I30,  )</f>
        <v>14437.5</v>
      </c>
    </row>
    <row r="31" customFormat="false" ht="15" hidden="false" customHeight="false" outlineLevel="0" collapsed="false">
      <c r="B31" s="9" t="s">
        <v>41</v>
      </c>
      <c r="C31" s="10" t="n">
        <v>44860</v>
      </c>
      <c r="D31" s="15" t="n">
        <v>2874350</v>
      </c>
      <c r="E31" s="12" t="n">
        <f aca="false">IF(D31&gt;0, D31,(H$45/(H$42-H$43)))</f>
        <v>2874350</v>
      </c>
      <c r="F31" s="16" t="n">
        <v>64</v>
      </c>
      <c r="G31" s="17" t="n">
        <f aca="false">IF(F31&gt;0,D31/F31, )</f>
        <v>44911.71875</v>
      </c>
      <c r="H31" s="16" t="n">
        <v>177</v>
      </c>
      <c r="I31" s="17" t="n">
        <f aca="false">IF(H31&gt;0,H31/F31,  )</f>
        <v>2.765625</v>
      </c>
      <c r="J31" s="17" t="n">
        <f aca="false">IF(I31&gt;0,G31/I31,  )</f>
        <v>16239.2655367232</v>
      </c>
    </row>
    <row r="32" customFormat="false" ht="15" hidden="false" customHeight="false" outlineLevel="0" collapsed="false">
      <c r="B32" s="9" t="s">
        <v>42</v>
      </c>
      <c r="C32" s="10" t="n">
        <v>44861</v>
      </c>
      <c r="D32" s="11" t="n">
        <v>3079950</v>
      </c>
      <c r="E32" s="12" t="n">
        <f aca="false">IF(D32&gt;0, D32,(H$45/(H$42-H$43)))</f>
        <v>3079950</v>
      </c>
      <c r="F32" s="13" t="n">
        <v>65</v>
      </c>
      <c r="G32" s="14" t="n">
        <f aca="false">IF(F32&gt;0,D32/F32, )</f>
        <v>47383.8461538462</v>
      </c>
      <c r="H32" s="13" t="n">
        <v>206</v>
      </c>
      <c r="I32" s="14" t="n">
        <f aca="false">IF(H32&gt;0,H32/F32,  )</f>
        <v>3.16923076923077</v>
      </c>
      <c r="J32" s="14" t="n">
        <f aca="false">IF(I32&gt;0,G32/I32,  )</f>
        <v>14951.213592233</v>
      </c>
    </row>
    <row r="33" customFormat="false" ht="15" hidden="false" customHeight="false" outlineLevel="0" collapsed="false">
      <c r="B33" s="9" t="s">
        <v>43</v>
      </c>
      <c r="C33" s="10" t="n">
        <v>44862</v>
      </c>
      <c r="D33" s="11" t="n">
        <v>3045850</v>
      </c>
      <c r="E33" s="12" t="n">
        <f aca="false">IF(D33&gt;0, D33,(H$45/(H$42-H$43)))</f>
        <v>3045850</v>
      </c>
      <c r="F33" s="13" t="n">
        <v>71</v>
      </c>
      <c r="G33" s="14" t="n">
        <f aca="false">IF(F33&gt;0,D33/F33, )</f>
        <v>42899.2957746479</v>
      </c>
      <c r="H33" s="13" t="n">
        <v>227</v>
      </c>
      <c r="I33" s="14" t="n">
        <f aca="false">IF(H33&gt;0,H33/F33,  )</f>
        <v>3.19718309859155</v>
      </c>
      <c r="J33" s="14" t="n">
        <f aca="false">IF(I33&gt;0,G33/I33,  )</f>
        <v>13417.8414096916</v>
      </c>
      <c r="L33" s="20"/>
    </row>
    <row r="34" customFormat="false" ht="15" hidden="false" customHeight="false" outlineLevel="0" collapsed="false">
      <c r="B34" s="9" t="s">
        <v>44</v>
      </c>
      <c r="C34" s="10" t="n">
        <v>44863</v>
      </c>
      <c r="D34" s="11" t="n">
        <v>3445150</v>
      </c>
      <c r="E34" s="12" t="n">
        <f aca="false">IF(D34&gt;0, D34,(H$45/(H$42-H$43)))</f>
        <v>3445150</v>
      </c>
      <c r="F34" s="13" t="n">
        <v>70</v>
      </c>
      <c r="G34" s="14" t="n">
        <f aca="false">IF(F34&gt;0,D34/F34, )</f>
        <v>49216.4285714286</v>
      </c>
      <c r="H34" s="13" t="n">
        <v>227</v>
      </c>
      <c r="I34" s="14" t="n">
        <f aca="false">IF(H34&gt;0,H34/F34,  )</f>
        <v>3.24285714285714</v>
      </c>
      <c r="J34" s="14" t="n">
        <f aca="false">IF(I34&gt;0,G34/I34,  )</f>
        <v>15176.872246696</v>
      </c>
    </row>
    <row r="35" customFormat="false" ht="15" hidden="false" customHeight="false" outlineLevel="0" collapsed="false">
      <c r="B35" s="9" t="s">
        <v>38</v>
      </c>
      <c r="C35" s="10" t="n">
        <v>44864</v>
      </c>
      <c r="D35" s="11" t="n">
        <v>2752100</v>
      </c>
      <c r="E35" s="12" t="n">
        <f aca="false">IF(D35&gt;0, D35,(H$45/(H$42-H$43)))</f>
        <v>2752100</v>
      </c>
      <c r="F35" s="13" t="n">
        <v>52</v>
      </c>
      <c r="G35" s="14" t="n">
        <f aca="false">IF(F35&gt;0,D35/F35, )</f>
        <v>52925</v>
      </c>
      <c r="H35" s="13" t="n">
        <v>171</v>
      </c>
      <c r="I35" s="14" t="n">
        <f aca="false">IF(H35&gt;0,H35/F35,  )</f>
        <v>3.28846153846154</v>
      </c>
      <c r="J35" s="14" t="n">
        <f aca="false">IF(I35&gt;0,G35/I35,  )</f>
        <v>16094.1520467836</v>
      </c>
    </row>
    <row r="36" customFormat="false" ht="15" hidden="false" customHeight="false" outlineLevel="0" collapsed="false">
      <c r="B36" s="9" t="s">
        <v>39</v>
      </c>
      <c r="C36" s="10" t="n">
        <v>44865</v>
      </c>
      <c r="D36" s="11" t="n">
        <v>1717450</v>
      </c>
      <c r="E36" s="12" t="n">
        <f aca="false">IF(D36&gt;0, D36,(H$45/(H$42-H$43)))</f>
        <v>1717450</v>
      </c>
      <c r="F36" s="13" t="n">
        <v>49</v>
      </c>
      <c r="G36" s="14" t="n">
        <f aca="false">IF(F36&gt;0,D36/F36, )</f>
        <v>35050</v>
      </c>
      <c r="H36" s="13" t="n">
        <v>124</v>
      </c>
      <c r="I36" s="14" t="n">
        <f aca="false">IF(H36&gt;0,H36/F36,  )</f>
        <v>2.53061224489796</v>
      </c>
      <c r="J36" s="14" t="n">
        <f aca="false">IF(I36&gt;0,G36/I36,  )</f>
        <v>13850.4032258065</v>
      </c>
    </row>
    <row r="37" customFormat="false" ht="15" hidden="false" customHeight="false" outlineLevel="0" collapsed="false">
      <c r="B37" s="21" t="s">
        <v>18</v>
      </c>
      <c r="C37" s="22"/>
      <c r="D37" s="23" t="n">
        <f aca="false">AVERAGE(D6:D36)</f>
        <v>2987420.96774194</v>
      </c>
      <c r="E37" s="23"/>
      <c r="F37" s="24" t="n">
        <f aca="false">AVERAGE(F6:F36)</f>
        <v>67.5161290322581</v>
      </c>
      <c r="G37" s="23" t="n">
        <f aca="false">D37/F37</f>
        <v>44247.5155279503</v>
      </c>
      <c r="H37" s="24" t="n">
        <f aca="false">AVERAGE(H6:H36)</f>
        <v>226.41935483871</v>
      </c>
      <c r="I37" s="24" t="n">
        <f aca="false">IF(H37&gt;0,H37/F37,  )</f>
        <v>3.35355948399427</v>
      </c>
      <c r="J37" s="25" t="n">
        <f aca="false">IF(I37&gt;0,G37/I37,  )</f>
        <v>13194.1943296766</v>
      </c>
    </row>
    <row r="38" customFormat="false" ht="15" hidden="false" customHeight="false" outlineLevel="0" collapsed="false">
      <c r="B38" s="26" t="s">
        <v>19</v>
      </c>
      <c r="C38" s="27"/>
      <c r="D38" s="28" t="n">
        <f aca="false">SUM(D6:D36)</f>
        <v>92610050</v>
      </c>
      <c r="E38" s="28"/>
      <c r="F38" s="29" t="n">
        <f aca="false">SUM(F6:F36)</f>
        <v>2093</v>
      </c>
      <c r="G38" s="30"/>
      <c r="H38" s="29" t="n">
        <f aca="false">SUM(H6:H36)</f>
        <v>7019</v>
      </c>
      <c r="I38" s="29"/>
      <c r="J38" s="29"/>
    </row>
    <row r="39" customFormat="false" ht="15" hidden="false" customHeight="false" outlineLevel="0" collapsed="false">
      <c r="B39" s="31" t="s">
        <v>20</v>
      </c>
      <c r="C39" s="32"/>
      <c r="D39" s="33" t="n">
        <v>97000000</v>
      </c>
      <c r="E39" s="34"/>
      <c r="F39" s="35"/>
      <c r="G39" s="36"/>
      <c r="H39" s="35"/>
      <c r="I39" s="35"/>
      <c r="J39" s="35"/>
    </row>
    <row r="40" customFormat="false" ht="15" hidden="false" customHeight="false" outlineLevel="0" collapsed="false">
      <c r="B40" s="37" t="s">
        <v>21</v>
      </c>
      <c r="C40" s="38"/>
      <c r="D40" s="39" t="n">
        <f aca="false">D38/D39</f>
        <v>0.954742783505155</v>
      </c>
      <c r="E40" s="39"/>
      <c r="F40" s="40"/>
      <c r="G40" s="41"/>
      <c r="H40" s="42"/>
      <c r="I40" s="42"/>
      <c r="J40" s="42"/>
    </row>
    <row r="42" customFormat="false" ht="15" hidden="false" customHeight="false" outlineLevel="0" collapsed="false">
      <c r="E42" s="43" t="s">
        <v>22</v>
      </c>
      <c r="F42" s="43"/>
      <c r="G42" s="43"/>
      <c r="H42" s="44" t="n">
        <f aca="false">COUNTA(C6:C36)</f>
        <v>31</v>
      </c>
    </row>
    <row r="43" customFormat="false" ht="15" hidden="false" customHeight="false" outlineLevel="0" collapsed="false">
      <c r="E43" s="45" t="s">
        <v>23</v>
      </c>
      <c r="F43" s="45"/>
      <c r="G43" s="45"/>
      <c r="H43" s="46" t="n">
        <f aca="false">COUNTA(D6:D36)</f>
        <v>31</v>
      </c>
    </row>
    <row r="44" customFormat="false" ht="15" hidden="false" customHeight="false" outlineLevel="0" collapsed="false">
      <c r="E44" s="47" t="s">
        <v>24</v>
      </c>
      <c r="F44" s="47"/>
      <c r="G44" s="47"/>
      <c r="H44" s="48" t="n">
        <f aca="false">D39</f>
        <v>97000000</v>
      </c>
    </row>
    <row r="45" customFormat="false" ht="15" hidden="false" customHeight="false" outlineLevel="0" collapsed="false">
      <c r="E45" s="49" t="s">
        <v>25</v>
      </c>
      <c r="F45" s="49"/>
      <c r="G45" s="49"/>
      <c r="H45" s="50" t="n">
        <f aca="false">D39-D38</f>
        <v>4389950</v>
      </c>
    </row>
    <row r="46" customFormat="false" ht="15" hidden="false" customHeight="false" outlineLevel="0" collapsed="false">
      <c r="E46" s="49" t="s">
        <v>26</v>
      </c>
      <c r="F46" s="49"/>
      <c r="G46" s="49"/>
      <c r="H46" s="51" t="n">
        <f aca="false">H49*H42</f>
        <v>92610050</v>
      </c>
    </row>
    <row r="47" customFormat="false" ht="15" hidden="false" customHeight="false" outlineLevel="0" collapsed="false">
      <c r="E47" s="52" t="s">
        <v>27</v>
      </c>
      <c r="F47" s="52"/>
      <c r="G47" s="52"/>
      <c r="H47" s="53" t="n">
        <f aca="false">H46-H44</f>
        <v>-4389950</v>
      </c>
    </row>
    <row r="48" customFormat="false" ht="15" hidden="false" customHeight="false" outlineLevel="0" collapsed="false">
      <c r="E48" s="54" t="s">
        <v>28</v>
      </c>
      <c r="F48" s="54"/>
      <c r="G48" s="54"/>
      <c r="H48" s="55" t="n">
        <f aca="false">H44/H42</f>
        <v>3129032.25806452</v>
      </c>
    </row>
    <row r="49" customFormat="false" ht="15" hidden="false" customHeight="false" outlineLevel="0" collapsed="false">
      <c r="E49" s="56" t="s">
        <v>29</v>
      </c>
      <c r="F49" s="56"/>
      <c r="G49" s="56"/>
      <c r="H49" s="57" t="n">
        <f aca="false">AVERAGE(D6:D36)</f>
        <v>2987420.96774194</v>
      </c>
    </row>
    <row r="50" customFormat="false" ht="15" hidden="false" customHeight="false" outlineLevel="0" collapsed="false">
      <c r="E50" s="56" t="s">
        <v>30</v>
      </c>
      <c r="F50" s="56"/>
      <c r="G50" s="56"/>
      <c r="H50" s="58" t="n">
        <f aca="false">(H44/H52)/H42</f>
        <v>70.7165638732409</v>
      </c>
    </row>
    <row r="51" customFormat="false" ht="15" hidden="false" customHeight="false" outlineLevel="0" collapsed="false">
      <c r="E51" s="56" t="s">
        <v>31</v>
      </c>
      <c r="F51" s="56"/>
      <c r="G51" s="56"/>
      <c r="H51" s="57" t="n">
        <f aca="false">F37</f>
        <v>67.5161290322581</v>
      </c>
    </row>
    <row r="52" customFormat="false" ht="15" hidden="false" customHeight="false" outlineLevel="0" collapsed="false">
      <c r="E52" s="56" t="s">
        <v>32</v>
      </c>
      <c r="F52" s="56"/>
      <c r="G52" s="56"/>
      <c r="H52" s="59" t="n">
        <f aca="false">G37</f>
        <v>44247.5155279503</v>
      </c>
    </row>
    <row r="53" customFormat="false" ht="15" hidden="false" customHeight="false" outlineLevel="0" collapsed="false">
      <c r="E53" s="56" t="s">
        <v>33</v>
      </c>
      <c r="F53" s="56"/>
      <c r="G53" s="56"/>
      <c r="H53" s="60" t="n">
        <f aca="false">H49-H48</f>
        <v>-141611.290322581</v>
      </c>
    </row>
    <row r="54" customFormat="false" ht="15" hidden="false" customHeight="false" outlineLevel="0" collapsed="false">
      <c r="E54" s="56" t="s">
        <v>34</v>
      </c>
      <c r="F54" s="56"/>
      <c r="G54" s="56"/>
      <c r="H54" s="61" t="n">
        <f aca="false">H46/H44</f>
        <v>0.954742783505155</v>
      </c>
    </row>
    <row r="55" customFormat="false" ht="15" hidden="false" customHeight="false" outlineLevel="0" collapsed="false">
      <c r="E55" s="62" t="s">
        <v>35</v>
      </c>
      <c r="F55" s="62"/>
      <c r="G55" s="62"/>
      <c r="H55" s="63" t="n">
        <f aca="false">D38/H44</f>
        <v>0.954742783505155</v>
      </c>
    </row>
  </sheetData>
  <mergeCells count="15">
    <mergeCell ref="D4:J4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E33" activeCellId="0" sqref="E33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9"/>
    <col collapsed="false" customWidth="true" hidden="false" outlineLevel="0" max="3" min="3" style="0" width="9.18"/>
    <col collapsed="false" customWidth="true" hidden="false" outlineLevel="0" max="8" min="4" style="0" width="14.54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1" customFormat="false" ht="12.75" hidden="false" customHeight="true" outlineLevel="0" collapsed="false">
      <c r="B1" s="64" t="s">
        <v>45</v>
      </c>
      <c r="C1" s="2"/>
      <c r="D1" s="3" t="s">
        <v>1</v>
      </c>
      <c r="E1" s="3"/>
      <c r="F1" s="3"/>
      <c r="G1" s="3"/>
      <c r="H1" s="3"/>
      <c r="I1" s="3"/>
      <c r="J1" s="3"/>
    </row>
    <row r="2" customFormat="false" ht="37.3" hidden="false" customHeight="true" outlineLevel="0" collapsed="false">
      <c r="B2" s="4" t="s">
        <v>2</v>
      </c>
      <c r="C2" s="5" t="s">
        <v>3</v>
      </c>
      <c r="D2" s="65" t="s">
        <v>4</v>
      </c>
      <c r="E2" s="65" t="s">
        <v>5</v>
      </c>
      <c r="F2" s="65" t="s">
        <v>6</v>
      </c>
      <c r="G2" s="66" t="s">
        <v>7</v>
      </c>
      <c r="H2" s="8" t="s">
        <v>8</v>
      </c>
      <c r="I2" s="8" t="s">
        <v>9</v>
      </c>
      <c r="J2" s="8" t="s">
        <v>10</v>
      </c>
    </row>
    <row r="3" customFormat="false" ht="12.75" hidden="false" customHeight="true" outlineLevel="0" collapsed="false">
      <c r="B3" s="9" t="s">
        <v>42</v>
      </c>
      <c r="C3" s="10" t="n">
        <v>44896</v>
      </c>
      <c r="D3" s="67" t="n">
        <v>4451250</v>
      </c>
      <c r="E3" s="68" t="n">
        <f aca="false">IF(D3&gt;0, D3,(H$42/(H$39-H$40)))</f>
        <v>4451250</v>
      </c>
      <c r="F3" s="69" t="n">
        <v>56</v>
      </c>
      <c r="G3" s="14" t="n">
        <f aca="false">IF(F3&gt;0,D3/F3, )</f>
        <v>79486.6071428571</v>
      </c>
      <c r="H3" s="69" t="n">
        <v>294</v>
      </c>
      <c r="I3" s="14" t="n">
        <f aca="false">IF(H3&gt;0,H3/F3,  )</f>
        <v>5.25</v>
      </c>
      <c r="J3" s="14" t="n">
        <f aca="false">IF(I3&gt;0,G3/I3,  )</f>
        <v>15140.306122449</v>
      </c>
    </row>
    <row r="4" customFormat="false" ht="12.75" hidden="false" customHeight="true" outlineLevel="0" collapsed="false">
      <c r="B4" s="9" t="s">
        <v>43</v>
      </c>
      <c r="C4" s="10" t="n">
        <v>44897</v>
      </c>
      <c r="D4" s="67" t="n">
        <v>2876750</v>
      </c>
      <c r="E4" s="68" t="n">
        <f aca="false">IF(D4&gt;0, D4,(H$42/(H$39-H$40)))</f>
        <v>2876750</v>
      </c>
      <c r="F4" s="69" t="n">
        <v>54</v>
      </c>
      <c r="G4" s="14" t="n">
        <f aca="false">IF(F4&gt;0,D4/F4, )</f>
        <v>53273.1481481481</v>
      </c>
      <c r="H4" s="69" t="n">
        <v>195</v>
      </c>
      <c r="I4" s="14" t="n">
        <f aca="false">IF(H4&gt;0,H4/F4,  )</f>
        <v>3.61111111111111</v>
      </c>
      <c r="J4" s="14" t="n">
        <f aca="false">IF(I4&gt;0,G4/I4,  )</f>
        <v>14752.5641025641</v>
      </c>
    </row>
    <row r="5" customFormat="false" ht="12.75" hidden="false" customHeight="true" outlineLevel="0" collapsed="false">
      <c r="B5" s="9" t="s">
        <v>44</v>
      </c>
      <c r="C5" s="10" t="n">
        <v>44898</v>
      </c>
      <c r="D5" s="67" t="n">
        <v>7605700</v>
      </c>
      <c r="E5" s="68" t="n">
        <f aca="false">IF(D5&gt;0, D5,(H$42/(H$39-H$40)))</f>
        <v>7605700</v>
      </c>
      <c r="F5" s="69" t="n">
        <v>90</v>
      </c>
      <c r="G5" s="14" t="n">
        <f aca="false">IF(F5&gt;0,D5/F5, )</f>
        <v>84507.7777777778</v>
      </c>
      <c r="H5" s="69" t="n">
        <v>438</v>
      </c>
      <c r="I5" s="14" t="n">
        <f aca="false">IF(H5&gt;0,H5/F5,  )</f>
        <v>4.86666666666667</v>
      </c>
      <c r="J5" s="14" t="n">
        <f aca="false">IF(I5&gt;0,G5/I5,  )</f>
        <v>17364.6118721461</v>
      </c>
    </row>
    <row r="6" customFormat="false" ht="12.75" hidden="false" customHeight="true" outlineLevel="0" collapsed="false">
      <c r="B6" s="9" t="s">
        <v>38</v>
      </c>
      <c r="C6" s="10" t="n">
        <v>44899</v>
      </c>
      <c r="D6" s="67" t="n">
        <v>5168800</v>
      </c>
      <c r="E6" s="68" t="n">
        <f aca="false">IF(D6&gt;0, D6,(H$42/(H$39-H$40)))</f>
        <v>5168800</v>
      </c>
      <c r="F6" s="69" t="n">
        <v>82</v>
      </c>
      <c r="G6" s="14" t="n">
        <f aca="false">IF(F6&gt;0,D6/F6, )</f>
        <v>63034.1463414634</v>
      </c>
      <c r="H6" s="69" t="n">
        <v>293</v>
      </c>
      <c r="I6" s="14" t="n">
        <f aca="false">IF(H6&gt;0,H6/F6,  )</f>
        <v>3.57317073170732</v>
      </c>
      <c r="J6" s="14" t="n">
        <f aca="false">IF(I6&gt;0,G6/I6,  )</f>
        <v>17640.9556313993</v>
      </c>
    </row>
    <row r="7" customFormat="false" ht="12.75" hidden="false" customHeight="true" outlineLevel="0" collapsed="false">
      <c r="B7" s="9" t="s">
        <v>39</v>
      </c>
      <c r="C7" s="10" t="n">
        <v>44900</v>
      </c>
      <c r="D7" s="67" t="n">
        <v>2545200</v>
      </c>
      <c r="E7" s="68" t="n">
        <f aca="false">IF(D7&gt;0, D7,(H$42/(H$39-H$40)))</f>
        <v>2545200</v>
      </c>
      <c r="F7" s="69" t="n">
        <v>49</v>
      </c>
      <c r="G7" s="14" t="n">
        <f aca="false">IF(F7&gt;0,D7/F7, )</f>
        <v>51942.8571428572</v>
      </c>
      <c r="H7" s="69" t="n">
        <v>165</v>
      </c>
      <c r="I7" s="14" t="n">
        <f aca="false">IF(H7&gt;0,H7/F7,  )</f>
        <v>3.36734693877551</v>
      </c>
      <c r="J7" s="14" t="n">
        <f aca="false">IF(I7&gt;0,G7/I7,  )</f>
        <v>15425.4545454545</v>
      </c>
    </row>
    <row r="8" customFormat="false" ht="12.75" hidden="false" customHeight="true" outlineLevel="0" collapsed="false">
      <c r="B8" s="9" t="s">
        <v>40</v>
      </c>
      <c r="C8" s="10" t="n">
        <v>44901</v>
      </c>
      <c r="D8" s="67" t="n">
        <v>3184400</v>
      </c>
      <c r="E8" s="68" t="n">
        <f aca="false">IF(D8&gt;0, D8,(H$42/(H$39-H$40)))</f>
        <v>3184400</v>
      </c>
      <c r="F8" s="69" t="n">
        <v>66</v>
      </c>
      <c r="G8" s="14" t="n">
        <f aca="false">IF(F8&gt;0,D8/F8, )</f>
        <v>48248.4848484849</v>
      </c>
      <c r="H8" s="69" t="n">
        <v>254</v>
      </c>
      <c r="I8" s="14" t="n">
        <f aca="false">IF(H8&gt;0,H8/F8,  )</f>
        <v>3.84848484848485</v>
      </c>
      <c r="J8" s="14" t="n">
        <f aca="false">IF(I8&gt;0,G8/I8,  )</f>
        <v>12537.0078740157</v>
      </c>
    </row>
    <row r="9" customFormat="false" ht="12.75" hidden="false" customHeight="true" outlineLevel="0" collapsed="false">
      <c r="B9" s="9" t="s">
        <v>41</v>
      </c>
      <c r="C9" s="10" t="n">
        <v>44902</v>
      </c>
      <c r="D9" s="67" t="n">
        <v>2965800</v>
      </c>
      <c r="E9" s="68" t="n">
        <f aca="false">IF(D9&gt;0, D9,(H$42/(H$39-H$40)))</f>
        <v>2965800</v>
      </c>
      <c r="F9" s="69" t="n">
        <v>64</v>
      </c>
      <c r="G9" s="14" t="n">
        <f aca="false">IF(F9&gt;0,D9/F9, )</f>
        <v>46340.625</v>
      </c>
      <c r="H9" s="69" t="n">
        <v>192</v>
      </c>
      <c r="I9" s="14" t="n">
        <f aca="false">IF(H9&gt;0,H9/F9,  )</f>
        <v>3</v>
      </c>
      <c r="J9" s="14" t="n">
        <f aca="false">IF(I9&gt;0,G9/I9,  )</f>
        <v>15446.875</v>
      </c>
    </row>
    <row r="10" customFormat="false" ht="12.75" hidden="false" customHeight="true" outlineLevel="0" collapsed="false">
      <c r="B10" s="9" t="s">
        <v>42</v>
      </c>
      <c r="C10" s="10" t="n">
        <v>44903</v>
      </c>
      <c r="D10" s="67" t="n">
        <v>3322800</v>
      </c>
      <c r="E10" s="68" t="n">
        <f aca="false">IF(D10&gt;0, D10,(H$42/(H$39-H$40)))</f>
        <v>3322800</v>
      </c>
      <c r="F10" s="69" t="n">
        <v>59</v>
      </c>
      <c r="G10" s="14" t="n">
        <f aca="false">IF(F10&gt;0,D10/F10, )</f>
        <v>56318.6440677966</v>
      </c>
      <c r="H10" s="69" t="n">
        <v>183</v>
      </c>
      <c r="I10" s="14" t="n">
        <f aca="false">IF(H10&gt;0,H10/F10,  )</f>
        <v>3.10169491525424</v>
      </c>
      <c r="J10" s="14" t="n">
        <f aca="false">IF(I10&gt;0,G10/I10,  )</f>
        <v>18157.3770491803</v>
      </c>
    </row>
    <row r="11" customFormat="false" ht="12.75" hidden="false" customHeight="true" outlineLevel="0" collapsed="false">
      <c r="B11" s="9" t="s">
        <v>43</v>
      </c>
      <c r="C11" s="10" t="n">
        <v>44904</v>
      </c>
      <c r="D11" s="67" t="n">
        <v>3146700</v>
      </c>
      <c r="E11" s="68" t="n">
        <f aca="false">IF(D11&gt;0, D11,(H$42/(H$39-H$40)))</f>
        <v>3146700</v>
      </c>
      <c r="F11" s="69" t="n">
        <v>76</v>
      </c>
      <c r="G11" s="14" t="n">
        <f aca="false">IF(F11&gt;0,D11/F11, )</f>
        <v>41403.9473684211</v>
      </c>
      <c r="H11" s="69" t="n">
        <v>243</v>
      </c>
      <c r="I11" s="14" t="n">
        <f aca="false">IF(H11&gt;0,H11/F11,  )</f>
        <v>3.19736842105263</v>
      </c>
      <c r="J11" s="14" t="n">
        <f aca="false">IF(I11&gt;0,G11/I11,  )</f>
        <v>12949.3827160494</v>
      </c>
    </row>
    <row r="12" customFormat="false" ht="12.75" hidden="false" customHeight="true" outlineLevel="0" collapsed="false">
      <c r="B12" s="9" t="s">
        <v>44</v>
      </c>
      <c r="C12" s="10" t="n">
        <v>44905</v>
      </c>
      <c r="D12" s="67" t="n">
        <v>4894650</v>
      </c>
      <c r="E12" s="68" t="n">
        <f aca="false">IF(D12&gt;0, D12,(H$42/(H$39-H$40)))</f>
        <v>4894650</v>
      </c>
      <c r="F12" s="69" t="n">
        <v>77</v>
      </c>
      <c r="G12" s="14" t="n">
        <f aca="false">IF(F12&gt;0,D12/F12, )</f>
        <v>63566.8831168831</v>
      </c>
      <c r="H12" s="69" t="n">
        <v>406</v>
      </c>
      <c r="I12" s="14" t="n">
        <f aca="false">IF(H12&gt;0,H12/F12,  )</f>
        <v>5.27272727272727</v>
      </c>
      <c r="J12" s="14" t="n">
        <f aca="false">IF(I12&gt;0,G12/I12,  )</f>
        <v>12055.7881773399</v>
      </c>
    </row>
    <row r="13" customFormat="false" ht="12.75" hidden="false" customHeight="true" outlineLevel="0" collapsed="false">
      <c r="B13" s="9" t="s">
        <v>38</v>
      </c>
      <c r="C13" s="10" t="n">
        <v>44906</v>
      </c>
      <c r="D13" s="67" t="n">
        <v>4157150</v>
      </c>
      <c r="E13" s="68" t="n">
        <f aca="false">IF(D13&gt;0, D13,(H$42/(H$39-H$40)))</f>
        <v>4157150</v>
      </c>
      <c r="F13" s="69" t="n">
        <v>65</v>
      </c>
      <c r="G13" s="14" t="n">
        <f aca="false">IF(F13&gt;0,D13/F13, )</f>
        <v>63956.1538461538</v>
      </c>
      <c r="H13" s="69" t="n">
        <v>271</v>
      </c>
      <c r="I13" s="14" t="n">
        <f aca="false">IF(H13&gt;0,H13/F13,  )</f>
        <v>4.16923076923077</v>
      </c>
      <c r="J13" s="14" t="n">
        <f aca="false">IF(I13&gt;0,G13/I13,  )</f>
        <v>15340.036900369</v>
      </c>
    </row>
    <row r="14" customFormat="false" ht="12.75" hidden="false" customHeight="true" outlineLevel="0" collapsed="false">
      <c r="B14" s="9" t="s">
        <v>39</v>
      </c>
      <c r="C14" s="10" t="n">
        <v>44907</v>
      </c>
      <c r="D14" s="67" t="n">
        <v>4747400</v>
      </c>
      <c r="E14" s="68" t="n">
        <f aca="false">IF(D14&gt;0, D14,(H$42/(H$39-H$40)))</f>
        <v>4747400</v>
      </c>
      <c r="F14" s="69" t="n">
        <v>73</v>
      </c>
      <c r="G14" s="14" t="n">
        <f aca="false">IF(F14&gt;0,D14/F14, )</f>
        <v>65032.8767123288</v>
      </c>
      <c r="H14" s="69" t="n">
        <v>311</v>
      </c>
      <c r="I14" s="14" t="n">
        <f aca="false">IF(H14&gt;0,H14/F14,  )</f>
        <v>4.26027397260274</v>
      </c>
      <c r="J14" s="14" t="n">
        <f aca="false">IF(I14&gt;0,G14/I14,  )</f>
        <v>15264.9517684887</v>
      </c>
    </row>
    <row r="15" customFormat="false" ht="12.75" hidden="false" customHeight="true" outlineLevel="0" collapsed="false">
      <c r="B15" s="9" t="s">
        <v>40</v>
      </c>
      <c r="C15" s="10" t="n">
        <v>44908</v>
      </c>
      <c r="D15" s="67" t="n">
        <v>4292800</v>
      </c>
      <c r="E15" s="68" t="n">
        <f aca="false">IF(D15&gt;0, D15,(H$42/(H$39-H$40)))</f>
        <v>4292800</v>
      </c>
      <c r="F15" s="69" t="n">
        <v>87</v>
      </c>
      <c r="G15" s="14" t="n">
        <f aca="false">IF(F15&gt;0,D15/F15, )</f>
        <v>49342.5287356322</v>
      </c>
      <c r="H15" s="69" t="n">
        <v>342</v>
      </c>
      <c r="I15" s="14" t="n">
        <f aca="false">IF(H15&gt;0,H15/F15,  )</f>
        <v>3.93103448275862</v>
      </c>
      <c r="J15" s="14" t="n">
        <f aca="false">IF(I15&gt;0,G15/I15,  )</f>
        <v>12552.0467836257</v>
      </c>
    </row>
    <row r="16" customFormat="false" ht="12.75" hidden="false" customHeight="true" outlineLevel="0" collapsed="false">
      <c r="B16" s="9" t="s">
        <v>41</v>
      </c>
      <c r="C16" s="10" t="n">
        <v>44909</v>
      </c>
      <c r="D16" s="67" t="n">
        <v>4290400</v>
      </c>
      <c r="E16" s="68" t="n">
        <f aca="false">IF(D16&gt;0, D16,(H$42/(H$39-H$40)))</f>
        <v>4290400</v>
      </c>
      <c r="F16" s="69" t="n">
        <v>89</v>
      </c>
      <c r="G16" s="14" t="n">
        <f aca="false">IF(F16&gt;0,D16/F16, )</f>
        <v>48206.7415730337</v>
      </c>
      <c r="H16" s="69" t="n">
        <v>275</v>
      </c>
      <c r="I16" s="14" t="n">
        <f aca="false">IF(H16&gt;0,H16/F16,  )</f>
        <v>3.08988764044944</v>
      </c>
      <c r="J16" s="14" t="n">
        <f aca="false">IF(I16&gt;0,G16/I16,  )</f>
        <v>15601.4545454545</v>
      </c>
    </row>
    <row r="17" customFormat="false" ht="12.75" hidden="false" customHeight="true" outlineLevel="0" collapsed="false">
      <c r="B17" s="9" t="s">
        <v>42</v>
      </c>
      <c r="C17" s="10" t="n">
        <v>44910</v>
      </c>
      <c r="D17" s="67" t="n">
        <v>4862350</v>
      </c>
      <c r="E17" s="68" t="n">
        <f aca="false">IF(D17&gt;0, D17,(H$42/(H$39-H$40)))</f>
        <v>4862350</v>
      </c>
      <c r="F17" s="69" t="n">
        <v>77</v>
      </c>
      <c r="G17" s="14" t="n">
        <f aca="false">IF(F17&gt;0,D17/F17, )</f>
        <v>63147.4025974026</v>
      </c>
      <c r="H17" s="69" t="n">
        <v>390</v>
      </c>
      <c r="I17" s="14" t="n">
        <f aca="false">IF(H17&gt;0,H17/F17,  )</f>
        <v>5.06493506493506</v>
      </c>
      <c r="J17" s="14" t="n">
        <f aca="false">IF(I17&gt;0,G17/I17,  )</f>
        <v>12467.5641025641</v>
      </c>
    </row>
    <row r="18" customFormat="false" ht="12.75" hidden="false" customHeight="true" outlineLevel="0" collapsed="false">
      <c r="B18" s="9" t="s">
        <v>43</v>
      </c>
      <c r="C18" s="10" t="n">
        <v>44911</v>
      </c>
      <c r="D18" s="67" t="n">
        <v>5875900</v>
      </c>
      <c r="E18" s="68" t="n">
        <f aca="false">IF(D18&gt;0, D18,(H$42/(H$39-H$40)))</f>
        <v>5875900</v>
      </c>
      <c r="F18" s="69" t="n">
        <v>99</v>
      </c>
      <c r="G18" s="14" t="n">
        <f aca="false">IF(F18&gt;0,D18/F18, )</f>
        <v>59352.5252525253</v>
      </c>
      <c r="H18" s="69" t="n">
        <v>462</v>
      </c>
      <c r="I18" s="14" t="n">
        <f aca="false">IF(H18&gt;0,H18/F18,  )</f>
        <v>4.66666666666667</v>
      </c>
      <c r="J18" s="14" t="n">
        <f aca="false">IF(I18&gt;0,G18/I18,  )</f>
        <v>12718.3982683983</v>
      </c>
    </row>
    <row r="19" customFormat="false" ht="12.75" hidden="false" customHeight="true" outlineLevel="0" collapsed="false">
      <c r="B19" s="9" t="s">
        <v>44</v>
      </c>
      <c r="C19" s="10" t="n">
        <v>44912</v>
      </c>
      <c r="D19" s="67" t="n">
        <v>5876000</v>
      </c>
      <c r="E19" s="68" t="n">
        <f aca="false">IF(D19&gt;0, D19,(H$42/(H$39-H$40)))</f>
        <v>5876000</v>
      </c>
      <c r="F19" s="69" t="n">
        <v>90</v>
      </c>
      <c r="G19" s="14" t="n">
        <f aca="false">IF(F19&gt;0,D19/F19, )</f>
        <v>65288.8888888889</v>
      </c>
      <c r="H19" s="69" t="n">
        <v>416</v>
      </c>
      <c r="I19" s="14" t="n">
        <f aca="false">IF(H19&gt;0,H19/F19,  )</f>
        <v>4.62222222222222</v>
      </c>
      <c r="J19" s="14" t="n">
        <f aca="false">IF(I19&gt;0,G19/I19,  )</f>
        <v>14125</v>
      </c>
    </row>
    <row r="20" customFormat="false" ht="12.75" hidden="false" customHeight="true" outlineLevel="0" collapsed="false">
      <c r="B20" s="9" t="s">
        <v>38</v>
      </c>
      <c r="C20" s="10" t="n">
        <v>44913</v>
      </c>
      <c r="D20" s="67" t="n">
        <v>5210700</v>
      </c>
      <c r="E20" s="68" t="n">
        <f aca="false">IF(D20&gt;0, D20,(H$42/(H$39-H$40)))</f>
        <v>5210700</v>
      </c>
      <c r="F20" s="69" t="n">
        <v>85</v>
      </c>
      <c r="G20" s="14" t="n">
        <f aca="false">IF(F20&gt;0,D20/F20, )</f>
        <v>61302.3529411765</v>
      </c>
      <c r="H20" s="69" t="n">
        <v>382</v>
      </c>
      <c r="I20" s="14" t="n">
        <f aca="false">IF(H20&gt;0,H20/F20,  )</f>
        <v>4.49411764705882</v>
      </c>
      <c r="J20" s="14" t="n">
        <f aca="false">IF(I20&gt;0,G20/I20,  )</f>
        <v>13640.5759162304</v>
      </c>
    </row>
    <row r="21" customFormat="false" ht="12.75" hidden="false" customHeight="true" outlineLevel="0" collapsed="false">
      <c r="B21" s="9" t="s">
        <v>39</v>
      </c>
      <c r="C21" s="10" t="n">
        <v>44914</v>
      </c>
      <c r="D21" s="67" t="n">
        <v>4766300</v>
      </c>
      <c r="E21" s="68" t="n">
        <f aca="false">IF(D21&gt;0, D21,(H$42/(H$39-H$40)))</f>
        <v>4766300</v>
      </c>
      <c r="F21" s="69" t="n">
        <v>81</v>
      </c>
      <c r="G21" s="14" t="n">
        <f aca="false">IF(F21&gt;0,D21/F21, )</f>
        <v>58843.2098765432</v>
      </c>
      <c r="H21" s="69" t="n">
        <v>373</v>
      </c>
      <c r="I21" s="14" t="n">
        <f aca="false">IF(H21&gt;0,H21/F21,  )</f>
        <v>4.60493827160494</v>
      </c>
      <c r="J21" s="14" t="n">
        <f aca="false">IF(I21&gt;0,G21/I21,  )</f>
        <v>12778.2841823056</v>
      </c>
    </row>
    <row r="22" customFormat="false" ht="12.75" hidden="false" customHeight="true" outlineLevel="0" collapsed="false">
      <c r="B22" s="9" t="s">
        <v>40</v>
      </c>
      <c r="C22" s="10" t="n">
        <v>44915</v>
      </c>
      <c r="D22" s="67" t="n">
        <v>4270700</v>
      </c>
      <c r="E22" s="68" t="n">
        <f aca="false">IF(D22&gt;0, D22,(H$42/(H$39-H$40)))</f>
        <v>4270700</v>
      </c>
      <c r="F22" s="70" t="n">
        <v>74</v>
      </c>
      <c r="G22" s="14" t="n">
        <f aca="false">IF(F22&gt;0,D22/F22, )</f>
        <v>57712.1621621622</v>
      </c>
      <c r="H22" s="69" t="n">
        <v>325</v>
      </c>
      <c r="I22" s="14" t="n">
        <f aca="false">IF(H22&gt;0,H22/F22,  )</f>
        <v>4.39189189189189</v>
      </c>
      <c r="J22" s="14" t="n">
        <f aca="false">IF(I22&gt;0,G22/I22,  )</f>
        <v>13140.6153846154</v>
      </c>
    </row>
    <row r="23" customFormat="false" ht="12.75" hidden="false" customHeight="true" outlineLevel="0" collapsed="false">
      <c r="B23" s="9" t="s">
        <v>41</v>
      </c>
      <c r="C23" s="10" t="n">
        <v>44916</v>
      </c>
      <c r="D23" s="67" t="n">
        <v>3829100</v>
      </c>
      <c r="E23" s="68" t="n">
        <f aca="false">IF(D23&gt;0, D23,(H$42/(H$39-H$40)))</f>
        <v>3829100</v>
      </c>
      <c r="F23" s="69" t="n">
        <v>78</v>
      </c>
      <c r="G23" s="14" t="n">
        <f aca="false">IF(F23&gt;0,D23/F23, )</f>
        <v>49091.0256410256</v>
      </c>
      <c r="H23" s="69" t="n">
        <v>281</v>
      </c>
      <c r="I23" s="14" t="n">
        <f aca="false">IF(H23&gt;0,H23/F23,  )</f>
        <v>3.6025641025641</v>
      </c>
      <c r="J23" s="14" t="n">
        <f aca="false">IF(I23&gt;0,G23/I23,  )</f>
        <v>13626.6903914591</v>
      </c>
    </row>
    <row r="24" customFormat="false" ht="12.75" hidden="false" customHeight="true" outlineLevel="0" collapsed="false">
      <c r="B24" s="9" t="s">
        <v>42</v>
      </c>
      <c r="C24" s="10" t="n">
        <v>44917</v>
      </c>
      <c r="D24" s="67" t="n">
        <v>7733650</v>
      </c>
      <c r="E24" s="68" t="n">
        <f aca="false">IF(D24&gt;0, D24,(H$42/(H$39-H$40)))</f>
        <v>7733650</v>
      </c>
      <c r="F24" s="69" t="n">
        <v>96</v>
      </c>
      <c r="G24" s="14" t="n">
        <f aca="false">IF(F24&gt;0,D24/F24, )</f>
        <v>80558.8541666667</v>
      </c>
      <c r="H24" s="69" t="n">
        <v>600</v>
      </c>
      <c r="I24" s="14" t="n">
        <f aca="false">IF(H24&gt;0,H24/F24,  )</f>
        <v>6.25</v>
      </c>
      <c r="J24" s="14" t="n">
        <f aca="false">IF(I24&gt;0,G24/I24,  )</f>
        <v>12889.4166666667</v>
      </c>
    </row>
    <row r="25" customFormat="false" ht="12.75" hidden="false" customHeight="true" outlineLevel="0" collapsed="false">
      <c r="B25" s="9" t="s">
        <v>43</v>
      </c>
      <c r="C25" s="10" t="n">
        <v>44918</v>
      </c>
      <c r="D25" s="67" t="n">
        <v>7077850</v>
      </c>
      <c r="E25" s="68" t="n">
        <f aca="false">IF(D25&gt;0, D25,(H$42/(H$39-H$40)))</f>
        <v>7077850</v>
      </c>
      <c r="F25" s="69" t="n">
        <v>119</v>
      </c>
      <c r="G25" s="14" t="n">
        <f aca="false">IF(F25&gt;0,D25/F25, )</f>
        <v>59477.731092437</v>
      </c>
      <c r="H25" s="69" t="n">
        <v>483</v>
      </c>
      <c r="I25" s="14" t="n">
        <f aca="false">IF(H25&gt;0,H25/F25,  )</f>
        <v>4.05882352941176</v>
      </c>
      <c r="J25" s="14" t="n">
        <f aca="false">IF(I25&gt;0,G25/I25,  )</f>
        <v>14653.933747412</v>
      </c>
    </row>
    <row r="26" customFormat="false" ht="12.75" hidden="false" customHeight="true" outlineLevel="0" collapsed="false">
      <c r="B26" s="9" t="s">
        <v>44</v>
      </c>
      <c r="C26" s="10" t="n">
        <v>44919</v>
      </c>
      <c r="D26" s="67" t="n">
        <v>4056550</v>
      </c>
      <c r="E26" s="68" t="n">
        <f aca="false">IF(D26&gt;0, D26,(H$42/(H$39-H$40)))</f>
        <v>4056550</v>
      </c>
      <c r="F26" s="69" t="n">
        <v>86</v>
      </c>
      <c r="G26" s="14" t="n">
        <f aca="false">IF(F26&gt;0,D26/F26, )</f>
        <v>47169.1860465116</v>
      </c>
      <c r="H26" s="69" t="n">
        <v>272</v>
      </c>
      <c r="I26" s="14" t="n">
        <f aca="false">IF(H26&gt;0,H26/F26,  )</f>
        <v>3.16279069767442</v>
      </c>
      <c r="J26" s="14" t="n">
        <f aca="false">IF(I26&gt;0,G26/I26,  )</f>
        <v>14913.7867647059</v>
      </c>
    </row>
    <row r="27" customFormat="false" ht="12.75" hidden="false" customHeight="true" outlineLevel="0" collapsed="false">
      <c r="B27" s="9" t="s">
        <v>38</v>
      </c>
      <c r="C27" s="10" t="n">
        <v>44920</v>
      </c>
      <c r="D27" s="67" t="n">
        <v>6626300</v>
      </c>
      <c r="E27" s="68" t="n">
        <f aca="false">IF(D27&gt;0, D27,(H$42/(H$39-H$40)))</f>
        <v>6626300</v>
      </c>
      <c r="F27" s="69" t="n">
        <v>99</v>
      </c>
      <c r="G27" s="14" t="n">
        <f aca="false">IF(F27&gt;0,D27/F27, )</f>
        <v>66932.3232323232</v>
      </c>
      <c r="H27" s="69" t="n">
        <v>417</v>
      </c>
      <c r="I27" s="14" t="n">
        <f aca="false">IF(H27&gt;0,H27/F27,  )</f>
        <v>4.21212121212121</v>
      </c>
      <c r="J27" s="14" t="n">
        <f aca="false">IF(I27&gt;0,G27/I27,  )</f>
        <v>15890.4076738609</v>
      </c>
    </row>
    <row r="28" customFormat="false" ht="12.75" hidden="false" customHeight="true" outlineLevel="0" collapsed="false">
      <c r="B28" s="9" t="s">
        <v>39</v>
      </c>
      <c r="C28" s="10" t="n">
        <v>44921</v>
      </c>
      <c r="D28" s="67" t="n">
        <v>6036000</v>
      </c>
      <c r="E28" s="68" t="n">
        <f aca="false">IF(D28&gt;0, D28,(H$42/(H$39-H$40)))</f>
        <v>6036000</v>
      </c>
      <c r="F28" s="69" t="n">
        <v>122</v>
      </c>
      <c r="G28" s="14" t="n">
        <f aca="false">IF(F28&gt;0,D28/F28, )</f>
        <v>49475.4098360656</v>
      </c>
      <c r="H28" s="69" t="n">
        <v>415</v>
      </c>
      <c r="I28" s="14" t="n">
        <f aca="false">IF(H28&gt;0,H28/F28,  )</f>
        <v>3.40163934426229</v>
      </c>
      <c r="J28" s="14" t="n">
        <f aca="false">IF(I28&gt;0,G28/I28,  )</f>
        <v>14544.578313253</v>
      </c>
    </row>
    <row r="29" customFormat="false" ht="12.75" hidden="false" customHeight="true" outlineLevel="0" collapsed="false">
      <c r="B29" s="9" t="s">
        <v>40</v>
      </c>
      <c r="C29" s="10" t="n">
        <v>44922</v>
      </c>
      <c r="D29" s="67" t="n">
        <v>5100950</v>
      </c>
      <c r="E29" s="68" t="n">
        <f aca="false">IF(D29&gt;0, D29,(H$42/(H$39-H$40)))</f>
        <v>5100950</v>
      </c>
      <c r="F29" s="69" t="n">
        <v>102</v>
      </c>
      <c r="G29" s="14" t="n">
        <f aca="false">IF(F29&gt;0,D29/F29, )</f>
        <v>50009.3137254902</v>
      </c>
      <c r="H29" s="69" t="n">
        <v>345</v>
      </c>
      <c r="I29" s="14" t="n">
        <f aca="false">IF(H29&gt;0,H29/F29,  )</f>
        <v>3.38235294117647</v>
      </c>
      <c r="J29" s="14" t="n">
        <f aca="false">IF(I29&gt;0,G29/I29,  )</f>
        <v>14785.3623188406</v>
      </c>
    </row>
    <row r="30" customFormat="false" ht="12.75" hidden="false" customHeight="true" outlineLevel="0" collapsed="false">
      <c r="B30" s="9" t="s">
        <v>41</v>
      </c>
      <c r="C30" s="10" t="n">
        <v>44923</v>
      </c>
      <c r="D30" s="67" t="n">
        <v>8080950</v>
      </c>
      <c r="E30" s="68" t="n">
        <f aca="false">IF(D30&gt;0, D30,(H$42/(H$39-H$40)))</f>
        <v>8080950</v>
      </c>
      <c r="F30" s="69" t="n">
        <v>117</v>
      </c>
      <c r="G30" s="14" t="n">
        <f aca="false">IF(F30&gt;0,D30/F30, )</f>
        <v>69067.9487179487</v>
      </c>
      <c r="H30" s="69" t="n">
        <v>539</v>
      </c>
      <c r="I30" s="14" t="n">
        <f aca="false">IF(H30&gt;0,H30/F30,  )</f>
        <v>4.60683760683761</v>
      </c>
      <c r="J30" s="14" t="n">
        <f aca="false">IF(I30&gt;0,G30/I30,  )</f>
        <v>14992.4860853432</v>
      </c>
      <c r="L30" s="20"/>
    </row>
    <row r="31" customFormat="false" ht="12.75" hidden="false" customHeight="true" outlineLevel="0" collapsed="false">
      <c r="B31" s="9" t="s">
        <v>42</v>
      </c>
      <c r="C31" s="10" t="n">
        <v>44924</v>
      </c>
      <c r="D31" s="67" t="n">
        <v>8524800</v>
      </c>
      <c r="E31" s="68" t="n">
        <f aca="false">IF(D31&gt;0, D31,(H$42/(H$39-H$40)))</f>
        <v>8524800</v>
      </c>
      <c r="F31" s="69" t="n">
        <v>110</v>
      </c>
      <c r="G31" s="14" t="n">
        <f aca="false">IF(F31&gt;0,D31/F31, )</f>
        <v>77498.1818181818</v>
      </c>
      <c r="H31" s="69" t="n">
        <v>525</v>
      </c>
      <c r="I31" s="14" t="n">
        <f aca="false">IF(H31&gt;0,H31/F31,  )</f>
        <v>4.77272727272727</v>
      </c>
      <c r="J31" s="14" t="n">
        <f aca="false">IF(I31&gt;0,G31/I31,  )</f>
        <v>16237.7142857143</v>
      </c>
    </row>
    <row r="32" customFormat="false" ht="12.75" hidden="false" customHeight="true" outlineLevel="0" collapsed="false">
      <c r="B32" s="9" t="s">
        <v>43</v>
      </c>
      <c r="C32" s="10" t="n">
        <v>44925</v>
      </c>
      <c r="D32" s="67" t="n">
        <v>9308650</v>
      </c>
      <c r="E32" s="68" t="n">
        <f aca="false">IF(D32&gt;0, D32,(H$42/(H$39-H$40)))</f>
        <v>9308650</v>
      </c>
      <c r="F32" s="69" t="n">
        <v>122</v>
      </c>
      <c r="G32" s="14" t="n">
        <f aca="false">IF(F32&gt;0,D32/F32, )</f>
        <v>76300.4098360656</v>
      </c>
      <c r="H32" s="69" t="n">
        <v>579</v>
      </c>
      <c r="I32" s="14" t="n">
        <f aca="false">IF(H32&gt;0,H32/F32,  )</f>
        <v>4.74590163934426</v>
      </c>
      <c r="J32" s="14" t="n">
        <f aca="false">IF(I32&gt;0,G32/I32,  )</f>
        <v>16077.115716753</v>
      </c>
    </row>
    <row r="33" customFormat="false" ht="12.75" hidden="false" customHeight="true" outlineLevel="0" collapsed="false">
      <c r="B33" s="9" t="s">
        <v>44</v>
      </c>
      <c r="C33" s="10" t="n">
        <v>44926</v>
      </c>
      <c r="D33" s="67" t="n">
        <v>5218750</v>
      </c>
      <c r="E33" s="68" t="n">
        <f aca="false">IF(D33&gt;0, D33,(H$42/(H$39-H$40)))</f>
        <v>5218750</v>
      </c>
      <c r="F33" s="69" t="n">
        <v>87</v>
      </c>
      <c r="G33" s="14" t="n">
        <f aca="false">IF(F33&gt;0,D33/F33, )</f>
        <v>59985.6321839081</v>
      </c>
      <c r="H33" s="69" t="n">
        <v>301</v>
      </c>
      <c r="I33" s="14" t="n">
        <f aca="false">IF(H33&gt;0,H33/F33,  )</f>
        <v>3.45977011494253</v>
      </c>
      <c r="J33" s="14" t="n">
        <f aca="false">IF(I33&gt;0,G33/I33,  )</f>
        <v>17338.0398671096</v>
      </c>
    </row>
    <row r="34" customFormat="false" ht="12.75" hidden="false" customHeight="true" outlineLevel="0" collapsed="false">
      <c r="B34" s="21" t="s">
        <v>18</v>
      </c>
      <c r="C34" s="22"/>
      <c r="D34" s="23" t="n">
        <f aca="false">AVERAGE(D3:D33)</f>
        <v>5164687.09677419</v>
      </c>
      <c r="E34" s="23"/>
      <c r="F34" s="24" t="n">
        <f aca="false">AVERAGE(F3:F33)</f>
        <v>84.8709677419355</v>
      </c>
      <c r="G34" s="23" t="n">
        <f aca="false">D34/F34</f>
        <v>60853.4017483846</v>
      </c>
      <c r="H34" s="24" t="n">
        <f aca="false">AVERAGE(H3:H33)</f>
        <v>353.774193548387</v>
      </c>
      <c r="I34" s="24" t="n">
        <f aca="false">IF(H34&gt;0,H34/F34,  )</f>
        <v>4.16837704294945</v>
      </c>
      <c r="J34" s="25" t="n">
        <f aca="false">IF(I34&gt;0,G34/I34,  )</f>
        <v>14598.8237439592</v>
      </c>
    </row>
    <row r="35" customFormat="false" ht="12.75" hidden="false" customHeight="true" outlineLevel="0" collapsed="false">
      <c r="B35" s="26" t="s">
        <v>19</v>
      </c>
      <c r="C35" s="27"/>
      <c r="D35" s="28" t="n">
        <f aca="false">SUM(D3:D33)</f>
        <v>160105300</v>
      </c>
      <c r="E35" s="28"/>
      <c r="F35" s="29" t="n">
        <f aca="false">SUM(F3:F33)</f>
        <v>2631</v>
      </c>
      <c r="G35" s="30"/>
      <c r="H35" s="29" t="n">
        <f aca="false">SUM(H3:H33)</f>
        <v>10967</v>
      </c>
      <c r="I35" s="29"/>
      <c r="J35" s="29"/>
    </row>
    <row r="36" customFormat="false" ht="12.75" hidden="false" customHeight="true" outlineLevel="0" collapsed="false">
      <c r="B36" s="31" t="s">
        <v>20</v>
      </c>
      <c r="C36" s="32"/>
      <c r="D36" s="33" t="n">
        <v>150000000</v>
      </c>
      <c r="E36" s="34"/>
      <c r="F36" s="35"/>
      <c r="G36" s="36"/>
      <c r="H36" s="35"/>
      <c r="I36" s="35"/>
      <c r="J36" s="35"/>
    </row>
    <row r="37" customFormat="false" ht="12.75" hidden="false" customHeight="true" outlineLevel="0" collapsed="false">
      <c r="B37" s="37" t="s">
        <v>21</v>
      </c>
      <c r="C37" s="38"/>
      <c r="D37" s="39" t="n">
        <f aca="false">D35/D36</f>
        <v>1.06736866666667</v>
      </c>
      <c r="E37" s="39"/>
      <c r="F37" s="40"/>
      <c r="G37" s="41"/>
      <c r="H37" s="42"/>
      <c r="I37" s="42"/>
      <c r="J37" s="42"/>
    </row>
    <row r="39" customFormat="false" ht="12.75" hidden="false" customHeight="true" outlineLevel="0" collapsed="false">
      <c r="E39" s="43" t="s">
        <v>22</v>
      </c>
      <c r="F39" s="43"/>
      <c r="G39" s="43"/>
      <c r="H39" s="44" t="n">
        <f aca="false">COUNTA(C3:C33)</f>
        <v>31</v>
      </c>
    </row>
    <row r="40" customFormat="false" ht="12.75" hidden="false" customHeight="true" outlineLevel="0" collapsed="false">
      <c r="E40" s="45" t="s">
        <v>23</v>
      </c>
      <c r="F40" s="45"/>
      <c r="G40" s="45"/>
      <c r="H40" s="46" t="n">
        <f aca="false">COUNTA(D3:D33)</f>
        <v>31</v>
      </c>
    </row>
    <row r="41" customFormat="false" ht="12.75" hidden="false" customHeight="true" outlineLevel="0" collapsed="false">
      <c r="E41" s="47" t="s">
        <v>24</v>
      </c>
      <c r="F41" s="47"/>
      <c r="G41" s="47"/>
      <c r="H41" s="48" t="n">
        <f aca="false">D36</f>
        <v>150000000</v>
      </c>
    </row>
    <row r="42" customFormat="false" ht="12.75" hidden="false" customHeight="true" outlineLevel="0" collapsed="false">
      <c r="E42" s="49" t="s">
        <v>25</v>
      </c>
      <c r="F42" s="49"/>
      <c r="G42" s="49"/>
      <c r="H42" s="50" t="n">
        <f aca="false">D36-D35</f>
        <v>-10105300</v>
      </c>
    </row>
    <row r="43" customFormat="false" ht="12.75" hidden="false" customHeight="true" outlineLevel="0" collapsed="false">
      <c r="E43" s="49" t="s">
        <v>26</v>
      </c>
      <c r="F43" s="49"/>
      <c r="G43" s="49"/>
      <c r="H43" s="51" t="n">
        <f aca="false">H46*H39</f>
        <v>160105300</v>
      </c>
    </row>
    <row r="44" customFormat="false" ht="12.75" hidden="false" customHeight="true" outlineLevel="0" collapsed="false">
      <c r="E44" s="52" t="s">
        <v>27</v>
      </c>
      <c r="F44" s="52"/>
      <c r="G44" s="52"/>
      <c r="H44" s="53" t="n">
        <f aca="false">H43-H41</f>
        <v>10105300</v>
      </c>
    </row>
    <row r="45" customFormat="false" ht="12.75" hidden="false" customHeight="true" outlineLevel="0" collapsed="false">
      <c r="E45" s="54" t="s">
        <v>28</v>
      </c>
      <c r="F45" s="54"/>
      <c r="G45" s="54"/>
      <c r="H45" s="55" t="n">
        <f aca="false">H41/H39</f>
        <v>4838709.67741936</v>
      </c>
    </row>
    <row r="46" customFormat="false" ht="12.75" hidden="false" customHeight="true" outlineLevel="0" collapsed="false">
      <c r="E46" s="56" t="s">
        <v>29</v>
      </c>
      <c r="F46" s="56"/>
      <c r="G46" s="56"/>
      <c r="H46" s="57" t="n">
        <f aca="false">AVERAGE(D3:D33)</f>
        <v>5164687.09677419</v>
      </c>
    </row>
    <row r="47" customFormat="false" ht="12.75" hidden="false" customHeight="true" outlineLevel="0" collapsed="false">
      <c r="E47" s="56" t="s">
        <v>30</v>
      </c>
      <c r="F47" s="56"/>
      <c r="G47" s="56"/>
      <c r="H47" s="58" t="n">
        <f aca="false">(H41/H49)/H39</f>
        <v>79.5142019738905</v>
      </c>
    </row>
    <row r="48" customFormat="false" ht="12.75" hidden="false" customHeight="true" outlineLevel="0" collapsed="false">
      <c r="E48" s="56" t="s">
        <v>31</v>
      </c>
      <c r="F48" s="56"/>
      <c r="G48" s="56"/>
      <c r="H48" s="57" t="n">
        <f aca="false">F34</f>
        <v>84.8709677419355</v>
      </c>
    </row>
    <row r="49" customFormat="false" ht="12.75" hidden="false" customHeight="true" outlineLevel="0" collapsed="false">
      <c r="E49" s="56" t="s">
        <v>32</v>
      </c>
      <c r="F49" s="56"/>
      <c r="G49" s="56"/>
      <c r="H49" s="59" t="n">
        <f aca="false">G34</f>
        <v>60853.4017483846</v>
      </c>
    </row>
    <row r="50" customFormat="false" ht="12.75" hidden="false" customHeight="true" outlineLevel="0" collapsed="false">
      <c r="E50" s="56" t="s">
        <v>33</v>
      </c>
      <c r="F50" s="56"/>
      <c r="G50" s="56"/>
      <c r="H50" s="60" t="n">
        <f aca="false">H46-H45</f>
        <v>325977.419354838</v>
      </c>
    </row>
    <row r="51" customFormat="false" ht="12.75" hidden="false" customHeight="true" outlineLevel="0" collapsed="false">
      <c r="E51" s="56" t="s">
        <v>34</v>
      </c>
      <c r="F51" s="56"/>
      <c r="G51" s="56"/>
      <c r="H51" s="61" t="n">
        <f aca="false">H43/H41</f>
        <v>1.06736866666667</v>
      </c>
    </row>
    <row r="52" customFormat="false" ht="12.75" hidden="false" customHeight="true" outlineLevel="0" collapsed="false">
      <c r="E52" s="62" t="s">
        <v>35</v>
      </c>
      <c r="F52" s="62"/>
      <c r="G52" s="62"/>
      <c r="H52" s="63" t="n">
        <f aca="false">D35/H41</f>
        <v>1.06736866666667</v>
      </c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2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E35" activeCellId="0" sqref="E35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9"/>
    <col collapsed="false" customWidth="true" hidden="false" outlineLevel="0" max="3" min="3" style="0" width="9.18"/>
    <col collapsed="false" customWidth="true" hidden="false" outlineLevel="0" max="8" min="4" style="0" width="14.54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1" customFormat="false" ht="12.75" hidden="false" customHeight="true" outlineLevel="0" collapsed="false">
      <c r="B1" s="64" t="s">
        <v>45</v>
      </c>
      <c r="C1" s="2"/>
      <c r="D1" s="3" t="s">
        <v>1</v>
      </c>
      <c r="E1" s="3"/>
      <c r="F1" s="3"/>
      <c r="G1" s="3"/>
      <c r="H1" s="3"/>
      <c r="I1" s="3"/>
      <c r="J1" s="3"/>
    </row>
    <row r="2" customFormat="false" ht="37.3" hidden="false" customHeight="true" outlineLevel="0" collapsed="false">
      <c r="B2" s="4" t="s">
        <v>2</v>
      </c>
      <c r="C2" s="5" t="s">
        <v>3</v>
      </c>
      <c r="D2" s="65" t="s">
        <v>4</v>
      </c>
      <c r="E2" s="65" t="s">
        <v>5</v>
      </c>
      <c r="F2" s="65" t="s">
        <v>6</v>
      </c>
      <c r="G2" s="66" t="s">
        <v>7</v>
      </c>
      <c r="H2" s="8" t="s">
        <v>8</v>
      </c>
      <c r="I2" s="8" t="s">
        <v>9</v>
      </c>
      <c r="J2" s="8" t="s">
        <v>10</v>
      </c>
    </row>
    <row r="3" customFormat="false" ht="12.75" hidden="false" customHeight="true" outlineLevel="0" collapsed="false">
      <c r="B3" s="9" t="s">
        <v>41</v>
      </c>
      <c r="C3" s="10" t="n">
        <v>44958</v>
      </c>
      <c r="D3" s="67" t="n">
        <v>2978900</v>
      </c>
      <c r="E3" s="68" t="n">
        <f aca="false">IF(D3&gt;0, D3,(H$42/(H$39-H$40)))</f>
        <v>2978900</v>
      </c>
      <c r="F3" s="69" t="n">
        <v>82</v>
      </c>
      <c r="G3" s="14" t="n">
        <f aca="false">IF(F3&gt;0,D3/F3, )</f>
        <v>36328.0487804878</v>
      </c>
      <c r="H3" s="69" t="n">
        <v>247</v>
      </c>
      <c r="I3" s="14" t="n">
        <f aca="false">IF(H3&gt;0,H3/F3,  )</f>
        <v>3.01219512195122</v>
      </c>
      <c r="J3" s="14" t="n">
        <f aca="false">IF(I3&gt;0,G3/I3,  )</f>
        <v>12060.3238866397</v>
      </c>
    </row>
    <row r="4" customFormat="false" ht="12.75" hidden="false" customHeight="true" outlineLevel="0" collapsed="false">
      <c r="B4" s="9" t="s">
        <v>42</v>
      </c>
      <c r="C4" s="10" t="n">
        <v>44959</v>
      </c>
      <c r="D4" s="67" t="n">
        <v>3023700</v>
      </c>
      <c r="E4" s="68" t="n">
        <f aca="false">IF(D4&gt;0, D4,(H$42/(H$39-H$40)))</f>
        <v>3023700</v>
      </c>
      <c r="F4" s="69" t="n">
        <v>81</v>
      </c>
      <c r="G4" s="14" t="n">
        <f aca="false">IF(F4&gt;0,D4/F4, )</f>
        <v>37329.6296296296</v>
      </c>
      <c r="H4" s="69" t="n">
        <v>241</v>
      </c>
      <c r="I4" s="14" t="n">
        <f aca="false">IF(H4&gt;0,H4/F4,  )</f>
        <v>2.97530864197531</v>
      </c>
      <c r="J4" s="14" t="n">
        <f aca="false">IF(I4&gt;0,G4/I4,  )</f>
        <v>12546.4730290456</v>
      </c>
    </row>
    <row r="5" customFormat="false" ht="12.75" hidden="false" customHeight="true" outlineLevel="0" collapsed="false">
      <c r="B5" s="9" t="s">
        <v>43</v>
      </c>
      <c r="C5" s="10" t="n">
        <v>44960</v>
      </c>
      <c r="D5" s="67" t="n">
        <v>4065950</v>
      </c>
      <c r="E5" s="68" t="n">
        <f aca="false">IF(D5&gt;0, D5,(H$42/(H$39-H$40)))</f>
        <v>4065950</v>
      </c>
      <c r="F5" s="69" t="n">
        <v>102</v>
      </c>
      <c r="G5" s="14" t="n">
        <f aca="false">IF(F5&gt;0,D5/F5, )</f>
        <v>39862.2549019608</v>
      </c>
      <c r="H5" s="69" t="n">
        <v>322</v>
      </c>
      <c r="I5" s="14" t="n">
        <f aca="false">IF(H5&gt;0,H5/F5,  )</f>
        <v>3.15686274509804</v>
      </c>
      <c r="J5" s="14" t="n">
        <f aca="false">IF(I5&gt;0,G5/I5,  )</f>
        <v>12627.1739130435</v>
      </c>
    </row>
    <row r="6" customFormat="false" ht="12.75" hidden="false" customHeight="true" outlineLevel="0" collapsed="false">
      <c r="B6" s="9" t="s">
        <v>44</v>
      </c>
      <c r="C6" s="10" t="n">
        <v>44961</v>
      </c>
      <c r="D6" s="67" t="n">
        <v>3488700</v>
      </c>
      <c r="E6" s="68" t="n">
        <f aca="false">IF(D6&gt;0, D6,(H$42/(H$39-H$40)))</f>
        <v>3488700</v>
      </c>
      <c r="F6" s="69" t="n">
        <v>67</v>
      </c>
      <c r="G6" s="14" t="n">
        <f aca="false">IF(F6&gt;0,D6/F6, )</f>
        <v>52070.1492537313</v>
      </c>
      <c r="H6" s="69" t="n">
        <v>252</v>
      </c>
      <c r="I6" s="14" t="n">
        <f aca="false">IF(H6&gt;0,H6/F6,  )</f>
        <v>3.76119402985075</v>
      </c>
      <c r="J6" s="14" t="n">
        <f aca="false">IF(I6&gt;0,G6/I6,  )</f>
        <v>13844.0476190476</v>
      </c>
    </row>
    <row r="7" customFormat="false" ht="12.75" hidden="false" customHeight="true" outlineLevel="0" collapsed="false">
      <c r="B7" s="9" t="s">
        <v>38</v>
      </c>
      <c r="C7" s="10" t="n">
        <v>44962</v>
      </c>
      <c r="D7" s="67" t="n">
        <v>9369500</v>
      </c>
      <c r="E7" s="68" t="n">
        <f aca="false">IF(D7&gt;0, D7,(H$42/(H$39-H$40)))</f>
        <v>9369500</v>
      </c>
      <c r="F7" s="69" t="n">
        <v>95</v>
      </c>
      <c r="G7" s="14" t="n">
        <f aca="false">IF(F7&gt;0,D7/F7, )</f>
        <v>98626.3157894737</v>
      </c>
      <c r="H7" s="69" t="n">
        <v>694</v>
      </c>
      <c r="I7" s="14" t="n">
        <f aca="false">IF(H7&gt;0,H7/F7,  )</f>
        <v>7.30526315789474</v>
      </c>
      <c r="J7" s="14" t="n">
        <f aca="false">IF(I7&gt;0,G7/I7,  )</f>
        <v>13500.7204610951</v>
      </c>
    </row>
    <row r="8" customFormat="false" ht="12.75" hidden="false" customHeight="true" outlineLevel="0" collapsed="false">
      <c r="B8" s="9" t="s">
        <v>39</v>
      </c>
      <c r="C8" s="10" t="n">
        <v>44963</v>
      </c>
      <c r="D8" s="67" t="n">
        <v>4908650</v>
      </c>
      <c r="E8" s="68" t="n">
        <f aca="false">IF(D8&gt;0, D8,(H$42/(H$39-H$40)))</f>
        <v>4908650</v>
      </c>
      <c r="F8" s="69" t="n">
        <v>98</v>
      </c>
      <c r="G8" s="14" t="n">
        <f aca="false">IF(F8&gt;0,D8/F8, )</f>
        <v>50088.2653061225</v>
      </c>
      <c r="H8" s="69" t="n">
        <v>363</v>
      </c>
      <c r="I8" s="14" t="n">
        <f aca="false">IF(H8&gt;0,H8/F8,  )</f>
        <v>3.70408163265306</v>
      </c>
      <c r="J8" s="14" t="n">
        <f aca="false">IF(I8&gt;0,G8/I8,  )</f>
        <v>13522.4517906336</v>
      </c>
    </row>
    <row r="9" customFormat="false" ht="12.75" hidden="false" customHeight="true" outlineLevel="0" collapsed="false">
      <c r="B9" s="9" t="s">
        <v>40</v>
      </c>
      <c r="C9" s="10" t="n">
        <v>44964</v>
      </c>
      <c r="D9" s="67" t="n">
        <v>4120800</v>
      </c>
      <c r="E9" s="68" t="n">
        <f aca="false">IF(D9&gt;0, D9,(H$42/(H$39-H$40)))</f>
        <v>4120800</v>
      </c>
      <c r="F9" s="69" t="n">
        <v>97</v>
      </c>
      <c r="G9" s="14" t="n">
        <f aca="false">IF(F9&gt;0,D9/F9, )</f>
        <v>42482.4742268041</v>
      </c>
      <c r="H9" s="69" t="n">
        <v>325</v>
      </c>
      <c r="I9" s="14" t="n">
        <f aca="false">IF(H9&gt;0,H9/F9,  )</f>
        <v>3.35051546391753</v>
      </c>
      <c r="J9" s="14" t="n">
        <f aca="false">IF(I9&gt;0,G9/I9,  )</f>
        <v>12679.3846153846</v>
      </c>
    </row>
    <row r="10" customFormat="false" ht="12.75" hidden="false" customHeight="true" outlineLevel="0" collapsed="false">
      <c r="B10" s="9" t="s">
        <v>41</v>
      </c>
      <c r="C10" s="10" t="n">
        <v>44965</v>
      </c>
      <c r="D10" s="67" t="n">
        <v>5008000</v>
      </c>
      <c r="E10" s="68" t="n">
        <f aca="false">IF(D10&gt;0, D10,(H$42/(H$39-H$40)))</f>
        <v>5008000</v>
      </c>
      <c r="F10" s="69" t="n">
        <v>80</v>
      </c>
      <c r="G10" s="14" t="n">
        <f aca="false">IF(F10&gt;0,D10/F10, )</f>
        <v>62600</v>
      </c>
      <c r="H10" s="69" t="n">
        <v>377</v>
      </c>
      <c r="I10" s="14" t="n">
        <f aca="false">IF(H10&gt;0,H10/F10,  )</f>
        <v>4.7125</v>
      </c>
      <c r="J10" s="14" t="n">
        <f aca="false">IF(I10&gt;0,G10/I10,  )</f>
        <v>13283.8196286472</v>
      </c>
    </row>
    <row r="11" customFormat="false" ht="12.75" hidden="false" customHeight="true" outlineLevel="0" collapsed="false">
      <c r="B11" s="9" t="s">
        <v>42</v>
      </c>
      <c r="C11" s="10" t="n">
        <v>44966</v>
      </c>
      <c r="D11" s="67" t="n">
        <v>4315000</v>
      </c>
      <c r="E11" s="68" t="n">
        <f aca="false">IF(D11&gt;0, D11,(H$42/(H$39-H$40)))</f>
        <v>4315000</v>
      </c>
      <c r="F11" s="69" t="n">
        <v>75</v>
      </c>
      <c r="G11" s="14" t="n">
        <f aca="false">IF(F11&gt;0,D11/F11, )</f>
        <v>57533.3333333333</v>
      </c>
      <c r="H11" s="69" t="n">
        <v>363</v>
      </c>
      <c r="I11" s="14" t="n">
        <f aca="false">IF(H11&gt;0,H11/F11,  )</f>
        <v>4.84</v>
      </c>
      <c r="J11" s="14" t="n">
        <f aca="false">IF(I11&gt;0,G11/I11,  )</f>
        <v>11887.0523415978</v>
      </c>
    </row>
    <row r="12" customFormat="false" ht="12.75" hidden="false" customHeight="true" outlineLevel="0" collapsed="false">
      <c r="B12" s="9" t="s">
        <v>43</v>
      </c>
      <c r="C12" s="10" t="n">
        <v>44967</v>
      </c>
      <c r="D12" s="67" t="n">
        <v>2364850</v>
      </c>
      <c r="E12" s="68" t="n">
        <f aca="false">IF(D12&gt;0, D12,(H$42/(H$39-H$40)))</f>
        <v>2364850</v>
      </c>
      <c r="F12" s="69" t="n">
        <v>61</v>
      </c>
      <c r="G12" s="14" t="n">
        <f aca="false">IF(F12&gt;0,D12/F12, )</f>
        <v>38768.0327868852</v>
      </c>
      <c r="H12" s="69" t="n">
        <v>200</v>
      </c>
      <c r="I12" s="14" t="n">
        <f aca="false">IF(H12&gt;0,H12/F12,  )</f>
        <v>3.27868852459016</v>
      </c>
      <c r="J12" s="14" t="n">
        <f aca="false">IF(I12&gt;0,G12/I12,  )</f>
        <v>11824.25</v>
      </c>
    </row>
    <row r="13" customFormat="false" ht="12.75" hidden="false" customHeight="true" outlineLevel="0" collapsed="false">
      <c r="B13" s="9" t="s">
        <v>44</v>
      </c>
      <c r="C13" s="10" t="n">
        <v>44968</v>
      </c>
      <c r="D13" s="67" t="n">
        <v>2881550</v>
      </c>
      <c r="E13" s="68" t="n">
        <f aca="false">IF(D13&gt;0, D13,(H$42/(H$39-H$40)))</f>
        <v>2881550</v>
      </c>
      <c r="F13" s="69" t="n">
        <v>62</v>
      </c>
      <c r="G13" s="14" t="n">
        <f aca="false">IF(F13&gt;0,D13/F13, )</f>
        <v>46476.6129032258</v>
      </c>
      <c r="H13" s="69" t="n">
        <v>231</v>
      </c>
      <c r="I13" s="14" t="n">
        <f aca="false">IF(H13&gt;0,H13/F13,  )</f>
        <v>3.7258064516129</v>
      </c>
      <c r="J13" s="14" t="n">
        <f aca="false">IF(I13&gt;0,G13/I13,  )</f>
        <v>12474.2424242424</v>
      </c>
    </row>
    <row r="14" customFormat="false" ht="12.75" hidden="false" customHeight="true" outlineLevel="0" collapsed="false">
      <c r="B14" s="9" t="s">
        <v>38</v>
      </c>
      <c r="C14" s="10" t="n">
        <v>44969</v>
      </c>
      <c r="D14" s="67" t="n">
        <v>5076400</v>
      </c>
      <c r="E14" s="68" t="n">
        <f aca="false">IF(D14&gt;0, D14,(H$42/(H$39-H$40)))</f>
        <v>5076400</v>
      </c>
      <c r="F14" s="69" t="n">
        <v>85</v>
      </c>
      <c r="G14" s="14" t="n">
        <f aca="false">IF(F14&gt;0,D14/F14, )</f>
        <v>59722.3529411765</v>
      </c>
      <c r="H14" s="69" t="n">
        <v>340</v>
      </c>
      <c r="I14" s="14" t="n">
        <f aca="false">IF(H14&gt;0,H14/F14,  )</f>
        <v>4</v>
      </c>
      <c r="J14" s="14" t="n">
        <f aca="false">IF(I14&gt;0,G14/I14,  )</f>
        <v>14930.5882352941</v>
      </c>
    </row>
    <row r="15" customFormat="false" ht="12.75" hidden="false" customHeight="true" outlineLevel="0" collapsed="false">
      <c r="B15" s="9" t="s">
        <v>39</v>
      </c>
      <c r="C15" s="10" t="n">
        <v>44970</v>
      </c>
      <c r="D15" s="67" t="n">
        <v>3737050</v>
      </c>
      <c r="E15" s="68" t="n">
        <f aca="false">IF(D15&gt;0, D15,(H$42/(H$39-H$40)))</f>
        <v>3737050</v>
      </c>
      <c r="F15" s="69" t="n">
        <v>86</v>
      </c>
      <c r="G15" s="14" t="n">
        <f aca="false">IF(F15&gt;0,D15/F15, )</f>
        <v>43454.0697674419</v>
      </c>
      <c r="H15" s="69" t="n">
        <v>338</v>
      </c>
      <c r="I15" s="14" t="n">
        <f aca="false">IF(H15&gt;0,H15/F15,  )</f>
        <v>3.93023255813953</v>
      </c>
      <c r="J15" s="14" t="n">
        <f aca="false">IF(I15&gt;0,G15/I15,  )</f>
        <v>11056.3609467456</v>
      </c>
    </row>
    <row r="16" customFormat="false" ht="12.75" hidden="false" customHeight="true" outlineLevel="0" collapsed="false">
      <c r="B16" s="9" t="s">
        <v>40</v>
      </c>
      <c r="C16" s="10" t="n">
        <v>44971</v>
      </c>
      <c r="D16" s="67" t="n">
        <v>7575850</v>
      </c>
      <c r="E16" s="68" t="n">
        <f aca="false">IF(D16&gt;0, D16,(H$42/(H$39-H$40)))</f>
        <v>7575850</v>
      </c>
      <c r="F16" s="69" t="n">
        <v>58</v>
      </c>
      <c r="G16" s="14" t="n">
        <f aca="false">IF(F16&gt;0,D16/F16, )</f>
        <v>130618.103448276</v>
      </c>
      <c r="H16" s="69" t="n">
        <v>664</v>
      </c>
      <c r="I16" s="14" t="n">
        <f aca="false">IF(H16&gt;0,H16/F16,  )</f>
        <v>11.448275862069</v>
      </c>
      <c r="J16" s="14" t="n">
        <f aca="false">IF(I16&gt;0,G16/I16,  )</f>
        <v>11409.4126506024</v>
      </c>
    </row>
    <row r="17" customFormat="false" ht="12.75" hidden="false" customHeight="true" outlineLevel="0" collapsed="false">
      <c r="B17" s="9" t="s">
        <v>41</v>
      </c>
      <c r="C17" s="10" t="n">
        <v>44972</v>
      </c>
      <c r="D17" s="67" t="n">
        <v>3315450</v>
      </c>
      <c r="E17" s="68" t="n">
        <f aca="false">IF(D17&gt;0, D17,(H$42/(H$39-H$40)))</f>
        <v>3315450</v>
      </c>
      <c r="F17" s="69" t="n">
        <v>66</v>
      </c>
      <c r="G17" s="14" t="n">
        <f aca="false">IF(F17&gt;0,D17/F17, )</f>
        <v>50234.0909090909</v>
      </c>
      <c r="H17" s="69" t="n">
        <v>242</v>
      </c>
      <c r="I17" s="14" t="n">
        <f aca="false">IF(H17&gt;0,H17/F17,  )</f>
        <v>3.66666666666667</v>
      </c>
      <c r="J17" s="14" t="n">
        <f aca="false">IF(I17&gt;0,G17/I17,  )</f>
        <v>13700.2066115703</v>
      </c>
    </row>
    <row r="18" customFormat="false" ht="12.75" hidden="false" customHeight="true" outlineLevel="0" collapsed="false">
      <c r="B18" s="9" t="s">
        <v>42</v>
      </c>
      <c r="C18" s="10" t="n">
        <v>44973</v>
      </c>
      <c r="D18" s="67" t="n">
        <v>2224150</v>
      </c>
      <c r="E18" s="68" t="n">
        <f aca="false">IF(D18&gt;0, D18,(H$42/(H$39-H$40)))</f>
        <v>2224150</v>
      </c>
      <c r="F18" s="69" t="n">
        <v>51</v>
      </c>
      <c r="G18" s="14" t="n">
        <f aca="false">IF(F18&gt;0,D18/F18, )</f>
        <v>43610.7843137255</v>
      </c>
      <c r="H18" s="69" t="n">
        <v>183</v>
      </c>
      <c r="I18" s="14" t="n">
        <f aca="false">IF(H18&gt;0,H18/F18,  )</f>
        <v>3.58823529411765</v>
      </c>
      <c r="J18" s="14" t="n">
        <f aca="false">IF(I18&gt;0,G18/I18,  )</f>
        <v>12153.825136612</v>
      </c>
    </row>
    <row r="19" customFormat="false" ht="12.75" hidden="false" customHeight="true" outlineLevel="0" collapsed="false">
      <c r="B19" s="9" t="s">
        <v>43</v>
      </c>
      <c r="C19" s="10" t="n">
        <v>44974</v>
      </c>
      <c r="D19" s="67" t="n">
        <v>2892950</v>
      </c>
      <c r="E19" s="68" t="n">
        <f aca="false">IF(D19&gt;0, D19,(H$42/(H$39-H$40)))</f>
        <v>2892950</v>
      </c>
      <c r="F19" s="69" t="n">
        <v>58</v>
      </c>
      <c r="G19" s="14" t="n">
        <f aca="false">IF(F19&gt;0,D19/F19, )</f>
        <v>49878.4482758621</v>
      </c>
      <c r="H19" s="69" t="n">
        <v>210</v>
      </c>
      <c r="I19" s="14" t="n">
        <f aca="false">IF(H19&gt;0,H19/F19,  )</f>
        <v>3.62068965517241</v>
      </c>
      <c r="J19" s="14" t="n">
        <f aca="false">IF(I19&gt;0,G19/I19,  )</f>
        <v>13775.9523809524</v>
      </c>
    </row>
    <row r="20" customFormat="false" ht="12.75" hidden="false" customHeight="true" outlineLevel="0" collapsed="false">
      <c r="B20" s="9" t="s">
        <v>44</v>
      </c>
      <c r="C20" s="10" t="n">
        <v>44975</v>
      </c>
      <c r="D20" s="67" t="n">
        <v>3640750</v>
      </c>
      <c r="E20" s="68" t="n">
        <f aca="false">IF(D20&gt;0, D20,(H$42/(H$39-H$40)))</f>
        <v>3640750</v>
      </c>
      <c r="F20" s="69" t="n">
        <v>77</v>
      </c>
      <c r="G20" s="14" t="n">
        <f aca="false">IF(F20&gt;0,D20/F20, )</f>
        <v>47282.4675324675</v>
      </c>
      <c r="H20" s="69" t="n">
        <v>257</v>
      </c>
      <c r="I20" s="14" t="n">
        <f aca="false">IF(H20&gt;0,H20/F20,  )</f>
        <v>3.33766233766234</v>
      </c>
      <c r="J20" s="14" t="n">
        <f aca="false">IF(I20&gt;0,G20/I20,  )</f>
        <v>14166.3424124514</v>
      </c>
    </row>
    <row r="21" customFormat="false" ht="12.75" hidden="false" customHeight="true" outlineLevel="0" collapsed="false">
      <c r="B21" s="9" t="s">
        <v>38</v>
      </c>
      <c r="C21" s="10" t="n">
        <v>44976</v>
      </c>
      <c r="D21" s="67" t="n">
        <v>2704800</v>
      </c>
      <c r="E21" s="68" t="n">
        <f aca="false">IF(D21&gt;0, D21,(H$42/(H$39-H$40)))</f>
        <v>2704800</v>
      </c>
      <c r="F21" s="69" t="n">
        <v>61</v>
      </c>
      <c r="G21" s="14" t="n">
        <f aca="false">IF(F21&gt;0,D21/F21, )</f>
        <v>44340.9836065574</v>
      </c>
      <c r="H21" s="69" t="n">
        <v>187</v>
      </c>
      <c r="I21" s="14" t="n">
        <f aca="false">IF(H21&gt;0,H21/F21,  )</f>
        <v>3.0655737704918</v>
      </c>
      <c r="J21" s="14" t="n">
        <f aca="false">IF(I21&gt;0,G21/I21,  )</f>
        <v>14464.1711229947</v>
      </c>
    </row>
    <row r="22" customFormat="false" ht="12.75" hidden="false" customHeight="true" outlineLevel="0" collapsed="false">
      <c r="B22" s="9" t="s">
        <v>39</v>
      </c>
      <c r="C22" s="10" t="n">
        <v>44977</v>
      </c>
      <c r="D22" s="67" t="n">
        <v>4002050</v>
      </c>
      <c r="E22" s="68" t="n">
        <f aca="false">IF(D22&gt;0, D22,(H$42/(H$39-H$40)))</f>
        <v>4002050</v>
      </c>
      <c r="F22" s="70" t="n">
        <v>73</v>
      </c>
      <c r="G22" s="14" t="n">
        <f aca="false">IF(F22&gt;0,D22/F22, )</f>
        <v>54822.602739726</v>
      </c>
      <c r="H22" s="69" t="n">
        <v>324</v>
      </c>
      <c r="I22" s="14" t="n">
        <f aca="false">IF(H22&gt;0,H22/F22,  )</f>
        <v>4.43835616438356</v>
      </c>
      <c r="J22" s="14" t="n">
        <f aca="false">IF(I22&gt;0,G22/I22,  )</f>
        <v>12352.0061728395</v>
      </c>
    </row>
    <row r="23" customFormat="false" ht="12.75" hidden="false" customHeight="true" outlineLevel="0" collapsed="false">
      <c r="B23" s="9" t="s">
        <v>40</v>
      </c>
      <c r="C23" s="10" t="n">
        <v>44978</v>
      </c>
      <c r="D23" s="67" t="n">
        <v>3087250</v>
      </c>
      <c r="E23" s="68" t="n">
        <f aca="false">IF(D23&gt;0, D23,(H$42/(H$39-H$40)))</f>
        <v>3087250</v>
      </c>
      <c r="F23" s="69" t="n">
        <v>68</v>
      </c>
      <c r="G23" s="14" t="n">
        <f aca="false">IF(F23&gt;0,D23/F23, )</f>
        <v>45400.7352941177</v>
      </c>
      <c r="H23" s="69" t="n">
        <v>216</v>
      </c>
      <c r="I23" s="14" t="n">
        <f aca="false">IF(H23&gt;0,H23/F23,  )</f>
        <v>3.17647058823529</v>
      </c>
      <c r="J23" s="14" t="n">
        <f aca="false">IF(I23&gt;0,G23/I23,  )</f>
        <v>14292.8240740741</v>
      </c>
    </row>
    <row r="24" customFormat="false" ht="12.75" hidden="false" customHeight="true" outlineLevel="0" collapsed="false">
      <c r="B24" s="9" t="s">
        <v>41</v>
      </c>
      <c r="C24" s="10" t="n">
        <v>44979</v>
      </c>
      <c r="D24" s="67" t="n">
        <v>3222400</v>
      </c>
      <c r="E24" s="68" t="n">
        <f aca="false">IF(D24&gt;0, D24,(H$42/(H$39-H$40)))</f>
        <v>3222400</v>
      </c>
      <c r="F24" s="69" t="n">
        <v>78</v>
      </c>
      <c r="G24" s="14" t="n">
        <f aca="false">IF(F24&gt;0,D24/F24, )</f>
        <v>41312.8205128205</v>
      </c>
      <c r="H24" s="69" t="n">
        <v>268</v>
      </c>
      <c r="I24" s="14" t="n">
        <f aca="false">IF(H24&gt;0,H24/F24,  )</f>
        <v>3.43589743589744</v>
      </c>
      <c r="J24" s="14" t="n">
        <f aca="false">IF(I24&gt;0,G24/I24,  )</f>
        <v>12023.8805970149</v>
      </c>
    </row>
    <row r="25" customFormat="false" ht="12.75" hidden="false" customHeight="true" outlineLevel="0" collapsed="false">
      <c r="B25" s="9" t="s">
        <v>42</v>
      </c>
      <c r="C25" s="10" t="n">
        <v>44980</v>
      </c>
      <c r="D25" s="67" t="n">
        <v>4354350</v>
      </c>
      <c r="E25" s="68" t="n">
        <f aca="false">IF(D25&gt;0, D25,(H$42/(H$39-H$40)))</f>
        <v>4354350</v>
      </c>
      <c r="F25" s="69" t="n">
        <v>69</v>
      </c>
      <c r="G25" s="14" t="n">
        <f aca="false">IF(F25&gt;0,D25/F25, )</f>
        <v>63106.5217391304</v>
      </c>
      <c r="H25" s="69" t="n">
        <v>305</v>
      </c>
      <c r="I25" s="14" t="n">
        <f aca="false">IF(H25&gt;0,H25/F25,  )</f>
        <v>4.42028985507246</v>
      </c>
      <c r="J25" s="14" t="n">
        <f aca="false">IF(I25&gt;0,G25/I25,  )</f>
        <v>14276.5573770492</v>
      </c>
    </row>
    <row r="26" customFormat="false" ht="12.75" hidden="false" customHeight="true" outlineLevel="0" collapsed="false">
      <c r="B26" s="9" t="s">
        <v>43</v>
      </c>
      <c r="C26" s="10" t="n">
        <v>44981</v>
      </c>
      <c r="D26" s="67" t="n">
        <v>1789950</v>
      </c>
      <c r="E26" s="68" t="n">
        <f aca="false">IF(D26&gt;0, D26,(H$42/(H$39-H$40)))</f>
        <v>1789950</v>
      </c>
      <c r="F26" s="69" t="n">
        <v>45</v>
      </c>
      <c r="G26" s="14" t="n">
        <f aca="false">IF(F26&gt;0,D26/F26, )</f>
        <v>39776.6666666667</v>
      </c>
      <c r="H26" s="69" t="n">
        <v>138</v>
      </c>
      <c r="I26" s="14" t="n">
        <f aca="false">IF(H26&gt;0,H26/F26,  )</f>
        <v>3.06666666666667</v>
      </c>
      <c r="J26" s="14" t="n">
        <f aca="false">IF(I26&gt;0,G26/I26,  )</f>
        <v>12970.652173913</v>
      </c>
    </row>
    <row r="27" customFormat="false" ht="12.75" hidden="false" customHeight="true" outlineLevel="0" collapsed="false">
      <c r="B27" s="9" t="s">
        <v>44</v>
      </c>
      <c r="C27" s="10" t="n">
        <v>44982</v>
      </c>
      <c r="D27" s="67" t="n">
        <v>1799200</v>
      </c>
      <c r="E27" s="68" t="n">
        <f aca="false">IF(D27&gt;0, D27,(H$42/(H$39-H$40)))</f>
        <v>1799200</v>
      </c>
      <c r="F27" s="69" t="n">
        <v>54</v>
      </c>
      <c r="G27" s="14" t="n">
        <f aca="false">IF(F27&gt;0,D27/F27, )</f>
        <v>33318.5185185185</v>
      </c>
      <c r="H27" s="69" t="n">
        <v>136</v>
      </c>
      <c r="I27" s="14" t="n">
        <f aca="false">IF(H27&gt;0,H27/F27,  )</f>
        <v>2.51851851851852</v>
      </c>
      <c r="J27" s="14" t="n">
        <f aca="false">IF(I27&gt;0,G27/I27,  )</f>
        <v>13229.4117647059</v>
      </c>
    </row>
    <row r="28" customFormat="false" ht="12.75" hidden="false" customHeight="true" outlineLevel="0" collapsed="false">
      <c r="B28" s="9" t="s">
        <v>38</v>
      </c>
      <c r="C28" s="10" t="n">
        <v>44983</v>
      </c>
      <c r="D28" s="67" t="n">
        <v>3200150</v>
      </c>
      <c r="E28" s="68" t="n">
        <f aca="false">IF(D28&gt;0, D28,(H$42/(H$39-H$40)))</f>
        <v>3200150</v>
      </c>
      <c r="F28" s="69" t="n">
        <v>53</v>
      </c>
      <c r="G28" s="14" t="n">
        <f aca="false">IF(F28&gt;0,D28/F28, )</f>
        <v>60380.1886792453</v>
      </c>
      <c r="H28" s="69" t="n">
        <v>245</v>
      </c>
      <c r="I28" s="14" t="n">
        <f aca="false">IF(H28&gt;0,H28/F28,  )</f>
        <v>4.62264150943396</v>
      </c>
      <c r="J28" s="14" t="n">
        <f aca="false">IF(I28&gt;0,G28/I28,  )</f>
        <v>13061.8367346939</v>
      </c>
    </row>
    <row r="29" customFormat="false" ht="12.75" hidden="false" customHeight="true" outlineLevel="0" collapsed="false">
      <c r="B29" s="9" t="s">
        <v>39</v>
      </c>
      <c r="C29" s="10" t="n">
        <v>44984</v>
      </c>
      <c r="D29" s="67" t="n">
        <v>3120300</v>
      </c>
      <c r="E29" s="68" t="n">
        <f aca="false">IF(D29&gt;0, D29,(H$42/(H$39-H$40)))</f>
        <v>3120300</v>
      </c>
      <c r="F29" s="69" t="n">
        <v>79</v>
      </c>
      <c r="G29" s="14" t="n">
        <f aca="false">IF(F29&gt;0,D29/F29, )</f>
        <v>39497.4683544304</v>
      </c>
      <c r="H29" s="69" t="n">
        <v>248</v>
      </c>
      <c r="I29" s="14" t="n">
        <f aca="false">IF(H29&gt;0,H29/F29,  )</f>
        <v>3.13924050632911</v>
      </c>
      <c r="J29" s="14" t="n">
        <f aca="false">IF(I29&gt;0,G29/I29,  )</f>
        <v>12581.8548387097</v>
      </c>
    </row>
    <row r="30" customFormat="false" ht="12.75" hidden="false" customHeight="true" outlineLevel="0" collapsed="false">
      <c r="B30" s="9" t="s">
        <v>40</v>
      </c>
      <c r="C30" s="10" t="n">
        <v>44985</v>
      </c>
      <c r="D30" s="67" t="n">
        <v>2717200</v>
      </c>
      <c r="E30" s="68" t="n">
        <f aca="false">IF(D30&gt;0, D30,(H$42/(H$39-H$40)))</f>
        <v>2717200</v>
      </c>
      <c r="F30" s="69" t="n">
        <v>57</v>
      </c>
      <c r="G30" s="14" t="n">
        <f aca="false">IF(F30&gt;0,D30/F30, )</f>
        <v>47670.1754385965</v>
      </c>
      <c r="H30" s="69" t="n">
        <v>204</v>
      </c>
      <c r="I30" s="14" t="n">
        <f aca="false">IF(H30&gt;0,H30/F30,  )</f>
        <v>3.57894736842105</v>
      </c>
      <c r="J30" s="14" t="n">
        <f aca="false">IF(I30&gt;0,G30/I30,  )</f>
        <v>13319.6078431373</v>
      </c>
      <c r="L30" s="20"/>
    </row>
    <row r="31" customFormat="false" ht="12.75" hidden="false" customHeight="true" outlineLevel="0" collapsed="false">
      <c r="B31" s="9"/>
      <c r="C31" s="10"/>
      <c r="D31" s="67"/>
      <c r="E31" s="68" t="e">
        <f aca="false">IF(D31&gt;0, D31,(H$42/(H$39-H$40)))</f>
        <v>#DIV/0!</v>
      </c>
      <c r="F31" s="69"/>
      <c r="G31" s="14" t="n">
        <f aca="false">IF(F31&gt;0,D31/F31, )</f>
        <v>0</v>
      </c>
      <c r="H31" s="69"/>
      <c r="I31" s="14" t="n">
        <f aca="false">IF(H31&gt;0,H31/F31,  )</f>
        <v>0</v>
      </c>
      <c r="J31" s="14" t="n">
        <f aca="false">IF(I31&gt;0,G31/I31,  )</f>
        <v>0</v>
      </c>
    </row>
    <row r="32" customFormat="false" ht="12.75" hidden="false" customHeight="true" outlineLevel="0" collapsed="false">
      <c r="B32" s="9"/>
      <c r="C32" s="10"/>
      <c r="D32" s="67"/>
      <c r="E32" s="68" t="e">
        <f aca="false">IF(D32&gt;0, D32,(H$42/(H$39-H$40)))</f>
        <v>#DIV/0!</v>
      </c>
      <c r="F32" s="69"/>
      <c r="G32" s="14" t="n">
        <f aca="false">IF(F32&gt;0,D32/F32, )</f>
        <v>0</v>
      </c>
      <c r="H32" s="69"/>
      <c r="I32" s="14" t="n">
        <f aca="false">IF(H32&gt;0,H32/F32,  )</f>
        <v>0</v>
      </c>
      <c r="J32" s="14" t="n">
        <f aca="false">IF(I32&gt;0,G32/I32,  )</f>
        <v>0</v>
      </c>
    </row>
    <row r="33" customFormat="false" ht="12.75" hidden="false" customHeight="true" outlineLevel="0" collapsed="false">
      <c r="B33" s="9"/>
      <c r="C33" s="10"/>
      <c r="D33" s="67"/>
      <c r="E33" s="68"/>
      <c r="F33" s="69"/>
      <c r="G33" s="14"/>
      <c r="H33" s="69"/>
      <c r="I33" s="14"/>
      <c r="J33" s="14"/>
    </row>
    <row r="34" customFormat="false" ht="12.75" hidden="false" customHeight="true" outlineLevel="0" collapsed="false">
      <c r="B34" s="21" t="s">
        <v>18</v>
      </c>
      <c r="C34" s="22"/>
      <c r="D34" s="23" t="n">
        <f aca="false">AVERAGE(D3:D33)</f>
        <v>3749494.64285714</v>
      </c>
      <c r="E34" s="23"/>
      <c r="F34" s="24" t="n">
        <f aca="false">AVERAGE(F3:F33)</f>
        <v>72.0714285714286</v>
      </c>
      <c r="G34" s="23" t="n">
        <f aca="false">D34/F34</f>
        <v>52024.7026759168</v>
      </c>
      <c r="H34" s="24" t="n">
        <f aca="false">AVERAGE(H3:H33)</f>
        <v>290</v>
      </c>
      <c r="I34" s="24" t="n">
        <f aca="false">IF(H34&gt;0,H34/F34,  )</f>
        <v>4.02378592666006</v>
      </c>
      <c r="J34" s="25" t="n">
        <f aca="false">IF(I34&gt;0,G34/I34,  )</f>
        <v>12929.2918719212</v>
      </c>
    </row>
    <row r="35" customFormat="false" ht="12.75" hidden="false" customHeight="true" outlineLevel="0" collapsed="false">
      <c r="B35" s="26" t="s">
        <v>19</v>
      </c>
      <c r="C35" s="27"/>
      <c r="D35" s="28" t="n">
        <f aca="false">SUM(D3:D33)</f>
        <v>104985850</v>
      </c>
      <c r="E35" s="28"/>
      <c r="F35" s="29" t="n">
        <f aca="false">SUM(F3:F33)</f>
        <v>2018</v>
      </c>
      <c r="G35" s="30"/>
      <c r="H35" s="29" t="n">
        <f aca="false">SUM(H3:H33)</f>
        <v>8120</v>
      </c>
      <c r="I35" s="29"/>
      <c r="J35" s="29"/>
    </row>
    <row r="36" customFormat="false" ht="12.75" hidden="false" customHeight="true" outlineLevel="0" collapsed="false">
      <c r="B36" s="31" t="s">
        <v>20</v>
      </c>
      <c r="C36" s="32"/>
      <c r="D36" s="33" t="n">
        <v>120000000</v>
      </c>
      <c r="E36" s="34"/>
      <c r="F36" s="35"/>
      <c r="G36" s="36"/>
      <c r="H36" s="35"/>
      <c r="I36" s="35"/>
      <c r="J36" s="35"/>
    </row>
    <row r="37" customFormat="false" ht="12.75" hidden="false" customHeight="true" outlineLevel="0" collapsed="false">
      <c r="B37" s="37" t="s">
        <v>21</v>
      </c>
      <c r="C37" s="38"/>
      <c r="D37" s="39" t="n">
        <f aca="false">D35/D36</f>
        <v>0.874882083333333</v>
      </c>
      <c r="E37" s="39"/>
      <c r="F37" s="40"/>
      <c r="G37" s="41"/>
      <c r="H37" s="42"/>
      <c r="I37" s="42"/>
      <c r="J37" s="42"/>
    </row>
    <row r="39" customFormat="false" ht="12.75" hidden="false" customHeight="true" outlineLevel="0" collapsed="false">
      <c r="E39" s="43" t="s">
        <v>22</v>
      </c>
      <c r="F39" s="43"/>
      <c r="G39" s="43"/>
      <c r="H39" s="44" t="n">
        <f aca="false">COUNTA(C3:C33)</f>
        <v>28</v>
      </c>
    </row>
    <row r="40" customFormat="false" ht="12.75" hidden="false" customHeight="true" outlineLevel="0" collapsed="false">
      <c r="E40" s="45" t="s">
        <v>23</v>
      </c>
      <c r="F40" s="45"/>
      <c r="G40" s="45"/>
      <c r="H40" s="46" t="n">
        <f aca="false">COUNTA(D3:D33)</f>
        <v>28</v>
      </c>
    </row>
    <row r="41" customFormat="false" ht="12.75" hidden="false" customHeight="true" outlineLevel="0" collapsed="false">
      <c r="E41" s="47" t="s">
        <v>24</v>
      </c>
      <c r="F41" s="47"/>
      <c r="G41" s="47"/>
      <c r="H41" s="48" t="n">
        <f aca="false">D36</f>
        <v>120000000</v>
      </c>
    </row>
    <row r="42" customFormat="false" ht="12.75" hidden="false" customHeight="true" outlineLevel="0" collapsed="false">
      <c r="E42" s="49" t="s">
        <v>25</v>
      </c>
      <c r="F42" s="49"/>
      <c r="G42" s="49"/>
      <c r="H42" s="50" t="n">
        <f aca="false">D36-D35</f>
        <v>15014150</v>
      </c>
    </row>
    <row r="43" customFormat="false" ht="12.75" hidden="false" customHeight="true" outlineLevel="0" collapsed="false">
      <c r="E43" s="49" t="s">
        <v>26</v>
      </c>
      <c r="F43" s="49"/>
      <c r="G43" s="49"/>
      <c r="H43" s="51" t="n">
        <f aca="false">H46*H39</f>
        <v>104985850</v>
      </c>
    </row>
    <row r="44" customFormat="false" ht="12.75" hidden="false" customHeight="true" outlineLevel="0" collapsed="false">
      <c r="E44" s="52" t="s">
        <v>27</v>
      </c>
      <c r="F44" s="52"/>
      <c r="G44" s="52"/>
      <c r="H44" s="53" t="n">
        <f aca="false">H43-H41</f>
        <v>-15014150</v>
      </c>
    </row>
    <row r="45" customFormat="false" ht="12.75" hidden="false" customHeight="true" outlineLevel="0" collapsed="false">
      <c r="E45" s="54" t="s">
        <v>28</v>
      </c>
      <c r="F45" s="54"/>
      <c r="G45" s="54"/>
      <c r="H45" s="55" t="n">
        <f aca="false">H41/H39</f>
        <v>4285714.28571429</v>
      </c>
    </row>
    <row r="46" customFormat="false" ht="12.75" hidden="false" customHeight="true" outlineLevel="0" collapsed="false">
      <c r="E46" s="56" t="s">
        <v>29</v>
      </c>
      <c r="F46" s="56"/>
      <c r="G46" s="56"/>
      <c r="H46" s="57" t="n">
        <f aca="false">AVERAGE(D3:D33)</f>
        <v>3749494.64285714</v>
      </c>
    </row>
    <row r="47" customFormat="false" ht="12.75" hidden="false" customHeight="true" outlineLevel="0" collapsed="false">
      <c r="E47" s="56" t="s">
        <v>30</v>
      </c>
      <c r="F47" s="56"/>
      <c r="G47" s="56"/>
      <c r="H47" s="58" t="n">
        <f aca="false">(H41/H49)/H39</f>
        <v>82.3784484153953</v>
      </c>
    </row>
    <row r="48" customFormat="false" ht="12.75" hidden="false" customHeight="true" outlineLevel="0" collapsed="false">
      <c r="E48" s="56" t="s">
        <v>31</v>
      </c>
      <c r="F48" s="56"/>
      <c r="G48" s="56"/>
      <c r="H48" s="57" t="n">
        <f aca="false">F34</f>
        <v>72.0714285714286</v>
      </c>
    </row>
    <row r="49" customFormat="false" ht="12.75" hidden="false" customHeight="true" outlineLevel="0" collapsed="false">
      <c r="E49" s="56" t="s">
        <v>32</v>
      </c>
      <c r="F49" s="56"/>
      <c r="G49" s="56"/>
      <c r="H49" s="59" t="n">
        <f aca="false">G34</f>
        <v>52024.7026759168</v>
      </c>
    </row>
    <row r="50" customFormat="false" ht="12.75" hidden="false" customHeight="true" outlineLevel="0" collapsed="false">
      <c r="E50" s="56" t="s">
        <v>33</v>
      </c>
      <c r="F50" s="56"/>
      <c r="G50" s="56"/>
      <c r="H50" s="60" t="n">
        <f aca="false">H46-H45</f>
        <v>-536219.642857143</v>
      </c>
    </row>
    <row r="51" customFormat="false" ht="12.75" hidden="false" customHeight="true" outlineLevel="0" collapsed="false">
      <c r="E51" s="56" t="s">
        <v>34</v>
      </c>
      <c r="F51" s="56"/>
      <c r="G51" s="56"/>
      <c r="H51" s="61" t="n">
        <f aca="false">H43/H41</f>
        <v>0.874882083333333</v>
      </c>
    </row>
    <row r="52" customFormat="false" ht="12.75" hidden="false" customHeight="true" outlineLevel="0" collapsed="false">
      <c r="E52" s="62" t="s">
        <v>35</v>
      </c>
      <c r="F52" s="62"/>
      <c r="G52" s="62"/>
      <c r="H52" s="63" t="n">
        <f aca="false">D35/H41</f>
        <v>0.874882083333333</v>
      </c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0.25" defaultRowHeight="15" zeroHeight="false" outlineLevelRow="0" outlineLevelCol="0"/>
  <cols>
    <col collapsed="false" customWidth="true" hidden="false" outlineLevel="0" max="1" min="1" style="0" width="23.51"/>
    <col collapsed="false" customWidth="true" hidden="false" outlineLevel="0" max="2" min="2" style="0" width="11.59"/>
    <col collapsed="false" customWidth="true" hidden="false" outlineLevel="0" max="3" min="3" style="0" width="9.18"/>
    <col collapsed="false" customWidth="true" hidden="false" outlineLevel="0" max="8" min="4" style="0" width="14.54"/>
    <col collapsed="false" customWidth="true" hidden="false" outlineLevel="0" max="9" min="9" style="0" width="13.33"/>
    <col collapsed="false" customWidth="true" hidden="false" outlineLevel="0" max="10" min="10" style="0" width="12.5"/>
  </cols>
  <sheetData>
    <row r="1" customFormat="false" ht="23.1" hidden="false" customHeight="true" outlineLevel="0" collapsed="false">
      <c r="B1" s="64" t="s">
        <v>46</v>
      </c>
      <c r="C1" s="2"/>
      <c r="D1" s="3" t="s">
        <v>1</v>
      </c>
      <c r="E1" s="3"/>
      <c r="F1" s="3"/>
      <c r="G1" s="3"/>
      <c r="H1" s="3"/>
      <c r="I1" s="3"/>
      <c r="J1" s="3"/>
    </row>
    <row r="2" customFormat="false" ht="30.55" hidden="false" customHeight="true" outlineLevel="0" collapsed="false">
      <c r="B2" s="4" t="s">
        <v>2</v>
      </c>
      <c r="C2" s="5" t="s">
        <v>3</v>
      </c>
      <c r="D2" s="65" t="s">
        <v>4</v>
      </c>
      <c r="E2" s="65" t="s">
        <v>5</v>
      </c>
      <c r="F2" s="65" t="s">
        <v>6</v>
      </c>
      <c r="G2" s="66" t="s">
        <v>7</v>
      </c>
      <c r="H2" s="8" t="s">
        <v>8</v>
      </c>
      <c r="I2" s="8" t="s">
        <v>9</v>
      </c>
      <c r="J2" s="8" t="s">
        <v>10</v>
      </c>
    </row>
    <row r="3" customFormat="false" ht="12.75" hidden="false" customHeight="true" outlineLevel="0" collapsed="false">
      <c r="B3" s="9" t="s">
        <v>41</v>
      </c>
      <c r="C3" s="10" t="n">
        <v>44986</v>
      </c>
      <c r="D3" s="67" t="n">
        <v>2563550</v>
      </c>
      <c r="E3" s="68" t="n">
        <f aca="false">IF(D3&gt;0, D3,(H$42/(H$39-H$40)))</f>
        <v>2563550</v>
      </c>
      <c r="F3" s="69" t="n">
        <v>58</v>
      </c>
      <c r="G3" s="14" t="n">
        <f aca="false">IF(F3&gt;0,D3/F3, )</f>
        <v>44199.1379310345</v>
      </c>
      <c r="H3" s="69" t="n">
        <v>203</v>
      </c>
      <c r="I3" s="14" t="n">
        <f aca="false">IF(H3&gt;0,H3/F3,  )</f>
        <v>3.5</v>
      </c>
      <c r="J3" s="14" t="n">
        <f aca="false">IF(I3&gt;0,G3/I3,  )</f>
        <v>12628.3251231527</v>
      </c>
    </row>
    <row r="4" customFormat="false" ht="12.75" hidden="false" customHeight="true" outlineLevel="0" collapsed="false">
      <c r="B4" s="9" t="s">
        <v>42</v>
      </c>
      <c r="C4" s="10" t="n">
        <v>44987</v>
      </c>
      <c r="D4" s="67" t="n">
        <v>2841000</v>
      </c>
      <c r="E4" s="68" t="n">
        <f aca="false">IF(D4&gt;0, D4,(H$42/(H$39-H$40)))</f>
        <v>2841000</v>
      </c>
      <c r="F4" s="69" t="n">
        <v>68</v>
      </c>
      <c r="G4" s="14" t="n">
        <f aca="false">IF(F4&gt;0,D4/F4, )</f>
        <v>41779.4117647059</v>
      </c>
      <c r="H4" s="69" t="n">
        <v>221</v>
      </c>
      <c r="I4" s="14" t="n">
        <f aca="false">IF(H4&gt;0,H4/F4,  )</f>
        <v>3.25</v>
      </c>
      <c r="J4" s="14" t="n">
        <f aca="false">IF(I4&gt;0,G4/I4,  )</f>
        <v>12855.2036199095</v>
      </c>
    </row>
    <row r="5" customFormat="false" ht="12.75" hidden="false" customHeight="true" outlineLevel="0" collapsed="false">
      <c r="B5" s="9" t="s">
        <v>43</v>
      </c>
      <c r="C5" s="10" t="n">
        <v>44988</v>
      </c>
      <c r="D5" s="67" t="n">
        <v>3938550</v>
      </c>
      <c r="E5" s="68" t="n">
        <f aca="false">IF(D5&gt;0, D5,(H$42/(H$39-H$40)))</f>
        <v>3938550</v>
      </c>
      <c r="F5" s="69" t="n">
        <v>86</v>
      </c>
      <c r="G5" s="14" t="n">
        <f aca="false">IF(F5&gt;0,D5/F5, )</f>
        <v>45797.0930232558</v>
      </c>
      <c r="H5" s="69" t="n">
        <v>288</v>
      </c>
      <c r="I5" s="14" t="n">
        <f aca="false">IF(H5&gt;0,H5/F5,  )</f>
        <v>3.34883720930233</v>
      </c>
      <c r="J5" s="14" t="n">
        <f aca="false">IF(I5&gt;0,G5/I5,  )</f>
        <v>13675.5208333333</v>
      </c>
    </row>
    <row r="6" customFormat="false" ht="12.75" hidden="false" customHeight="true" outlineLevel="0" collapsed="false">
      <c r="B6" s="9" t="s">
        <v>44</v>
      </c>
      <c r="C6" s="10" t="n">
        <v>44989</v>
      </c>
      <c r="D6" s="67" t="n">
        <v>4597200</v>
      </c>
      <c r="E6" s="68" t="n">
        <f aca="false">IF(D6&gt;0, D6,(H$42/(H$39-H$40)))</f>
        <v>4597200</v>
      </c>
      <c r="F6" s="69" t="n">
        <v>71</v>
      </c>
      <c r="G6" s="14" t="n">
        <f aca="false">IF(F6&gt;0,D6/F6, )</f>
        <v>64749.2957746479</v>
      </c>
      <c r="H6" s="69" t="n">
        <v>356</v>
      </c>
      <c r="I6" s="14" t="n">
        <f aca="false">IF(H6&gt;0,H6/F6,  )</f>
        <v>5.01408450704225</v>
      </c>
      <c r="J6" s="14" t="n">
        <f aca="false">IF(I6&gt;0,G6/I6,  )</f>
        <v>12913.4831460674</v>
      </c>
    </row>
    <row r="7" customFormat="false" ht="12.75" hidden="false" customHeight="true" outlineLevel="0" collapsed="false">
      <c r="B7" s="9" t="s">
        <v>38</v>
      </c>
      <c r="C7" s="10" t="n">
        <v>44990</v>
      </c>
      <c r="D7" s="67" t="n">
        <v>3099050</v>
      </c>
      <c r="E7" s="68" t="n">
        <f aca="false">IF(D7&gt;0, D7,(H$42/(H$39-H$40)))</f>
        <v>3099050</v>
      </c>
      <c r="F7" s="69" t="n">
        <v>62</v>
      </c>
      <c r="G7" s="14" t="n">
        <f aca="false">IF(F7&gt;0,D7/F7, )</f>
        <v>49984.6774193548</v>
      </c>
      <c r="H7" s="69" t="n">
        <v>224</v>
      </c>
      <c r="I7" s="14" t="n">
        <f aca="false">IF(H7&gt;0,H7/F7,  )</f>
        <v>3.61290322580645</v>
      </c>
      <c r="J7" s="14" t="n">
        <f aca="false">IF(I7&gt;0,G7/I7,  )</f>
        <v>13835.0446428571</v>
      </c>
    </row>
    <row r="8" customFormat="false" ht="12.75" hidden="false" customHeight="true" outlineLevel="0" collapsed="false">
      <c r="B8" s="9" t="s">
        <v>39</v>
      </c>
      <c r="C8" s="10" t="n">
        <v>44991</v>
      </c>
      <c r="D8" s="67" t="n">
        <v>4370900</v>
      </c>
      <c r="E8" s="68" t="n">
        <f aca="false">IF(D8&gt;0, D8,(H$42/(H$39-H$40)))</f>
        <v>4370900</v>
      </c>
      <c r="F8" s="69" t="n">
        <v>71</v>
      </c>
      <c r="G8" s="14" t="n">
        <f aca="false">IF(F8&gt;0,D8/F8, )</f>
        <v>61561.9718309859</v>
      </c>
      <c r="H8" s="69" t="n">
        <v>328</v>
      </c>
      <c r="I8" s="14" t="n">
        <f aca="false">IF(H8&gt;0,H8/F8,  )</f>
        <v>4.61971830985916</v>
      </c>
      <c r="J8" s="14" t="n">
        <f aca="false">IF(I8&gt;0,G8/I8,  )</f>
        <v>13325.9146341463</v>
      </c>
    </row>
    <row r="9" customFormat="false" ht="12.75" hidden="false" customHeight="true" outlineLevel="0" collapsed="false">
      <c r="B9" s="9" t="s">
        <v>40</v>
      </c>
      <c r="C9" s="10" t="n">
        <v>44992</v>
      </c>
      <c r="D9" s="67" t="n">
        <v>5183500</v>
      </c>
      <c r="E9" s="68" t="n">
        <f aca="false">IF(D9&gt;0, D9,(H$42/(H$39-H$40)))</f>
        <v>5183500</v>
      </c>
      <c r="F9" s="69" t="n">
        <v>102</v>
      </c>
      <c r="G9" s="14" t="n">
        <f aca="false">IF(F9&gt;0,D9/F9, )</f>
        <v>50818.6274509804</v>
      </c>
      <c r="H9" s="69" t="n">
        <v>347</v>
      </c>
      <c r="I9" s="14" t="n">
        <f aca="false">IF(H9&gt;0,H9/F9,  )</f>
        <v>3.40196078431373</v>
      </c>
      <c r="J9" s="14" t="n">
        <f aca="false">IF(I9&gt;0,G9/I9,  )</f>
        <v>14938.0403458213</v>
      </c>
    </row>
    <row r="10" customFormat="false" ht="12.75" hidden="false" customHeight="true" outlineLevel="0" collapsed="false">
      <c r="B10" s="9" t="s">
        <v>41</v>
      </c>
      <c r="C10" s="10" t="n">
        <v>44993</v>
      </c>
      <c r="D10" s="67" t="n">
        <v>4678800</v>
      </c>
      <c r="E10" s="68" t="n">
        <f aca="false">IF(D10&gt;0, D10,(H$42/(H$39-H$40)))</f>
        <v>4678800</v>
      </c>
      <c r="F10" s="69" t="n">
        <v>79</v>
      </c>
      <c r="G10" s="14" t="n">
        <f aca="false">IF(F10&gt;0,D10/F10, )</f>
        <v>59225.3164556962</v>
      </c>
      <c r="H10" s="69" t="n">
        <v>280</v>
      </c>
      <c r="I10" s="14" t="n">
        <f aca="false">IF(H10&gt;0,H10/F10,  )</f>
        <v>3.54430379746835</v>
      </c>
      <c r="J10" s="14" t="n">
        <f aca="false">IF(I10&gt;0,G10/I10,  )</f>
        <v>16710</v>
      </c>
    </row>
    <row r="11" customFormat="false" ht="12.75" hidden="false" customHeight="true" outlineLevel="0" collapsed="false">
      <c r="B11" s="9" t="s">
        <v>42</v>
      </c>
      <c r="C11" s="10" t="n">
        <v>44994</v>
      </c>
      <c r="D11" s="67" t="n">
        <v>2269000</v>
      </c>
      <c r="E11" s="68" t="n">
        <f aca="false">IF(D11&gt;0, D11,(H$42/(H$39-H$40)))</f>
        <v>2269000</v>
      </c>
      <c r="F11" s="69" t="n">
        <v>58</v>
      </c>
      <c r="G11" s="14" t="n">
        <f aca="false">IF(F11&gt;0,D11/F11, )</f>
        <v>39120.6896551724</v>
      </c>
      <c r="H11" s="69" t="n">
        <v>171</v>
      </c>
      <c r="I11" s="14" t="n">
        <f aca="false">IF(H11&gt;0,H11/F11,  )</f>
        <v>2.94827586206897</v>
      </c>
      <c r="J11" s="14" t="n">
        <f aca="false">IF(I11&gt;0,G11/I11,  )</f>
        <v>13269.0058479532</v>
      </c>
    </row>
    <row r="12" customFormat="false" ht="12.75" hidden="false" customHeight="true" outlineLevel="0" collapsed="false">
      <c r="B12" s="9" t="s">
        <v>43</v>
      </c>
      <c r="C12" s="10" t="n">
        <v>44995</v>
      </c>
      <c r="D12" s="67" t="n">
        <v>2211750</v>
      </c>
      <c r="E12" s="68" t="n">
        <f aca="false">IF(D12&gt;0, D12,(H$42/(H$39-H$40)))</f>
        <v>2211750</v>
      </c>
      <c r="F12" s="69" t="n">
        <v>56</v>
      </c>
      <c r="G12" s="14" t="n">
        <f aca="false">IF(F12&gt;0,D12/F12, )</f>
        <v>39495.5357142857</v>
      </c>
      <c r="H12" s="69" t="n">
        <v>236</v>
      </c>
      <c r="I12" s="14" t="n">
        <f aca="false">IF(H12&gt;0,H12/F12,  )</f>
        <v>4.21428571428571</v>
      </c>
      <c r="J12" s="14" t="n">
        <f aca="false">IF(I12&gt;0,G12/I12,  )</f>
        <v>9371.8220338983</v>
      </c>
    </row>
    <row r="13" customFormat="false" ht="12.75" hidden="false" customHeight="true" outlineLevel="0" collapsed="false">
      <c r="B13" s="9" t="s">
        <v>44</v>
      </c>
      <c r="C13" s="10" t="n">
        <v>44996</v>
      </c>
      <c r="D13" s="67" t="n">
        <v>1571300</v>
      </c>
      <c r="E13" s="68" t="n">
        <f aca="false">IF(D13&gt;0, D13,(H$42/(H$39-H$40)))</f>
        <v>1571300</v>
      </c>
      <c r="F13" s="69" t="n">
        <v>48</v>
      </c>
      <c r="G13" s="14" t="n">
        <f aca="false">IF(F13&gt;0,D13/F13, )</f>
        <v>32735.4166666667</v>
      </c>
      <c r="H13" s="69" t="n">
        <v>127</v>
      </c>
      <c r="I13" s="14" t="n">
        <f aca="false">IF(H13&gt;0,H13/F13,  )</f>
        <v>2.64583333333333</v>
      </c>
      <c r="J13" s="14" t="n">
        <f aca="false">IF(I13&gt;0,G13/I13,  )</f>
        <v>12372.4409448819</v>
      </c>
    </row>
    <row r="14" customFormat="false" ht="12.75" hidden="false" customHeight="true" outlineLevel="0" collapsed="false">
      <c r="B14" s="9" t="s">
        <v>38</v>
      </c>
      <c r="C14" s="10" t="n">
        <v>44997</v>
      </c>
      <c r="D14" s="67" t="n">
        <v>1695750</v>
      </c>
      <c r="E14" s="68" t="n">
        <f aca="false">IF(D14&gt;0, D14,(H$42/(H$39-H$40)))</f>
        <v>1695750</v>
      </c>
      <c r="F14" s="69" t="n">
        <v>35</v>
      </c>
      <c r="G14" s="14" t="n">
        <f aca="false">IF(F14&gt;0,D14/F14, )</f>
        <v>48450</v>
      </c>
      <c r="H14" s="69" t="n">
        <v>131</v>
      </c>
      <c r="I14" s="14" t="n">
        <f aca="false">IF(H14&gt;0,H14/F14,  )</f>
        <v>3.74285714285714</v>
      </c>
      <c r="J14" s="14" t="n">
        <f aca="false">IF(I14&gt;0,G14/I14,  )</f>
        <v>12944.6564885496</v>
      </c>
    </row>
    <row r="15" customFormat="false" ht="12.75" hidden="false" customHeight="true" outlineLevel="0" collapsed="false">
      <c r="B15" s="9" t="s">
        <v>39</v>
      </c>
      <c r="C15" s="10" t="n">
        <v>44998</v>
      </c>
      <c r="D15" s="67" t="n">
        <v>2594900</v>
      </c>
      <c r="E15" s="68" t="n">
        <f aca="false">IF(D15&gt;0, D15,(H$42/(H$39-H$40)))</f>
        <v>2594900</v>
      </c>
      <c r="F15" s="69" t="n">
        <v>66</v>
      </c>
      <c r="G15" s="14" t="n">
        <f aca="false">IF(F15&gt;0,D15/F15, )</f>
        <v>39316.6666666667</v>
      </c>
      <c r="H15" s="69" t="n">
        <v>211</v>
      </c>
      <c r="I15" s="14" t="n">
        <f aca="false">IF(H15&gt;0,H15/F15,  )</f>
        <v>3.1969696969697</v>
      </c>
      <c r="J15" s="14" t="n">
        <f aca="false">IF(I15&gt;0,G15/I15,  )</f>
        <v>12298.1042654028</v>
      </c>
    </row>
    <row r="16" customFormat="false" ht="12.75" hidden="false" customHeight="true" outlineLevel="0" collapsed="false">
      <c r="B16" s="9" t="s">
        <v>40</v>
      </c>
      <c r="C16" s="10" t="n">
        <v>44999</v>
      </c>
      <c r="D16" s="67" t="n">
        <v>1459400</v>
      </c>
      <c r="E16" s="68" t="n">
        <f aca="false">IF(D16&gt;0, D16,(H$42/(H$39-H$40)))</f>
        <v>1459400</v>
      </c>
      <c r="F16" s="69" t="n">
        <v>44</v>
      </c>
      <c r="G16" s="14" t="n">
        <f aca="false">IF(F16&gt;0,D16/F16, )</f>
        <v>33168.1818181818</v>
      </c>
      <c r="H16" s="69" t="n">
        <v>126</v>
      </c>
      <c r="I16" s="14" t="n">
        <f aca="false">IF(H16&gt;0,H16/F16,  )</f>
        <v>2.86363636363636</v>
      </c>
      <c r="J16" s="14" t="n">
        <f aca="false">IF(I16&gt;0,G16/I16,  )</f>
        <v>11582.5396825397</v>
      </c>
    </row>
    <row r="17" customFormat="false" ht="12.75" hidden="false" customHeight="true" outlineLevel="0" collapsed="false">
      <c r="B17" s="9" t="s">
        <v>41</v>
      </c>
      <c r="C17" s="10" t="n">
        <v>45000</v>
      </c>
      <c r="D17" s="67" t="n">
        <v>3687100</v>
      </c>
      <c r="E17" s="68" t="n">
        <f aca="false">IF(D17&gt;0, D17,(H$42/(H$39-H$40)))</f>
        <v>3687100</v>
      </c>
      <c r="F17" s="69" t="n">
        <v>66</v>
      </c>
      <c r="G17" s="14" t="n">
        <f aca="false">IF(F17&gt;0,D17/F17, )</f>
        <v>55865.1515151515</v>
      </c>
      <c r="H17" s="69" t="n">
        <v>246</v>
      </c>
      <c r="I17" s="14" t="n">
        <f aca="false">IF(H17&gt;0,H17/F17,  )</f>
        <v>3.72727272727273</v>
      </c>
      <c r="J17" s="14" t="n">
        <f aca="false">IF(I17&gt;0,G17/I17,  )</f>
        <v>14988.2113821138</v>
      </c>
    </row>
    <row r="18" customFormat="false" ht="12.75" hidden="false" customHeight="true" outlineLevel="0" collapsed="false">
      <c r="B18" s="9" t="s">
        <v>42</v>
      </c>
      <c r="C18" s="10" t="n">
        <v>45001</v>
      </c>
      <c r="D18" s="67" t="n">
        <v>3474600</v>
      </c>
      <c r="E18" s="68" t="n">
        <f aca="false">IF(D18&gt;0, D18,(H$42/(H$39-H$40)))</f>
        <v>3474600</v>
      </c>
      <c r="F18" s="69" t="n">
        <v>74</v>
      </c>
      <c r="G18" s="14" t="n">
        <f aca="false">IF(F18&gt;0,D18/F18, )</f>
        <v>46954.0540540541</v>
      </c>
      <c r="H18" s="69" t="n">
        <v>312</v>
      </c>
      <c r="I18" s="14" t="n">
        <f aca="false">IF(H18&gt;0,H18/F18,  )</f>
        <v>4.21621621621622</v>
      </c>
      <c r="J18" s="14" t="n">
        <f aca="false">IF(I18&gt;0,G18/I18,  )</f>
        <v>11136.5384615385</v>
      </c>
    </row>
    <row r="19" customFormat="false" ht="12.75" hidden="false" customHeight="true" outlineLevel="0" collapsed="false">
      <c r="B19" s="9" t="s">
        <v>43</v>
      </c>
      <c r="C19" s="10" t="n">
        <v>45002</v>
      </c>
      <c r="D19" s="67" t="n">
        <v>2185400</v>
      </c>
      <c r="E19" s="68" t="n">
        <f aca="false">IF(D19&gt;0, D19,(H$42/(H$39-H$40)))</f>
        <v>2185400</v>
      </c>
      <c r="F19" s="69" t="n">
        <v>63</v>
      </c>
      <c r="G19" s="14" t="n">
        <f aca="false">IF(F19&gt;0,D19/F19, )</f>
        <v>34688.8888888889</v>
      </c>
      <c r="H19" s="69" t="n">
        <v>186</v>
      </c>
      <c r="I19" s="14" t="n">
        <f aca="false">IF(H19&gt;0,H19/F19,  )</f>
        <v>2.95238095238095</v>
      </c>
      <c r="J19" s="14" t="n">
        <f aca="false">IF(I19&gt;0,G19/I19,  )</f>
        <v>11749.4623655914</v>
      </c>
    </row>
    <row r="20" customFormat="false" ht="12.75" hidden="false" customHeight="true" outlineLevel="0" collapsed="false">
      <c r="B20" s="9" t="s">
        <v>44</v>
      </c>
      <c r="C20" s="10" t="n">
        <v>45003</v>
      </c>
      <c r="D20" s="67" t="n">
        <v>982350</v>
      </c>
      <c r="E20" s="68" t="n">
        <f aca="false">IF(D20&gt;0, D20,(H$42/(H$39-H$40)))</f>
        <v>982350</v>
      </c>
      <c r="F20" s="69" t="n">
        <v>40</v>
      </c>
      <c r="G20" s="14" t="n">
        <f aca="false">IF(F20&gt;0,D20/F20, )</f>
        <v>24558.75</v>
      </c>
      <c r="H20" s="69" t="n">
        <v>98</v>
      </c>
      <c r="I20" s="14" t="n">
        <f aca="false">IF(H20&gt;0,H20/F20,  )</f>
        <v>2.45</v>
      </c>
      <c r="J20" s="14" t="n">
        <f aca="false">IF(I20&gt;0,G20/I20,  )</f>
        <v>10023.9795918367</v>
      </c>
    </row>
    <row r="21" customFormat="false" ht="12.75" hidden="false" customHeight="true" outlineLevel="0" collapsed="false">
      <c r="B21" s="9" t="s">
        <v>38</v>
      </c>
      <c r="C21" s="10" t="n">
        <v>45004</v>
      </c>
      <c r="D21" s="67" t="n">
        <v>2079300</v>
      </c>
      <c r="E21" s="68" t="n">
        <f aca="false">IF(D21&gt;0, D21,(H$42/(H$39-H$40)))</f>
        <v>2079300</v>
      </c>
      <c r="F21" s="69" t="n">
        <v>39</v>
      </c>
      <c r="G21" s="14" t="n">
        <f aca="false">IF(F21&gt;0,D21/F21, )</f>
        <v>53315.3846153846</v>
      </c>
      <c r="H21" s="69" t="n">
        <v>222</v>
      </c>
      <c r="I21" s="14" t="n">
        <f aca="false">IF(H21&gt;0,H21/F21,  )</f>
        <v>5.69230769230769</v>
      </c>
      <c r="J21" s="14" t="n">
        <f aca="false">IF(I21&gt;0,G21/I21,  )</f>
        <v>9366.21621621622</v>
      </c>
    </row>
    <row r="22" customFormat="false" ht="12.75" hidden="false" customHeight="true" outlineLevel="0" collapsed="false">
      <c r="B22" s="9" t="s">
        <v>39</v>
      </c>
      <c r="C22" s="10" t="n">
        <v>45005</v>
      </c>
      <c r="D22" s="67" t="n">
        <v>1154750</v>
      </c>
      <c r="E22" s="68" t="n">
        <f aca="false">IF(D22&gt;0, D22,(H$42/(H$39-H$40)))</f>
        <v>1154750</v>
      </c>
      <c r="F22" s="70" t="n">
        <v>34</v>
      </c>
      <c r="G22" s="14" t="n">
        <f aca="false">IF(F22&gt;0,D22/F22, )</f>
        <v>33963.2352941176</v>
      </c>
      <c r="H22" s="69" t="n">
        <v>104</v>
      </c>
      <c r="I22" s="14" t="n">
        <f aca="false">IF(H22&gt;0,H22/F22,  )</f>
        <v>3.05882352941176</v>
      </c>
      <c r="J22" s="14" t="n">
        <f aca="false">IF(I22&gt;0,G22/I22,  )</f>
        <v>11103.3653846154</v>
      </c>
    </row>
    <row r="23" customFormat="false" ht="12.75" hidden="false" customHeight="true" outlineLevel="0" collapsed="false">
      <c r="B23" s="9" t="s">
        <v>40</v>
      </c>
      <c r="C23" s="10" t="n">
        <v>45006</v>
      </c>
      <c r="D23" s="67" t="n">
        <v>978400</v>
      </c>
      <c r="E23" s="68" t="n">
        <f aca="false">IF(D23&gt;0, D23,(H$42/(H$39-H$40)))</f>
        <v>978400</v>
      </c>
      <c r="F23" s="69" t="n">
        <v>34</v>
      </c>
      <c r="G23" s="14" t="n">
        <f aca="false">IF(F23&gt;0,D23/F23, )</f>
        <v>28776.4705882353</v>
      </c>
      <c r="H23" s="69" t="n">
        <v>72</v>
      </c>
      <c r="I23" s="14" t="n">
        <f aca="false">IF(H23&gt;0,H23/F23,  )</f>
        <v>2.11764705882353</v>
      </c>
      <c r="J23" s="14" t="n">
        <f aca="false">IF(I23&gt;0,G23/I23,  )</f>
        <v>13588.8888888889</v>
      </c>
    </row>
    <row r="24" customFormat="false" ht="12.75" hidden="false" customHeight="true" outlineLevel="0" collapsed="false">
      <c r="B24" s="9" t="s">
        <v>41</v>
      </c>
      <c r="C24" s="10" t="n">
        <v>45007</v>
      </c>
      <c r="D24" s="67" t="n">
        <v>754300</v>
      </c>
      <c r="E24" s="68" t="n">
        <f aca="false">IF(D24&gt;0, D24,(H$42/(H$39-H$40)))</f>
        <v>754300</v>
      </c>
      <c r="F24" s="69" t="n">
        <v>19</v>
      </c>
      <c r="G24" s="14" t="n">
        <f aca="false">IF(F24&gt;0,D24/F24, )</f>
        <v>39700</v>
      </c>
      <c r="H24" s="69" t="n">
        <v>84</v>
      </c>
      <c r="I24" s="14" t="n">
        <f aca="false">IF(H24&gt;0,H24/F24,  )</f>
        <v>4.42105263157895</v>
      </c>
      <c r="J24" s="14" t="n">
        <f aca="false">IF(I24&gt;0,G24/I24,  )</f>
        <v>8979.7619047619</v>
      </c>
    </row>
    <row r="25" customFormat="false" ht="12.75" hidden="false" customHeight="true" outlineLevel="0" collapsed="false">
      <c r="B25" s="9" t="s">
        <v>42</v>
      </c>
      <c r="C25" s="10" t="n">
        <v>45008</v>
      </c>
      <c r="D25" s="67"/>
      <c r="E25" s="68" t="n">
        <f aca="false">IF(D25&gt;0, D25,(H$42/(H$39-H$40)))</f>
        <v>6292127.77777778</v>
      </c>
      <c r="F25" s="69"/>
      <c r="G25" s="14" t="n">
        <f aca="false">IF(F25&gt;0,D25/F25, )</f>
        <v>0</v>
      </c>
      <c r="H25" s="69"/>
      <c r="I25" s="14" t="n">
        <f aca="false">IF(H25&gt;0,H25/F25,  )</f>
        <v>0</v>
      </c>
      <c r="J25" s="14" t="n">
        <f aca="false">IF(I25&gt;0,G25/I25,  )</f>
        <v>0</v>
      </c>
    </row>
    <row r="26" customFormat="false" ht="12.75" hidden="false" customHeight="true" outlineLevel="0" collapsed="false">
      <c r="B26" s="9" t="s">
        <v>43</v>
      </c>
      <c r="C26" s="10" t="n">
        <v>45009</v>
      </c>
      <c r="D26" s="67"/>
      <c r="E26" s="68" t="n">
        <f aca="false">IF(D26&gt;0, D26,(H$42/(H$39-H$40)))</f>
        <v>6292127.77777778</v>
      </c>
      <c r="F26" s="69"/>
      <c r="G26" s="14" t="n">
        <f aca="false">IF(F26&gt;0,D26/F26, )</f>
        <v>0</v>
      </c>
      <c r="H26" s="69"/>
      <c r="I26" s="14" t="n">
        <f aca="false">IF(H26&gt;0,H26/F26,  )</f>
        <v>0</v>
      </c>
      <c r="J26" s="14" t="n">
        <f aca="false">IF(I26&gt;0,G26/I26,  )</f>
        <v>0</v>
      </c>
    </row>
    <row r="27" customFormat="false" ht="12.75" hidden="false" customHeight="true" outlineLevel="0" collapsed="false">
      <c r="B27" s="9" t="s">
        <v>44</v>
      </c>
      <c r="C27" s="10" t="n">
        <v>45010</v>
      </c>
      <c r="D27" s="67"/>
      <c r="E27" s="68" t="n">
        <f aca="false">IF(D27&gt;0, D27,(H$42/(H$39-H$40)))</f>
        <v>6292127.77777778</v>
      </c>
      <c r="F27" s="69"/>
      <c r="G27" s="14" t="n">
        <f aca="false">IF(F27&gt;0,D27/F27, )</f>
        <v>0</v>
      </c>
      <c r="H27" s="69"/>
      <c r="I27" s="14" t="n">
        <f aca="false">IF(H27&gt;0,H27/F27,  )</f>
        <v>0</v>
      </c>
      <c r="J27" s="14" t="n">
        <f aca="false">IF(I27&gt;0,G27/I27,  )</f>
        <v>0</v>
      </c>
    </row>
    <row r="28" customFormat="false" ht="12.75" hidden="false" customHeight="true" outlineLevel="0" collapsed="false">
      <c r="B28" s="9" t="s">
        <v>38</v>
      </c>
      <c r="C28" s="10" t="n">
        <v>45011</v>
      </c>
      <c r="D28" s="67"/>
      <c r="E28" s="68" t="n">
        <f aca="false">IF(D28&gt;0, D28,(H$42/(H$39-H$40)))</f>
        <v>6292127.77777778</v>
      </c>
      <c r="F28" s="69"/>
      <c r="G28" s="14" t="n">
        <f aca="false">IF(F28&gt;0,D28/F28, )</f>
        <v>0</v>
      </c>
      <c r="H28" s="69"/>
      <c r="I28" s="14" t="n">
        <f aca="false">IF(H28&gt;0,H28/F28,  )</f>
        <v>0</v>
      </c>
      <c r="J28" s="14" t="n">
        <f aca="false">IF(I28&gt;0,G28/I28,  )</f>
        <v>0</v>
      </c>
    </row>
    <row r="29" customFormat="false" ht="12.75" hidden="false" customHeight="true" outlineLevel="0" collapsed="false">
      <c r="B29" s="9" t="s">
        <v>39</v>
      </c>
      <c r="C29" s="10" t="n">
        <v>45012</v>
      </c>
      <c r="D29" s="67"/>
      <c r="E29" s="68" t="n">
        <f aca="false">IF(D29&gt;0, D29,(H$42/(H$39-H$40)))</f>
        <v>6292127.77777778</v>
      </c>
      <c r="F29" s="69"/>
      <c r="G29" s="14" t="n">
        <f aca="false">IF(F29&gt;0,D29/F29, )</f>
        <v>0</v>
      </c>
      <c r="H29" s="69"/>
      <c r="I29" s="14" t="n">
        <f aca="false">IF(H29&gt;0,H29/F29,  )</f>
        <v>0</v>
      </c>
      <c r="J29" s="14" t="n">
        <f aca="false">IF(I29&gt;0,G29/I29,  )</f>
        <v>0</v>
      </c>
    </row>
    <row r="30" customFormat="false" ht="12.75" hidden="false" customHeight="true" outlineLevel="0" collapsed="false">
      <c r="B30" s="9" t="s">
        <v>40</v>
      </c>
      <c r="C30" s="10" t="n">
        <v>45013</v>
      </c>
      <c r="D30" s="67"/>
      <c r="E30" s="68" t="n">
        <f aca="false">IF(D30&gt;0, D30,(H$42/(H$39-H$40)))</f>
        <v>6292127.77777778</v>
      </c>
      <c r="F30" s="69"/>
      <c r="G30" s="14" t="n">
        <f aca="false">IF(F30&gt;0,D30/F30, )</f>
        <v>0</v>
      </c>
      <c r="H30" s="69"/>
      <c r="I30" s="14" t="n">
        <f aca="false">IF(H30&gt;0,H30/F30,  )</f>
        <v>0</v>
      </c>
      <c r="J30" s="14" t="n">
        <f aca="false">IF(I30&gt;0,G30/I30,  )</f>
        <v>0</v>
      </c>
      <c r="L30" s="20"/>
    </row>
    <row r="31" customFormat="false" ht="12.75" hidden="false" customHeight="true" outlineLevel="0" collapsed="false">
      <c r="B31" s="9" t="s">
        <v>41</v>
      </c>
      <c r="C31" s="10" t="n">
        <v>45014</v>
      </c>
      <c r="D31" s="67"/>
      <c r="E31" s="68" t="n">
        <f aca="false">IF(D31&gt;0, D31,(H$42/(H$39-H$40)))</f>
        <v>6292127.77777778</v>
      </c>
      <c r="F31" s="69"/>
      <c r="G31" s="14" t="n">
        <f aca="false">IF(F31&gt;0,D31/F31, )</f>
        <v>0</v>
      </c>
      <c r="H31" s="69"/>
      <c r="I31" s="14" t="n">
        <f aca="false">IF(H31&gt;0,H31/F31,  )</f>
        <v>0</v>
      </c>
      <c r="J31" s="14" t="n">
        <f aca="false">IF(I31&gt;0,G31/I31,  )</f>
        <v>0</v>
      </c>
    </row>
    <row r="32" customFormat="false" ht="12.75" hidden="false" customHeight="true" outlineLevel="0" collapsed="false">
      <c r="B32" s="9" t="s">
        <v>42</v>
      </c>
      <c r="C32" s="10" t="n">
        <v>45015</v>
      </c>
      <c r="D32" s="67"/>
      <c r="E32" s="68" t="n">
        <f aca="false">IF(D32&gt;0, D32,(H$42/(H$39-H$40)))</f>
        <v>6292127.77777778</v>
      </c>
      <c r="F32" s="69"/>
      <c r="G32" s="14" t="n">
        <f aca="false">IF(F32&gt;0,D32/F32, )</f>
        <v>0</v>
      </c>
      <c r="H32" s="69"/>
      <c r="I32" s="14" t="n">
        <f aca="false">IF(H32&gt;0,H32/F32,  )</f>
        <v>0</v>
      </c>
      <c r="J32" s="14" t="n">
        <f aca="false">IF(I32&gt;0,G32/I32,  )</f>
        <v>0</v>
      </c>
    </row>
    <row r="33" customFormat="false" ht="12.75" hidden="false" customHeight="true" outlineLevel="0" collapsed="false">
      <c r="B33" s="9" t="s">
        <v>43</v>
      </c>
      <c r="C33" s="10" t="n">
        <v>45016</v>
      </c>
      <c r="D33" s="67"/>
      <c r="E33" s="68" t="n">
        <f aca="false">IF(D33&gt;0, D33,(H$42/(H$39-H$40)))</f>
        <v>6292127.77777778</v>
      </c>
      <c r="F33" s="69"/>
      <c r="G33" s="14" t="n">
        <f aca="false">IF(F33&gt;0,D33/F33, )</f>
        <v>0</v>
      </c>
      <c r="H33" s="69"/>
      <c r="I33" s="14" t="n">
        <f aca="false">IF(H33&gt;0,H33/F33,  )</f>
        <v>0</v>
      </c>
      <c r="J33" s="14" t="n">
        <f aca="false">IF(I33&gt;0,G33/I33,  )</f>
        <v>0</v>
      </c>
    </row>
    <row r="34" customFormat="false" ht="12.75" hidden="false" customHeight="true" outlineLevel="0" collapsed="false">
      <c r="B34" s="21" t="s">
        <v>18</v>
      </c>
      <c r="C34" s="22"/>
      <c r="D34" s="23" t="n">
        <f aca="false">AVERAGE(D3:D33)</f>
        <v>2653220.45454545</v>
      </c>
      <c r="E34" s="23"/>
      <c r="F34" s="24" t="n">
        <f aca="false">AVERAGE(F3:F33)</f>
        <v>57.8636363636364</v>
      </c>
      <c r="G34" s="23" t="n">
        <f aca="false">D34/F34</f>
        <v>45852.9850746269</v>
      </c>
      <c r="H34" s="24" t="n">
        <f aca="false">AVERAGE(H3:H33)</f>
        <v>207.863636363636</v>
      </c>
      <c r="I34" s="24" t="n">
        <f aca="false">IF(H34&gt;0,H34/F34,  )</f>
        <v>3.5923016496465</v>
      </c>
      <c r="J34" s="25" t="n">
        <f aca="false">IF(I34&gt;0,G34/I34,  )</f>
        <v>12764.2357314673</v>
      </c>
    </row>
    <row r="35" customFormat="false" ht="12.75" hidden="false" customHeight="true" outlineLevel="0" collapsed="false">
      <c r="B35" s="26" t="s">
        <v>19</v>
      </c>
      <c r="C35" s="27"/>
      <c r="D35" s="28" t="n">
        <f aca="false">SUM(D3:D33)</f>
        <v>58370850</v>
      </c>
      <c r="E35" s="28"/>
      <c r="F35" s="29" t="n">
        <f aca="false">SUM(F3:F33)</f>
        <v>1273</v>
      </c>
      <c r="G35" s="30"/>
      <c r="H35" s="29" t="n">
        <f aca="false">SUM(H3:H33)</f>
        <v>4573</v>
      </c>
      <c r="I35" s="29"/>
      <c r="J35" s="29"/>
    </row>
    <row r="36" customFormat="false" ht="12.75" hidden="false" customHeight="true" outlineLevel="0" collapsed="false">
      <c r="B36" s="31" t="s">
        <v>20</v>
      </c>
      <c r="C36" s="32"/>
      <c r="D36" s="33" t="n">
        <v>115000000</v>
      </c>
      <c r="E36" s="34"/>
      <c r="F36" s="35"/>
      <c r="G36" s="36"/>
      <c r="H36" s="35"/>
      <c r="I36" s="35"/>
      <c r="J36" s="35"/>
    </row>
    <row r="37" customFormat="false" ht="12.75" hidden="false" customHeight="true" outlineLevel="0" collapsed="false">
      <c r="B37" s="37" t="s">
        <v>21</v>
      </c>
      <c r="C37" s="38"/>
      <c r="D37" s="39" t="n">
        <f aca="false">D35/D36</f>
        <v>0.507572608695652</v>
      </c>
      <c r="E37" s="39"/>
      <c r="F37" s="40"/>
      <c r="G37" s="41"/>
      <c r="H37" s="42"/>
      <c r="I37" s="42"/>
      <c r="J37" s="42"/>
    </row>
    <row r="39" customFormat="false" ht="12.75" hidden="false" customHeight="true" outlineLevel="0" collapsed="false">
      <c r="E39" s="43" t="s">
        <v>22</v>
      </c>
      <c r="F39" s="43"/>
      <c r="G39" s="43"/>
      <c r="H39" s="44" t="n">
        <f aca="false">COUNTA(C3:C33)</f>
        <v>31</v>
      </c>
    </row>
    <row r="40" customFormat="false" ht="12.75" hidden="false" customHeight="true" outlineLevel="0" collapsed="false">
      <c r="E40" s="45" t="s">
        <v>23</v>
      </c>
      <c r="F40" s="45"/>
      <c r="G40" s="45"/>
      <c r="H40" s="46" t="n">
        <f aca="false">COUNTA(D3:D33)</f>
        <v>22</v>
      </c>
    </row>
    <row r="41" customFormat="false" ht="12.75" hidden="false" customHeight="true" outlineLevel="0" collapsed="false">
      <c r="E41" s="47" t="s">
        <v>24</v>
      </c>
      <c r="F41" s="47"/>
      <c r="G41" s="47"/>
      <c r="H41" s="48" t="n">
        <f aca="false">D36</f>
        <v>115000000</v>
      </c>
    </row>
    <row r="42" customFormat="false" ht="12.75" hidden="false" customHeight="true" outlineLevel="0" collapsed="false">
      <c r="E42" s="49" t="s">
        <v>25</v>
      </c>
      <c r="F42" s="49"/>
      <c r="G42" s="49"/>
      <c r="H42" s="50" t="n">
        <f aca="false">D36-D35</f>
        <v>56629150</v>
      </c>
    </row>
    <row r="43" customFormat="false" ht="12.75" hidden="false" customHeight="true" outlineLevel="0" collapsed="false">
      <c r="E43" s="49" t="s">
        <v>26</v>
      </c>
      <c r="F43" s="49"/>
      <c r="G43" s="49"/>
      <c r="H43" s="51" t="n">
        <f aca="false">H46*H39</f>
        <v>82249834.0909091</v>
      </c>
    </row>
    <row r="44" customFormat="false" ht="12.75" hidden="false" customHeight="true" outlineLevel="0" collapsed="false">
      <c r="E44" s="52" t="s">
        <v>27</v>
      </c>
      <c r="F44" s="52"/>
      <c r="G44" s="52"/>
      <c r="H44" s="53" t="n">
        <f aca="false">H43-H41</f>
        <v>-32750165.9090909</v>
      </c>
    </row>
    <row r="45" customFormat="false" ht="12.75" hidden="false" customHeight="true" outlineLevel="0" collapsed="false">
      <c r="E45" s="54" t="s">
        <v>28</v>
      </c>
      <c r="F45" s="54"/>
      <c r="G45" s="54"/>
      <c r="H45" s="55" t="n">
        <f aca="false">H41/H39</f>
        <v>3709677.41935484</v>
      </c>
    </row>
    <row r="46" customFormat="false" ht="12.75" hidden="false" customHeight="true" outlineLevel="0" collapsed="false">
      <c r="E46" s="56" t="s">
        <v>29</v>
      </c>
      <c r="F46" s="56"/>
      <c r="G46" s="56"/>
      <c r="H46" s="57" t="n">
        <f aca="false">AVERAGE(D3:D33)</f>
        <v>2653220.45454545</v>
      </c>
    </row>
    <row r="47" customFormat="false" ht="12.75" hidden="false" customHeight="true" outlineLevel="0" collapsed="false">
      <c r="E47" s="56" t="s">
        <v>30</v>
      </c>
      <c r="F47" s="56"/>
      <c r="G47" s="56"/>
      <c r="H47" s="58" t="n">
        <f aca="false">(H41/H49)/H39</f>
        <v>80.9037277140681</v>
      </c>
    </row>
    <row r="48" customFormat="false" ht="12.75" hidden="false" customHeight="true" outlineLevel="0" collapsed="false">
      <c r="E48" s="56" t="s">
        <v>31</v>
      </c>
      <c r="F48" s="56"/>
      <c r="G48" s="56"/>
      <c r="H48" s="57" t="n">
        <f aca="false">F34</f>
        <v>57.8636363636364</v>
      </c>
    </row>
    <row r="49" customFormat="false" ht="12.75" hidden="false" customHeight="true" outlineLevel="0" collapsed="false">
      <c r="E49" s="56" t="s">
        <v>32</v>
      </c>
      <c r="F49" s="56"/>
      <c r="G49" s="56"/>
      <c r="H49" s="59" t="n">
        <f aca="false">G34</f>
        <v>45852.9850746269</v>
      </c>
    </row>
    <row r="50" customFormat="false" ht="12.75" hidden="false" customHeight="true" outlineLevel="0" collapsed="false">
      <c r="E50" s="56" t="s">
        <v>33</v>
      </c>
      <c r="F50" s="56"/>
      <c r="G50" s="56"/>
      <c r="H50" s="60" t="n">
        <f aca="false">H46-H45</f>
        <v>-1056456.96480938</v>
      </c>
    </row>
    <row r="51" customFormat="false" ht="12.75" hidden="false" customHeight="true" outlineLevel="0" collapsed="false">
      <c r="E51" s="56" t="s">
        <v>34</v>
      </c>
      <c r="F51" s="56"/>
      <c r="G51" s="56"/>
      <c r="H51" s="61" t="n">
        <f aca="false">H43/H41</f>
        <v>0.715215948616601</v>
      </c>
    </row>
    <row r="52" customFormat="false" ht="12.75" hidden="false" customHeight="true" outlineLevel="0" collapsed="false">
      <c r="E52" s="62" t="s">
        <v>35</v>
      </c>
      <c r="F52" s="62"/>
      <c r="G52" s="62"/>
      <c r="H52" s="63" t="n">
        <f aca="false">D35/H41</f>
        <v>0.507572608695652</v>
      </c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0" activeCellId="0" sqref="O30"/>
    </sheetView>
  </sheetViews>
  <sheetFormatPr defaultColWidth="10.25" defaultRowHeight="15" zeroHeight="false" outlineLevelRow="0" outlineLevelCol="0"/>
  <cols>
    <col collapsed="false" customWidth="true" hidden="false" outlineLevel="0" max="1" min="1" style="71" width="23.51"/>
    <col collapsed="false" customWidth="true" hidden="false" outlineLevel="0" max="2" min="2" style="71" width="11.59"/>
    <col collapsed="false" customWidth="true" hidden="false" outlineLevel="0" max="3" min="3" style="71" width="9.18"/>
    <col collapsed="false" customWidth="true" hidden="false" outlineLevel="0" max="8" min="4" style="71" width="14.54"/>
    <col collapsed="false" customWidth="true" hidden="false" outlineLevel="0" max="9" min="9" style="71" width="13.33"/>
    <col collapsed="false" customWidth="true" hidden="false" outlineLevel="0" max="10" min="10" style="71" width="12.5"/>
    <col collapsed="false" customWidth="false" hidden="false" outlineLevel="0" max="64" min="11" style="71" width="10.27"/>
  </cols>
  <sheetData>
    <row r="1" customFormat="false" ht="23.1" hidden="false" customHeight="true" outlineLevel="0" collapsed="false">
      <c r="B1" s="64" t="s">
        <v>47</v>
      </c>
      <c r="C1" s="2"/>
      <c r="D1" s="3" t="s">
        <v>1</v>
      </c>
      <c r="E1" s="3"/>
      <c r="F1" s="3"/>
      <c r="G1" s="3"/>
      <c r="H1" s="3"/>
      <c r="I1" s="3"/>
      <c r="J1" s="3"/>
    </row>
    <row r="2" customFormat="false" ht="30.55" hidden="false" customHeight="true" outlineLevel="0" collapsed="false">
      <c r="B2" s="72" t="s">
        <v>2</v>
      </c>
      <c r="C2" s="73" t="s">
        <v>3</v>
      </c>
      <c r="D2" s="74" t="s">
        <v>4</v>
      </c>
      <c r="E2" s="74" t="s">
        <v>5</v>
      </c>
      <c r="F2" s="74" t="s">
        <v>6</v>
      </c>
      <c r="G2" s="75" t="s">
        <v>7</v>
      </c>
      <c r="H2" s="76" t="s">
        <v>8</v>
      </c>
      <c r="I2" s="76" t="s">
        <v>9</v>
      </c>
      <c r="J2" s="76" t="s">
        <v>10</v>
      </c>
    </row>
    <row r="3" customFormat="false" ht="12.75" hidden="false" customHeight="true" outlineLevel="0" collapsed="false">
      <c r="B3" s="77" t="s">
        <v>39</v>
      </c>
      <c r="C3" s="78" t="n">
        <v>45047</v>
      </c>
      <c r="D3" s="67" t="n">
        <v>3507050</v>
      </c>
      <c r="E3" s="79" t="n">
        <f aca="false">IF(D3&gt;0, D3,(H$42/(H$39-H$40)))</f>
        <v>3507050</v>
      </c>
      <c r="F3" s="69" t="n">
        <v>115</v>
      </c>
      <c r="G3" s="80" t="n">
        <f aca="false">IF(F3&gt;0,D3/F3, )</f>
        <v>30496.0869565217</v>
      </c>
      <c r="H3" s="69" t="n">
        <v>294</v>
      </c>
      <c r="I3" s="80" t="n">
        <f aca="false">IF(H3&gt;0,H3/F3,  )</f>
        <v>2.55652173913043</v>
      </c>
      <c r="J3" s="80" t="n">
        <f aca="false">IF(I3&gt;0,G3/I3,  )</f>
        <v>11928.7414965986</v>
      </c>
    </row>
    <row r="4" customFormat="false" ht="12.75" hidden="false" customHeight="true" outlineLevel="0" collapsed="false">
      <c r="B4" s="77" t="s">
        <v>40</v>
      </c>
      <c r="C4" s="78" t="n">
        <v>45048</v>
      </c>
      <c r="D4" s="67" t="n">
        <v>5838150</v>
      </c>
      <c r="E4" s="79" t="n">
        <f aca="false">IF(D4&gt;0, D4,(H$42/(H$39-H$40)))</f>
        <v>5838150</v>
      </c>
      <c r="F4" s="69" t="n">
        <v>129</v>
      </c>
      <c r="G4" s="80" t="n">
        <f aca="false">IF(F4&gt;0,D4/F4, )</f>
        <v>45256.976744186</v>
      </c>
      <c r="H4" s="69" t="n">
        <v>430</v>
      </c>
      <c r="I4" s="80" t="n">
        <f aca="false">IF(H4&gt;0,H4/F4,  )</f>
        <v>3.33333333333333</v>
      </c>
      <c r="J4" s="80" t="n">
        <f aca="false">IF(I4&gt;0,G4/I4,  )</f>
        <v>13577.0930232558</v>
      </c>
    </row>
    <row r="5" customFormat="false" ht="12.75" hidden="false" customHeight="true" outlineLevel="0" collapsed="false">
      <c r="B5" s="77" t="s">
        <v>41</v>
      </c>
      <c r="C5" s="78" t="n">
        <v>45049</v>
      </c>
      <c r="D5" s="67" t="n">
        <v>5499350</v>
      </c>
      <c r="E5" s="79" t="n">
        <f aca="false">IF(D5&gt;0, D5,(H$42/(H$39-H$40)))</f>
        <v>5499350</v>
      </c>
      <c r="F5" s="69" t="n">
        <v>129</v>
      </c>
      <c r="G5" s="80" t="n">
        <f aca="false">IF(F5&gt;0,D5/F5, )</f>
        <v>42630.6201550388</v>
      </c>
      <c r="H5" s="69" t="n">
        <v>430</v>
      </c>
      <c r="I5" s="80" t="n">
        <f aca="false">IF(H5&gt;0,H5/F5,  )</f>
        <v>3.33333333333333</v>
      </c>
      <c r="J5" s="80" t="n">
        <f aca="false">IF(I5&gt;0,G5/I5,  )</f>
        <v>12789.1860465116</v>
      </c>
    </row>
    <row r="6" customFormat="false" ht="12.75" hidden="false" customHeight="true" outlineLevel="0" collapsed="false">
      <c r="B6" s="77" t="s">
        <v>42</v>
      </c>
      <c r="C6" s="78" t="n">
        <v>45050</v>
      </c>
      <c r="D6" s="67" t="n">
        <v>4408300</v>
      </c>
      <c r="E6" s="79" t="n">
        <f aca="false">IF(D6&gt;0, D6,(H$42/(H$39-H$40)))</f>
        <v>4408300</v>
      </c>
      <c r="F6" s="69" t="n">
        <v>122</v>
      </c>
      <c r="G6" s="80" t="n">
        <f aca="false">IF(F6&gt;0,D6/F6, )</f>
        <v>36133.606557377</v>
      </c>
      <c r="H6" s="69" t="n">
        <v>388</v>
      </c>
      <c r="I6" s="80" t="n">
        <f aca="false">IF(H6&gt;0,H6/F6,  )</f>
        <v>3.18032786885246</v>
      </c>
      <c r="J6" s="80" t="n">
        <f aca="false">IF(I6&gt;0,G6/I6,  )</f>
        <v>11361.5979381443</v>
      </c>
    </row>
    <row r="7" customFormat="false" ht="12.75" hidden="false" customHeight="true" outlineLevel="0" collapsed="false">
      <c r="B7" s="77" t="s">
        <v>43</v>
      </c>
      <c r="C7" s="78" t="n">
        <v>45051</v>
      </c>
      <c r="D7" s="67" t="n">
        <v>4185000</v>
      </c>
      <c r="E7" s="79" t="n">
        <f aca="false">IF(D7&gt;0, D7,(H$42/(H$39-H$40)))</f>
        <v>4185000</v>
      </c>
      <c r="F7" s="69" t="n">
        <v>113</v>
      </c>
      <c r="G7" s="80" t="n">
        <f aca="false">IF(F7&gt;0,D7/F7, )</f>
        <v>37035.3982300885</v>
      </c>
      <c r="H7" s="69" t="n">
        <v>337</v>
      </c>
      <c r="I7" s="80" t="n">
        <f aca="false">IF(H7&gt;0,H7/F7,  )</f>
        <v>2.98230088495575</v>
      </c>
      <c r="J7" s="80" t="n">
        <f aca="false">IF(I7&gt;0,G7/I7,  )</f>
        <v>12418.3976261128</v>
      </c>
    </row>
    <row r="8" customFormat="false" ht="12.75" hidden="false" customHeight="true" outlineLevel="0" collapsed="false">
      <c r="B8" s="77" t="s">
        <v>44</v>
      </c>
      <c r="C8" s="78" t="n">
        <v>45052</v>
      </c>
      <c r="D8" s="67" t="n">
        <v>5376900</v>
      </c>
      <c r="E8" s="79" t="n">
        <f aca="false">IF(D8&gt;0, D8,(H$42/(H$39-H$40)))</f>
        <v>5376900</v>
      </c>
      <c r="F8" s="69" t="n">
        <v>119</v>
      </c>
      <c r="G8" s="80" t="n">
        <f aca="false">IF(F8&gt;0,D8/F8, )</f>
        <v>45184.0336134454</v>
      </c>
      <c r="H8" s="69" t="n">
        <v>411</v>
      </c>
      <c r="I8" s="80" t="n">
        <f aca="false">IF(H8&gt;0,H8/F8,  )</f>
        <v>3.45378151260504</v>
      </c>
      <c r="J8" s="80" t="n">
        <f aca="false">IF(I8&gt;0,G8/I8,  )</f>
        <v>13082.4817518248</v>
      </c>
    </row>
    <row r="9" customFormat="false" ht="12.75" hidden="false" customHeight="true" outlineLevel="0" collapsed="false">
      <c r="B9" s="77" t="s">
        <v>38</v>
      </c>
      <c r="C9" s="78" t="n">
        <v>45053</v>
      </c>
      <c r="D9" s="67" t="n">
        <v>5413950</v>
      </c>
      <c r="E9" s="79" t="n">
        <f aca="false">IF(D9&gt;0, D9,(H$42/(H$39-H$40)))</f>
        <v>5413950</v>
      </c>
      <c r="F9" s="69" t="n">
        <v>124</v>
      </c>
      <c r="G9" s="80" t="n">
        <f aca="false">IF(F9&gt;0,D9/F9, )</f>
        <v>43660.8870967742</v>
      </c>
      <c r="H9" s="69" t="n">
        <v>384</v>
      </c>
      <c r="I9" s="80" t="n">
        <f aca="false">IF(H9&gt;0,H9/F9,  )</f>
        <v>3.09677419354839</v>
      </c>
      <c r="J9" s="80" t="n">
        <f aca="false">IF(I9&gt;0,G9/I9,  )</f>
        <v>14098.828125</v>
      </c>
    </row>
    <row r="10" customFormat="false" ht="12.75" hidden="false" customHeight="true" outlineLevel="0" collapsed="false">
      <c r="B10" s="77" t="s">
        <v>39</v>
      </c>
      <c r="C10" s="78" t="n">
        <v>45054</v>
      </c>
      <c r="D10" s="67" t="n">
        <v>4667600</v>
      </c>
      <c r="E10" s="79" t="n">
        <f aca="false">IF(D10&gt;0, D10,(H$42/(H$39-H$40)))</f>
        <v>4667600</v>
      </c>
      <c r="F10" s="69" t="n">
        <v>101</v>
      </c>
      <c r="G10" s="80" t="n">
        <f aca="false">IF(F10&gt;0,D10/F10, )</f>
        <v>46213.8613861386</v>
      </c>
      <c r="H10" s="69" t="n">
        <v>357</v>
      </c>
      <c r="I10" s="80" t="n">
        <f aca="false">IF(H10&gt;0,H10/F10,  )</f>
        <v>3.53465346534653</v>
      </c>
      <c r="J10" s="80" t="n">
        <f aca="false">IF(I10&gt;0,G10/I10,  )</f>
        <v>13074.5098039216</v>
      </c>
    </row>
    <row r="11" customFormat="false" ht="12.75" hidden="false" customHeight="true" outlineLevel="0" collapsed="false">
      <c r="B11" s="77" t="s">
        <v>40</v>
      </c>
      <c r="C11" s="78" t="n">
        <v>45055</v>
      </c>
      <c r="D11" s="67" t="n">
        <v>4596800</v>
      </c>
      <c r="E11" s="79" t="n">
        <f aca="false">IF(D11&gt;0, D11,(H$42/(H$39-H$40)))</f>
        <v>4596800</v>
      </c>
      <c r="F11" s="69" t="n">
        <v>89</v>
      </c>
      <c r="G11" s="80" t="n">
        <f aca="false">IF(F11&gt;0,D11/F11, )</f>
        <v>51649.4382022472</v>
      </c>
      <c r="H11" s="69" t="n">
        <v>293</v>
      </c>
      <c r="I11" s="80" t="n">
        <f aca="false">IF(H11&gt;0,H11/F11,  )</f>
        <v>3.29213483146067</v>
      </c>
      <c r="J11" s="80" t="n">
        <f aca="false">IF(I11&gt;0,G11/I11,  )</f>
        <v>15688.7372013652</v>
      </c>
    </row>
    <row r="12" customFormat="false" ht="12.75" hidden="false" customHeight="true" outlineLevel="0" collapsed="false">
      <c r="B12" s="77" t="s">
        <v>41</v>
      </c>
      <c r="C12" s="78" t="n">
        <v>45056</v>
      </c>
      <c r="D12" s="67" t="n">
        <v>2741950</v>
      </c>
      <c r="E12" s="79" t="n">
        <f aca="false">IF(D12&gt;0, D12,(H$42/(H$39-H$40)))</f>
        <v>2741950</v>
      </c>
      <c r="F12" s="69" t="n">
        <v>74</v>
      </c>
      <c r="G12" s="80" t="n">
        <f aca="false">IF(F12&gt;0,D12/F12, )</f>
        <v>37053.3783783784</v>
      </c>
      <c r="H12" s="69" t="n">
        <v>209</v>
      </c>
      <c r="I12" s="80" t="n">
        <f aca="false">IF(H12&gt;0,H12/F12,  )</f>
        <v>2.82432432432432</v>
      </c>
      <c r="J12" s="80" t="n">
        <f aca="false">IF(I12&gt;0,G12/I12,  )</f>
        <v>13119.3779904306</v>
      </c>
    </row>
    <row r="13" customFormat="false" ht="12.75" hidden="false" customHeight="true" outlineLevel="0" collapsed="false">
      <c r="B13" s="77" t="s">
        <v>42</v>
      </c>
      <c r="C13" s="78" t="n">
        <v>45057</v>
      </c>
      <c r="D13" s="67" t="n">
        <v>5290000</v>
      </c>
      <c r="E13" s="79" t="n">
        <f aca="false">IF(D13&gt;0, D13,(H$42/(H$39-H$40)))</f>
        <v>5290000</v>
      </c>
      <c r="F13" s="69" t="n">
        <v>94</v>
      </c>
      <c r="G13" s="80" t="n">
        <f aca="false">IF(F13&gt;0,D13/F13, )</f>
        <v>56276.5957446809</v>
      </c>
      <c r="H13" s="69" t="n">
        <v>391</v>
      </c>
      <c r="I13" s="80" t="n">
        <f aca="false">IF(H13&gt;0,H13/F13,  )</f>
        <v>4.15957446808511</v>
      </c>
      <c r="J13" s="80" t="n">
        <f aca="false">IF(I13&gt;0,G13/I13,  )</f>
        <v>13529.4117647059</v>
      </c>
    </row>
    <row r="14" customFormat="false" ht="12.75" hidden="false" customHeight="true" outlineLevel="0" collapsed="false">
      <c r="B14" s="77" t="s">
        <v>43</v>
      </c>
      <c r="C14" s="78" t="n">
        <v>45058</v>
      </c>
      <c r="D14" s="67" t="n">
        <v>3508100</v>
      </c>
      <c r="E14" s="79" t="n">
        <f aca="false">IF(D14&gt;0, D14,(H$42/(H$39-H$40)))</f>
        <v>3508100</v>
      </c>
      <c r="F14" s="69" t="n">
        <v>81</v>
      </c>
      <c r="G14" s="80" t="n">
        <f aca="false">IF(F14&gt;0,D14/F14, )</f>
        <v>43309.8765432099</v>
      </c>
      <c r="H14" s="69" t="n">
        <v>273</v>
      </c>
      <c r="I14" s="80" t="n">
        <f aca="false">IF(H14&gt;0,H14/F14,  )</f>
        <v>3.37037037037037</v>
      </c>
      <c r="J14" s="80" t="n">
        <f aca="false">IF(I14&gt;0,G14/I14,  )</f>
        <v>12850.1831501832</v>
      </c>
    </row>
    <row r="15" customFormat="false" ht="12.75" hidden="false" customHeight="true" outlineLevel="0" collapsed="false">
      <c r="B15" s="77" t="s">
        <v>44</v>
      </c>
      <c r="C15" s="78" t="n">
        <v>45059</v>
      </c>
      <c r="D15" s="67" t="n">
        <v>4820200</v>
      </c>
      <c r="E15" s="79" t="n">
        <f aca="false">IF(D15&gt;0, D15,(H$42/(H$39-H$40)))</f>
        <v>4820200</v>
      </c>
      <c r="F15" s="69" t="n">
        <v>94</v>
      </c>
      <c r="G15" s="80" t="n">
        <f aca="false">IF(F15&gt;0,D15/F15, )</f>
        <v>51278.7234042553</v>
      </c>
      <c r="H15" s="69" t="n">
        <v>351</v>
      </c>
      <c r="I15" s="80" t="n">
        <f aca="false">IF(H15&gt;0,H15/F15,  )</f>
        <v>3.73404255319149</v>
      </c>
      <c r="J15" s="80" t="n">
        <f aca="false">IF(I15&gt;0,G15/I15,  )</f>
        <v>13732.7635327635</v>
      </c>
    </row>
    <row r="16" customFormat="false" ht="12.75" hidden="false" customHeight="true" outlineLevel="0" collapsed="false">
      <c r="B16" s="77" t="s">
        <v>38</v>
      </c>
      <c r="C16" s="78" t="n">
        <v>45060</v>
      </c>
      <c r="D16" s="67" t="n">
        <v>3839350</v>
      </c>
      <c r="E16" s="79" t="n">
        <f aca="false">IF(D16&gt;0, D16,(H$42/(H$39-H$40)))</f>
        <v>3839350</v>
      </c>
      <c r="F16" s="69" t="n">
        <v>103</v>
      </c>
      <c r="G16" s="80" t="n">
        <f aca="false">IF(F16&gt;0,D16/F16, )</f>
        <v>37275.2427184466</v>
      </c>
      <c r="H16" s="69" t="n">
        <v>285</v>
      </c>
      <c r="I16" s="80" t="n">
        <f aca="false">IF(H16&gt;0,H16/F16,  )</f>
        <v>2.76699029126214</v>
      </c>
      <c r="J16" s="80" t="n">
        <f aca="false">IF(I16&gt;0,G16/I16,  )</f>
        <v>13471.4035087719</v>
      </c>
    </row>
    <row r="17" customFormat="false" ht="12.75" hidden="false" customHeight="true" outlineLevel="0" collapsed="false">
      <c r="B17" s="77" t="s">
        <v>39</v>
      </c>
      <c r="C17" s="78" t="n">
        <v>45061</v>
      </c>
      <c r="D17" s="67" t="n">
        <v>2455350</v>
      </c>
      <c r="E17" s="79" t="n">
        <f aca="false">IF(D17&gt;0, D17,(H$42/(H$39-H$40)))</f>
        <v>2455350</v>
      </c>
      <c r="F17" s="69" t="n">
        <v>71</v>
      </c>
      <c r="G17" s="80" t="n">
        <f aca="false">IF(F17&gt;0,D17/F17, )</f>
        <v>34582.3943661972</v>
      </c>
      <c r="H17" s="69" t="n">
        <v>354</v>
      </c>
      <c r="I17" s="80" t="n">
        <f aca="false">IF(H17&gt;0,H17/F17,  )</f>
        <v>4.98591549295775</v>
      </c>
      <c r="J17" s="80" t="n">
        <f aca="false">IF(I17&gt;0,G17/I17,  )</f>
        <v>6936.01694915254</v>
      </c>
    </row>
    <row r="18" customFormat="false" ht="12.75" hidden="false" customHeight="true" outlineLevel="0" collapsed="false">
      <c r="B18" s="77" t="s">
        <v>40</v>
      </c>
      <c r="C18" s="78" t="n">
        <v>45062</v>
      </c>
      <c r="D18" s="67" t="n">
        <v>4057750</v>
      </c>
      <c r="E18" s="79" t="n">
        <f aca="false">IF(D18&gt;0, D18,(H$42/(H$39-H$40)))</f>
        <v>4057750</v>
      </c>
      <c r="F18" s="69" t="n">
        <v>98</v>
      </c>
      <c r="G18" s="80" t="n">
        <f aca="false">IF(F18&gt;0,D18/F18, )</f>
        <v>41405.612244898</v>
      </c>
      <c r="H18" s="69" t="n">
        <v>317</v>
      </c>
      <c r="I18" s="80" t="n">
        <f aca="false">IF(H18&gt;0,H18/F18,  )</f>
        <v>3.23469387755102</v>
      </c>
      <c r="J18" s="80" t="n">
        <f aca="false">IF(I18&gt;0,G18/I18,  )</f>
        <v>12800.4731861199</v>
      </c>
    </row>
    <row r="19" customFormat="false" ht="12.75" hidden="false" customHeight="true" outlineLevel="0" collapsed="false">
      <c r="B19" s="77" t="s">
        <v>41</v>
      </c>
      <c r="C19" s="78" t="n">
        <v>45063</v>
      </c>
      <c r="D19" s="67" t="n">
        <v>4892700</v>
      </c>
      <c r="E19" s="79" t="n">
        <f aca="false">IF(D19&gt;0, D19,(H$42/(H$39-H$40)))</f>
        <v>4892700</v>
      </c>
      <c r="F19" s="69" t="n">
        <v>107</v>
      </c>
      <c r="G19" s="80" t="n">
        <f aca="false">IF(F19&gt;0,D19/F19, )</f>
        <v>45726.1682242991</v>
      </c>
      <c r="H19" s="69" t="n">
        <v>371</v>
      </c>
      <c r="I19" s="80" t="n">
        <f aca="false">IF(H19&gt;0,H19/F19,  )</f>
        <v>3.46728971962617</v>
      </c>
      <c r="J19" s="80" t="n">
        <f aca="false">IF(I19&gt;0,G19/I19,  )</f>
        <v>13187.8706199461</v>
      </c>
    </row>
    <row r="20" customFormat="false" ht="12.75" hidden="false" customHeight="true" outlineLevel="0" collapsed="false">
      <c r="B20" s="77" t="s">
        <v>42</v>
      </c>
      <c r="C20" s="78" t="n">
        <v>45064</v>
      </c>
      <c r="D20" s="67" t="n">
        <v>5795700</v>
      </c>
      <c r="E20" s="79" t="n">
        <f aca="false">IF(D20&gt;0, D20,(H$42/(H$39-H$40)))</f>
        <v>5795700</v>
      </c>
      <c r="F20" s="69" t="n">
        <v>130</v>
      </c>
      <c r="G20" s="80" t="n">
        <f aca="false">IF(F20&gt;0,D20/F20, )</f>
        <v>44582.3076923077</v>
      </c>
      <c r="H20" s="69" t="n">
        <v>457</v>
      </c>
      <c r="I20" s="80" t="n">
        <f aca="false">IF(H20&gt;0,H20/F20,  )</f>
        <v>3.51538461538462</v>
      </c>
      <c r="J20" s="80" t="n">
        <f aca="false">IF(I20&gt;0,G20/I20,  )</f>
        <v>12682.056892779</v>
      </c>
    </row>
    <row r="21" customFormat="false" ht="12.75" hidden="false" customHeight="true" outlineLevel="0" collapsed="false">
      <c r="B21" s="77" t="s">
        <v>43</v>
      </c>
      <c r="C21" s="78" t="n">
        <v>45065</v>
      </c>
      <c r="D21" s="67" t="n">
        <v>5181050</v>
      </c>
      <c r="E21" s="79" t="n">
        <f aca="false">IF(D21&gt;0, D21,(H$42/(H$39-H$40)))</f>
        <v>5181050</v>
      </c>
      <c r="F21" s="69" t="n">
        <v>117</v>
      </c>
      <c r="G21" s="80" t="n">
        <f aca="false">IF(F21&gt;0,D21/F21, )</f>
        <v>44282.4786324786</v>
      </c>
      <c r="H21" s="69" t="n">
        <v>379</v>
      </c>
      <c r="I21" s="80" t="n">
        <f aca="false">IF(H21&gt;0,H21/F21,  )</f>
        <v>3.23931623931624</v>
      </c>
      <c r="J21" s="80" t="n">
        <f aca="false">IF(I21&gt;0,G21/I21,  )</f>
        <v>13670.3166226913</v>
      </c>
    </row>
    <row r="22" customFormat="false" ht="12.75" hidden="false" customHeight="true" outlineLevel="0" collapsed="false">
      <c r="B22" s="77" t="s">
        <v>44</v>
      </c>
      <c r="C22" s="78" t="n">
        <v>45066</v>
      </c>
      <c r="D22" s="67" t="n">
        <v>5303500</v>
      </c>
      <c r="E22" s="79" t="n">
        <f aca="false">IF(D22&gt;0, D22,(H$42/(H$39-H$40)))</f>
        <v>5303500</v>
      </c>
      <c r="F22" s="81" t="n">
        <v>122</v>
      </c>
      <c r="G22" s="80" t="n">
        <f aca="false">IF(F22&gt;0,D22/F22, )</f>
        <v>43471.3114754098</v>
      </c>
      <c r="H22" s="69" t="n">
        <v>361</v>
      </c>
      <c r="I22" s="80" t="n">
        <f aca="false">IF(H22&gt;0,H22/F22,  )</f>
        <v>2.95901639344262</v>
      </c>
      <c r="J22" s="80" t="n">
        <f aca="false">IF(I22&gt;0,G22/I22,  )</f>
        <v>14691.135734072</v>
      </c>
    </row>
    <row r="23" customFormat="false" ht="12.75" hidden="false" customHeight="true" outlineLevel="0" collapsed="false">
      <c r="B23" s="77" t="s">
        <v>38</v>
      </c>
      <c r="C23" s="78" t="n">
        <v>45067</v>
      </c>
      <c r="D23" s="67" t="n">
        <v>3998400</v>
      </c>
      <c r="E23" s="79" t="n">
        <f aca="false">IF(D23&gt;0, D23,(H$42/(H$39-H$40)))</f>
        <v>3998400</v>
      </c>
      <c r="F23" s="69" t="n">
        <v>85</v>
      </c>
      <c r="G23" s="80" t="n">
        <f aca="false">IF(F23&gt;0,D23/F23, )</f>
        <v>47040</v>
      </c>
      <c r="H23" s="69" t="n">
        <v>263</v>
      </c>
      <c r="I23" s="80" t="n">
        <f aca="false">IF(H23&gt;0,H23/F23,  )</f>
        <v>3.09411764705882</v>
      </c>
      <c r="J23" s="80" t="n">
        <f aca="false">IF(I23&gt;0,G23/I23,  )</f>
        <v>15203.0418250951</v>
      </c>
    </row>
    <row r="24" customFormat="false" ht="12.75" hidden="false" customHeight="true" outlineLevel="0" collapsed="false">
      <c r="B24" s="77" t="s">
        <v>39</v>
      </c>
      <c r="C24" s="78" t="n">
        <v>45068</v>
      </c>
      <c r="D24" s="67" t="n">
        <v>4901400</v>
      </c>
      <c r="E24" s="79" t="n">
        <f aca="false">IF(D24&gt;0, D24,(H$42/(H$39-H$40)))</f>
        <v>4901400</v>
      </c>
      <c r="F24" s="69" t="n">
        <v>115</v>
      </c>
      <c r="G24" s="80" t="n">
        <f aca="false">IF(F24&gt;0,D24/F24, )</f>
        <v>42620.8695652174</v>
      </c>
      <c r="H24" s="69" t="n">
        <v>344</v>
      </c>
      <c r="I24" s="80" t="n">
        <f aca="false">IF(H24&gt;0,H24/F24,  )</f>
        <v>2.99130434782609</v>
      </c>
      <c r="J24" s="80" t="n">
        <f aca="false">IF(I24&gt;0,G24/I24,  )</f>
        <v>14248.2558139535</v>
      </c>
    </row>
    <row r="25" customFormat="false" ht="12.75" hidden="false" customHeight="true" outlineLevel="0" collapsed="false">
      <c r="B25" s="77" t="s">
        <v>40</v>
      </c>
      <c r="C25" s="78" t="n">
        <v>45069</v>
      </c>
      <c r="D25" s="67" t="n">
        <v>2811750</v>
      </c>
      <c r="E25" s="79" t="n">
        <f aca="false">IF(D25&gt;0, D25,(H$42/(H$39-H$40)))</f>
        <v>2811750</v>
      </c>
      <c r="F25" s="69" t="n">
        <v>90</v>
      </c>
      <c r="G25" s="80" t="n">
        <f aca="false">IF(F25&gt;0,D25/F25, )</f>
        <v>31241.6666666667</v>
      </c>
      <c r="H25" s="69" t="n">
        <v>235</v>
      </c>
      <c r="I25" s="80" t="n">
        <f aca="false">IF(H25&gt;0,H25/F25,  )</f>
        <v>2.61111111111111</v>
      </c>
      <c r="J25" s="80" t="n">
        <f aca="false">IF(I25&gt;0,G25/I25,  )</f>
        <v>11964.8936170213</v>
      </c>
    </row>
    <row r="26" customFormat="false" ht="12.75" hidden="false" customHeight="true" outlineLevel="0" collapsed="false">
      <c r="B26" s="77" t="s">
        <v>41</v>
      </c>
      <c r="C26" s="78" t="n">
        <v>45070</v>
      </c>
      <c r="D26" s="67" t="n">
        <v>3482900</v>
      </c>
      <c r="E26" s="79" t="n">
        <f aca="false">IF(D26&gt;0, D26,(H$42/(H$39-H$40)))</f>
        <v>3482900</v>
      </c>
      <c r="F26" s="69" t="n">
        <v>102</v>
      </c>
      <c r="G26" s="80" t="n">
        <f aca="false">IF(F26&gt;0,D26/F26, )</f>
        <v>34146.0784313726</v>
      </c>
      <c r="H26" s="69" t="n">
        <v>281</v>
      </c>
      <c r="I26" s="80" t="n">
        <f aca="false">IF(H26&gt;0,H26/F26,  )</f>
        <v>2.75490196078431</v>
      </c>
      <c r="J26" s="80" t="n">
        <f aca="false">IF(I26&gt;0,G26/I26,  )</f>
        <v>12394.6619217082</v>
      </c>
    </row>
    <row r="27" customFormat="false" ht="12.75" hidden="false" customHeight="true" outlineLevel="0" collapsed="false">
      <c r="B27" s="77" t="s">
        <v>42</v>
      </c>
      <c r="C27" s="78" t="n">
        <v>45071</v>
      </c>
      <c r="D27" s="67" t="n">
        <v>3699650</v>
      </c>
      <c r="E27" s="79" t="n">
        <f aca="false">IF(D27&gt;0, D27,(H$42/(H$39-H$40)))</f>
        <v>3699650</v>
      </c>
      <c r="F27" s="69" t="n">
        <v>82</v>
      </c>
      <c r="G27" s="80" t="n">
        <f aca="false">IF(F27&gt;0,D27/F27, )</f>
        <v>45117.6829268293</v>
      </c>
      <c r="H27" s="69" t="n">
        <v>256</v>
      </c>
      <c r="I27" s="80" t="n">
        <f aca="false">IF(H27&gt;0,H27/F27,  )</f>
        <v>3.1219512195122</v>
      </c>
      <c r="J27" s="80" t="n">
        <f aca="false">IF(I27&gt;0,G27/I27,  )</f>
        <v>14451.7578125</v>
      </c>
    </row>
    <row r="28" customFormat="false" ht="12.75" hidden="false" customHeight="true" outlineLevel="0" collapsed="false">
      <c r="B28" s="77" t="s">
        <v>43</v>
      </c>
      <c r="C28" s="78" t="n">
        <v>45072</v>
      </c>
      <c r="D28" s="67" t="n">
        <v>3653750</v>
      </c>
      <c r="E28" s="79" t="n">
        <f aca="false">IF(D28&gt;0, D28,(H$42/(H$39-H$40)))</f>
        <v>3653750</v>
      </c>
      <c r="F28" s="69" t="n">
        <v>97</v>
      </c>
      <c r="G28" s="80" t="n">
        <f aca="false">IF(F28&gt;0,D28/F28, )</f>
        <v>37667.5257731959</v>
      </c>
      <c r="H28" s="69" t="n">
        <v>283</v>
      </c>
      <c r="I28" s="80" t="n">
        <f aca="false">IF(H28&gt;0,H28/F28,  )</f>
        <v>2.91752577319588</v>
      </c>
      <c r="J28" s="80" t="n">
        <f aca="false">IF(I28&gt;0,G28/I28,  )</f>
        <v>12910.777385159</v>
      </c>
    </row>
    <row r="29" customFormat="false" ht="12.75" hidden="false" customHeight="true" outlineLevel="0" collapsed="false">
      <c r="B29" s="77" t="s">
        <v>44</v>
      </c>
      <c r="C29" s="78" t="n">
        <v>45073</v>
      </c>
      <c r="D29" s="67" t="n">
        <v>4392550</v>
      </c>
      <c r="E29" s="79" t="n">
        <f aca="false">IF(D29&gt;0, D29,(H$42/(H$39-H$40)))</f>
        <v>4392550</v>
      </c>
      <c r="F29" s="69" t="n">
        <v>82</v>
      </c>
      <c r="G29" s="80" t="n">
        <f aca="false">IF(F29&gt;0,D29/F29, )</f>
        <v>53567.6829268293</v>
      </c>
      <c r="H29" s="69" t="n">
        <v>308</v>
      </c>
      <c r="I29" s="80" t="n">
        <f aca="false">IF(H29&gt;0,H29/F29,  )</f>
        <v>3.75609756097561</v>
      </c>
      <c r="J29" s="80" t="n">
        <f aca="false">IF(I29&gt;0,G29/I29,  )</f>
        <v>14261.525974026</v>
      </c>
    </row>
    <row r="30" customFormat="false" ht="12.75" hidden="false" customHeight="true" outlineLevel="0" collapsed="false">
      <c r="B30" s="77" t="s">
        <v>38</v>
      </c>
      <c r="C30" s="78" t="n">
        <v>45074</v>
      </c>
      <c r="D30" s="67" t="n">
        <v>2922100</v>
      </c>
      <c r="E30" s="79" t="n">
        <f aca="false">IF(D30&gt;0, D30,(H$42/(H$39-H$40)))</f>
        <v>2922100</v>
      </c>
      <c r="F30" s="69" t="n">
        <v>85</v>
      </c>
      <c r="G30" s="80" t="n">
        <f aca="false">IF(F30&gt;0,D30/F30, )</f>
        <v>34377.6470588235</v>
      </c>
      <c r="H30" s="69" t="n">
        <v>223</v>
      </c>
      <c r="I30" s="80" t="n">
        <f aca="false">IF(H30&gt;0,H30/F30,  )</f>
        <v>2.62352941176471</v>
      </c>
      <c r="J30" s="80" t="n">
        <f aca="false">IF(I30&gt;0,G30/I30,  )</f>
        <v>13103.5874439462</v>
      </c>
      <c r="L30" s="82"/>
    </row>
    <row r="31" customFormat="false" ht="12.75" hidden="false" customHeight="true" outlineLevel="0" collapsed="false">
      <c r="B31" s="77" t="s">
        <v>39</v>
      </c>
      <c r="C31" s="78" t="n">
        <v>45075</v>
      </c>
      <c r="D31" s="67" t="n">
        <v>3867850</v>
      </c>
      <c r="E31" s="79" t="n">
        <f aca="false">IF(D31&gt;0, D31,(H$42/(H$39-H$40)))</f>
        <v>3867850</v>
      </c>
      <c r="F31" s="69" t="n">
        <v>100</v>
      </c>
      <c r="G31" s="80" t="n">
        <f aca="false">IF(F31&gt;0,D31/F31, )</f>
        <v>38678.5</v>
      </c>
      <c r="H31" s="69" t="n">
        <v>296</v>
      </c>
      <c r="I31" s="80" t="n">
        <f aca="false">IF(H31&gt;0,H31/F31,  )</f>
        <v>2.96</v>
      </c>
      <c r="J31" s="80" t="n">
        <f aca="false">IF(I31&gt;0,G31/I31,  )</f>
        <v>13067.0608108108</v>
      </c>
    </row>
    <row r="32" customFormat="false" ht="12.75" hidden="false" customHeight="true" outlineLevel="0" collapsed="false">
      <c r="B32" s="77" t="s">
        <v>40</v>
      </c>
      <c r="C32" s="78" t="n">
        <v>45076</v>
      </c>
      <c r="D32" s="67" t="n">
        <v>3231550</v>
      </c>
      <c r="E32" s="79" t="n">
        <f aca="false">IF(D32&gt;0, D32,(H$42/(H$39-H$40)))</f>
        <v>3231550</v>
      </c>
      <c r="F32" s="69" t="n">
        <v>92</v>
      </c>
      <c r="G32" s="80" t="n">
        <f aca="false">IF(F32&gt;0,D32/F32, )</f>
        <v>35125.5434782609</v>
      </c>
      <c r="H32" s="69" t="n">
        <v>224</v>
      </c>
      <c r="I32" s="80" t="n">
        <f aca="false">IF(H32&gt;0,H32/F32,  )</f>
        <v>2.43478260869565</v>
      </c>
      <c r="J32" s="80" t="n">
        <f aca="false">IF(I32&gt;0,G32/I32,  )</f>
        <v>14426.5625</v>
      </c>
    </row>
    <row r="33" customFormat="false" ht="12.75" hidden="false" customHeight="true" outlineLevel="0" collapsed="false">
      <c r="B33" s="77" t="s">
        <v>41</v>
      </c>
      <c r="C33" s="78" t="n">
        <v>45077</v>
      </c>
      <c r="D33" s="67" t="n">
        <v>3764450</v>
      </c>
      <c r="E33" s="79" t="n">
        <f aca="false">IF(D33&gt;0, D33,(H$42/(H$39-H$40)))</f>
        <v>3764450</v>
      </c>
      <c r="F33" s="69" t="n">
        <v>82</v>
      </c>
      <c r="G33" s="80" t="n">
        <f aca="false">IF(F33&gt;0,D33/F33, )</f>
        <v>45907.9268292683</v>
      </c>
      <c r="H33" s="69" t="n">
        <v>292</v>
      </c>
      <c r="I33" s="80" t="n">
        <f aca="false">IF(H33&gt;0,H33/F33,  )</f>
        <v>3.5609756097561</v>
      </c>
      <c r="J33" s="80" t="n">
        <f aca="false">IF(I33&gt;0,G33/I33,  )</f>
        <v>12891.9520547945</v>
      </c>
    </row>
    <row r="34" customFormat="false" ht="12.75" hidden="false" customHeight="true" outlineLevel="0" collapsed="false">
      <c r="B34" s="83" t="s">
        <v>18</v>
      </c>
      <c r="C34" s="84"/>
      <c r="D34" s="85" t="n">
        <f aca="false">AVERAGE(D3:D33)</f>
        <v>4261454.83870968</v>
      </c>
      <c r="E34" s="85"/>
      <c r="F34" s="86" t="n">
        <f aca="false">AVERAGE(F3:F33)</f>
        <v>101.41935483871</v>
      </c>
      <c r="G34" s="85" t="n">
        <f aca="false">D34/F34</f>
        <v>42018.1615776081</v>
      </c>
      <c r="H34" s="86" t="n">
        <f aca="false">AVERAGE(H3:H32)</f>
        <v>326.166666666667</v>
      </c>
      <c r="I34" s="86" t="n">
        <f aca="false">IF(H34&gt;0,H34/F34,  )</f>
        <v>3.21601993214589</v>
      </c>
      <c r="J34" s="87" t="n">
        <f aca="false">IF(I34&gt;0,G34/I34,  )</f>
        <v>13065.267773254</v>
      </c>
    </row>
    <row r="35" customFormat="false" ht="12.75" hidden="false" customHeight="true" outlineLevel="0" collapsed="false">
      <c r="B35" s="88" t="s">
        <v>19</v>
      </c>
      <c r="C35" s="89"/>
      <c r="D35" s="90" t="n">
        <f aca="false">SUM(D3:D33)</f>
        <v>132105100</v>
      </c>
      <c r="E35" s="90"/>
      <c r="F35" s="91" t="n">
        <f aca="false">SUM(F3:F33)</f>
        <v>3144</v>
      </c>
      <c r="G35" s="92"/>
      <c r="H35" s="91" t="n">
        <f aca="false">SUM(H3:H33)</f>
        <v>10077</v>
      </c>
      <c r="I35" s="91"/>
      <c r="J35" s="91"/>
    </row>
    <row r="36" customFormat="false" ht="12.75" hidden="false" customHeight="true" outlineLevel="0" collapsed="false">
      <c r="B36" s="93" t="s">
        <v>20</v>
      </c>
      <c r="C36" s="94"/>
      <c r="D36" s="95" t="n">
        <v>145000000</v>
      </c>
      <c r="E36" s="96"/>
      <c r="F36" s="97"/>
      <c r="G36" s="98"/>
      <c r="H36" s="97"/>
      <c r="I36" s="97"/>
      <c r="J36" s="97"/>
    </row>
    <row r="37" customFormat="false" ht="12.75" hidden="false" customHeight="true" outlineLevel="0" collapsed="false">
      <c r="B37" s="99" t="s">
        <v>21</v>
      </c>
      <c r="C37" s="100"/>
      <c r="D37" s="101" t="n">
        <f aca="false">D35/D36</f>
        <v>0.911069655172414</v>
      </c>
      <c r="E37" s="101"/>
      <c r="F37" s="102"/>
      <c r="G37" s="103"/>
      <c r="H37" s="104"/>
      <c r="I37" s="104"/>
      <c r="J37" s="105"/>
    </row>
    <row r="39" customFormat="false" ht="12.75" hidden="false" customHeight="true" outlineLevel="0" collapsed="false">
      <c r="D39" s="106"/>
      <c r="E39" s="107" t="s">
        <v>22</v>
      </c>
      <c r="F39" s="107"/>
      <c r="G39" s="107"/>
      <c r="H39" s="108" t="n">
        <f aca="false">COUNTA(C3:C33)</f>
        <v>31</v>
      </c>
      <c r="I39" s="106"/>
    </row>
    <row r="40" customFormat="false" ht="12.75" hidden="false" customHeight="true" outlineLevel="0" collapsed="false">
      <c r="D40" s="106"/>
      <c r="E40" s="109" t="s">
        <v>23</v>
      </c>
      <c r="F40" s="109"/>
      <c r="G40" s="109"/>
      <c r="H40" s="110" t="n">
        <f aca="false">COUNTA(D3:D33)</f>
        <v>31</v>
      </c>
      <c r="I40" s="106"/>
    </row>
    <row r="41" customFormat="false" ht="12.75" hidden="false" customHeight="true" outlineLevel="0" collapsed="false">
      <c r="D41" s="106"/>
      <c r="E41" s="111" t="s">
        <v>24</v>
      </c>
      <c r="F41" s="111"/>
      <c r="G41" s="111"/>
      <c r="H41" s="112" t="n">
        <f aca="false">D36</f>
        <v>145000000</v>
      </c>
      <c r="I41" s="106"/>
    </row>
    <row r="42" customFormat="false" ht="12.75" hidden="false" customHeight="true" outlineLevel="0" collapsed="false">
      <c r="D42" s="106"/>
      <c r="E42" s="113" t="s">
        <v>25</v>
      </c>
      <c r="F42" s="113"/>
      <c r="G42" s="113"/>
      <c r="H42" s="114" t="n">
        <f aca="false">D36-D35</f>
        <v>12894900</v>
      </c>
      <c r="I42" s="106"/>
    </row>
    <row r="43" customFormat="false" ht="12.75" hidden="false" customHeight="true" outlineLevel="0" collapsed="false">
      <c r="D43" s="106"/>
      <c r="E43" s="113" t="s">
        <v>26</v>
      </c>
      <c r="F43" s="113"/>
      <c r="G43" s="113"/>
      <c r="H43" s="115" t="n">
        <f aca="false">H46*H39</f>
        <v>132105100</v>
      </c>
      <c r="I43" s="106"/>
      <c r="J43" s="106"/>
    </row>
    <row r="44" customFormat="false" ht="12.75" hidden="false" customHeight="true" outlineLevel="0" collapsed="false">
      <c r="D44" s="106"/>
      <c r="E44" s="116" t="s">
        <v>27</v>
      </c>
      <c r="F44" s="116"/>
      <c r="G44" s="116"/>
      <c r="H44" s="117" t="n">
        <f aca="false">H43-H41</f>
        <v>-12894900</v>
      </c>
      <c r="I44" s="106"/>
    </row>
    <row r="45" customFormat="false" ht="12.75" hidden="false" customHeight="true" outlineLevel="0" collapsed="false">
      <c r="D45" s="106"/>
      <c r="E45" s="118" t="s">
        <v>28</v>
      </c>
      <c r="F45" s="118"/>
      <c r="G45" s="118"/>
      <c r="H45" s="119" t="n">
        <f aca="false">H41/H39</f>
        <v>4677419.35483871</v>
      </c>
      <c r="I45" s="106"/>
    </row>
    <row r="46" customFormat="false" ht="12.75" hidden="false" customHeight="true" outlineLevel="0" collapsed="false">
      <c r="D46" s="106"/>
      <c r="E46" s="120" t="s">
        <v>29</v>
      </c>
      <c r="F46" s="120"/>
      <c r="G46" s="120"/>
      <c r="H46" s="121" t="n">
        <f aca="false">AVERAGE(D3:D33)</f>
        <v>4261454.83870968</v>
      </c>
      <c r="I46" s="106"/>
    </row>
    <row r="47" customFormat="false" ht="12.75" hidden="false" customHeight="true" outlineLevel="0" collapsed="false">
      <c r="D47" s="106"/>
      <c r="E47" s="120" t="s">
        <v>30</v>
      </c>
      <c r="F47" s="120"/>
      <c r="G47" s="120"/>
      <c r="H47" s="122" t="n">
        <f aca="false">(H41/H49)/H39</f>
        <v>111.318991103393</v>
      </c>
      <c r="I47" s="106"/>
    </row>
    <row r="48" customFormat="false" ht="12.75" hidden="false" customHeight="true" outlineLevel="0" collapsed="false">
      <c r="D48" s="106"/>
      <c r="E48" s="120" t="s">
        <v>31</v>
      </c>
      <c r="F48" s="120"/>
      <c r="G48" s="120"/>
      <c r="H48" s="121" t="n">
        <f aca="false">F34</f>
        <v>101.41935483871</v>
      </c>
      <c r="I48" s="106"/>
    </row>
    <row r="49" customFormat="false" ht="12.75" hidden="false" customHeight="true" outlineLevel="0" collapsed="false">
      <c r="D49" s="106"/>
      <c r="E49" s="120" t="s">
        <v>32</v>
      </c>
      <c r="F49" s="120"/>
      <c r="G49" s="120"/>
      <c r="H49" s="123" t="n">
        <f aca="false">G34</f>
        <v>42018.1615776081</v>
      </c>
      <c r="I49" s="106"/>
    </row>
    <row r="50" customFormat="false" ht="12.75" hidden="false" customHeight="true" outlineLevel="0" collapsed="false">
      <c r="D50" s="106"/>
      <c r="E50" s="120" t="s">
        <v>33</v>
      </c>
      <c r="F50" s="120"/>
      <c r="G50" s="120"/>
      <c r="H50" s="124" t="n">
        <f aca="false">H46-H45</f>
        <v>-415964.516129032</v>
      </c>
      <c r="I50" s="106"/>
    </row>
    <row r="51" customFormat="false" ht="12.75" hidden="false" customHeight="true" outlineLevel="0" collapsed="false">
      <c r="D51" s="106"/>
      <c r="E51" s="120" t="s">
        <v>34</v>
      </c>
      <c r="F51" s="120"/>
      <c r="G51" s="120"/>
      <c r="H51" s="125" t="n">
        <f aca="false">H43/H41</f>
        <v>0.911069655172414</v>
      </c>
      <c r="I51" s="106"/>
    </row>
    <row r="52" customFormat="false" ht="12.75" hidden="false" customHeight="true" outlineLevel="0" collapsed="false">
      <c r="D52" s="106"/>
      <c r="E52" s="126" t="s">
        <v>35</v>
      </c>
      <c r="F52" s="126"/>
      <c r="G52" s="126"/>
      <c r="H52" s="127" t="n">
        <f aca="false">D35/H41</f>
        <v>0.911069655172414</v>
      </c>
      <c r="I52" s="106"/>
    </row>
    <row r="53" customFormat="false" ht="15" hidden="false" customHeight="false" outlineLevel="0" collapsed="false">
      <c r="D53" s="106"/>
      <c r="E53" s="106"/>
      <c r="F53" s="106"/>
      <c r="G53" s="106"/>
      <c r="H53" s="106"/>
      <c r="I53" s="106"/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7" activeCellId="0" sqref="H37"/>
    </sheetView>
  </sheetViews>
  <sheetFormatPr defaultColWidth="10.25" defaultRowHeight="15" zeroHeight="false" outlineLevelRow="0" outlineLevelCol="0"/>
  <cols>
    <col collapsed="false" customWidth="true" hidden="false" outlineLevel="0" max="1" min="1" style="71" width="23.51"/>
    <col collapsed="false" customWidth="true" hidden="false" outlineLevel="0" max="2" min="2" style="71" width="11.59"/>
    <col collapsed="false" customWidth="true" hidden="false" outlineLevel="0" max="3" min="3" style="71" width="9.18"/>
    <col collapsed="false" customWidth="true" hidden="false" outlineLevel="0" max="8" min="4" style="71" width="14.54"/>
    <col collapsed="false" customWidth="true" hidden="false" outlineLevel="0" max="9" min="9" style="71" width="13.33"/>
    <col collapsed="false" customWidth="true" hidden="false" outlineLevel="0" max="10" min="10" style="71" width="12.5"/>
    <col collapsed="false" customWidth="false" hidden="false" outlineLevel="0" max="64" min="11" style="71" width="10.27"/>
  </cols>
  <sheetData>
    <row r="1" customFormat="false" ht="23.1" hidden="false" customHeight="true" outlineLevel="0" collapsed="false">
      <c r="B1" s="128" t="s">
        <v>48</v>
      </c>
      <c r="C1" s="100"/>
      <c r="D1" s="129" t="s">
        <v>1</v>
      </c>
      <c r="E1" s="129"/>
      <c r="F1" s="129"/>
      <c r="G1" s="129"/>
      <c r="H1" s="129"/>
      <c r="I1" s="129"/>
      <c r="J1" s="129"/>
    </row>
    <row r="2" customFormat="false" ht="30.55" hidden="false" customHeight="true" outlineLevel="0" collapsed="false">
      <c r="B2" s="130" t="s">
        <v>2</v>
      </c>
      <c r="C2" s="131" t="s">
        <v>3</v>
      </c>
      <c r="D2" s="132" t="s">
        <v>4</v>
      </c>
      <c r="E2" s="132" t="s">
        <v>5</v>
      </c>
      <c r="F2" s="132" t="s">
        <v>6</v>
      </c>
      <c r="G2" s="133" t="s">
        <v>7</v>
      </c>
      <c r="H2" s="134" t="s">
        <v>8</v>
      </c>
      <c r="I2" s="134" t="s">
        <v>9</v>
      </c>
      <c r="J2" s="134" t="s">
        <v>10</v>
      </c>
    </row>
    <row r="3" customFormat="false" ht="12.75" hidden="false" customHeight="true" outlineLevel="0" collapsed="false">
      <c r="B3" s="77" t="s">
        <v>42</v>
      </c>
      <c r="C3" s="78" t="n">
        <v>45078</v>
      </c>
      <c r="D3" s="67" t="n">
        <v>5598050</v>
      </c>
      <c r="E3" s="79" t="n">
        <f aca="false">IF(D3&gt;0, D3,(H$41/(H$38-H$39)))</f>
        <v>5598050</v>
      </c>
      <c r="F3" s="69" t="n">
        <v>133</v>
      </c>
      <c r="G3" s="80" t="n">
        <f aca="false">IF(F3&gt;0,D3/F3, )</f>
        <v>42090.6015037594</v>
      </c>
      <c r="H3" s="69" t="n">
        <v>412</v>
      </c>
      <c r="I3" s="80" t="n">
        <f aca="false">IF(H3&gt;0,H3/F3,  )</f>
        <v>3.09774436090226</v>
      </c>
      <c r="J3" s="80" t="n">
        <f aca="false">IF(I3&gt;0,G3/I3,  )</f>
        <v>13587.5</v>
      </c>
    </row>
    <row r="4" customFormat="false" ht="12.75" hidden="false" customHeight="true" outlineLevel="0" collapsed="false">
      <c r="B4" s="77" t="s">
        <v>43</v>
      </c>
      <c r="C4" s="78" t="n">
        <v>45079</v>
      </c>
      <c r="D4" s="67" t="n">
        <v>4717700</v>
      </c>
      <c r="E4" s="79" t="n">
        <f aca="false">IF(D4&gt;0, D4,(H$41/(H$38-H$39)))</f>
        <v>4717700</v>
      </c>
      <c r="F4" s="69" t="n">
        <v>107</v>
      </c>
      <c r="G4" s="80" t="n">
        <f aca="false">IF(F4&gt;0,D4/F4, )</f>
        <v>44090.6542056075</v>
      </c>
      <c r="H4" s="69" t="n">
        <v>340</v>
      </c>
      <c r="I4" s="80" t="n">
        <f aca="false">IF(H4&gt;0,H4/F4,  )</f>
        <v>3.17757009345794</v>
      </c>
      <c r="J4" s="80" t="n">
        <f aca="false">IF(I4&gt;0,G4/I4,  )</f>
        <v>13875.5882352941</v>
      </c>
    </row>
    <row r="5" customFormat="false" ht="12.75" hidden="false" customHeight="true" outlineLevel="0" collapsed="false">
      <c r="B5" s="77" t="s">
        <v>44</v>
      </c>
      <c r="C5" s="78" t="n">
        <v>45080</v>
      </c>
      <c r="D5" s="67" t="n">
        <v>6007850</v>
      </c>
      <c r="E5" s="79" t="n">
        <f aca="false">IF(D5&gt;0, D5,(H$41/(H$38-H$39)))</f>
        <v>6007850</v>
      </c>
      <c r="F5" s="69" t="n">
        <v>100</v>
      </c>
      <c r="G5" s="80" t="n">
        <f aca="false">IF(F5&gt;0,D5/F5, )</f>
        <v>60078.5</v>
      </c>
      <c r="H5" s="69" t="n">
        <v>413</v>
      </c>
      <c r="I5" s="80" t="n">
        <f aca="false">IF(H5&gt;0,H5/F5,  )</f>
        <v>4.13</v>
      </c>
      <c r="J5" s="80" t="n">
        <f aca="false">IF(I5&gt;0,G5/I5,  )</f>
        <v>14546.8523002421</v>
      </c>
    </row>
    <row r="6" customFormat="false" ht="12.75" hidden="false" customHeight="true" outlineLevel="0" collapsed="false">
      <c r="B6" s="77" t="s">
        <v>38</v>
      </c>
      <c r="C6" s="78" t="n">
        <v>45081</v>
      </c>
      <c r="D6" s="67" t="n">
        <v>5380400</v>
      </c>
      <c r="E6" s="79" t="n">
        <f aca="false">IF(D6&gt;0, D6,(H$41/(H$38-H$39)))</f>
        <v>5380400</v>
      </c>
      <c r="F6" s="69" t="n">
        <v>105</v>
      </c>
      <c r="G6" s="80" t="n">
        <f aca="false">IF(F6&gt;0,D6/F6, )</f>
        <v>51241.9047619048</v>
      </c>
      <c r="H6" s="69" t="n">
        <v>400</v>
      </c>
      <c r="I6" s="80" t="n">
        <f aca="false">IF(H6&gt;0,H6/F6,  )</f>
        <v>3.80952380952381</v>
      </c>
      <c r="J6" s="80" t="n">
        <f aca="false">IF(I6&gt;0,G6/I6,  )</f>
        <v>13451</v>
      </c>
    </row>
    <row r="7" customFormat="false" ht="12.75" hidden="false" customHeight="true" outlineLevel="0" collapsed="false">
      <c r="B7" s="77" t="s">
        <v>39</v>
      </c>
      <c r="C7" s="78" t="n">
        <v>45082</v>
      </c>
      <c r="D7" s="67" t="n">
        <v>4237850</v>
      </c>
      <c r="E7" s="79" t="n">
        <f aca="false">IF(D7&gt;0, D7,(H$41/(H$38-H$39)))</f>
        <v>4237850</v>
      </c>
      <c r="F7" s="69" t="n">
        <v>98</v>
      </c>
      <c r="G7" s="80" t="n">
        <f aca="false">IF(F7&gt;0,D7/F7, )</f>
        <v>43243.3673469388</v>
      </c>
      <c r="H7" s="69" t="n">
        <v>312</v>
      </c>
      <c r="I7" s="80" t="n">
        <f aca="false">IF(H7&gt;0,H7/F7,  )</f>
        <v>3.18367346938775</v>
      </c>
      <c r="J7" s="80" t="n">
        <f aca="false">IF(I7&gt;0,G7/I7,  )</f>
        <v>13582.8525641026</v>
      </c>
    </row>
    <row r="8" customFormat="false" ht="12.75" hidden="false" customHeight="true" outlineLevel="0" collapsed="false">
      <c r="B8" s="77" t="s">
        <v>40</v>
      </c>
      <c r="C8" s="78" t="n">
        <v>45083</v>
      </c>
      <c r="D8" s="67" t="n">
        <v>4219950</v>
      </c>
      <c r="E8" s="79" t="n">
        <f aca="false">IF(D8&gt;0, D8,(H$41/(H$38-H$39)))</f>
        <v>4219950</v>
      </c>
      <c r="F8" s="69" t="n">
        <v>103</v>
      </c>
      <c r="G8" s="80" t="n">
        <f aca="false">IF(F8&gt;0,D8/F8, )</f>
        <v>40970.3883495146</v>
      </c>
      <c r="H8" s="69" t="n">
        <v>330</v>
      </c>
      <c r="I8" s="80" t="n">
        <f aca="false">IF(H8&gt;0,H8/F8,  )</f>
        <v>3.20388349514563</v>
      </c>
      <c r="J8" s="80" t="n">
        <f aca="false">IF(I8&gt;0,G8/I8,  )</f>
        <v>12787.7272727273</v>
      </c>
    </row>
    <row r="9" customFormat="false" ht="12.75" hidden="false" customHeight="true" outlineLevel="0" collapsed="false">
      <c r="B9" s="77" t="s">
        <v>41</v>
      </c>
      <c r="C9" s="78" t="n">
        <v>45084</v>
      </c>
      <c r="D9" s="67" t="n">
        <v>3824950</v>
      </c>
      <c r="E9" s="79" t="n">
        <f aca="false">IF(D9&gt;0, D9,(H$41/(H$38-H$39)))</f>
        <v>3824950</v>
      </c>
      <c r="F9" s="69" t="n">
        <v>86</v>
      </c>
      <c r="G9" s="80" t="n">
        <f aca="false">IF(F9&gt;0,D9/F9, )</f>
        <v>44476.1627906977</v>
      </c>
      <c r="H9" s="69" t="n">
        <v>311</v>
      </c>
      <c r="I9" s="80" t="n">
        <f aca="false">IF(H9&gt;0,H9/F9,  )</f>
        <v>3.61627906976744</v>
      </c>
      <c r="J9" s="80" t="n">
        <f aca="false">IF(I9&gt;0,G9/I9,  )</f>
        <v>12298.8745980707</v>
      </c>
    </row>
    <row r="10" customFormat="false" ht="12.75" hidden="false" customHeight="true" outlineLevel="0" collapsed="false">
      <c r="B10" s="77" t="s">
        <v>42</v>
      </c>
      <c r="C10" s="78" t="n">
        <v>45085</v>
      </c>
      <c r="D10" s="67" t="n">
        <v>0</v>
      </c>
      <c r="E10" s="79" t="e">
        <f aca="false">IF(D10&gt;0, D10,(H$41/(H$38-H$39)))</f>
        <v>#DIV/0!</v>
      </c>
      <c r="F10" s="69" t="n">
        <v>0</v>
      </c>
      <c r="G10" s="80" t="n">
        <f aca="false">IF(F10&gt;0,D10/F10, )</f>
        <v>0</v>
      </c>
      <c r="H10" s="69" t="n">
        <v>0</v>
      </c>
      <c r="I10" s="80" t="n">
        <f aca="false">IF(H10&gt;0,H10/F10,  )</f>
        <v>0</v>
      </c>
      <c r="J10" s="80" t="n">
        <f aca="false">IF(I10&gt;0,G10/I10,  )</f>
        <v>0</v>
      </c>
    </row>
    <row r="11" customFormat="false" ht="12.75" hidden="false" customHeight="true" outlineLevel="0" collapsed="false">
      <c r="B11" s="77" t="s">
        <v>43</v>
      </c>
      <c r="C11" s="78" t="n">
        <v>45086</v>
      </c>
      <c r="D11" s="67" t="n">
        <v>5368500</v>
      </c>
      <c r="E11" s="79" t="n">
        <f aca="false">IF(D11&gt;0, D11,(H$41/(H$38-H$39)))</f>
        <v>5368500</v>
      </c>
      <c r="F11" s="69" t="n">
        <v>98</v>
      </c>
      <c r="G11" s="80" t="n">
        <f aca="false">IF(F11&gt;0,D11/F11, )</f>
        <v>54780.612244898</v>
      </c>
      <c r="H11" s="69" t="n">
        <v>391</v>
      </c>
      <c r="I11" s="80" t="n">
        <f aca="false">IF(H11&gt;0,H11/F11,  )</f>
        <v>3.98979591836735</v>
      </c>
      <c r="J11" s="80" t="n">
        <f aca="false">IF(I11&gt;0,G11/I11,  )</f>
        <v>13730.179028133</v>
      </c>
    </row>
    <row r="12" customFormat="false" ht="12.75" hidden="false" customHeight="true" outlineLevel="0" collapsed="false">
      <c r="B12" s="77" t="s">
        <v>44</v>
      </c>
      <c r="C12" s="78" t="n">
        <v>45087</v>
      </c>
      <c r="D12" s="67" t="n">
        <v>4085000</v>
      </c>
      <c r="E12" s="79" t="n">
        <f aca="false">IF(D12&gt;0, D12,(H$41/(H$38-H$39)))</f>
        <v>4085000</v>
      </c>
      <c r="F12" s="69" t="n">
        <v>82</v>
      </c>
      <c r="G12" s="80" t="n">
        <f aca="false">IF(F12&gt;0,D12/F12, )</f>
        <v>49817.0731707317</v>
      </c>
      <c r="H12" s="69" t="n">
        <v>272</v>
      </c>
      <c r="I12" s="80" t="n">
        <f aca="false">IF(H12&gt;0,H12/F12,  )</f>
        <v>3.31707317073171</v>
      </c>
      <c r="J12" s="80" t="n">
        <f aca="false">IF(I12&gt;0,G12/I12,  )</f>
        <v>15018.3823529412</v>
      </c>
    </row>
    <row r="13" customFormat="false" ht="12.75" hidden="false" customHeight="true" outlineLevel="0" collapsed="false">
      <c r="B13" s="77" t="s">
        <v>38</v>
      </c>
      <c r="C13" s="78" t="n">
        <v>45088</v>
      </c>
      <c r="D13" s="67" t="n">
        <v>3495650</v>
      </c>
      <c r="E13" s="79" t="n">
        <f aca="false">IF(D13&gt;0, D13,(H$41/(H$38-H$39)))</f>
        <v>3495650</v>
      </c>
      <c r="F13" s="69" t="n">
        <v>71</v>
      </c>
      <c r="G13" s="80" t="n">
        <f aca="false">IF(F13&gt;0,D13/F13, )</f>
        <v>49234.5070422535</v>
      </c>
      <c r="H13" s="69" t="n">
        <v>254</v>
      </c>
      <c r="I13" s="80" t="n">
        <f aca="false">IF(H13&gt;0,H13/F13,  )</f>
        <v>3.57746478873239</v>
      </c>
      <c r="J13" s="80" t="n">
        <f aca="false">IF(I13&gt;0,G13/I13,  )</f>
        <v>13762.4015748032</v>
      </c>
    </row>
    <row r="14" customFormat="false" ht="12.75" hidden="false" customHeight="true" outlineLevel="0" collapsed="false">
      <c r="B14" s="77" t="s">
        <v>39</v>
      </c>
      <c r="C14" s="78" t="n">
        <v>45089</v>
      </c>
      <c r="D14" s="67" t="n">
        <v>4754400</v>
      </c>
      <c r="E14" s="79" t="n">
        <f aca="false">IF(D14&gt;0, D14,(H$41/(H$38-H$39)))</f>
        <v>4754400</v>
      </c>
      <c r="F14" s="69" t="n">
        <v>106</v>
      </c>
      <c r="G14" s="80" t="n">
        <f aca="false">IF(F14&gt;0,D14/F14, )</f>
        <v>44852.8301886793</v>
      </c>
      <c r="H14" s="69" t="n">
        <v>375</v>
      </c>
      <c r="I14" s="80" t="n">
        <f aca="false">IF(H14&gt;0,H14/F14,  )</f>
        <v>3.5377358490566</v>
      </c>
      <c r="J14" s="80" t="n">
        <f aca="false">IF(I14&gt;0,G14/I14,  )</f>
        <v>12678.4</v>
      </c>
    </row>
    <row r="15" customFormat="false" ht="12.75" hidden="false" customHeight="true" outlineLevel="0" collapsed="false">
      <c r="B15" s="77" t="s">
        <v>40</v>
      </c>
      <c r="C15" s="78" t="n">
        <v>45090</v>
      </c>
      <c r="D15" s="67" t="n">
        <v>5361700</v>
      </c>
      <c r="E15" s="79" t="n">
        <f aca="false">IF(D15&gt;0, D15,(H$41/(H$38-H$39)))</f>
        <v>5361700</v>
      </c>
      <c r="F15" s="69" t="n">
        <v>119</v>
      </c>
      <c r="G15" s="80" t="n">
        <f aca="false">IF(F15&gt;0,D15/F15, )</f>
        <v>45056.3025210084</v>
      </c>
      <c r="H15" s="69" t="n">
        <v>442</v>
      </c>
      <c r="I15" s="80" t="n">
        <f aca="false">IF(H15&gt;0,H15/F15,  )</f>
        <v>3.71428571428571</v>
      </c>
      <c r="J15" s="80" t="n">
        <f aca="false">IF(I15&gt;0,G15/I15,  )</f>
        <v>12130.5429864253</v>
      </c>
    </row>
    <row r="16" customFormat="false" ht="12.75" hidden="false" customHeight="true" outlineLevel="0" collapsed="false">
      <c r="B16" s="77" t="s">
        <v>41</v>
      </c>
      <c r="C16" s="78" t="n">
        <v>45091</v>
      </c>
      <c r="D16" s="67" t="n">
        <v>4323100</v>
      </c>
      <c r="E16" s="79" t="n">
        <f aca="false">IF(D16&gt;0, D16,(H$41/(H$38-H$39)))</f>
        <v>4323100</v>
      </c>
      <c r="F16" s="69" t="n">
        <v>92</v>
      </c>
      <c r="G16" s="80" t="n">
        <f aca="false">IF(F16&gt;0,D16/F16, )</f>
        <v>46990.2173913043</v>
      </c>
      <c r="H16" s="69" t="n">
        <v>319</v>
      </c>
      <c r="I16" s="80" t="n">
        <f aca="false">IF(H16&gt;0,H16/F16,  )</f>
        <v>3.46739130434783</v>
      </c>
      <c r="J16" s="80" t="n">
        <f aca="false">IF(I16&gt;0,G16/I16,  )</f>
        <v>13552.0376175549</v>
      </c>
    </row>
    <row r="17" customFormat="false" ht="12.75" hidden="false" customHeight="true" outlineLevel="0" collapsed="false">
      <c r="B17" s="77" t="s">
        <v>42</v>
      </c>
      <c r="C17" s="78" t="n">
        <v>45092</v>
      </c>
      <c r="D17" s="67" t="n">
        <v>7001800</v>
      </c>
      <c r="E17" s="79" t="n">
        <f aca="false">IF(D17&gt;0, D17,(H$41/(H$38-H$39)))</f>
        <v>7001800</v>
      </c>
      <c r="F17" s="69" t="n">
        <v>134</v>
      </c>
      <c r="G17" s="80" t="n">
        <f aca="false">IF(F17&gt;0,D17/F17, )</f>
        <v>52252.2388059701</v>
      </c>
      <c r="H17" s="69" t="n">
        <v>519</v>
      </c>
      <c r="I17" s="80" t="n">
        <f aca="false">IF(H17&gt;0,H17/F17,  )</f>
        <v>3.87313432835821</v>
      </c>
      <c r="J17" s="80" t="n">
        <f aca="false">IF(I17&gt;0,G17/I17,  )</f>
        <v>13490.9441233141</v>
      </c>
    </row>
    <row r="18" customFormat="false" ht="12.75" hidden="false" customHeight="true" outlineLevel="0" collapsed="false">
      <c r="B18" s="77" t="s">
        <v>43</v>
      </c>
      <c r="C18" s="78" t="n">
        <v>45093</v>
      </c>
      <c r="D18" s="67" t="n">
        <v>3558900</v>
      </c>
      <c r="E18" s="79" t="n">
        <f aca="false">IF(D18&gt;0, D18,(H$41/(H$38-H$39)))</f>
        <v>3558900</v>
      </c>
      <c r="F18" s="69" t="n">
        <v>113</v>
      </c>
      <c r="G18" s="80" t="n">
        <f aca="false">IF(F18&gt;0,D18/F18, )</f>
        <v>31494.6902654867</v>
      </c>
      <c r="H18" s="69" t="n">
        <v>227</v>
      </c>
      <c r="I18" s="80" t="n">
        <f aca="false">IF(H18&gt;0,H18/F18,  )</f>
        <v>2.00884955752212</v>
      </c>
      <c r="J18" s="80" t="n">
        <f aca="false">IF(I18&gt;0,G18/I18,  )</f>
        <v>15677.9735682819</v>
      </c>
    </row>
    <row r="19" customFormat="false" ht="12.75" hidden="false" customHeight="true" outlineLevel="0" collapsed="false">
      <c r="B19" s="77" t="s">
        <v>44</v>
      </c>
      <c r="C19" s="78" t="n">
        <v>45094</v>
      </c>
      <c r="D19" s="67" t="n">
        <v>3561700</v>
      </c>
      <c r="E19" s="79" t="n">
        <f aca="false">IF(D19&gt;0, D19,(H$41/(H$38-H$39)))</f>
        <v>3561700</v>
      </c>
      <c r="F19" s="69" t="n">
        <v>90</v>
      </c>
      <c r="G19" s="80" t="n">
        <f aca="false">IF(F19&gt;0,D19/F19, )</f>
        <v>39574.4444444444</v>
      </c>
      <c r="H19" s="69" t="n">
        <v>280</v>
      </c>
      <c r="I19" s="80" t="n">
        <f aca="false">IF(H19&gt;0,H19/F19,  )</f>
        <v>3.11111111111111</v>
      </c>
      <c r="J19" s="80" t="n">
        <f aca="false">IF(I19&gt;0,G19/I19,  )</f>
        <v>12720.3571428571</v>
      </c>
    </row>
    <row r="20" customFormat="false" ht="12.75" hidden="false" customHeight="true" outlineLevel="0" collapsed="false">
      <c r="B20" s="77" t="s">
        <v>38</v>
      </c>
      <c r="C20" s="78" t="n">
        <v>45095</v>
      </c>
      <c r="D20" s="67" t="n">
        <v>4044450</v>
      </c>
      <c r="E20" s="79" t="n">
        <f aca="false">IF(D20&gt;0, D20,(H$41/(H$38-H$39)))</f>
        <v>4044450</v>
      </c>
      <c r="F20" s="69" t="n">
        <v>83</v>
      </c>
      <c r="G20" s="80" t="n">
        <f aca="false">IF(F20&gt;0,D20/F20, )</f>
        <v>48728.3132530121</v>
      </c>
      <c r="H20" s="69" t="n">
        <v>330</v>
      </c>
      <c r="I20" s="80" t="n">
        <f aca="false">IF(H20&gt;0,H20/F20,  )</f>
        <v>3.97590361445783</v>
      </c>
      <c r="J20" s="80" t="n">
        <f aca="false">IF(I20&gt;0,G20/I20,  )</f>
        <v>12255.9090909091</v>
      </c>
    </row>
    <row r="21" customFormat="false" ht="12.75" hidden="false" customHeight="true" outlineLevel="0" collapsed="false">
      <c r="B21" s="77" t="s">
        <v>39</v>
      </c>
      <c r="C21" s="78" t="n">
        <v>45096</v>
      </c>
      <c r="D21" s="67" t="n">
        <v>4721850</v>
      </c>
      <c r="E21" s="79" t="n">
        <f aca="false">IF(D21&gt;0, D21,(H$41/(H$38-H$39)))</f>
        <v>4721850</v>
      </c>
      <c r="F21" s="69" t="n">
        <v>90</v>
      </c>
      <c r="G21" s="80" t="n">
        <f aca="false">IF(F21&gt;0,D21/F21, )</f>
        <v>52465</v>
      </c>
      <c r="H21" s="69" t="n">
        <v>416</v>
      </c>
      <c r="I21" s="80" t="n">
        <f aca="false">IF(H21&gt;0,H21/F21,  )</f>
        <v>4.62222222222222</v>
      </c>
      <c r="J21" s="80" t="n">
        <f aca="false">IF(I21&gt;0,G21/I21,  )</f>
        <v>11350.6009615385</v>
      </c>
    </row>
    <row r="22" customFormat="false" ht="12.75" hidden="false" customHeight="true" outlineLevel="0" collapsed="false">
      <c r="B22" s="77" t="s">
        <v>40</v>
      </c>
      <c r="C22" s="78" t="n">
        <v>45097</v>
      </c>
      <c r="D22" s="67" t="n">
        <v>3331450</v>
      </c>
      <c r="E22" s="79" t="n">
        <f aca="false">IF(D22&gt;0, D22,(H$41/(H$38-H$39)))</f>
        <v>3331450</v>
      </c>
      <c r="F22" s="81" t="n">
        <v>102</v>
      </c>
      <c r="G22" s="80" t="n">
        <f aca="false">IF(F22&gt;0,D22/F22, )</f>
        <v>32661.2745098039</v>
      </c>
      <c r="H22" s="69" t="n">
        <v>277</v>
      </c>
      <c r="I22" s="80" t="n">
        <f aca="false">IF(H22&gt;0,H22/F22,  )</f>
        <v>2.7156862745098</v>
      </c>
      <c r="J22" s="80" t="n">
        <f aca="false">IF(I22&gt;0,G22/I22,  )</f>
        <v>12026.8953068592</v>
      </c>
    </row>
    <row r="23" customFormat="false" ht="12.75" hidden="false" customHeight="true" outlineLevel="0" collapsed="false">
      <c r="B23" s="77" t="s">
        <v>41</v>
      </c>
      <c r="C23" s="78" t="n">
        <v>45098</v>
      </c>
      <c r="D23" s="67" t="n">
        <v>3511550</v>
      </c>
      <c r="E23" s="79" t="n">
        <f aca="false">IF(D23&gt;0, D23,(H$41/(H$38-H$39)))</f>
        <v>3511550</v>
      </c>
      <c r="F23" s="69" t="n">
        <v>91</v>
      </c>
      <c r="G23" s="80" t="n">
        <f aca="false">IF(F23&gt;0,D23/F23, )</f>
        <v>38588.4615384615</v>
      </c>
      <c r="H23" s="69" t="n">
        <v>265</v>
      </c>
      <c r="I23" s="80" t="n">
        <f aca="false">IF(H23&gt;0,H23/F23,  )</f>
        <v>2.91208791208791</v>
      </c>
      <c r="J23" s="80" t="n">
        <f aca="false">IF(I23&gt;0,G23/I23,  )</f>
        <v>13251.1320754717</v>
      </c>
    </row>
    <row r="24" customFormat="false" ht="12.75" hidden="false" customHeight="true" outlineLevel="0" collapsed="false">
      <c r="B24" s="77" t="s">
        <v>42</v>
      </c>
      <c r="C24" s="78" t="n">
        <v>45099</v>
      </c>
      <c r="D24" s="67" t="n">
        <v>2385300</v>
      </c>
      <c r="E24" s="79" t="n">
        <f aca="false">IF(D24&gt;0, D24,(H$41/(H$38-H$39)))</f>
        <v>2385300</v>
      </c>
      <c r="F24" s="69" t="n">
        <v>88</v>
      </c>
      <c r="G24" s="80" t="n">
        <f aca="false">IF(F24&gt;0,D24/F24, )</f>
        <v>27105.6818181818</v>
      </c>
      <c r="H24" s="69" t="n">
        <v>232</v>
      </c>
      <c r="I24" s="80" t="n">
        <f aca="false">IF(H24&gt;0,H24/F24,  )</f>
        <v>2.63636363636364</v>
      </c>
      <c r="J24" s="80" t="n">
        <f aca="false">IF(I24&gt;0,G24/I24,  )</f>
        <v>10281.4655172414</v>
      </c>
    </row>
    <row r="25" customFormat="false" ht="12.75" hidden="false" customHeight="true" outlineLevel="0" collapsed="false">
      <c r="B25" s="77" t="s">
        <v>43</v>
      </c>
      <c r="C25" s="78" t="n">
        <v>45100</v>
      </c>
      <c r="D25" s="67" t="n">
        <v>3554250</v>
      </c>
      <c r="E25" s="79" t="n">
        <f aca="false">IF(D25&gt;0, D25,(H$41/(H$38-H$39)))</f>
        <v>3554250</v>
      </c>
      <c r="F25" s="69" t="n">
        <v>96</v>
      </c>
      <c r="G25" s="80" t="n">
        <f aca="false">IF(F25&gt;0,D25/F25, )</f>
        <v>37023.4375</v>
      </c>
      <c r="H25" s="69" t="n">
        <v>295</v>
      </c>
      <c r="I25" s="80" t="n">
        <f aca="false">IF(H25&gt;0,H25/F25,  )</f>
        <v>3.07291666666667</v>
      </c>
      <c r="J25" s="80" t="n">
        <f aca="false">IF(I25&gt;0,G25/I25,  )</f>
        <v>12048.3050847458</v>
      </c>
    </row>
    <row r="26" customFormat="false" ht="12.75" hidden="false" customHeight="true" outlineLevel="0" collapsed="false">
      <c r="B26" s="77" t="s">
        <v>44</v>
      </c>
      <c r="C26" s="78" t="n">
        <v>45101</v>
      </c>
      <c r="D26" s="67" t="n">
        <v>5166050</v>
      </c>
      <c r="E26" s="79" t="n">
        <f aca="false">IF(D26&gt;0, D26,(H$41/(H$38-H$39)))</f>
        <v>5166050</v>
      </c>
      <c r="F26" s="69" t="n">
        <v>112</v>
      </c>
      <c r="G26" s="80" t="n">
        <f aca="false">IF(F26&gt;0,D26/F26, )</f>
        <v>46125.4464285714</v>
      </c>
      <c r="H26" s="69" t="n">
        <v>420</v>
      </c>
      <c r="I26" s="80" t="n">
        <f aca="false">IF(H26&gt;0,H26/F26,  )</f>
        <v>3.75</v>
      </c>
      <c r="J26" s="80" t="n">
        <f aca="false">IF(I26&gt;0,G26/I26,  )</f>
        <v>12300.119047619</v>
      </c>
    </row>
    <row r="27" customFormat="false" ht="12.75" hidden="false" customHeight="true" outlineLevel="0" collapsed="false">
      <c r="B27" s="77" t="s">
        <v>38</v>
      </c>
      <c r="C27" s="78" t="n">
        <v>45102</v>
      </c>
      <c r="D27" s="67" t="n">
        <v>4171950</v>
      </c>
      <c r="E27" s="79" t="n">
        <f aca="false">IF(D27&gt;0, D27,(H$41/(H$38-H$39)))</f>
        <v>4171950</v>
      </c>
      <c r="F27" s="69" t="n">
        <v>95</v>
      </c>
      <c r="G27" s="80" t="n">
        <f aca="false">IF(F27&gt;0,D27/F27, )</f>
        <v>43915.2631578947</v>
      </c>
      <c r="H27" s="69" t="n">
        <v>311</v>
      </c>
      <c r="I27" s="80" t="n">
        <f aca="false">IF(H27&gt;0,H27/F27,  )</f>
        <v>3.27368421052632</v>
      </c>
      <c r="J27" s="80" t="n">
        <f aca="false">IF(I27&gt;0,G27/I27,  )</f>
        <v>13414.6302250804</v>
      </c>
    </row>
    <row r="28" customFormat="false" ht="12.75" hidden="false" customHeight="true" outlineLevel="0" collapsed="false">
      <c r="B28" s="77" t="s">
        <v>39</v>
      </c>
      <c r="C28" s="78" t="n">
        <v>45103</v>
      </c>
      <c r="D28" s="67" t="n">
        <v>4312700</v>
      </c>
      <c r="E28" s="79" t="n">
        <f aca="false">IF(D28&gt;0, D28,(H$41/(H$38-H$39)))</f>
        <v>4312700</v>
      </c>
      <c r="F28" s="69" t="n">
        <v>103</v>
      </c>
      <c r="G28" s="80" t="n">
        <f aca="false">IF(F28&gt;0,D28/F28, )</f>
        <v>41870.8737864078</v>
      </c>
      <c r="H28" s="69" t="n">
        <v>338</v>
      </c>
      <c r="I28" s="80" t="n">
        <f aca="false">IF(H28&gt;0,H28/F28,  )</f>
        <v>3.28155339805825</v>
      </c>
      <c r="J28" s="80" t="n">
        <f aca="false">IF(I28&gt;0,G28/I28,  )</f>
        <v>12759.4674556213</v>
      </c>
    </row>
    <row r="29" customFormat="false" ht="12.75" hidden="false" customHeight="true" outlineLevel="0" collapsed="false">
      <c r="B29" s="77" t="s">
        <v>40</v>
      </c>
      <c r="C29" s="78" t="n">
        <v>45104</v>
      </c>
      <c r="D29" s="67" t="n">
        <v>4616700</v>
      </c>
      <c r="E29" s="79" t="n">
        <f aca="false">IF(D29&gt;0, D29,(H$41/(H$38-H$39)))</f>
        <v>4616700</v>
      </c>
      <c r="F29" s="69" t="n">
        <v>115</v>
      </c>
      <c r="G29" s="80" t="n">
        <f aca="false">IF(F29&gt;0,D29/F29, )</f>
        <v>40145.2173913043</v>
      </c>
      <c r="H29" s="69" t="n">
        <v>351</v>
      </c>
      <c r="I29" s="80" t="n">
        <f aca="false">IF(H29&gt;0,H29/F29,  )</f>
        <v>3.05217391304348</v>
      </c>
      <c r="J29" s="80" t="n">
        <f aca="false">IF(I29&gt;0,G29/I29,  )</f>
        <v>13152.9914529915</v>
      </c>
    </row>
    <row r="30" customFormat="false" ht="12.75" hidden="false" customHeight="true" outlineLevel="0" collapsed="false">
      <c r="B30" s="77" t="s">
        <v>41</v>
      </c>
      <c r="C30" s="78" t="n">
        <v>45105</v>
      </c>
      <c r="D30" s="67" t="n">
        <v>2937650</v>
      </c>
      <c r="E30" s="79" t="n">
        <f aca="false">IF(D30&gt;0, D30,(H$41/(H$38-H$39)))</f>
        <v>2937650</v>
      </c>
      <c r="F30" s="69" t="n">
        <v>88</v>
      </c>
      <c r="G30" s="80" t="n">
        <f aca="false">IF(F30&gt;0,D30/F30, )</f>
        <v>33382.3863636364</v>
      </c>
      <c r="H30" s="69" t="n">
        <v>224</v>
      </c>
      <c r="I30" s="80" t="n">
        <f aca="false">IF(H30&gt;0,H30/F30,  )</f>
        <v>2.54545454545455</v>
      </c>
      <c r="J30" s="80" t="n">
        <f aca="false">IF(I30&gt;0,G30/I30,  )</f>
        <v>13114.5089285714</v>
      </c>
      <c r="L30" s="82"/>
    </row>
    <row r="31" customFormat="false" ht="12.75" hidden="false" customHeight="true" outlineLevel="0" collapsed="false">
      <c r="B31" s="77" t="s">
        <v>42</v>
      </c>
      <c r="C31" s="78" t="n">
        <v>45106</v>
      </c>
      <c r="D31" s="67" t="n">
        <v>3920350</v>
      </c>
      <c r="E31" s="79" t="n">
        <f aca="false">IF(D31&gt;0, D31,(H$41/(H$38-H$39)))</f>
        <v>3920350</v>
      </c>
      <c r="F31" s="69" t="n">
        <v>69</v>
      </c>
      <c r="G31" s="80" t="n">
        <f aca="false">IF(F31&gt;0,D31/F31, )</f>
        <v>56816.6666666667</v>
      </c>
      <c r="H31" s="69" t="n">
        <v>277</v>
      </c>
      <c r="I31" s="80" t="n">
        <f aca="false">IF(H31&gt;0,H31/F31,  )</f>
        <v>4.01449275362319</v>
      </c>
      <c r="J31" s="80" t="n">
        <f aca="false">IF(I31&gt;0,G31/I31,  )</f>
        <v>14152.8880866426</v>
      </c>
    </row>
    <row r="32" customFormat="false" ht="12.75" hidden="false" customHeight="true" outlineLevel="0" collapsed="false">
      <c r="B32" s="77" t="s">
        <v>43</v>
      </c>
      <c r="C32" s="78" t="n">
        <v>45107</v>
      </c>
      <c r="D32" s="67" t="n">
        <v>4154400</v>
      </c>
      <c r="E32" s="79" t="n">
        <f aca="false">IF(D32&gt;0, D32,(H$41/(H$38-H$39)))</f>
        <v>4154400</v>
      </c>
      <c r="F32" s="69" t="n">
        <v>88</v>
      </c>
      <c r="G32" s="80" t="n">
        <f aca="false">IF(F32&gt;0,D32/F32, )</f>
        <v>47209.0909090909</v>
      </c>
      <c r="H32" s="69" t="n">
        <v>331</v>
      </c>
      <c r="I32" s="80" t="n">
        <f aca="false">IF(H32&gt;0,H32/F32,  )</f>
        <v>3.76136363636364</v>
      </c>
      <c r="J32" s="80" t="n">
        <f aca="false">IF(I32&gt;0,G32/I32,  )</f>
        <v>12551.0574018127</v>
      </c>
    </row>
    <row r="33" customFormat="false" ht="12.75" hidden="false" customHeight="true" outlineLevel="0" collapsed="false">
      <c r="B33" s="83" t="s">
        <v>18</v>
      </c>
      <c r="C33" s="84"/>
      <c r="D33" s="85" t="n">
        <f aca="false">AVERAGE(D3:D32)</f>
        <v>4210871.66666667</v>
      </c>
      <c r="E33" s="85"/>
      <c r="F33" s="86" t="n">
        <f aca="false">AVERAGE(F3:F32)</f>
        <v>95.2333333333333</v>
      </c>
      <c r="G33" s="85" t="n">
        <f aca="false">D33/F33</f>
        <v>44216.3633181659</v>
      </c>
      <c r="H33" s="86" t="n">
        <f aca="false">AVERAGE(H3:H32)</f>
        <v>322.133333333333</v>
      </c>
      <c r="I33" s="86" t="n">
        <f aca="false">IF(H33&gt;0,H33/F33,  )</f>
        <v>3.38256912845642</v>
      </c>
      <c r="J33" s="87" t="n">
        <f aca="false">IF(I33&gt;0,G33/I33,  )</f>
        <v>13071.8284354305</v>
      </c>
    </row>
    <row r="34" customFormat="false" ht="12.75" hidden="false" customHeight="true" outlineLevel="0" collapsed="false">
      <c r="B34" s="88" t="s">
        <v>19</v>
      </c>
      <c r="C34" s="89"/>
      <c r="D34" s="90" t="n">
        <f aca="false">SUM(D3:D32)</f>
        <v>126326150</v>
      </c>
      <c r="E34" s="90"/>
      <c r="F34" s="91" t="n">
        <f aca="false">SUM(F3:F32)</f>
        <v>2857</v>
      </c>
      <c r="G34" s="92"/>
      <c r="H34" s="91" t="n">
        <f aca="false">SUM(H3:H32)</f>
        <v>9664</v>
      </c>
      <c r="I34" s="91"/>
      <c r="J34" s="91"/>
    </row>
    <row r="35" customFormat="false" ht="12.75" hidden="false" customHeight="true" outlineLevel="0" collapsed="false">
      <c r="B35" s="93" t="s">
        <v>20</v>
      </c>
      <c r="C35" s="94"/>
      <c r="D35" s="95" t="n">
        <v>135000000</v>
      </c>
      <c r="E35" s="96"/>
      <c r="F35" s="97"/>
      <c r="G35" s="98"/>
      <c r="H35" s="97"/>
      <c r="I35" s="97"/>
      <c r="J35" s="97"/>
    </row>
    <row r="36" customFormat="false" ht="12.75" hidden="false" customHeight="true" outlineLevel="0" collapsed="false">
      <c r="B36" s="99" t="s">
        <v>21</v>
      </c>
      <c r="C36" s="100"/>
      <c r="D36" s="101" t="n">
        <f aca="false">D34/D35</f>
        <v>0.935749259259259</v>
      </c>
      <c r="E36" s="101"/>
      <c r="F36" s="102"/>
      <c r="G36" s="103"/>
      <c r="H36" s="104"/>
      <c r="I36" s="104"/>
      <c r="J36" s="104"/>
    </row>
    <row r="38" customFormat="false" ht="12.75" hidden="false" customHeight="true" outlineLevel="0" collapsed="false">
      <c r="E38" s="107" t="s">
        <v>22</v>
      </c>
      <c r="F38" s="107"/>
      <c r="G38" s="107"/>
      <c r="H38" s="108" t="n">
        <f aca="false">COUNTA(C3:C32)</f>
        <v>30</v>
      </c>
    </row>
    <row r="39" customFormat="false" ht="12.75" hidden="false" customHeight="true" outlineLevel="0" collapsed="false">
      <c r="E39" s="109" t="s">
        <v>23</v>
      </c>
      <c r="F39" s="109"/>
      <c r="G39" s="109"/>
      <c r="H39" s="110" t="n">
        <f aca="false">COUNTA(D3:D32)</f>
        <v>30</v>
      </c>
    </row>
    <row r="40" customFormat="false" ht="12.75" hidden="false" customHeight="true" outlineLevel="0" collapsed="false">
      <c r="E40" s="111" t="s">
        <v>24</v>
      </c>
      <c r="F40" s="111"/>
      <c r="G40" s="111"/>
      <c r="H40" s="112" t="n">
        <f aca="false">D35</f>
        <v>135000000</v>
      </c>
    </row>
    <row r="41" customFormat="false" ht="12.75" hidden="false" customHeight="true" outlineLevel="0" collapsed="false">
      <c r="E41" s="113" t="s">
        <v>25</v>
      </c>
      <c r="F41" s="113"/>
      <c r="G41" s="113"/>
      <c r="H41" s="114" t="n">
        <f aca="false">D35-D34</f>
        <v>8673850</v>
      </c>
    </row>
    <row r="42" customFormat="false" ht="12.75" hidden="false" customHeight="true" outlineLevel="0" collapsed="false">
      <c r="E42" s="113" t="s">
        <v>26</v>
      </c>
      <c r="F42" s="113"/>
      <c r="G42" s="113"/>
      <c r="H42" s="115" t="n">
        <f aca="false">H45*H38</f>
        <v>126326150</v>
      </c>
    </row>
    <row r="43" customFormat="false" ht="12.75" hidden="false" customHeight="true" outlineLevel="0" collapsed="false">
      <c r="E43" s="116" t="s">
        <v>27</v>
      </c>
      <c r="F43" s="116"/>
      <c r="G43" s="116"/>
      <c r="H43" s="117" t="n">
        <f aca="false">H42-H40</f>
        <v>-8673849.99999999</v>
      </c>
    </row>
    <row r="44" customFormat="false" ht="12.75" hidden="false" customHeight="true" outlineLevel="0" collapsed="false">
      <c r="E44" s="118" t="s">
        <v>28</v>
      </c>
      <c r="F44" s="118"/>
      <c r="G44" s="118"/>
      <c r="H44" s="119" t="n">
        <f aca="false">H40/H38</f>
        <v>4500000</v>
      </c>
    </row>
    <row r="45" customFormat="false" ht="12.75" hidden="false" customHeight="true" outlineLevel="0" collapsed="false">
      <c r="E45" s="120" t="s">
        <v>29</v>
      </c>
      <c r="F45" s="120"/>
      <c r="G45" s="120"/>
      <c r="H45" s="121" t="n">
        <f aca="false">AVERAGE(D3:D32)</f>
        <v>4210871.66666667</v>
      </c>
    </row>
    <row r="46" customFormat="false" ht="12.75" hidden="false" customHeight="true" outlineLevel="0" collapsed="false">
      <c r="E46" s="120" t="s">
        <v>30</v>
      </c>
      <c r="F46" s="120"/>
      <c r="G46" s="120"/>
      <c r="H46" s="122" t="n">
        <f aca="false">(H40/H48)/H38</f>
        <v>101.772277552985</v>
      </c>
    </row>
    <row r="47" customFormat="false" ht="12.75" hidden="false" customHeight="true" outlineLevel="0" collapsed="false">
      <c r="E47" s="120" t="s">
        <v>31</v>
      </c>
      <c r="F47" s="120"/>
      <c r="G47" s="120"/>
      <c r="H47" s="121" t="n">
        <f aca="false">F33</f>
        <v>95.2333333333333</v>
      </c>
    </row>
    <row r="48" customFormat="false" ht="12.75" hidden="false" customHeight="true" outlineLevel="0" collapsed="false">
      <c r="E48" s="120" t="s">
        <v>32</v>
      </c>
      <c r="F48" s="120"/>
      <c r="G48" s="120"/>
      <c r="H48" s="123" t="n">
        <f aca="false">G33</f>
        <v>44216.3633181659</v>
      </c>
    </row>
    <row r="49" customFormat="false" ht="12.75" hidden="false" customHeight="true" outlineLevel="0" collapsed="false">
      <c r="E49" s="120" t="s">
        <v>33</v>
      </c>
      <c r="F49" s="120"/>
      <c r="G49" s="120"/>
      <c r="H49" s="124" t="n">
        <f aca="false">H45-H44</f>
        <v>-289128.333333333</v>
      </c>
    </row>
    <row r="50" customFormat="false" ht="12.75" hidden="false" customHeight="true" outlineLevel="0" collapsed="false">
      <c r="E50" s="120" t="s">
        <v>34</v>
      </c>
      <c r="F50" s="120"/>
      <c r="G50" s="120"/>
      <c r="H50" s="125" t="n">
        <f aca="false">H42/H40</f>
        <v>0.935749259259259</v>
      </c>
    </row>
    <row r="51" customFormat="false" ht="12.75" hidden="false" customHeight="true" outlineLevel="0" collapsed="false">
      <c r="E51" s="126" t="s">
        <v>35</v>
      </c>
      <c r="F51" s="126"/>
      <c r="G51" s="126"/>
      <c r="H51" s="127" t="n">
        <f aca="false">D34/H40</f>
        <v>0.935749259259259</v>
      </c>
    </row>
  </sheetData>
  <mergeCells count="15">
    <mergeCell ref="D1:J1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4" activeCellId="0" sqref="D34"/>
    </sheetView>
  </sheetViews>
  <sheetFormatPr defaultColWidth="10.25" defaultRowHeight="15" zeroHeight="false" outlineLevelRow="0" outlineLevelCol="0"/>
  <cols>
    <col collapsed="false" customWidth="true" hidden="false" outlineLevel="0" max="1" min="1" style="71" width="23.51"/>
    <col collapsed="false" customWidth="true" hidden="false" outlineLevel="0" max="2" min="2" style="71" width="11.59"/>
    <col collapsed="false" customWidth="true" hidden="false" outlineLevel="0" max="3" min="3" style="71" width="9.18"/>
    <col collapsed="false" customWidth="true" hidden="false" outlineLevel="0" max="8" min="4" style="71" width="14.54"/>
    <col collapsed="false" customWidth="true" hidden="false" outlineLevel="0" max="9" min="9" style="71" width="13.33"/>
    <col collapsed="false" customWidth="true" hidden="false" outlineLevel="0" max="10" min="10" style="71" width="12.5"/>
    <col collapsed="false" customWidth="false" hidden="false" outlineLevel="0" max="64" min="11" style="71" width="10.27"/>
  </cols>
  <sheetData>
    <row r="1" customFormat="false" ht="23.1" hidden="false" customHeight="true" outlineLevel="0" collapsed="false">
      <c r="B1" s="128" t="s">
        <v>49</v>
      </c>
      <c r="C1" s="100"/>
      <c r="D1" s="129" t="s">
        <v>1</v>
      </c>
      <c r="E1" s="129"/>
      <c r="F1" s="129"/>
      <c r="G1" s="129"/>
      <c r="H1" s="129"/>
      <c r="I1" s="129"/>
      <c r="J1" s="129"/>
    </row>
    <row r="2" customFormat="false" ht="30.55" hidden="false" customHeight="true" outlineLevel="0" collapsed="false">
      <c r="B2" s="130" t="s">
        <v>2</v>
      </c>
      <c r="C2" s="131" t="s">
        <v>3</v>
      </c>
      <c r="D2" s="132" t="s">
        <v>4</v>
      </c>
      <c r="E2" s="132" t="s">
        <v>5</v>
      </c>
      <c r="F2" s="132" t="s">
        <v>6</v>
      </c>
      <c r="G2" s="133" t="s">
        <v>7</v>
      </c>
      <c r="H2" s="134" t="s">
        <v>8</v>
      </c>
      <c r="I2" s="134" t="s">
        <v>9</v>
      </c>
      <c r="J2" s="134" t="s">
        <v>10</v>
      </c>
    </row>
    <row r="3" customFormat="false" ht="12.75" hidden="false" customHeight="true" outlineLevel="0" collapsed="false">
      <c r="B3" s="77" t="s">
        <v>44</v>
      </c>
      <c r="C3" s="78" t="n">
        <v>45108</v>
      </c>
      <c r="D3" s="67" t="n">
        <v>5378000</v>
      </c>
      <c r="E3" s="79" t="n">
        <f aca="false">IF(D3&gt;0, D3,(H$42/(H$39-H$40)))</f>
        <v>5378000</v>
      </c>
      <c r="F3" s="69" t="n">
        <v>99</v>
      </c>
      <c r="G3" s="80" t="n">
        <f aca="false">IF(F3&gt;0,D3/F3, )</f>
        <v>54323.2323232323</v>
      </c>
      <c r="H3" s="69" t="n">
        <v>377</v>
      </c>
      <c r="I3" s="80" t="n">
        <f aca="false">IF(H3&gt;0,H3/F3,  )</f>
        <v>3.80808080808081</v>
      </c>
      <c r="J3" s="80" t="n">
        <f aca="false">IF(I3&gt;0,G3/I3,  )</f>
        <v>14265.2519893899</v>
      </c>
    </row>
    <row r="4" customFormat="false" ht="12.75" hidden="false" customHeight="true" outlineLevel="0" collapsed="false">
      <c r="B4" s="77" t="s">
        <v>38</v>
      </c>
      <c r="C4" s="78" t="n">
        <v>45109</v>
      </c>
      <c r="D4" s="67" t="n">
        <v>1853650</v>
      </c>
      <c r="E4" s="79" t="n">
        <f aca="false">IF(D4&gt;0, D4,(H$42/(H$39-H$40)))</f>
        <v>1853650</v>
      </c>
      <c r="F4" s="69" t="n">
        <v>74</v>
      </c>
      <c r="G4" s="80" t="n">
        <f aca="false">IF(F4&gt;0,D4/F4, )</f>
        <v>25049.3243243243</v>
      </c>
      <c r="H4" s="69" t="n">
        <v>156</v>
      </c>
      <c r="I4" s="80" t="n">
        <f aca="false">IF(H4&gt;0,H4/F4,  )</f>
        <v>2.10810810810811</v>
      </c>
      <c r="J4" s="80" t="n">
        <f aca="false">IF(I4&gt;0,G4/I4,  )</f>
        <v>11882.3717948718</v>
      </c>
    </row>
    <row r="5" customFormat="false" ht="12.75" hidden="false" customHeight="true" outlineLevel="0" collapsed="false">
      <c r="B5" s="77" t="s">
        <v>39</v>
      </c>
      <c r="C5" s="78" t="n">
        <v>45110</v>
      </c>
      <c r="D5" s="67" t="n">
        <v>2833800</v>
      </c>
      <c r="E5" s="79" t="n">
        <f aca="false">IF(D5&gt;0, D5,(H$42/(H$39-H$40)))</f>
        <v>2833800</v>
      </c>
      <c r="F5" s="69" t="n">
        <v>94</v>
      </c>
      <c r="G5" s="80" t="n">
        <f aca="false">IF(F5&gt;0,D5/F5, )</f>
        <v>30146.8085106383</v>
      </c>
      <c r="H5" s="69" t="n">
        <v>249</v>
      </c>
      <c r="I5" s="80" t="n">
        <f aca="false">IF(H5&gt;0,H5/F5,  )</f>
        <v>2.64893617021277</v>
      </c>
      <c r="J5" s="80" t="n">
        <f aca="false">IF(I5&gt;0,G5/I5,  )</f>
        <v>11380.7228915663</v>
      </c>
    </row>
    <row r="6" customFormat="false" ht="12.75" hidden="false" customHeight="true" outlineLevel="0" collapsed="false">
      <c r="B6" s="77" t="s">
        <v>40</v>
      </c>
      <c r="C6" s="78" t="n">
        <v>45111</v>
      </c>
      <c r="D6" s="67" t="n">
        <v>4361500</v>
      </c>
      <c r="E6" s="79" t="n">
        <f aca="false">IF(D6&gt;0, D6,(H$42/(H$39-H$40)))</f>
        <v>4361500</v>
      </c>
      <c r="F6" s="69" t="n">
        <v>101</v>
      </c>
      <c r="G6" s="80" t="n">
        <f aca="false">IF(F6&gt;0,D6/F6, )</f>
        <v>43183.1683168317</v>
      </c>
      <c r="H6" s="69" t="n">
        <v>349</v>
      </c>
      <c r="I6" s="80" t="n">
        <f aca="false">IF(H6&gt;0,H6/F6,  )</f>
        <v>3.45544554455446</v>
      </c>
      <c r="J6" s="80" t="n">
        <f aca="false">IF(I6&gt;0,G6/I6,  )</f>
        <v>12497.1346704871</v>
      </c>
    </row>
    <row r="7" customFormat="false" ht="12.75" hidden="false" customHeight="true" outlineLevel="0" collapsed="false">
      <c r="B7" s="77" t="s">
        <v>41</v>
      </c>
      <c r="C7" s="78" t="n">
        <v>45112</v>
      </c>
      <c r="D7" s="67" t="n">
        <v>4992500</v>
      </c>
      <c r="E7" s="79" t="n">
        <f aca="false">IF(D7&gt;0, D7,(H$42/(H$39-H$40)))</f>
        <v>4992500</v>
      </c>
      <c r="F7" s="69" t="n">
        <v>121</v>
      </c>
      <c r="G7" s="80" t="n">
        <f aca="false">IF(F7&gt;0,D7/F7, )</f>
        <v>41260.3305785124</v>
      </c>
      <c r="H7" s="69" t="n">
        <v>389</v>
      </c>
      <c r="I7" s="80" t="n">
        <f aca="false">IF(H7&gt;0,H7/F7,  )</f>
        <v>3.21487603305785</v>
      </c>
      <c r="J7" s="80" t="n">
        <f aca="false">IF(I7&gt;0,G7/I7,  )</f>
        <v>12834.1902313625</v>
      </c>
    </row>
    <row r="8" customFormat="false" ht="12.75" hidden="false" customHeight="true" outlineLevel="0" collapsed="false">
      <c r="B8" s="77" t="s">
        <v>42</v>
      </c>
      <c r="C8" s="78" t="n">
        <v>45113</v>
      </c>
      <c r="D8" s="67" t="n">
        <v>3806750</v>
      </c>
      <c r="E8" s="79" t="n">
        <f aca="false">IF(D8&gt;0, D8,(H$42/(H$39-H$40)))</f>
        <v>3806750</v>
      </c>
      <c r="F8" s="69" t="n">
        <v>104</v>
      </c>
      <c r="G8" s="80" t="n">
        <f aca="false">IF(F8&gt;0,D8/F8, )</f>
        <v>36603.3653846154</v>
      </c>
      <c r="H8" s="69" t="n">
        <v>318</v>
      </c>
      <c r="I8" s="80" t="n">
        <f aca="false">IF(H8&gt;0,H8/F8,  )</f>
        <v>3.05769230769231</v>
      </c>
      <c r="J8" s="80" t="n">
        <f aca="false">IF(I8&gt;0,G8/I8,  )</f>
        <v>11970.9119496855</v>
      </c>
    </row>
    <row r="9" customFormat="false" ht="12.75" hidden="false" customHeight="true" outlineLevel="0" collapsed="false">
      <c r="B9" s="77" t="s">
        <v>43</v>
      </c>
      <c r="C9" s="78" t="n">
        <v>45114</v>
      </c>
      <c r="D9" s="67" t="n">
        <v>4542900</v>
      </c>
      <c r="E9" s="79" t="n">
        <f aca="false">IF(D9&gt;0, D9,(H$42/(H$39-H$40)))</f>
        <v>4542900</v>
      </c>
      <c r="F9" s="69" t="n">
        <v>88</v>
      </c>
      <c r="G9" s="80" t="n">
        <f aca="false">IF(F9&gt;0,D9/F9, )</f>
        <v>51623.8636363636</v>
      </c>
      <c r="H9" s="69" t="n">
        <v>360</v>
      </c>
      <c r="I9" s="80" t="n">
        <f aca="false">IF(H9&gt;0,H9/F9,  )</f>
        <v>4.09090909090909</v>
      </c>
      <c r="J9" s="80" t="n">
        <f aca="false">IF(I9&gt;0,G9/I9,  )</f>
        <v>12619.1666666667</v>
      </c>
    </row>
    <row r="10" customFormat="false" ht="12.75" hidden="false" customHeight="true" outlineLevel="0" collapsed="false">
      <c r="B10" s="77" t="s">
        <v>44</v>
      </c>
      <c r="C10" s="78" t="n">
        <v>45115</v>
      </c>
      <c r="D10" s="67" t="n">
        <v>4148150</v>
      </c>
      <c r="E10" s="79" t="n">
        <f aca="false">IF(D10&gt;0, D10,(H$42/(H$39-H$40)))</f>
        <v>4148150</v>
      </c>
      <c r="F10" s="69" t="n">
        <v>99</v>
      </c>
      <c r="G10" s="80" t="n">
        <f aca="false">IF(F10&gt;0,D10/F10, )</f>
        <v>41900.5050505051</v>
      </c>
      <c r="H10" s="69" t="n">
        <v>342</v>
      </c>
      <c r="I10" s="80" t="n">
        <f aca="false">IF(H10&gt;0,H10/F10,  )</f>
        <v>3.45454545454545</v>
      </c>
      <c r="J10" s="80" t="n">
        <f aca="false">IF(I10&gt;0,G10/I10,  )</f>
        <v>12129.0935672515</v>
      </c>
    </row>
    <row r="11" customFormat="false" ht="12.75" hidden="false" customHeight="true" outlineLevel="0" collapsed="false">
      <c r="B11" s="77" t="s">
        <v>38</v>
      </c>
      <c r="C11" s="78" t="n">
        <v>45116</v>
      </c>
      <c r="D11" s="67" t="n">
        <v>3654400</v>
      </c>
      <c r="E11" s="79" t="n">
        <f aca="false">IF(D11&gt;0, D11,(H$42/(H$39-H$40)))</f>
        <v>3654400</v>
      </c>
      <c r="F11" s="69" t="n">
        <v>97</v>
      </c>
      <c r="G11" s="80" t="n">
        <f aca="false">IF(F11&gt;0,D11/F11, )</f>
        <v>37674.2268041237</v>
      </c>
      <c r="H11" s="69" t="n">
        <v>281</v>
      </c>
      <c r="I11" s="80" t="n">
        <f aca="false">IF(H11&gt;0,H11/F11,  )</f>
        <v>2.89690721649485</v>
      </c>
      <c r="J11" s="80" t="n">
        <f aca="false">IF(I11&gt;0,G11/I11,  )</f>
        <v>13004.9822064057</v>
      </c>
    </row>
    <row r="12" customFormat="false" ht="12.75" hidden="false" customHeight="true" outlineLevel="0" collapsed="false">
      <c r="B12" s="77" t="s">
        <v>39</v>
      </c>
      <c r="C12" s="78" t="n">
        <v>45117</v>
      </c>
      <c r="D12" s="67" t="n">
        <v>4919700</v>
      </c>
      <c r="E12" s="79" t="n">
        <f aca="false">IF(D12&gt;0, D12,(H$42/(H$39-H$40)))</f>
        <v>4919700</v>
      </c>
      <c r="F12" s="69" t="n">
        <v>120</v>
      </c>
      <c r="G12" s="80" t="n">
        <f aca="false">IF(F12&gt;0,D12/F12, )</f>
        <v>40997.5</v>
      </c>
      <c r="H12" s="69" t="n">
        <v>392</v>
      </c>
      <c r="I12" s="80" t="n">
        <f aca="false">IF(H12&gt;0,H12/F12,  )</f>
        <v>3.26666666666667</v>
      </c>
      <c r="J12" s="80" t="n">
        <f aca="false">IF(I12&gt;0,G12/I12,  )</f>
        <v>12550.2551020408</v>
      </c>
    </row>
    <row r="13" customFormat="false" ht="12.75" hidden="false" customHeight="true" outlineLevel="0" collapsed="false">
      <c r="B13" s="77" t="s">
        <v>40</v>
      </c>
      <c r="C13" s="78" t="n">
        <v>45118</v>
      </c>
      <c r="D13" s="67" t="n">
        <v>5220250</v>
      </c>
      <c r="E13" s="79" t="n">
        <f aca="false">IF(D13&gt;0, D13,(H$42/(H$39-H$40)))</f>
        <v>5220250</v>
      </c>
      <c r="F13" s="69" t="n">
        <v>112</v>
      </c>
      <c r="G13" s="80" t="n">
        <f aca="false">IF(F13&gt;0,D13/F13, )</f>
        <v>46609.375</v>
      </c>
      <c r="H13" s="69" t="n">
        <v>394</v>
      </c>
      <c r="I13" s="80" t="n">
        <f aca="false">IF(H13&gt;0,H13/F13,  )</f>
        <v>3.51785714285714</v>
      </c>
      <c r="J13" s="80" t="n">
        <f aca="false">IF(I13&gt;0,G13/I13,  )</f>
        <v>13249.3654822335</v>
      </c>
    </row>
    <row r="14" customFormat="false" ht="12.75" hidden="false" customHeight="true" outlineLevel="0" collapsed="false">
      <c r="B14" s="77" t="s">
        <v>41</v>
      </c>
      <c r="C14" s="78" t="n">
        <v>45119</v>
      </c>
      <c r="D14" s="67" t="n">
        <v>3930500</v>
      </c>
      <c r="E14" s="79" t="n">
        <f aca="false">IF(D14&gt;0, D14,(H$42/(H$39-H$40)))</f>
        <v>3930500</v>
      </c>
      <c r="F14" s="69" t="n">
        <v>120</v>
      </c>
      <c r="G14" s="80" t="n">
        <f aca="false">IF(F14&gt;0,D14/F14, )</f>
        <v>32754.1666666667</v>
      </c>
      <c r="H14" s="69" t="n">
        <v>331</v>
      </c>
      <c r="I14" s="80" t="n">
        <f aca="false">IF(H14&gt;0,H14/F14,  )</f>
        <v>2.75833333333333</v>
      </c>
      <c r="J14" s="80" t="n">
        <f aca="false">IF(I14&gt;0,G14/I14,  )</f>
        <v>11874.6223564955</v>
      </c>
    </row>
    <row r="15" customFormat="false" ht="12.75" hidden="false" customHeight="true" outlineLevel="0" collapsed="false">
      <c r="B15" s="77" t="s">
        <v>42</v>
      </c>
      <c r="C15" s="78" t="n">
        <v>45120</v>
      </c>
      <c r="D15" s="67" t="n">
        <v>2675300</v>
      </c>
      <c r="E15" s="79" t="n">
        <f aca="false">IF(D15&gt;0, D15,(H$42/(H$39-H$40)))</f>
        <v>2675300</v>
      </c>
      <c r="F15" s="69" t="n">
        <v>92</v>
      </c>
      <c r="G15" s="80" t="n">
        <f aca="false">IF(F15&gt;0,D15/F15, )</f>
        <v>29079.347826087</v>
      </c>
      <c r="H15" s="69" t="n">
        <v>231</v>
      </c>
      <c r="I15" s="80" t="n">
        <f aca="false">IF(H15&gt;0,H15/F15,  )</f>
        <v>2.51086956521739</v>
      </c>
      <c r="J15" s="80" t="n">
        <f aca="false">IF(I15&gt;0,G15/I15,  )</f>
        <v>11581.3852813853</v>
      </c>
    </row>
    <row r="16" customFormat="false" ht="12.75" hidden="false" customHeight="true" outlineLevel="0" collapsed="false">
      <c r="B16" s="77" t="s">
        <v>43</v>
      </c>
      <c r="C16" s="78" t="n">
        <v>45121</v>
      </c>
      <c r="D16" s="67" t="n">
        <v>3956950</v>
      </c>
      <c r="E16" s="79" t="n">
        <f aca="false">IF(D16&gt;0, D16,(H$42/(H$39-H$40)))</f>
        <v>3956950</v>
      </c>
      <c r="F16" s="69" t="n">
        <v>108</v>
      </c>
      <c r="G16" s="80" t="n">
        <f aca="false">IF(F16&gt;0,D16/F16, )</f>
        <v>36638.4259259259</v>
      </c>
      <c r="H16" s="69" t="n">
        <v>312</v>
      </c>
      <c r="I16" s="80" t="n">
        <f aca="false">IF(H16&gt;0,H16/F16,  )</f>
        <v>2.88888888888889</v>
      </c>
      <c r="J16" s="80" t="n">
        <f aca="false">IF(I16&gt;0,G16/I16,  )</f>
        <v>12682.5320512821</v>
      </c>
    </row>
    <row r="17" customFormat="false" ht="12.75" hidden="false" customHeight="true" outlineLevel="0" collapsed="false">
      <c r="B17" s="77" t="s">
        <v>44</v>
      </c>
      <c r="C17" s="78" t="n">
        <v>45122</v>
      </c>
      <c r="D17" s="67" t="n">
        <v>3736000</v>
      </c>
      <c r="E17" s="79" t="n">
        <f aca="false">IF(D17&gt;0, D17,(H$42/(H$39-H$40)))</f>
        <v>3736000</v>
      </c>
      <c r="F17" s="69" t="n">
        <v>115</v>
      </c>
      <c r="G17" s="80" t="n">
        <f aca="false">IF(F17&gt;0,D17/F17, )</f>
        <v>32486.9565217391</v>
      </c>
      <c r="H17" s="69" t="n">
        <v>301</v>
      </c>
      <c r="I17" s="80" t="n">
        <f aca="false">IF(H17&gt;0,H17/F17,  )</f>
        <v>2.61739130434783</v>
      </c>
      <c r="J17" s="80" t="n">
        <f aca="false">IF(I17&gt;0,G17/I17,  )</f>
        <v>12411.9601328904</v>
      </c>
    </row>
    <row r="18" customFormat="false" ht="12.75" hidden="false" customHeight="true" outlineLevel="0" collapsed="false">
      <c r="B18" s="77" t="s">
        <v>38</v>
      </c>
      <c r="C18" s="78" t="n">
        <v>45123</v>
      </c>
      <c r="D18" s="67" t="n">
        <v>4643950</v>
      </c>
      <c r="E18" s="79" t="n">
        <f aca="false">IF(D18&gt;0, D18,(H$42/(H$39-H$40)))</f>
        <v>4643950</v>
      </c>
      <c r="F18" s="69" t="n">
        <v>111</v>
      </c>
      <c r="G18" s="80" t="n">
        <f aca="false">IF(F18&gt;0,D18/F18, )</f>
        <v>41837.3873873874</v>
      </c>
      <c r="H18" s="69" t="n">
        <v>379</v>
      </c>
      <c r="I18" s="80" t="n">
        <f aca="false">IF(H18&gt;0,H18/F18,  )</f>
        <v>3.41441441441441</v>
      </c>
      <c r="J18" s="80" t="n">
        <f aca="false">IF(I18&gt;0,G18/I18,  )</f>
        <v>12253.1662269129</v>
      </c>
    </row>
    <row r="19" customFormat="false" ht="12.75" hidden="false" customHeight="true" outlineLevel="0" collapsed="false">
      <c r="B19" s="77" t="s">
        <v>39</v>
      </c>
      <c r="C19" s="78" t="n">
        <v>45124</v>
      </c>
      <c r="D19" s="67" t="n">
        <v>2993350</v>
      </c>
      <c r="E19" s="79" t="n">
        <f aca="false">IF(D19&gt;0, D19,(H$42/(H$39-H$40)))</f>
        <v>2993350</v>
      </c>
      <c r="F19" s="69" t="n">
        <v>104</v>
      </c>
      <c r="G19" s="80" t="n">
        <f aca="false">IF(F19&gt;0,D19/F19, )</f>
        <v>28782.2115384615</v>
      </c>
      <c r="H19" s="69" t="n">
        <v>311</v>
      </c>
      <c r="I19" s="80" t="n">
        <f aca="false">IF(H19&gt;0,H19/F19,  )</f>
        <v>2.99038461538462</v>
      </c>
      <c r="J19" s="80" t="n">
        <f aca="false">IF(I19&gt;0,G19/I19,  )</f>
        <v>9624.91961414791</v>
      </c>
    </row>
    <row r="20" customFormat="false" ht="12.75" hidden="false" customHeight="true" outlineLevel="0" collapsed="false">
      <c r="B20" s="77" t="s">
        <v>40</v>
      </c>
      <c r="C20" s="78" t="n">
        <v>45125</v>
      </c>
      <c r="D20" s="67" t="n">
        <v>3449100</v>
      </c>
      <c r="E20" s="79" t="n">
        <f aca="false">IF(D20&gt;0, D20,(H$42/(H$39-H$40)))</f>
        <v>3449100</v>
      </c>
      <c r="F20" s="69" t="n">
        <v>99</v>
      </c>
      <c r="G20" s="80" t="n">
        <f aca="false">IF(F20&gt;0,D20/F20, )</f>
        <v>34839.3939393939</v>
      </c>
      <c r="H20" s="69" t="n">
        <v>321</v>
      </c>
      <c r="I20" s="80" t="n">
        <f aca="false">IF(H20&gt;0,H20/F20,  )</f>
        <v>3.24242424242424</v>
      </c>
      <c r="J20" s="80" t="n">
        <f aca="false">IF(I20&gt;0,G20/I20,  )</f>
        <v>10744.8598130841</v>
      </c>
    </row>
    <row r="21" customFormat="false" ht="12.75" hidden="false" customHeight="true" outlineLevel="0" collapsed="false">
      <c r="B21" s="77" t="s">
        <v>41</v>
      </c>
      <c r="C21" s="78" t="n">
        <v>45126</v>
      </c>
      <c r="D21" s="67" t="n">
        <v>3709600</v>
      </c>
      <c r="E21" s="79" t="n">
        <f aca="false">IF(D21&gt;0, D21,(H$42/(H$39-H$40)))</f>
        <v>3709600</v>
      </c>
      <c r="F21" s="69" t="n">
        <v>122</v>
      </c>
      <c r="G21" s="80" t="n">
        <f aca="false">IF(F21&gt;0,D21/F21, )</f>
        <v>30406.5573770492</v>
      </c>
      <c r="H21" s="69" t="n">
        <v>378</v>
      </c>
      <c r="I21" s="80" t="n">
        <f aca="false">IF(H21&gt;0,H21/F21,  )</f>
        <v>3.0983606557377</v>
      </c>
      <c r="J21" s="80" t="n">
        <f aca="false">IF(I21&gt;0,G21/I21,  )</f>
        <v>9813.75661375661</v>
      </c>
    </row>
    <row r="22" customFormat="false" ht="12.75" hidden="false" customHeight="true" outlineLevel="0" collapsed="false">
      <c r="B22" s="77" t="s">
        <v>42</v>
      </c>
      <c r="C22" s="78" t="n">
        <v>45127</v>
      </c>
      <c r="D22" s="67" t="n">
        <v>4410800</v>
      </c>
      <c r="E22" s="79" t="n">
        <f aca="false">IF(D22&gt;0, D22,(H$42/(H$39-H$40)))</f>
        <v>4410800</v>
      </c>
      <c r="F22" s="81" t="n">
        <v>121</v>
      </c>
      <c r="G22" s="80" t="n">
        <f aca="false">IF(F22&gt;0,D22/F22, )</f>
        <v>36452.8925619835</v>
      </c>
      <c r="H22" s="69" t="n">
        <v>447</v>
      </c>
      <c r="I22" s="80" t="n">
        <f aca="false">IF(H22&gt;0,H22/F22,  )</f>
        <v>3.69421487603306</v>
      </c>
      <c r="J22" s="80" t="n">
        <f aca="false">IF(I22&gt;0,G22/I22,  )</f>
        <v>9867.5615212528</v>
      </c>
    </row>
    <row r="23" customFormat="false" ht="12.75" hidden="false" customHeight="true" outlineLevel="0" collapsed="false">
      <c r="B23" s="77" t="s">
        <v>43</v>
      </c>
      <c r="C23" s="78" t="n">
        <v>45128</v>
      </c>
      <c r="D23" s="67" t="n">
        <v>3641800</v>
      </c>
      <c r="E23" s="79" t="n">
        <f aca="false">IF(D23&gt;0, D23,(H$42/(H$39-H$40)))</f>
        <v>3641800</v>
      </c>
      <c r="F23" s="69" t="n">
        <v>113</v>
      </c>
      <c r="G23" s="80" t="n">
        <f aca="false">IF(F23&gt;0,D23/F23, )</f>
        <v>32228.3185840708</v>
      </c>
      <c r="H23" s="69" t="n">
        <v>285</v>
      </c>
      <c r="I23" s="80" t="n">
        <f aca="false">IF(H23&gt;0,H23/F23,  )</f>
        <v>2.52212389380531</v>
      </c>
      <c r="J23" s="80" t="n">
        <f aca="false">IF(I23&gt;0,G23/I23,  )</f>
        <v>12778.2456140351</v>
      </c>
    </row>
    <row r="24" customFormat="false" ht="12.75" hidden="false" customHeight="true" outlineLevel="0" collapsed="false">
      <c r="B24" s="77" t="s">
        <v>44</v>
      </c>
      <c r="C24" s="78" t="n">
        <v>45129</v>
      </c>
      <c r="D24" s="67" t="n">
        <v>2936700</v>
      </c>
      <c r="E24" s="79" t="n">
        <f aca="false">IF(D24&gt;0, D24,(H$42/(H$39-H$40)))</f>
        <v>2936700</v>
      </c>
      <c r="F24" s="69" t="n">
        <v>106</v>
      </c>
      <c r="G24" s="80" t="n">
        <f aca="false">IF(F24&gt;0,D24/F24, )</f>
        <v>27704.7169811321</v>
      </c>
      <c r="H24" s="69" t="n">
        <v>283</v>
      </c>
      <c r="I24" s="80" t="n">
        <f aca="false">IF(H24&gt;0,H24/F24,  )</f>
        <v>2.66981132075472</v>
      </c>
      <c r="J24" s="80" t="n">
        <f aca="false">IF(I24&gt;0,G24/I24,  )</f>
        <v>10377.0318021201</v>
      </c>
    </row>
    <row r="25" customFormat="false" ht="12.75" hidden="false" customHeight="true" outlineLevel="0" collapsed="false">
      <c r="B25" s="77" t="s">
        <v>38</v>
      </c>
      <c r="C25" s="78" t="n">
        <v>45130</v>
      </c>
      <c r="D25" s="67" t="n">
        <v>3272150</v>
      </c>
      <c r="E25" s="79" t="n">
        <f aca="false">IF(D25&gt;0, D25,(H$42/(H$39-H$40)))</f>
        <v>3272150</v>
      </c>
      <c r="F25" s="69" t="n">
        <v>101</v>
      </c>
      <c r="G25" s="80" t="n">
        <f aca="false">IF(F25&gt;0,D25/F25, )</f>
        <v>32397.5247524752</v>
      </c>
      <c r="H25" s="69" t="n">
        <v>301</v>
      </c>
      <c r="I25" s="80" t="n">
        <f aca="false">IF(H25&gt;0,H25/F25,  )</f>
        <v>2.98019801980198</v>
      </c>
      <c r="J25" s="80" t="n">
        <f aca="false">IF(I25&gt;0,G25/I25,  )</f>
        <v>10870.9302325581</v>
      </c>
    </row>
    <row r="26" customFormat="false" ht="12.75" hidden="false" customHeight="true" outlineLevel="0" collapsed="false">
      <c r="B26" s="77" t="s">
        <v>39</v>
      </c>
      <c r="C26" s="78" t="n">
        <v>45131</v>
      </c>
      <c r="D26" s="67" t="n">
        <v>2901500</v>
      </c>
      <c r="E26" s="79" t="n">
        <f aca="false">IF(D26&gt;0, D26,(H$42/(H$39-H$40)))</f>
        <v>2901500</v>
      </c>
      <c r="F26" s="69" t="n">
        <v>116</v>
      </c>
      <c r="G26" s="80" t="n">
        <f aca="false">IF(F26&gt;0,D26/F26, )</f>
        <v>25012.9310344828</v>
      </c>
      <c r="H26" s="69" t="n">
        <v>285</v>
      </c>
      <c r="I26" s="80" t="n">
        <f aca="false">IF(H26&gt;0,H26/F26,  )</f>
        <v>2.45689655172414</v>
      </c>
      <c r="J26" s="80" t="n">
        <f aca="false">IF(I26&gt;0,G26/I26,  )</f>
        <v>10180.701754386</v>
      </c>
    </row>
    <row r="27" customFormat="false" ht="12.75" hidden="false" customHeight="true" outlineLevel="0" collapsed="false">
      <c r="B27" s="77" t="s">
        <v>40</v>
      </c>
      <c r="C27" s="78" t="n">
        <v>45132</v>
      </c>
      <c r="D27" s="67" t="n">
        <v>2303100</v>
      </c>
      <c r="E27" s="79" t="n">
        <f aca="false">IF(D27&gt;0, D27,(H$42/(H$39-H$40)))</f>
        <v>2303100</v>
      </c>
      <c r="F27" s="69" t="n">
        <v>75</v>
      </c>
      <c r="G27" s="80" t="n">
        <f aca="false">IF(F27&gt;0,D27/F27, )</f>
        <v>30708</v>
      </c>
      <c r="H27" s="69" t="n">
        <v>236</v>
      </c>
      <c r="I27" s="80" t="n">
        <f aca="false">IF(H27&gt;0,H27/F27,  )</f>
        <v>3.14666666666667</v>
      </c>
      <c r="J27" s="80" t="n">
        <f aca="false">IF(I27&gt;0,G27/I27,  )</f>
        <v>9758.89830508475</v>
      </c>
    </row>
    <row r="28" customFormat="false" ht="12.75" hidden="false" customHeight="true" outlineLevel="0" collapsed="false">
      <c r="B28" s="77" t="s">
        <v>41</v>
      </c>
      <c r="C28" s="78" t="n">
        <v>45133</v>
      </c>
      <c r="D28" s="67" t="n">
        <v>5016450</v>
      </c>
      <c r="E28" s="79" t="n">
        <f aca="false">IF(D28&gt;0, D28,(H$42/(H$39-H$40)))</f>
        <v>5016450</v>
      </c>
      <c r="F28" s="69" t="n">
        <v>141</v>
      </c>
      <c r="G28" s="80" t="n">
        <f aca="false">IF(F28&gt;0,D28/F28, )</f>
        <v>35577.6595744681</v>
      </c>
      <c r="H28" s="69" t="n">
        <v>433</v>
      </c>
      <c r="I28" s="80" t="n">
        <f aca="false">IF(H28&gt;0,H28/F28,  )</f>
        <v>3.0709219858156</v>
      </c>
      <c r="J28" s="80" t="n">
        <f aca="false">IF(I28&gt;0,G28/I28,  )</f>
        <v>11585.3348729792</v>
      </c>
    </row>
    <row r="29" customFormat="false" ht="12.75" hidden="false" customHeight="true" outlineLevel="0" collapsed="false">
      <c r="B29" s="77" t="s">
        <v>42</v>
      </c>
      <c r="C29" s="78" t="n">
        <v>45134</v>
      </c>
      <c r="D29" s="67" t="n">
        <v>3400700</v>
      </c>
      <c r="E29" s="79" t="n">
        <f aca="false">IF(D29&gt;0, D29,(H$42/(H$39-H$40)))</f>
        <v>3400700</v>
      </c>
      <c r="F29" s="69" t="n">
        <v>102</v>
      </c>
      <c r="G29" s="80" t="n">
        <f aca="false">IF(F29&gt;0,D29/F29, )</f>
        <v>33340.1960784314</v>
      </c>
      <c r="H29" s="69" t="n">
        <v>267</v>
      </c>
      <c r="I29" s="80" t="n">
        <f aca="false">IF(H29&gt;0,H29/F29,  )</f>
        <v>2.61764705882353</v>
      </c>
      <c r="J29" s="80" t="n">
        <f aca="false">IF(I29&gt;0,G29/I29,  )</f>
        <v>12736.7041198502</v>
      </c>
    </row>
    <row r="30" customFormat="false" ht="12.75" hidden="false" customHeight="true" outlineLevel="0" collapsed="false">
      <c r="B30" s="77" t="s">
        <v>43</v>
      </c>
      <c r="C30" s="78" t="n">
        <v>45135</v>
      </c>
      <c r="D30" s="67" t="n">
        <v>3104900</v>
      </c>
      <c r="E30" s="79" t="n">
        <f aca="false">IF(D30&gt;0, D30,(H$42/(H$39-H$40)))</f>
        <v>3104900</v>
      </c>
      <c r="F30" s="69" t="n">
        <v>112</v>
      </c>
      <c r="G30" s="80" t="n">
        <f aca="false">IF(F30&gt;0,D30/F30, )</f>
        <v>27722.3214285714</v>
      </c>
      <c r="H30" s="69" t="n">
        <v>279</v>
      </c>
      <c r="I30" s="80" t="n">
        <f aca="false">IF(H30&gt;0,H30/F30,  )</f>
        <v>2.49107142857143</v>
      </c>
      <c r="J30" s="80" t="n">
        <f aca="false">IF(I30&gt;0,G30/I30,  )</f>
        <v>11128.6738351254</v>
      </c>
      <c r="L30" s="82"/>
    </row>
    <row r="31" customFormat="false" ht="12.75" hidden="false" customHeight="true" outlineLevel="0" collapsed="false">
      <c r="B31" s="77" t="s">
        <v>44</v>
      </c>
      <c r="C31" s="78" t="n">
        <v>45136</v>
      </c>
      <c r="D31" s="67" t="n">
        <v>3967500</v>
      </c>
      <c r="E31" s="79" t="n">
        <f aca="false">IF(D31&gt;0, D31,(H$42/(H$39-H$40)))</f>
        <v>3967500</v>
      </c>
      <c r="F31" s="69" t="n">
        <v>115</v>
      </c>
      <c r="G31" s="80" t="n">
        <f aca="false">IF(F31&gt;0,D31/F31, )</f>
        <v>34500</v>
      </c>
      <c r="H31" s="69" t="n">
        <v>324</v>
      </c>
      <c r="I31" s="80" t="n">
        <f aca="false">IF(H31&gt;0,H31/F31,  )</f>
        <v>2.81739130434783</v>
      </c>
      <c r="J31" s="80" t="n">
        <f aca="false">IF(I31&gt;0,G31/I31,  )</f>
        <v>12245.3703703704</v>
      </c>
    </row>
    <row r="32" customFormat="false" ht="12.75" hidden="false" customHeight="true" outlineLevel="0" collapsed="false">
      <c r="B32" s="77" t="s">
        <v>38</v>
      </c>
      <c r="C32" s="78" t="n">
        <v>45137</v>
      </c>
      <c r="D32" s="67" t="n">
        <v>3200900</v>
      </c>
      <c r="E32" s="79" t="n">
        <f aca="false">IF(D32&gt;0, D32,(H$42/(H$39-H$40)))</f>
        <v>3200900</v>
      </c>
      <c r="F32" s="69" t="n">
        <v>90</v>
      </c>
      <c r="G32" s="80" t="n">
        <f aca="false">IF(F32&gt;0,D32/F32, )</f>
        <v>35565.5555555556</v>
      </c>
      <c r="H32" s="69" t="n">
        <v>287</v>
      </c>
      <c r="I32" s="80" t="n">
        <f aca="false">IF(H32&gt;0,H32/F32,  )</f>
        <v>3.18888888888889</v>
      </c>
      <c r="J32" s="80" t="n">
        <f aca="false">IF(I32&gt;0,G32/I32,  )</f>
        <v>11152.9616724739</v>
      </c>
    </row>
    <row r="33" customFormat="false" ht="12.75" hidden="false" customHeight="true" outlineLevel="0" collapsed="false">
      <c r="B33" s="77" t="s">
        <v>39</v>
      </c>
      <c r="C33" s="78" t="n">
        <v>45138</v>
      </c>
      <c r="D33" s="67" t="n">
        <v>2431500</v>
      </c>
      <c r="E33" s="79" t="n">
        <f aca="false">IF(D33&gt;0, D33,(H$42/(H$39-H$40)))</f>
        <v>2431500</v>
      </c>
      <c r="F33" s="69" t="n">
        <v>89</v>
      </c>
      <c r="G33" s="80" t="n">
        <f aca="false">IF(F33&gt;0,D33/F33, )</f>
        <v>27320.2247191011</v>
      </c>
      <c r="H33" s="69" t="n">
        <v>217</v>
      </c>
      <c r="I33" s="80" t="n">
        <f aca="false">IF(H33&gt;0,H33/F33,  )</f>
        <v>2.43820224719101</v>
      </c>
      <c r="J33" s="80" t="n">
        <f aca="false">IF(I33&gt;0,G33/I33,  )</f>
        <v>11205.069124424</v>
      </c>
    </row>
    <row r="34" customFormat="false" ht="12.75" hidden="false" customHeight="true" outlineLevel="0" collapsed="false">
      <c r="B34" s="83" t="s">
        <v>18</v>
      </c>
      <c r="C34" s="84"/>
      <c r="D34" s="85" t="n">
        <f aca="false">AVERAGE(D3:D33)</f>
        <v>3722398.38709677</v>
      </c>
      <c r="E34" s="85"/>
      <c r="F34" s="86" t="n">
        <f aca="false">AVERAGE(F3:F33)</f>
        <v>105.193548387097</v>
      </c>
      <c r="G34" s="85" t="n">
        <f aca="false">D34/F34</f>
        <v>35386.1852192579</v>
      </c>
      <c r="H34" s="86" t="n">
        <f aca="false">AVERAGE(H3:H33)</f>
        <v>316.612903225806</v>
      </c>
      <c r="I34" s="86" t="n">
        <f aca="false">IF(H34&gt;0,H34/F34,  )</f>
        <v>3.0098129408157</v>
      </c>
      <c r="J34" s="87" t="n">
        <f aca="false">IF(I34&gt;0,G34/I34,  )</f>
        <v>11756.9383596536</v>
      </c>
    </row>
    <row r="35" customFormat="false" ht="12.75" hidden="false" customHeight="true" outlineLevel="0" collapsed="false">
      <c r="B35" s="88" t="s">
        <v>19</v>
      </c>
      <c r="C35" s="89"/>
      <c r="D35" s="90" t="n">
        <f aca="false">SUM(D3:D33)</f>
        <v>115394350</v>
      </c>
      <c r="E35" s="90"/>
      <c r="F35" s="91" t="n">
        <f aca="false">SUM(F3:F33)</f>
        <v>3261</v>
      </c>
      <c r="G35" s="92"/>
      <c r="H35" s="91" t="n">
        <f aca="false">SUM(H3:H33)</f>
        <v>9815</v>
      </c>
      <c r="I35" s="91"/>
      <c r="J35" s="91"/>
    </row>
    <row r="36" customFormat="false" ht="12.75" hidden="false" customHeight="true" outlineLevel="0" collapsed="false">
      <c r="B36" s="93" t="s">
        <v>20</v>
      </c>
      <c r="C36" s="94"/>
      <c r="D36" s="95" t="n">
        <v>139000000</v>
      </c>
      <c r="E36" s="96"/>
      <c r="F36" s="97"/>
      <c r="G36" s="98"/>
      <c r="H36" s="97"/>
      <c r="I36" s="97"/>
      <c r="J36" s="97"/>
    </row>
    <row r="37" customFormat="false" ht="12.75" hidden="false" customHeight="true" outlineLevel="0" collapsed="false">
      <c r="B37" s="99" t="s">
        <v>21</v>
      </c>
      <c r="C37" s="100"/>
      <c r="D37" s="101" t="n">
        <f aca="false">D35/D36</f>
        <v>0.830175179856115</v>
      </c>
      <c r="E37" s="101"/>
      <c r="F37" s="102"/>
      <c r="G37" s="103"/>
      <c r="H37" s="104"/>
      <c r="I37" s="104"/>
      <c r="J37" s="104"/>
    </row>
    <row r="39" customFormat="false" ht="12.75" hidden="false" customHeight="true" outlineLevel="0" collapsed="false">
      <c r="E39" s="107" t="s">
        <v>22</v>
      </c>
      <c r="F39" s="107"/>
      <c r="G39" s="107"/>
      <c r="H39" s="108" t="n">
        <f aca="false">COUNTA(C3:C33)</f>
        <v>31</v>
      </c>
    </row>
    <row r="40" customFormat="false" ht="12.75" hidden="false" customHeight="true" outlineLevel="0" collapsed="false">
      <c r="E40" s="109" t="s">
        <v>23</v>
      </c>
      <c r="F40" s="109"/>
      <c r="G40" s="109"/>
      <c r="H40" s="110" t="n">
        <f aca="false">COUNTA(D3:D33)</f>
        <v>31</v>
      </c>
    </row>
    <row r="41" customFormat="false" ht="12.75" hidden="false" customHeight="true" outlineLevel="0" collapsed="false">
      <c r="E41" s="111" t="s">
        <v>24</v>
      </c>
      <c r="F41" s="111"/>
      <c r="G41" s="111"/>
      <c r="H41" s="112" t="n">
        <f aca="false">D36</f>
        <v>139000000</v>
      </c>
    </row>
    <row r="42" customFormat="false" ht="12.75" hidden="false" customHeight="true" outlineLevel="0" collapsed="false">
      <c r="E42" s="113" t="s">
        <v>25</v>
      </c>
      <c r="F42" s="113"/>
      <c r="G42" s="113"/>
      <c r="H42" s="114" t="n">
        <f aca="false">D36-D35</f>
        <v>23605650</v>
      </c>
    </row>
    <row r="43" customFormat="false" ht="12.75" hidden="false" customHeight="true" outlineLevel="0" collapsed="false">
      <c r="E43" s="113" t="s">
        <v>26</v>
      </c>
      <c r="F43" s="113"/>
      <c r="G43" s="113"/>
      <c r="H43" s="115" t="n">
        <f aca="false">H46*H39</f>
        <v>115394350</v>
      </c>
    </row>
    <row r="44" customFormat="false" ht="12.75" hidden="false" customHeight="true" outlineLevel="0" collapsed="false">
      <c r="E44" s="116" t="s">
        <v>27</v>
      </c>
      <c r="F44" s="116"/>
      <c r="G44" s="116"/>
      <c r="H44" s="117" t="n">
        <f aca="false">H43-H41</f>
        <v>-23605650</v>
      </c>
    </row>
    <row r="45" customFormat="false" ht="12.75" hidden="false" customHeight="true" outlineLevel="0" collapsed="false">
      <c r="E45" s="118" t="s">
        <v>28</v>
      </c>
      <c r="F45" s="118"/>
      <c r="G45" s="118"/>
      <c r="H45" s="119" t="n">
        <f aca="false">H41/H39</f>
        <v>4483870.96774194</v>
      </c>
    </row>
    <row r="46" customFormat="false" ht="12.75" hidden="false" customHeight="true" outlineLevel="0" collapsed="false">
      <c r="E46" s="120" t="s">
        <v>29</v>
      </c>
      <c r="F46" s="120"/>
      <c r="G46" s="120"/>
      <c r="H46" s="121" t="n">
        <f aca="false">AVERAGE(D3:D33)</f>
        <v>3722398.38709677</v>
      </c>
    </row>
    <row r="47" customFormat="false" ht="12.75" hidden="false" customHeight="true" outlineLevel="0" collapsed="false">
      <c r="E47" s="120" t="s">
        <v>30</v>
      </c>
      <c r="F47" s="120"/>
      <c r="G47" s="120"/>
      <c r="H47" s="122" t="n">
        <f aca="false">(H41/H49)/H39</f>
        <v>126.712470981521</v>
      </c>
    </row>
    <row r="48" customFormat="false" ht="12.75" hidden="false" customHeight="true" outlineLevel="0" collapsed="false">
      <c r="E48" s="120" t="s">
        <v>31</v>
      </c>
      <c r="F48" s="120"/>
      <c r="G48" s="120"/>
      <c r="H48" s="121" t="n">
        <f aca="false">F34</f>
        <v>105.193548387097</v>
      </c>
    </row>
    <row r="49" customFormat="false" ht="12.75" hidden="false" customHeight="true" outlineLevel="0" collapsed="false">
      <c r="E49" s="120" t="s">
        <v>32</v>
      </c>
      <c r="F49" s="120"/>
      <c r="G49" s="120"/>
      <c r="H49" s="123" t="n">
        <f aca="false">G34</f>
        <v>35386.1852192579</v>
      </c>
    </row>
    <row r="50" customFormat="false" ht="12.75" hidden="false" customHeight="true" outlineLevel="0" collapsed="false">
      <c r="E50" s="120" t="s">
        <v>33</v>
      </c>
      <c r="F50" s="120"/>
      <c r="G50" s="120"/>
      <c r="H50" s="124" t="n">
        <f aca="false">H46-H45</f>
        <v>-761472.580645161</v>
      </c>
    </row>
    <row r="51" customFormat="false" ht="12.75" hidden="false" customHeight="true" outlineLevel="0" collapsed="false">
      <c r="E51" s="120" t="s">
        <v>34</v>
      </c>
      <c r="F51" s="120"/>
      <c r="G51" s="120"/>
      <c r="H51" s="125" t="n">
        <f aca="false">H43/H41</f>
        <v>0.830175179856115</v>
      </c>
    </row>
    <row r="52" customFormat="false" ht="12.75" hidden="false" customHeight="true" outlineLevel="0" collapsed="false">
      <c r="E52" s="126" t="s">
        <v>35</v>
      </c>
      <c r="F52" s="126"/>
      <c r="G52" s="126"/>
      <c r="H52" s="127" t="n">
        <f aca="false">D35/H41</f>
        <v>0.830175179856115</v>
      </c>
    </row>
  </sheetData>
  <mergeCells count="15">
    <mergeCell ref="D1:J1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Roman,Обычный"&amp;A</oddHeader>
    <oddFooter>&amp;C&amp;"Times New Roman,Обычный"Страница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33438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2021-09-14T13:22:09Z</dcterms:created>
  <dc:creator>Пользователь Microsoft Office</dc:creator>
  <dc:description/>
  <dc:language>ru-RU</dc:language>
  <cp:lastModifiedBy/>
  <dcterms:modified xsi:type="dcterms:W3CDTF">2024-11-29T10:29:54Z</dcterms:modified>
  <cp:revision>1460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