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userNames.xml" ContentType="application/vnd.openxmlformats-officedocument.spreadsheetml.userNames+xml"/>
  <Override PartName="/xl/revisions/revisionHeaders.xml" ContentType="application/vnd.openxmlformats-officedocument.spreadsheetml.revisionHeaders+xml"/>
  <Override PartName="/xl/revisions/revisionLog1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480" windowWidth="26595" windowHeight="12495" firstSheet="8" activeTab="14"/>
  </bookViews>
  <sheets>
    <sheet name="A1 Supply" sheetId="1" r:id="rId1"/>
    <sheet name="A1-A1 Switches New" sheetId="2" r:id="rId2"/>
    <sheet name="A1-A1 Switches Control Logic" sheetId="3" r:id="rId3"/>
    <sheet name="A1-A1 Active Bias" sheetId="4" r:id="rId4"/>
    <sheet name="A1-A1 Gain Control Driver" sheetId="5" r:id="rId5"/>
    <sheet name="A1-A2 Switches New" sheetId="6" r:id="rId6"/>
    <sheet name="A1-A2 Power" sheetId="7" r:id="rId7"/>
    <sheet name="A3 to A1 Board Connector b" sheetId="8" r:id="rId8"/>
    <sheet name="Analog Mux" sheetId="9" r:id="rId9"/>
    <sheet name="200MHz Comb Gen Driver" sheetId="10" r:id="rId10"/>
    <sheet name="1.2GHz Comb Gen Driver" sheetId="11" r:id="rId11"/>
    <sheet name="Ref Mult" sheetId="12" r:id="rId12"/>
    <sheet name="Fast PLL" sheetId="13" r:id="rId13"/>
    <sheet name="Fast PLL Page 2" sheetId="14" r:id="rId14"/>
    <sheet name="Modulation" sheetId="15" r:id="rId15"/>
    <sheet name="Stalo_1" sheetId="16" r:id="rId16"/>
    <sheet name="Stalo_2" sheetId="17" r:id="rId17"/>
    <sheet name="Stalo_3" sheetId="18" r:id="rId18"/>
  </sheets>
  <calcPr calcId="145621"/>
  <customWorkbookViews>
    <customWorkbookView name="Mike Hoopes - Personal View" guid="{D2DB56BE-885F-4EB8-B044-5D9F6A74F9DB}" mergeInterval="0" personalView="1" maximized="1" windowWidth="1920" windowHeight="894" activeSheetId="1"/>
  </customWorkbookViews>
</workbook>
</file>

<file path=xl/calcChain.xml><?xml version="1.0" encoding="utf-8"?>
<calcChain xmlns="http://schemas.openxmlformats.org/spreadsheetml/2006/main">
  <c r="T20" i="1" l="1"/>
  <c r="B13" i="18"/>
  <c r="AN19" i="1"/>
  <c r="Y19" i="1"/>
  <c r="T19" i="1"/>
  <c r="H19" i="1"/>
  <c r="C17" i="17"/>
  <c r="D17" i="17"/>
  <c r="E17" i="17"/>
  <c r="B17" i="17"/>
  <c r="T18" i="1"/>
  <c r="H18" i="1"/>
  <c r="C32" i="16"/>
  <c r="B32" i="16"/>
  <c r="K17" i="1"/>
  <c r="X17" i="1"/>
  <c r="C11" i="12"/>
  <c r="B11" i="12"/>
  <c r="X16" i="1"/>
  <c r="J16" i="1"/>
  <c r="C22" i="15"/>
  <c r="B22" i="15"/>
  <c r="AD15" i="1"/>
  <c r="X15" i="1"/>
  <c r="C11" i="14"/>
  <c r="B11" i="14"/>
  <c r="AI14" i="1"/>
  <c r="AG14" i="1"/>
  <c r="AD14" i="1"/>
  <c r="AA14" i="1"/>
  <c r="X14" i="1"/>
  <c r="N14" i="1"/>
  <c r="I14" i="1"/>
  <c r="D14" i="1"/>
  <c r="C14" i="1"/>
  <c r="C37" i="13"/>
  <c r="D37" i="13"/>
  <c r="E37" i="13"/>
  <c r="F37" i="13"/>
  <c r="G37" i="13"/>
  <c r="H37" i="13"/>
  <c r="I37" i="13"/>
  <c r="J37" i="13"/>
  <c r="B37" i="13"/>
  <c r="M13" i="1"/>
  <c r="E12" i="1"/>
  <c r="AM11" i="1"/>
  <c r="AF11" i="1"/>
  <c r="AE11" i="1"/>
  <c r="V11" i="1"/>
  <c r="R11" i="1"/>
  <c r="F11" i="1"/>
  <c r="C20" i="9"/>
  <c r="D20" i="9"/>
  <c r="E20" i="9"/>
  <c r="F20" i="9"/>
  <c r="G20" i="9"/>
  <c r="B20" i="9"/>
  <c r="W10" i="1"/>
  <c r="AL10" i="1"/>
  <c r="AC10" i="1"/>
  <c r="Z10" i="1"/>
  <c r="C29" i="8"/>
  <c r="D29" i="8"/>
  <c r="E29" i="8"/>
  <c r="B29" i="8"/>
  <c r="Q9" i="1"/>
  <c r="L9" i="1"/>
  <c r="G9" i="1"/>
  <c r="C12" i="7"/>
  <c r="D12" i="7"/>
  <c r="B12" i="7"/>
  <c r="AK8" i="1"/>
  <c r="AJ8" i="1"/>
  <c r="U8" i="1"/>
  <c r="S8" i="1"/>
  <c r="C29" i="6"/>
  <c r="D29" i="6"/>
  <c r="E29" i="6"/>
  <c r="B29" i="6"/>
  <c r="AJ7" i="1"/>
  <c r="S7" i="1"/>
  <c r="C11" i="5"/>
  <c r="B11" i="5"/>
  <c r="U5" i="1"/>
  <c r="B15" i="3"/>
  <c r="AH27" i="1" l="1"/>
  <c r="AB27" i="1"/>
  <c r="P27" i="1"/>
  <c r="O27" i="1"/>
  <c r="AH25" i="1"/>
  <c r="AB25" i="1"/>
  <c r="P25" i="1"/>
  <c r="O25" i="1"/>
  <c r="AH23" i="1"/>
  <c r="AB23" i="1"/>
  <c r="P23" i="1"/>
  <c r="O23" i="1"/>
  <c r="AB6" i="1"/>
  <c r="P6" i="1"/>
  <c r="O6" i="1"/>
  <c r="D30" i="4"/>
  <c r="C30" i="4"/>
  <c r="B30" i="4"/>
  <c r="U4" i="1" l="1"/>
  <c r="D25" i="2"/>
  <c r="C25" i="2"/>
  <c r="B25" i="2"/>
  <c r="AN21" i="1" l="1"/>
  <c r="K21" i="1"/>
  <c r="AM21" i="1"/>
  <c r="AL21" i="1"/>
  <c r="AN23" i="1" l="1"/>
  <c r="AN25" i="1" s="1"/>
  <c r="AN27" i="1"/>
  <c r="K23" i="1"/>
  <c r="K25" i="1" s="1"/>
  <c r="K27" i="1"/>
  <c r="AM27" i="1"/>
  <c r="AM23" i="1"/>
  <c r="AM25" i="1" s="1"/>
  <c r="AL27" i="1"/>
  <c r="AL23" i="1"/>
  <c r="AL25" i="1" s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J21" i="1"/>
  <c r="I21" i="1"/>
  <c r="H21" i="1"/>
  <c r="G21" i="1"/>
  <c r="F21" i="1"/>
  <c r="E21" i="1"/>
  <c r="D21" i="1"/>
  <c r="C21" i="1"/>
  <c r="Y27" i="1" l="1"/>
  <c r="Y23" i="1"/>
  <c r="Y25" i="1" s="1"/>
  <c r="T23" i="1"/>
  <c r="T25" i="1" s="1"/>
  <c r="T27" i="1"/>
  <c r="H27" i="1"/>
  <c r="H23" i="1"/>
  <c r="H25" i="1" s="1"/>
  <c r="J23" i="1"/>
  <c r="J25" i="1" s="1"/>
  <c r="J27" i="1"/>
  <c r="AI23" i="1"/>
  <c r="AI25" i="1" s="1"/>
  <c r="AI27" i="1"/>
  <c r="AG27" i="1"/>
  <c r="AG23" i="1"/>
  <c r="AG25" i="1" s="1"/>
  <c r="AD27" i="1"/>
  <c r="AD23" i="1"/>
  <c r="AD25" i="1" s="1"/>
  <c r="AA23" i="1"/>
  <c r="AA25" i="1" s="1"/>
  <c r="AA27" i="1"/>
  <c r="X23" i="1"/>
  <c r="X25" i="1" s="1"/>
  <c r="X27" i="1"/>
  <c r="N27" i="1"/>
  <c r="N23" i="1"/>
  <c r="N25" i="1" s="1"/>
  <c r="I27" i="1"/>
  <c r="I23" i="1"/>
  <c r="I25" i="1" s="1"/>
  <c r="D23" i="1"/>
  <c r="D25" i="1" s="1"/>
  <c r="D27" i="1"/>
  <c r="C27" i="1"/>
  <c r="C23" i="1"/>
  <c r="C25" i="1" s="1"/>
  <c r="M27" i="1"/>
  <c r="M23" i="1"/>
  <c r="M25" i="1" s="1"/>
  <c r="E23" i="1"/>
  <c r="E25" i="1" s="1"/>
  <c r="E27" i="1"/>
  <c r="AF23" i="1"/>
  <c r="AF25" i="1" s="1"/>
  <c r="AF27" i="1"/>
  <c r="AE23" i="1"/>
  <c r="AE25" i="1" s="1"/>
  <c r="AE27" i="1"/>
  <c r="V27" i="1"/>
  <c r="V23" i="1"/>
  <c r="V25" i="1" s="1"/>
  <c r="R23" i="1"/>
  <c r="R25" i="1" s="1"/>
  <c r="R27" i="1"/>
  <c r="F23" i="1"/>
  <c r="F25" i="1" s="1"/>
  <c r="F27" i="1"/>
  <c r="W27" i="1"/>
  <c r="W23" i="1"/>
  <c r="W25" i="1" s="1"/>
  <c r="AC23" i="1"/>
  <c r="AC25" i="1" s="1"/>
  <c r="AC27" i="1"/>
  <c r="Z23" i="1"/>
  <c r="Z25" i="1" s="1"/>
  <c r="Z27" i="1"/>
  <c r="Q27" i="1"/>
  <c r="Q23" i="1"/>
  <c r="Q25" i="1" s="1"/>
  <c r="L23" i="1"/>
  <c r="L25" i="1" s="1"/>
  <c r="L27" i="1"/>
  <c r="G23" i="1"/>
  <c r="G25" i="1" s="1"/>
  <c r="G27" i="1"/>
  <c r="AK27" i="1"/>
  <c r="AK23" i="1"/>
  <c r="AK25" i="1" s="1"/>
  <c r="AJ27" i="1"/>
  <c r="AJ23" i="1"/>
  <c r="AJ25" i="1" s="1"/>
  <c r="S27" i="1"/>
  <c r="S23" i="1"/>
  <c r="S25" i="1" s="1"/>
  <c r="U23" i="1"/>
  <c r="U25" i="1" s="1"/>
  <c r="U27" i="1"/>
</calcChain>
</file>

<file path=xl/comments1.xml><?xml version="1.0" encoding="utf-8"?>
<comments xmlns="http://schemas.openxmlformats.org/spreadsheetml/2006/main">
  <authors>
    <author>Mike Hoopes</author>
  </authors>
  <commentList>
    <comment ref="X15" authorId="0" guid="{00B350B3-3C3E-4164-B483-FCD7A272C327}">
      <text>
        <r>
          <rPr>
            <b/>
            <sz val="9"/>
            <color indexed="81"/>
            <rFont val="Tahoma"/>
            <charset val="1"/>
          </rPr>
          <t>Mike Hoopes:</t>
        </r>
        <r>
          <rPr>
            <sz val="9"/>
            <color indexed="81"/>
            <rFont val="Tahoma"/>
            <charset val="1"/>
          </rPr>
          <t xml:space="preserve">
30 mA on sch.</t>
        </r>
      </text>
    </comment>
  </commentList>
</comments>
</file>

<file path=xl/comments2.xml><?xml version="1.0" encoding="utf-8"?>
<comments xmlns="http://schemas.openxmlformats.org/spreadsheetml/2006/main">
  <authors>
    <author>Mike Hoopes</author>
  </authors>
  <commentList>
    <comment ref="B2" authorId="0" guid="{127612EF-2A21-4C17-A7B0-4505161E4A6A}">
      <text>
        <r>
          <rPr>
            <b/>
            <sz val="9"/>
            <color indexed="81"/>
            <rFont val="Tahoma"/>
            <charset val="1"/>
          </rPr>
          <t>Mike Hoopes:</t>
        </r>
        <r>
          <rPr>
            <sz val="9"/>
            <color indexed="81"/>
            <rFont val="Tahoma"/>
            <charset val="1"/>
          </rPr>
          <t xml:space="preserve">
78 mA in sch</t>
        </r>
      </text>
    </comment>
  </commentList>
</comments>
</file>

<file path=xl/sharedStrings.xml><?xml version="1.0" encoding="utf-8"?>
<sst xmlns="http://schemas.openxmlformats.org/spreadsheetml/2006/main" count="756" uniqueCount="366">
  <si>
    <t>Supply Rail</t>
  </si>
  <si>
    <t>+12V_mux</t>
  </si>
  <si>
    <t>+8V_ST</t>
  </si>
  <si>
    <t>+8V_vco</t>
  </si>
  <si>
    <t>+8V_A</t>
  </si>
  <si>
    <t>+7.5V</t>
  </si>
  <si>
    <t>+5V_A1-A3</t>
  </si>
  <si>
    <t>+5V_alc</t>
  </si>
  <si>
    <t>+5V_ST</t>
  </si>
  <si>
    <t>+5V_SW</t>
  </si>
  <si>
    <t>+5V_mux</t>
  </si>
  <si>
    <t>+5V_dig</t>
  </si>
  <si>
    <t>+5_VCC</t>
  </si>
  <si>
    <t>+3.3V_ST</t>
  </si>
  <si>
    <t>+3.3V_dig</t>
  </si>
  <si>
    <t>+3.3_vco</t>
  </si>
  <si>
    <t>-5V_A1-A3</t>
  </si>
  <si>
    <t>-5V_mux</t>
  </si>
  <si>
    <t>-5V_SW</t>
  </si>
  <si>
    <t>-10V_alc</t>
  </si>
  <si>
    <t>-12V_SW</t>
  </si>
  <si>
    <t>ALTIUM SHEET REFERENCE</t>
  </si>
  <si>
    <t>A1-A1 Switches new.SchDoc</t>
  </si>
  <si>
    <t>A1-A1 Switches Control Logic.SchDoc</t>
  </si>
  <si>
    <t>A1-A1 Active Bias.SchDoc</t>
  </si>
  <si>
    <t>A1-A1 Gain contol driver.SchDoc</t>
  </si>
  <si>
    <t>A1-A2 Switches new.SchDoc</t>
  </si>
  <si>
    <t>A1-A2 Power.SchDoc</t>
  </si>
  <si>
    <t>A3 to A1 board Connector b.SchDoc</t>
  </si>
  <si>
    <t>Analog Mux.SchDoc</t>
  </si>
  <si>
    <t>200MHz_Comb_Gen_Driver.SchDoc</t>
  </si>
  <si>
    <t>1.2GHz Comb Gen Driver.SchDoc</t>
  </si>
  <si>
    <t>Fast PLL.SchDoc</t>
  </si>
  <si>
    <t>Fast PLL Page 2.SchDoc</t>
  </si>
  <si>
    <t>Modulation.SchDoc</t>
  </si>
  <si>
    <t>Ref Mult.SchDoc</t>
  </si>
  <si>
    <t>STALO_1.SchDoc</t>
  </si>
  <si>
    <t>STALO_2.SchDoc</t>
  </si>
  <si>
    <t>STALO_3.SchDoc</t>
  </si>
  <si>
    <t>Rail Load (mA)</t>
  </si>
  <si>
    <t>SW24</t>
  </si>
  <si>
    <t>+5V_SW:</t>
  </si>
  <si>
    <t>-5V_SW:</t>
  </si>
  <si>
    <t>3uA</t>
  </si>
  <si>
    <t>-12V_SW:</t>
  </si>
  <si>
    <t>+5V_SW Total:</t>
  </si>
  <si>
    <t>-5V_SW Total:</t>
  </si>
  <si>
    <t>-12V_SW Total:</t>
  </si>
  <si>
    <t>U115</t>
  </si>
  <si>
    <t>+5V_VCC:</t>
  </si>
  <si>
    <t>U116</t>
  </si>
  <si>
    <t>-3.3_vco:</t>
  </si>
  <si>
    <t>23.18mA</t>
  </si>
  <si>
    <t>U117</t>
  </si>
  <si>
    <t>23.1mA</t>
  </si>
  <si>
    <t>U36</t>
  </si>
  <si>
    <t>+5V_ST:</t>
  </si>
  <si>
    <t>1mA</t>
  </si>
  <si>
    <t>U26</t>
  </si>
  <si>
    <t>U51</t>
  </si>
  <si>
    <t>20uA</t>
  </si>
  <si>
    <t>U29</t>
  </si>
  <si>
    <t>U27</t>
  </si>
  <si>
    <t>U30</t>
  </si>
  <si>
    <t>40uA</t>
  </si>
  <si>
    <t>+5V_ST Total:</t>
  </si>
  <si>
    <t>+5V_VCC Total:</t>
  </si>
  <si>
    <t>-3.3_vco Total:</t>
  </si>
  <si>
    <t>46.28mA</t>
  </si>
  <si>
    <t>U95</t>
  </si>
  <si>
    <t>+8V_A:</t>
  </si>
  <si>
    <t>79mA</t>
  </si>
  <si>
    <t>U97</t>
  </si>
  <si>
    <t>40mA</t>
  </si>
  <si>
    <t>U103</t>
  </si>
  <si>
    <t>U90</t>
  </si>
  <si>
    <t>88mA</t>
  </si>
  <si>
    <t>U123</t>
  </si>
  <si>
    <t>U96</t>
  </si>
  <si>
    <t>U98</t>
  </si>
  <si>
    <t>U124</t>
  </si>
  <si>
    <t>U122</t>
  </si>
  <si>
    <t>U99</t>
  </si>
  <si>
    <t>U110</t>
  </si>
  <si>
    <t>10uA</t>
  </si>
  <si>
    <t>+8V_A Total:</t>
  </si>
  <si>
    <t>158mA</t>
  </si>
  <si>
    <t>569.01mA</t>
  </si>
  <si>
    <t>U120</t>
  </si>
  <si>
    <t>+8V_B</t>
  </si>
  <si>
    <t>+8V_B:</t>
  </si>
  <si>
    <t>U70</t>
  </si>
  <si>
    <t>150mA</t>
  </si>
  <si>
    <t>U66</t>
  </si>
  <si>
    <t>+8V_B Total:</t>
  </si>
  <si>
    <t>176mA</t>
  </si>
  <si>
    <t>U169</t>
  </si>
  <si>
    <t>+12V_b:</t>
  </si>
  <si>
    <t>U82</t>
  </si>
  <si>
    <t>+3.3V_ST:</t>
  </si>
  <si>
    <t>250mA</t>
  </si>
  <si>
    <t>U17</t>
  </si>
  <si>
    <t>400uA</t>
  </si>
  <si>
    <t>U15</t>
  </si>
  <si>
    <t>U31</t>
  </si>
  <si>
    <t>+8V_ST:</t>
  </si>
  <si>
    <t>U33</t>
  </si>
  <si>
    <t>+12V_b Total:</t>
  </si>
  <si>
    <t>+3.3V_ST Total:</t>
  </si>
  <si>
    <t>0.8mA</t>
  </si>
  <si>
    <t>+8V_ST Total:</t>
  </si>
  <si>
    <t>U119</t>
  </si>
  <si>
    <t>+8V_vco:</t>
  </si>
  <si>
    <t>U86</t>
  </si>
  <si>
    <t>U75</t>
  </si>
  <si>
    <t>102mA</t>
  </si>
  <si>
    <t>U41</t>
  </si>
  <si>
    <t>+3.3V_vco:</t>
  </si>
  <si>
    <t>U44</t>
  </si>
  <si>
    <t>-7V_VCO:</t>
  </si>
  <si>
    <t>U46</t>
  </si>
  <si>
    <t>52mA</t>
  </si>
  <si>
    <t>+12V_VCO:</t>
  </si>
  <si>
    <t>10.68mA</t>
  </si>
  <si>
    <t>U74</t>
  </si>
  <si>
    <t>+15V_VCO:</t>
  </si>
  <si>
    <t>U167</t>
  </si>
  <si>
    <t>2.2mA</t>
  </si>
  <si>
    <t>Q3</t>
  </si>
  <si>
    <t>+6V_vco:</t>
  </si>
  <si>
    <t>57mA</t>
  </si>
  <si>
    <t>U87</t>
  </si>
  <si>
    <t>340mA</t>
  </si>
  <si>
    <t>SW1</t>
  </si>
  <si>
    <t>-5V_VCO:</t>
  </si>
  <si>
    <t>5uA</t>
  </si>
  <si>
    <t xml:space="preserve"> </t>
  </si>
  <si>
    <t>+3.3V_vco</t>
  </si>
  <si>
    <t>U79</t>
  </si>
  <si>
    <t>+3.3V_dig:</t>
  </si>
  <si>
    <t>70mA</t>
  </si>
  <si>
    <t>U49</t>
  </si>
  <si>
    <t>+5V_dig:</t>
  </si>
  <si>
    <t>U80</t>
  </si>
  <si>
    <t>U125</t>
  </si>
  <si>
    <t>+2.5V_Dig</t>
  </si>
  <si>
    <t>+2.5V_Dig:</t>
  </si>
  <si>
    <t>U42</t>
  </si>
  <si>
    <t>U127</t>
  </si>
  <si>
    <t>15uA</t>
  </si>
  <si>
    <t>U81</t>
  </si>
  <si>
    <t>U129</t>
  </si>
  <si>
    <t>U48</t>
  </si>
  <si>
    <t>U128</t>
  </si>
  <si>
    <t>U132</t>
  </si>
  <si>
    <t>U32</t>
  </si>
  <si>
    <t>U40</t>
  </si>
  <si>
    <t>17mA</t>
  </si>
  <si>
    <t>+3.3V_dig Total:</t>
  </si>
  <si>
    <t>210.033mA</t>
  </si>
  <si>
    <t>+5V_dig Total:</t>
  </si>
  <si>
    <t>17.126mA</t>
  </si>
  <si>
    <t>+2.5V_Dig Total:</t>
  </si>
  <si>
    <t>U38</t>
  </si>
  <si>
    <t>+6V_FETs:</t>
  </si>
  <si>
    <t>124mA</t>
  </si>
  <si>
    <t>U64</t>
  </si>
  <si>
    <t>U78</t>
  </si>
  <si>
    <t>436mA</t>
  </si>
  <si>
    <t>U77</t>
  </si>
  <si>
    <t>T1</t>
  </si>
  <si>
    <t>+5V_A1-A1:</t>
  </si>
  <si>
    <t>65mA</t>
  </si>
  <si>
    <t>T38</t>
  </si>
  <si>
    <t>66mA</t>
  </si>
  <si>
    <t>T44</t>
  </si>
  <si>
    <t>+3V_A1-A1:</t>
  </si>
  <si>
    <t>T43</t>
  </si>
  <si>
    <t>T53</t>
  </si>
  <si>
    <t>T54</t>
  </si>
  <si>
    <t>T55</t>
  </si>
  <si>
    <t>T84</t>
  </si>
  <si>
    <t>155mA</t>
  </si>
  <si>
    <t>T79</t>
  </si>
  <si>
    <t>120mA</t>
  </si>
  <si>
    <t>T72</t>
  </si>
  <si>
    <t>45mA</t>
  </si>
  <si>
    <t>+6V_FETs Total:</t>
  </si>
  <si>
    <t>+5V_A1-A1 Total:</t>
  </si>
  <si>
    <t>+3V_A1-A1 Total:</t>
  </si>
  <si>
    <t>130mA</t>
  </si>
  <si>
    <t>U62</t>
  </si>
  <si>
    <t>+5V_alc:</t>
  </si>
  <si>
    <t>-10V_alc:</t>
  </si>
  <si>
    <t>12mA</t>
  </si>
  <si>
    <t>U131</t>
  </si>
  <si>
    <t>+5V_alc Total:</t>
  </si>
  <si>
    <t>-10V_alc Total:</t>
  </si>
  <si>
    <t>24mA</t>
  </si>
  <si>
    <t>U45</t>
  </si>
  <si>
    <t>48uA</t>
  </si>
  <si>
    <t>U28</t>
  </si>
  <si>
    <t>0.24mA</t>
  </si>
  <si>
    <t>U52</t>
  </si>
  <si>
    <t>90uA</t>
  </si>
  <si>
    <t>U53</t>
  </si>
  <si>
    <t>50uA</t>
  </si>
  <si>
    <t>U59</t>
  </si>
  <si>
    <t>0.52mA</t>
  </si>
  <si>
    <t>U54</t>
  </si>
  <si>
    <t>46uA</t>
  </si>
  <si>
    <t>U55</t>
  </si>
  <si>
    <t>0.28mA</t>
  </si>
  <si>
    <t>U63</t>
  </si>
  <si>
    <t>1.364mA</t>
  </si>
  <si>
    <t>U37</t>
  </si>
  <si>
    <t>U39</t>
  </si>
  <si>
    <t>U50</t>
  </si>
  <si>
    <t>93uA</t>
  </si>
  <si>
    <t>U43</t>
  </si>
  <si>
    <t>86uA</t>
  </si>
  <si>
    <t>U47</t>
  </si>
  <si>
    <t>SW15</t>
  </si>
  <si>
    <t>40mA+10uA</t>
  </si>
  <si>
    <t>40mA+5uA</t>
  </si>
  <si>
    <t>SW16</t>
  </si>
  <si>
    <t>SW17</t>
  </si>
  <si>
    <t>* For SW15, SW16, SW17, +5V_SW is always on, -12_SW is on only one at a time.</t>
  </si>
  <si>
    <t>SW18</t>
  </si>
  <si>
    <t>SW19</t>
  </si>
  <si>
    <t>SW20</t>
  </si>
  <si>
    <t>* For SW18, SW19, SW20, +5V_SW is always on, -12_SW is on only one at a time.</t>
  </si>
  <si>
    <t>SW23+SW21</t>
  </si>
  <si>
    <t>40mA+20uA</t>
  </si>
  <si>
    <t>280.779mA</t>
  </si>
  <si>
    <t>120.04mA</t>
  </si>
  <si>
    <t>T103</t>
  </si>
  <si>
    <t>+12V_A1-A2:</t>
  </si>
  <si>
    <t>700mA</t>
  </si>
  <si>
    <t>T101+T102</t>
  </si>
  <si>
    <t>+8V_A1-A2:</t>
  </si>
  <si>
    <t>T100</t>
  </si>
  <si>
    <t>+5V_A1-A2:</t>
  </si>
  <si>
    <t>+12V_A1-A2 Total:</t>
  </si>
  <si>
    <t>+8V_A1-A2 Total:</t>
  </si>
  <si>
    <t>+5V_A1-A2 Total:</t>
  </si>
  <si>
    <t>J6</t>
  </si>
  <si>
    <t>+5V_A1-A3:</t>
  </si>
  <si>
    <t>430mA</t>
  </si>
  <si>
    <t>-5V_A1-A3:</t>
  </si>
  <si>
    <t>U60</t>
  </si>
  <si>
    <t>6mA</t>
  </si>
  <si>
    <t>+5V_mux:</t>
  </si>
  <si>
    <t>U65</t>
  </si>
  <si>
    <t>300uA</t>
  </si>
  <si>
    <t>SW2</t>
  </si>
  <si>
    <t>-5V_mux:</t>
  </si>
  <si>
    <t>U58</t>
  </si>
  <si>
    <t>U56</t>
  </si>
  <si>
    <t>+3.3V_mux:</t>
  </si>
  <si>
    <t>+5V_A1-A3 Total:</t>
  </si>
  <si>
    <t>-5V_A1-A3 Total:</t>
  </si>
  <si>
    <t>+5V_mux Total:</t>
  </si>
  <si>
    <t>17.705mA</t>
  </si>
  <si>
    <t>-5V_mux Total:</t>
  </si>
  <si>
    <t>+12V_mux Total:</t>
  </si>
  <si>
    <t>+12V_mux:</t>
  </si>
  <si>
    <t>+3.3V_mux Total:</t>
  </si>
  <si>
    <t>+12V_SRD:</t>
  </si>
  <si>
    <t>U34</t>
  </si>
  <si>
    <t>+7.5V:</t>
  </si>
  <si>
    <t>SW3+SW4+SW5</t>
  </si>
  <si>
    <t>100mA+30uA</t>
  </si>
  <si>
    <t>20mA+15uA</t>
  </si>
  <si>
    <t>20mA+5uA</t>
  </si>
  <si>
    <t>SW6+SW7+SW8</t>
  </si>
  <si>
    <t>SW9+SW13+SW12+SW14+SW11+SW10+SW22</t>
  </si>
  <si>
    <t>140mA+70uA</t>
  </si>
  <si>
    <t>140mA+35uA</t>
  </si>
  <si>
    <t>380.14mA</t>
  </si>
  <si>
    <t>40.03mA</t>
  </si>
  <si>
    <t>160.04mA</t>
  </si>
  <si>
    <t>0.039mA</t>
  </si>
  <si>
    <t>U84</t>
  </si>
  <si>
    <t>-10V:</t>
  </si>
  <si>
    <t>-10V Total:</t>
  </si>
  <si>
    <t>12.43mA</t>
  </si>
  <si>
    <t>+8V_vco Total:</t>
  </si>
  <si>
    <t>+12V_VCO Total:</t>
  </si>
  <si>
    <t>+3.3V_vco Total:</t>
  </si>
  <si>
    <t>-7V_VCO Total:</t>
  </si>
  <si>
    <t>+15V_VCO Total:</t>
  </si>
  <si>
    <t>+6V_vco Total:</t>
  </si>
  <si>
    <t>-3.3V_vco Total:</t>
  </si>
  <si>
    <t>40.005mA</t>
  </si>
  <si>
    <t>252.005mA</t>
  </si>
  <si>
    <t>-5V_VCO Total:</t>
  </si>
  <si>
    <t>39mA</t>
  </si>
  <si>
    <t>100mA</t>
  </si>
  <si>
    <t>50mA</t>
  </si>
  <si>
    <t>U133</t>
  </si>
  <si>
    <t>U2</t>
  </si>
  <si>
    <t>78mA</t>
  </si>
  <si>
    <t>U11</t>
  </si>
  <si>
    <t>36mA</t>
  </si>
  <si>
    <t>U3</t>
  </si>
  <si>
    <t>150uA</t>
  </si>
  <si>
    <t>U14</t>
  </si>
  <si>
    <t>0.4mA</t>
  </si>
  <si>
    <t>U16</t>
  </si>
  <si>
    <t>192mA</t>
  </si>
  <si>
    <t>0.95mA</t>
  </si>
  <si>
    <t>100uA</t>
  </si>
  <si>
    <t>64uA</t>
  </si>
  <si>
    <t>1.464mA</t>
  </si>
  <si>
    <t>68mA</t>
  </si>
  <si>
    <t>114mA</t>
  </si>
  <si>
    <t>+5V_A1-A1</t>
  </si>
  <si>
    <t>+3V_A1-A1</t>
  </si>
  <si>
    <t>+12V_A1-A2</t>
  </si>
  <si>
    <t>+8V_A1-A2</t>
  </si>
  <si>
    <t>+5V_A1-A2</t>
  </si>
  <si>
    <t>-10V</t>
  </si>
  <si>
    <t>+3.3V_mux</t>
  </si>
  <si>
    <t>+12V_SRD</t>
  </si>
  <si>
    <t>+12V_b</t>
  </si>
  <si>
    <t>+6V_vco</t>
  </si>
  <si>
    <t>75mA</t>
  </si>
  <si>
    <t>-5V_VCO</t>
  </si>
  <si>
    <t>117.2mA</t>
  </si>
  <si>
    <t>-7V_VCO</t>
  </si>
  <si>
    <t>23.11mA</t>
  </si>
  <si>
    <t>+12V_VCO</t>
  </si>
  <si>
    <t>+15_VCO</t>
  </si>
  <si>
    <t>+6V_FETs</t>
  </si>
  <si>
    <t>58.04mA</t>
  </si>
  <si>
    <t>-3.3V_vco</t>
  </si>
  <si>
    <t>2.52mA</t>
  </si>
  <si>
    <t>Ref Des</t>
  </si>
  <si>
    <t>-12_SW</t>
  </si>
  <si>
    <t>SW3</t>
  </si>
  <si>
    <t>SW4</t>
  </si>
  <si>
    <t>SW5</t>
  </si>
  <si>
    <t>SW6</t>
  </si>
  <si>
    <t>SW7</t>
  </si>
  <si>
    <t>SW8</t>
  </si>
  <si>
    <t>SW9</t>
  </si>
  <si>
    <t>SW12</t>
  </si>
  <si>
    <t>SW13</t>
  </si>
  <si>
    <t>SW14</t>
  </si>
  <si>
    <t>SW10</t>
  </si>
  <si>
    <t>SW11</t>
  </si>
  <si>
    <t>SW22</t>
  </si>
  <si>
    <t>570mA</t>
  </si>
  <si>
    <t>520mA</t>
  </si>
  <si>
    <t>0mA</t>
  </si>
  <si>
    <t>Rail Power (mW)</t>
  </si>
  <si>
    <t>50% Derated Power Resistor (W)</t>
  </si>
  <si>
    <t>Resistance (Ohms)</t>
  </si>
  <si>
    <t>Total:</t>
  </si>
  <si>
    <t>1650mA</t>
  </si>
  <si>
    <t>581mA</t>
  </si>
  <si>
    <t>mA</t>
  </si>
  <si>
    <t>+5V_VCC</t>
  </si>
  <si>
    <t>+15V_VCO</t>
  </si>
  <si>
    <t>-3.3_vco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</si>
</sst>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</fills>
  <borders count="4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31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/>
    <xf numFmtId="2" fontId="0" fillId="0" borderId="2" xfId="0" applyNumberFormat="1" applyBorder="1" applyAlignment="1">
      <alignment horizontal="right" vertical="center" indent="2"/>
    </xf>
    <xf numFmtId="2" fontId="0" fillId="0" borderId="5" xfId="0" applyNumberFormat="1" applyBorder="1" applyAlignment="1">
      <alignment horizontal="right" vertical="center" indent="2"/>
    </xf>
    <xf numFmtId="2" fontId="0" fillId="0" borderId="0" xfId="0" applyNumberFormat="1" applyAlignment="1">
      <alignment horizontal="right" vertical="center" indent="3"/>
    </xf>
    <xf numFmtId="0" fontId="0" fillId="0" borderId="0" xfId="0" applyAlignment="1">
      <alignment horizontal="right" vertical="center" indent="3"/>
    </xf>
    <xf numFmtId="49" fontId="0" fillId="0" borderId="0" xfId="0" applyNumberFormat="1"/>
    <xf numFmtId="49" fontId="0" fillId="0" borderId="8" xfId="0" applyNumberFormat="1" applyBorder="1"/>
    <xf numFmtId="49" fontId="0" fillId="0" borderId="11" xfId="0" applyNumberFormat="1" applyBorder="1"/>
    <xf numFmtId="49" fontId="0" fillId="0" borderId="14" xfId="0" applyNumberFormat="1" applyBorder="1"/>
    <xf numFmtId="0" fontId="0" fillId="0" borderId="18" xfId="0" applyBorder="1"/>
    <xf numFmtId="0" fontId="0" fillId="0" borderId="8" xfId="0" applyBorder="1"/>
    <xf numFmtId="0" fontId="0" fillId="0" borderId="14" xfId="0" applyBorder="1"/>
    <xf numFmtId="49" fontId="0" fillId="0" borderId="0" xfId="0" applyNumberFormat="1" applyFill="1"/>
    <xf numFmtId="0" fontId="0" fillId="0" borderId="0" xfId="0" applyFill="1"/>
    <xf numFmtId="0" fontId="0" fillId="0" borderId="11" xfId="0" applyBorder="1"/>
    <xf numFmtId="0" fontId="0" fillId="0" borderId="0" xfId="0" applyFont="1"/>
    <xf numFmtId="0" fontId="2" fillId="0" borderId="0" xfId="0" applyFont="1" applyFill="1"/>
    <xf numFmtId="2" fontId="0" fillId="0" borderId="3" xfId="0" applyNumberFormat="1" applyFill="1" applyBorder="1" applyAlignment="1">
      <alignment horizontal="right" vertical="center" indent="2"/>
    </xf>
    <xf numFmtId="2" fontId="3" fillId="0" borderId="3" xfId="0" applyNumberFormat="1" applyFont="1" applyFill="1" applyBorder="1" applyAlignment="1">
      <alignment horizontal="right" vertical="center" indent="2"/>
    </xf>
    <xf numFmtId="0" fontId="0" fillId="0" borderId="3" xfId="0" applyBorder="1"/>
    <xf numFmtId="2" fontId="0" fillId="0" borderId="22" xfId="0" applyNumberFormat="1" applyBorder="1" applyAlignment="1">
      <alignment horizontal="right" vertical="center" indent="2"/>
    </xf>
    <xf numFmtId="2" fontId="0" fillId="0" borderId="24" xfId="0" applyNumberFormat="1" applyBorder="1" applyAlignment="1">
      <alignment horizontal="right" vertical="center" indent="2"/>
    </xf>
    <xf numFmtId="2" fontId="3" fillId="0" borderId="5" xfId="0" applyNumberFormat="1" applyFont="1" applyBorder="1" applyAlignment="1">
      <alignment horizontal="right" vertical="center" indent="2"/>
    </xf>
    <xf numFmtId="49" fontId="0" fillId="0" borderId="14" xfId="0" applyNumberFormat="1" applyFill="1" applyBorder="1"/>
    <xf numFmtId="49" fontId="0" fillId="0" borderId="11" xfId="0" applyNumberFormat="1" applyFill="1" applyBorder="1"/>
    <xf numFmtId="2" fontId="0" fillId="0" borderId="23" xfId="0" applyNumberFormat="1" applyFill="1" applyBorder="1" applyAlignment="1">
      <alignment horizontal="right" vertical="center" indent="2"/>
    </xf>
    <xf numFmtId="0" fontId="0" fillId="0" borderId="3" xfId="0" applyFill="1" applyBorder="1"/>
    <xf numFmtId="0" fontId="3" fillId="0" borderId="3" xfId="0" applyFont="1" applyFill="1" applyBorder="1" applyAlignment="1">
      <alignment horizontal="center"/>
    </xf>
    <xf numFmtId="2" fontId="5" fillId="0" borderId="3" xfId="0" applyNumberFormat="1" applyFont="1" applyFill="1" applyBorder="1" applyAlignment="1">
      <alignment horizontal="right" vertical="center" indent="2"/>
    </xf>
    <xf numFmtId="0" fontId="0" fillId="0" borderId="0" xfId="0" applyFill="1" applyAlignment="1">
      <alignment horizontal="center" vertical="center"/>
    </xf>
    <xf numFmtId="2" fontId="0" fillId="0" borderId="4" xfId="0" applyNumberFormat="1" applyFill="1" applyBorder="1" applyAlignment="1">
      <alignment horizontal="right" vertical="center" indent="2"/>
    </xf>
    <xf numFmtId="2" fontId="3" fillId="0" borderId="4" xfId="0" applyNumberFormat="1" applyFont="1" applyFill="1" applyBorder="1" applyAlignment="1">
      <alignment horizontal="right" vertical="center" indent="2"/>
    </xf>
    <xf numFmtId="2" fontId="0" fillId="0" borderId="20" xfId="0" applyNumberFormat="1" applyFill="1" applyBorder="1" applyAlignment="1">
      <alignment horizontal="right" vertical="center" indent="2"/>
    </xf>
    <xf numFmtId="0" fontId="0" fillId="0" borderId="4" xfId="0" applyFill="1" applyBorder="1"/>
    <xf numFmtId="0" fontId="0" fillId="0" borderId="0" xfId="0" applyFill="1" applyAlignment="1">
      <alignment horizontal="right" vertical="center" indent="3"/>
    </xf>
    <xf numFmtId="0" fontId="1" fillId="0" borderId="0" xfId="0" applyFont="1" applyFill="1" applyAlignment="1">
      <alignment horizontal="center" vertical="center"/>
    </xf>
    <xf numFmtId="0" fontId="4" fillId="0" borderId="1" xfId="0" quotePrefix="1" applyFont="1" applyFill="1" applyBorder="1" applyAlignment="1">
      <alignment horizontal="center" vertical="center"/>
    </xf>
    <xf numFmtId="0" fontId="1" fillId="0" borderId="1" xfId="0" quotePrefix="1" applyFont="1" applyFill="1" applyBorder="1" applyAlignment="1">
      <alignment horizontal="center" vertical="center"/>
    </xf>
    <xf numFmtId="0" fontId="1" fillId="0" borderId="21" xfId="0" quotePrefix="1" applyFont="1" applyFill="1" applyBorder="1" applyAlignment="1">
      <alignment horizontal="center" vertical="center"/>
    </xf>
    <xf numFmtId="0" fontId="4" fillId="0" borderId="19" xfId="0" quotePrefix="1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right" vertical="center"/>
    </xf>
    <xf numFmtId="0" fontId="1" fillId="0" borderId="15" xfId="0" applyFont="1" applyBorder="1" applyAlignment="1">
      <alignment horizontal="right" vertical="center"/>
    </xf>
    <xf numFmtId="0" fontId="1" fillId="3" borderId="1" xfId="0" applyFont="1" applyFill="1" applyBorder="1" applyAlignment="1">
      <alignment horizontal="center" vertical="center"/>
    </xf>
    <xf numFmtId="2" fontId="0" fillId="2" borderId="3" xfId="0" applyNumberFormat="1" applyFill="1" applyBorder="1" applyAlignment="1">
      <alignment horizontal="right" vertical="center" indent="3"/>
    </xf>
    <xf numFmtId="2" fontId="0" fillId="3" borderId="3" xfId="0" applyNumberFormat="1" applyFill="1" applyBorder="1" applyAlignment="1">
      <alignment horizontal="right" vertical="center" indent="3"/>
    </xf>
    <xf numFmtId="2" fontId="0" fillId="2" borderId="5" xfId="0" applyNumberFormat="1" applyFill="1" applyBorder="1" applyAlignment="1">
      <alignment horizontal="right" vertical="center" indent="3"/>
    </xf>
    <xf numFmtId="0" fontId="3" fillId="0" borderId="0" xfId="0" applyFont="1"/>
    <xf numFmtId="2" fontId="0" fillId="2" borderId="25" xfId="0" applyNumberFormat="1" applyFill="1" applyBorder="1" applyAlignment="1">
      <alignment horizontal="right" vertical="center" indent="3"/>
    </xf>
    <xf numFmtId="2" fontId="0" fillId="0" borderId="25" xfId="0" applyNumberFormat="1" applyBorder="1" applyAlignment="1">
      <alignment horizontal="right" vertical="center" indent="2"/>
    </xf>
    <xf numFmtId="2" fontId="3" fillId="0" borderId="25" xfId="0" applyNumberFormat="1" applyFont="1" applyBorder="1" applyAlignment="1">
      <alignment horizontal="right" vertical="center" indent="2"/>
    </xf>
    <xf numFmtId="2" fontId="0" fillId="0" borderId="15" xfId="0" applyNumberFormat="1" applyBorder="1" applyAlignment="1">
      <alignment horizontal="right" vertical="center" indent="2"/>
    </xf>
    <xf numFmtId="2" fontId="0" fillId="0" borderId="25" xfId="0" applyNumberFormat="1" applyBorder="1" applyAlignment="1">
      <alignment horizontal="right" vertical="center" indent="3"/>
    </xf>
    <xf numFmtId="0" fontId="6" fillId="0" borderId="25" xfId="0" applyFont="1" applyBorder="1" applyAlignment="1">
      <alignment horizontal="right"/>
    </xf>
    <xf numFmtId="11" fontId="0" fillId="0" borderId="25" xfId="0" applyNumberFormat="1" applyBorder="1" applyAlignment="1">
      <alignment horizontal="right" vertical="center" indent="3"/>
    </xf>
    <xf numFmtId="0" fontId="0" fillId="0" borderId="0" xfId="0" applyNumberFormat="1"/>
    <xf numFmtId="49" fontId="0" fillId="0" borderId="26" xfId="0" applyNumberFormat="1" applyBorder="1"/>
    <xf numFmtId="2" fontId="0" fillId="0" borderId="28" xfId="0" applyNumberFormat="1" applyBorder="1"/>
    <xf numFmtId="2" fontId="0" fillId="0" borderId="26" xfId="0" applyNumberFormat="1" applyBorder="1"/>
    <xf numFmtId="2" fontId="0" fillId="0" borderId="30" xfId="0" applyNumberFormat="1" applyBorder="1"/>
    <xf numFmtId="49" fontId="0" fillId="0" borderId="33" xfId="0" applyNumberFormat="1" applyBorder="1"/>
    <xf numFmtId="2" fontId="0" fillId="0" borderId="34" xfId="0" applyNumberFormat="1" applyBorder="1"/>
    <xf numFmtId="2" fontId="0" fillId="0" borderId="33" xfId="0" applyNumberFormat="1" applyBorder="1"/>
    <xf numFmtId="2" fontId="0" fillId="0" borderId="35" xfId="0" applyNumberFormat="1" applyBorder="1"/>
    <xf numFmtId="49" fontId="0" fillId="4" borderId="25" xfId="0" applyNumberFormat="1" applyFill="1" applyBorder="1"/>
    <xf numFmtId="49" fontId="0" fillId="4" borderId="36" xfId="0" quotePrefix="1" applyNumberFormat="1" applyFill="1" applyBorder="1"/>
    <xf numFmtId="49" fontId="0" fillId="4" borderId="25" xfId="0" quotePrefix="1" applyNumberFormat="1" applyFill="1" applyBorder="1"/>
    <xf numFmtId="49" fontId="0" fillId="4" borderId="37" xfId="0" quotePrefix="1" applyNumberFormat="1" applyFill="1" applyBorder="1"/>
    <xf numFmtId="49" fontId="0" fillId="4" borderId="27" xfId="0" applyNumberFormat="1" applyFill="1" applyBorder="1"/>
    <xf numFmtId="2" fontId="0" fillId="4" borderId="31" xfId="0" applyNumberFormat="1" applyFill="1" applyBorder="1"/>
    <xf numFmtId="2" fontId="0" fillId="4" borderId="27" xfId="0" applyNumberFormat="1" applyFill="1" applyBorder="1"/>
    <xf numFmtId="2" fontId="0" fillId="4" borderId="32" xfId="0" applyNumberFormat="1" applyFill="1" applyBorder="1"/>
    <xf numFmtId="0" fontId="0" fillId="0" borderId="39" xfId="0" applyBorder="1"/>
    <xf numFmtId="0" fontId="0" fillId="0" borderId="26" xfId="0" applyBorder="1"/>
    <xf numFmtId="0" fontId="0" fillId="4" borderId="38" xfId="0" applyFill="1" applyBorder="1"/>
    <xf numFmtId="49" fontId="0" fillId="4" borderId="19" xfId="0" applyNumberFormat="1" applyFill="1" applyBorder="1"/>
    <xf numFmtId="0" fontId="0" fillId="4" borderId="40" xfId="0" applyFill="1" applyBorder="1"/>
    <xf numFmtId="0" fontId="0" fillId="4" borderId="27" xfId="0" applyFill="1" applyBorder="1"/>
    <xf numFmtId="0" fontId="0" fillId="0" borderId="30" xfId="0" applyBorder="1"/>
    <xf numFmtId="0" fontId="0" fillId="0" borderId="41" xfId="0" applyBorder="1"/>
    <xf numFmtId="0" fontId="0" fillId="0" borderId="33" xfId="0" applyBorder="1"/>
    <xf numFmtId="0" fontId="0" fillId="0" borderId="35" xfId="0" applyBorder="1"/>
    <xf numFmtId="0" fontId="0" fillId="0" borderId="22" xfId="0" applyBorder="1"/>
    <xf numFmtId="0" fontId="0" fillId="0" borderId="2" xfId="0" applyBorder="1"/>
    <xf numFmtId="0" fontId="0" fillId="0" borderId="42" xfId="0" applyBorder="1"/>
    <xf numFmtId="0" fontId="0" fillId="4" borderId="15" xfId="0" applyFill="1" applyBorder="1"/>
    <xf numFmtId="0" fontId="0" fillId="4" borderId="25" xfId="0" applyFill="1" applyBorder="1"/>
    <xf numFmtId="0" fontId="0" fillId="4" borderId="37" xfId="0" applyFill="1" applyBorder="1"/>
    <xf numFmtId="49" fontId="0" fillId="0" borderId="39" xfId="0" applyNumberFormat="1" applyBorder="1"/>
    <xf numFmtId="0" fontId="0" fillId="0" borderId="26" xfId="0" applyNumberFormat="1" applyBorder="1"/>
    <xf numFmtId="49" fontId="0" fillId="4" borderId="38" xfId="0" applyNumberFormat="1" applyFill="1" applyBorder="1"/>
    <xf numFmtId="49" fontId="0" fillId="0" borderId="41" xfId="0" applyNumberFormat="1" applyBorder="1"/>
    <xf numFmtId="0" fontId="0" fillId="0" borderId="33" xfId="0" applyNumberFormat="1" applyBorder="1"/>
    <xf numFmtId="49" fontId="0" fillId="4" borderId="15" xfId="0" applyNumberFormat="1" applyFill="1" applyBorder="1"/>
    <xf numFmtId="0" fontId="0" fillId="0" borderId="28" xfId="0" applyNumberFormat="1" applyBorder="1"/>
    <xf numFmtId="0" fontId="0" fillId="0" borderId="30" xfId="0" applyNumberFormat="1" applyBorder="1"/>
    <xf numFmtId="0" fontId="0" fillId="0" borderId="34" xfId="0" applyNumberFormat="1" applyBorder="1"/>
    <xf numFmtId="0" fontId="0" fillId="0" borderId="35" xfId="0" applyNumberFormat="1" applyBorder="1"/>
    <xf numFmtId="49" fontId="0" fillId="0" borderId="22" xfId="0" applyNumberFormat="1" applyBorder="1"/>
    <xf numFmtId="49" fontId="0" fillId="0" borderId="2" xfId="0" applyNumberFormat="1" applyBorder="1"/>
    <xf numFmtId="49" fontId="0" fillId="0" borderId="43" xfId="0" applyNumberFormat="1" applyBorder="1"/>
    <xf numFmtId="0" fontId="0" fillId="0" borderId="2" xfId="0" applyNumberFormat="1" applyBorder="1"/>
    <xf numFmtId="0" fontId="0" fillId="0" borderId="42" xfId="0" applyNumberFormat="1" applyBorder="1"/>
    <xf numFmtId="0" fontId="0" fillId="4" borderId="25" xfId="0" applyNumberFormat="1" applyFill="1" applyBorder="1"/>
    <xf numFmtId="0" fontId="0" fillId="4" borderId="36" xfId="0" applyNumberFormat="1" applyFill="1" applyBorder="1"/>
    <xf numFmtId="0" fontId="0" fillId="4" borderId="37" xfId="0" applyNumberFormat="1" applyFill="1" applyBorder="1"/>
    <xf numFmtId="49" fontId="0" fillId="4" borderId="36" xfId="0" applyNumberFormat="1" applyFill="1" applyBorder="1"/>
    <xf numFmtId="49" fontId="0" fillId="4" borderId="37" xfId="0" applyNumberFormat="1" applyFill="1" applyBorder="1"/>
    <xf numFmtId="0" fontId="0" fillId="0" borderId="43" xfId="0" applyNumberFormat="1" applyBorder="1"/>
    <xf numFmtId="0" fontId="0" fillId="0" borderId="3" xfId="0" applyNumberFormat="1" applyBorder="1"/>
    <xf numFmtId="0" fontId="0" fillId="4" borderId="15" xfId="0" applyNumberFormat="1" applyFill="1" applyBorder="1"/>
    <xf numFmtId="2" fontId="0" fillId="0" borderId="3" xfId="0" applyNumberFormat="1" applyFill="1" applyBorder="1" applyAlignment="1">
      <alignment horizontal="right" vertical="center" indent="3"/>
    </xf>
    <xf numFmtId="49" fontId="0" fillId="4" borderId="29" xfId="0" applyNumberFormat="1" applyFill="1" applyBorder="1"/>
    <xf numFmtId="0" fontId="0" fillId="0" borderId="28" xfId="0" applyBorder="1"/>
    <xf numFmtId="0" fontId="0" fillId="0" borderId="34" xfId="0" applyBorder="1"/>
    <xf numFmtId="0" fontId="0" fillId="0" borderId="43" xfId="0" applyBorder="1"/>
    <xf numFmtId="0" fontId="0" fillId="0" borderId="19" xfId="0" applyBorder="1"/>
    <xf numFmtId="49" fontId="0" fillId="0" borderId="0" xfId="0" applyNumberFormat="1" applyAlignment="1">
      <alignment horizontal="center"/>
    </xf>
    <xf numFmtId="49" fontId="0" fillId="0" borderId="6" xfId="0" applyNumberFormat="1" applyBorder="1" applyAlignment="1">
      <alignment horizontal="center"/>
    </xf>
    <xf numFmtId="49" fontId="0" fillId="0" borderId="7" xfId="0" applyNumberFormat="1" applyBorder="1" applyAlignment="1">
      <alignment horizontal="center"/>
    </xf>
    <xf numFmtId="49" fontId="0" fillId="0" borderId="9" xfId="0" applyNumberFormat="1" applyBorder="1" applyAlignment="1">
      <alignment horizontal="center"/>
    </xf>
    <xf numFmtId="49" fontId="0" fillId="0" borderId="10" xfId="0" applyNumberFormat="1" applyBorder="1" applyAlignment="1">
      <alignment horizontal="center"/>
    </xf>
    <xf numFmtId="49" fontId="0" fillId="0" borderId="12" xfId="0" applyNumberFormat="1" applyBorder="1" applyAlignment="1">
      <alignment horizontal="center"/>
    </xf>
    <xf numFmtId="49" fontId="0" fillId="0" borderId="13" xfId="0" applyNumberFormat="1" applyBorder="1" applyAlignment="1">
      <alignment horizontal="center"/>
    </xf>
    <xf numFmtId="49" fontId="0" fillId="0" borderId="16" xfId="0" applyNumberFormat="1" applyBorder="1" applyAlignment="1">
      <alignment horizontal="center"/>
    </xf>
    <xf numFmtId="49" fontId="0" fillId="0" borderId="17" xfId="0" applyNumberFormat="1" applyBorder="1" applyAlignment="1">
      <alignment horizontal="center"/>
    </xf>
    <xf numFmtId="49" fontId="0" fillId="0" borderId="9" xfId="0" applyNumberFormat="1" applyFill="1" applyBorder="1" applyAlignment="1">
      <alignment horizontal="center"/>
    </xf>
    <xf numFmtId="49" fontId="0" fillId="0" borderId="10" xfId="0" applyNumberFormat="1" applyFill="1" applyBorder="1" applyAlignment="1">
      <alignment horizontal="center"/>
    </xf>
    <xf numFmtId="49" fontId="0" fillId="0" borderId="12" xfId="0" applyNumberFormat="1" applyFill="1" applyBorder="1" applyAlignment="1">
      <alignment horizontal="center"/>
    </xf>
    <xf numFmtId="49" fontId="0" fillId="0" borderId="13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usernames" Target="revisions/userNam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revisionHeaders" Target="revisions/revisionHeaders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revisions/_rels/revisionHeaders.xml.rels><?xml version="1.0" encoding="UTF-8" standalone="yes"?>
<Relationships xmlns="http://schemas.openxmlformats.org/package/2006/relationships"><Relationship Id="rId1" Type="http://schemas.openxmlformats.org/officeDocument/2006/relationships/revisionLog" Target="revisionLog1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BEF755FF-58CF-40A7-8E06-AF38FFDD3B55}">
  <header guid="{BEF755FF-58CF-40A7-8E06-AF38FFDD3B55}" dateTime="2013-09-09T13:36:14" maxSheetId="19" userName="Mike Hoopes" r:id="rId1">
    <sheetIdMap count="18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33"/>
  <sheetViews>
    <sheetView zoomScaleNormal="100" workbookViewId="0">
      <pane xSplit="1" topLeftCell="X1" activePane="topRight" state="frozen"/>
      <selection pane="topRight" activeCell="AB35" sqref="AB35"/>
    </sheetView>
  </sheetViews>
  <sheetFormatPr defaultRowHeight="15" x14ac:dyDescent="0.25"/>
  <cols>
    <col min="1" max="1" width="37" customWidth="1"/>
    <col min="2" max="2" width="2.140625" style="1" customWidth="1"/>
    <col min="3" max="37" width="13.7109375" style="1" customWidth="1"/>
    <col min="38" max="38" width="11.42578125" bestFit="1" customWidth="1"/>
    <col min="39" max="39" width="11.28515625" bestFit="1" customWidth="1"/>
    <col min="40" max="40" width="12.42578125" bestFit="1" customWidth="1"/>
  </cols>
  <sheetData>
    <row r="1" spans="1:40" ht="15.75" thickBot="1" x14ac:dyDescent="0.3"/>
    <row r="2" spans="1:40" s="37" customFormat="1" ht="15.75" thickBot="1" x14ac:dyDescent="0.3">
      <c r="A2" s="42" t="s">
        <v>0</v>
      </c>
      <c r="B2" s="44"/>
      <c r="C2" s="38" t="s">
        <v>333</v>
      </c>
      <c r="D2" s="38" t="s">
        <v>332</v>
      </c>
      <c r="E2" s="38" t="s">
        <v>324</v>
      </c>
      <c r="F2" s="39" t="s">
        <v>1</v>
      </c>
      <c r="G2" s="38" t="s">
        <v>319</v>
      </c>
      <c r="H2" s="39" t="s">
        <v>2</v>
      </c>
      <c r="I2" s="39" t="s">
        <v>3</v>
      </c>
      <c r="J2" s="39" t="s">
        <v>4</v>
      </c>
      <c r="K2" s="38" t="s">
        <v>89</v>
      </c>
      <c r="L2" s="39" t="s">
        <v>320</v>
      </c>
      <c r="M2" s="39" t="s">
        <v>5</v>
      </c>
      <c r="N2" s="38" t="s">
        <v>326</v>
      </c>
      <c r="O2" s="39" t="s">
        <v>334</v>
      </c>
      <c r="P2" s="38" t="s">
        <v>317</v>
      </c>
      <c r="Q2" s="39" t="s">
        <v>321</v>
      </c>
      <c r="R2" s="39" t="s">
        <v>6</v>
      </c>
      <c r="S2" s="39" t="s">
        <v>7</v>
      </c>
      <c r="T2" s="39" t="s">
        <v>8</v>
      </c>
      <c r="U2" s="39" t="s">
        <v>9</v>
      </c>
      <c r="V2" s="39" t="s">
        <v>10</v>
      </c>
      <c r="W2" s="39" t="s">
        <v>11</v>
      </c>
      <c r="X2" s="39" t="s">
        <v>12</v>
      </c>
      <c r="Y2" s="39" t="s">
        <v>13</v>
      </c>
      <c r="Z2" s="39" t="s">
        <v>14</v>
      </c>
      <c r="AA2" s="39" t="s">
        <v>15</v>
      </c>
      <c r="AB2" s="38" t="s">
        <v>318</v>
      </c>
      <c r="AC2" s="39" t="s">
        <v>145</v>
      </c>
      <c r="AD2" s="39" t="s">
        <v>336</v>
      </c>
      <c r="AE2" s="39" t="s">
        <v>16</v>
      </c>
      <c r="AF2" s="39" t="s">
        <v>17</v>
      </c>
      <c r="AG2" s="39" t="s">
        <v>328</v>
      </c>
      <c r="AH2" s="39" t="s">
        <v>18</v>
      </c>
      <c r="AI2" s="38" t="s">
        <v>330</v>
      </c>
      <c r="AJ2" s="39" t="s">
        <v>19</v>
      </c>
      <c r="AK2" s="40" t="s">
        <v>20</v>
      </c>
      <c r="AL2" s="41" t="s">
        <v>322</v>
      </c>
      <c r="AM2" s="41" t="s">
        <v>323</v>
      </c>
      <c r="AN2" s="41" t="s">
        <v>325</v>
      </c>
    </row>
    <row r="3" spans="1:40" x14ac:dyDescent="0.25">
      <c r="A3" s="2" t="s">
        <v>21</v>
      </c>
      <c r="B3" s="45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22"/>
      <c r="AL3" s="21"/>
      <c r="AM3" s="21"/>
      <c r="AN3" s="21"/>
    </row>
    <row r="4" spans="1:40" s="15" customFormat="1" x14ac:dyDescent="0.25">
      <c r="A4" s="18" t="s">
        <v>22</v>
      </c>
      <c r="B4" s="112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>
        <f>'A1-A1 Switches New'!B25</f>
        <v>380.13999999999993</v>
      </c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>
        <v>40.03</v>
      </c>
      <c r="AI4" s="19"/>
      <c r="AJ4" s="19"/>
      <c r="AK4" s="27">
        <v>160.04</v>
      </c>
      <c r="AL4" s="28"/>
      <c r="AM4" s="28"/>
      <c r="AN4" s="28"/>
    </row>
    <row r="5" spans="1:40" s="15" customFormat="1" x14ac:dyDescent="0.25">
      <c r="A5" s="18" t="s">
        <v>23</v>
      </c>
      <c r="B5" s="112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>
        <f>'A1-A1 Switches Control Logic'!B15</f>
        <v>1.3640000000000001</v>
      </c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27"/>
      <c r="AL5" s="28"/>
      <c r="AM5" s="28"/>
      <c r="AN5" s="28"/>
    </row>
    <row r="6" spans="1:40" s="15" customFormat="1" x14ac:dyDescent="0.25">
      <c r="A6" s="18" t="s">
        <v>24</v>
      </c>
      <c r="B6" s="112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20">
        <f>'A1-A1 Active Bias'!$B$30</f>
        <v>1650</v>
      </c>
      <c r="P6" s="20">
        <f>'A1-A1 Active Bias'!$C$30</f>
        <v>581</v>
      </c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>
        <f>'A1-A1 Active Bias'!$D$30</f>
        <v>130</v>
      </c>
      <c r="AC6" s="19"/>
      <c r="AD6" s="19"/>
      <c r="AE6" s="19"/>
      <c r="AF6" s="19"/>
      <c r="AG6" s="19"/>
      <c r="AH6" s="19"/>
      <c r="AI6" s="19"/>
      <c r="AJ6" s="19"/>
      <c r="AK6" s="27"/>
      <c r="AL6" s="28"/>
      <c r="AM6" s="28"/>
      <c r="AN6" s="28"/>
    </row>
    <row r="7" spans="1:40" s="15" customFormat="1" x14ac:dyDescent="0.25">
      <c r="A7" s="18" t="s">
        <v>25</v>
      </c>
      <c r="B7" s="112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>
        <f>'A1-A1 Gain Control Driver'!B11</f>
        <v>24</v>
      </c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>
        <f>'A1-A1 Gain Control Driver'!C11</f>
        <v>24</v>
      </c>
      <c r="AK7" s="27"/>
      <c r="AL7" s="28"/>
      <c r="AM7" s="28"/>
      <c r="AN7" s="28"/>
    </row>
    <row r="8" spans="1:40" s="15" customFormat="1" x14ac:dyDescent="0.25">
      <c r="A8" s="18" t="s">
        <v>26</v>
      </c>
      <c r="B8" s="112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>
        <f>'A1-A2 Switches New'!B29</f>
        <v>24</v>
      </c>
      <c r="T8" s="19"/>
      <c r="U8" s="19">
        <f>'A1-A2 Switches New'!D29</f>
        <v>280.78899999999999</v>
      </c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>
        <f>'A1-A2 Switches New'!C29</f>
        <v>24</v>
      </c>
      <c r="AK8" s="27">
        <f>'A1-A2 Switches New'!E29</f>
        <v>120.03999999999999</v>
      </c>
      <c r="AL8" s="28"/>
      <c r="AM8" s="28"/>
      <c r="AN8" s="28"/>
    </row>
    <row r="9" spans="1:40" s="15" customFormat="1" x14ac:dyDescent="0.25">
      <c r="A9" s="18" t="s">
        <v>27</v>
      </c>
      <c r="B9" s="112"/>
      <c r="C9" s="19"/>
      <c r="D9" s="19"/>
      <c r="E9" s="19"/>
      <c r="F9" s="19"/>
      <c r="G9" s="20">
        <f>'A1-A2 Power'!B12</f>
        <v>700</v>
      </c>
      <c r="H9" s="19"/>
      <c r="I9" s="19"/>
      <c r="J9" s="19"/>
      <c r="K9" s="19"/>
      <c r="L9" s="20">
        <f>'A1-A2 Power'!C12</f>
        <v>700</v>
      </c>
      <c r="M9" s="19"/>
      <c r="N9" s="19"/>
      <c r="O9" s="19"/>
      <c r="P9" s="19"/>
      <c r="Q9" s="19">
        <f>'A1-A2 Power'!D12</f>
        <v>65</v>
      </c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27"/>
      <c r="AL9" s="28"/>
      <c r="AM9" s="28"/>
      <c r="AN9" s="28"/>
    </row>
    <row r="10" spans="1:40" s="15" customFormat="1" x14ac:dyDescent="0.25">
      <c r="A10" s="18" t="s">
        <v>28</v>
      </c>
      <c r="B10" s="112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>
        <f>'A3 to A1 Board Connector b'!C29</f>
        <v>17.126000000000001</v>
      </c>
      <c r="X10" s="19"/>
      <c r="Y10" s="19"/>
      <c r="Z10" s="19">
        <f>'A3 to A1 Board Connector b'!B29</f>
        <v>210.03299999999996</v>
      </c>
      <c r="AA10" s="19"/>
      <c r="AB10" s="19"/>
      <c r="AC10" s="19">
        <f>'A3 to A1 Board Connector b'!D29</f>
        <v>3.9E-2</v>
      </c>
      <c r="AD10" s="19"/>
      <c r="AE10" s="19"/>
      <c r="AF10" s="19"/>
      <c r="AG10" s="19"/>
      <c r="AH10" s="19"/>
      <c r="AI10" s="19"/>
      <c r="AJ10" s="19"/>
      <c r="AK10" s="27"/>
      <c r="AL10" s="29">
        <f>'A3 to A1 Board Connector b'!E29</f>
        <v>2.52</v>
      </c>
      <c r="AM10" s="28"/>
      <c r="AN10" s="28"/>
    </row>
    <row r="11" spans="1:40" s="15" customFormat="1" x14ac:dyDescent="0.25">
      <c r="A11" s="18" t="s">
        <v>29</v>
      </c>
      <c r="B11" s="112"/>
      <c r="C11" s="19"/>
      <c r="D11" s="19"/>
      <c r="E11" s="19"/>
      <c r="F11" s="19">
        <f>'Analog Mux'!E20</f>
        <v>5.0000000000000001E-3</v>
      </c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>
        <f>'Analog Mux'!B20</f>
        <v>436</v>
      </c>
      <c r="S11" s="19"/>
      <c r="T11" s="19"/>
      <c r="U11" s="19"/>
      <c r="V11" s="19">
        <f>'Analog Mux'!D20</f>
        <v>17.704999999999998</v>
      </c>
      <c r="W11" s="19"/>
      <c r="X11" s="19"/>
      <c r="Y11" s="19"/>
      <c r="Z11" s="19"/>
      <c r="AA11" s="19"/>
      <c r="AB11" s="19"/>
      <c r="AC11" s="19"/>
      <c r="AD11" s="19"/>
      <c r="AE11" s="20">
        <f>'Analog Mux'!C20</f>
        <v>50</v>
      </c>
      <c r="AF11" s="19">
        <f>'Analog Mux'!F20</f>
        <v>5.0000000000000001E-3</v>
      </c>
      <c r="AG11" s="19"/>
      <c r="AH11" s="19"/>
      <c r="AI11" s="19"/>
      <c r="AJ11" s="19"/>
      <c r="AK11" s="27"/>
      <c r="AL11" s="28"/>
      <c r="AM11" s="29">
        <f>'Analog Mux'!G20</f>
        <v>100</v>
      </c>
      <c r="AN11" s="28"/>
    </row>
    <row r="12" spans="1:40" s="15" customFormat="1" x14ac:dyDescent="0.25">
      <c r="A12" s="18" t="s">
        <v>30</v>
      </c>
      <c r="B12" s="112"/>
      <c r="C12" s="19"/>
      <c r="D12" s="19"/>
      <c r="E12" s="19">
        <f>'200MHz Comb Gen Driver'!B2</f>
        <v>300</v>
      </c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27"/>
      <c r="AL12" s="28"/>
      <c r="AM12" s="28"/>
      <c r="AN12" s="28"/>
    </row>
    <row r="13" spans="1:40" s="15" customFormat="1" x14ac:dyDescent="0.25">
      <c r="A13" s="18" t="s">
        <v>31</v>
      </c>
      <c r="B13" s="112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20">
        <f>'1.2GHz Comb Gen Driver'!B2</f>
        <v>390</v>
      </c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27"/>
      <c r="AL13" s="28"/>
      <c r="AM13" s="28"/>
      <c r="AN13" s="28"/>
    </row>
    <row r="14" spans="1:40" s="15" customFormat="1" x14ac:dyDescent="0.25">
      <c r="A14" s="18" t="s">
        <v>32</v>
      </c>
      <c r="B14" s="112"/>
      <c r="C14" s="20">
        <f>'Fast PLL'!G37</f>
        <v>40.005000000000003</v>
      </c>
      <c r="D14" s="20">
        <f>'Fast PLL'!D37</f>
        <v>23.11</v>
      </c>
      <c r="E14" s="19"/>
      <c r="F14" s="19"/>
      <c r="G14" s="19"/>
      <c r="H14" s="19"/>
      <c r="I14" s="20">
        <f>'Fast PLL'!B37</f>
        <v>117.2</v>
      </c>
      <c r="J14" s="19"/>
      <c r="K14" s="19"/>
      <c r="L14" s="19"/>
      <c r="M14" s="19"/>
      <c r="N14" s="20">
        <f>'Fast PLL'!H37</f>
        <v>57</v>
      </c>
      <c r="O14" s="19"/>
      <c r="P14" s="19"/>
      <c r="Q14" s="19"/>
      <c r="R14" s="19"/>
      <c r="S14" s="19"/>
      <c r="T14" s="19"/>
      <c r="U14" s="19"/>
      <c r="V14" s="19"/>
      <c r="W14" s="19"/>
      <c r="X14" s="20">
        <f>'Fast PLL'!C37</f>
        <v>252.005</v>
      </c>
      <c r="Y14" s="19"/>
      <c r="Z14" s="19"/>
      <c r="AA14" s="30">
        <f>'Fast PLL'!E37</f>
        <v>58.04</v>
      </c>
      <c r="AB14" s="19"/>
      <c r="AC14" s="19"/>
      <c r="AD14" s="19">
        <f>'Fast PLL'!I37</f>
        <v>340</v>
      </c>
      <c r="AE14" s="19"/>
      <c r="AF14" s="19"/>
      <c r="AG14" s="20">
        <f>'Fast PLL'!J37</f>
        <v>5.0000000000000001E-3</v>
      </c>
      <c r="AH14" s="19"/>
      <c r="AI14" s="19">
        <f>'Fast PLL'!F37</f>
        <v>40</v>
      </c>
      <c r="AJ14" s="19"/>
      <c r="AK14" s="27"/>
      <c r="AL14" s="28"/>
      <c r="AM14" s="28"/>
      <c r="AN14" s="28"/>
    </row>
    <row r="15" spans="1:40" s="15" customFormat="1" x14ac:dyDescent="0.25">
      <c r="A15" s="18" t="s">
        <v>33</v>
      </c>
      <c r="B15" s="112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20">
        <f>'Fast PLL Page 2'!B11</f>
        <v>39</v>
      </c>
      <c r="Y15" s="19"/>
      <c r="Z15" s="19"/>
      <c r="AA15" s="31"/>
      <c r="AB15" s="19"/>
      <c r="AC15" s="19"/>
      <c r="AD15" s="20">
        <f>'Fast PLL Page 2'!C11</f>
        <v>46.28</v>
      </c>
      <c r="AE15" s="19"/>
      <c r="AF15" s="19"/>
      <c r="AG15" s="19"/>
      <c r="AH15" s="19"/>
      <c r="AI15" s="19"/>
      <c r="AJ15" s="19"/>
      <c r="AK15" s="27"/>
      <c r="AL15" s="28"/>
      <c r="AM15" s="28"/>
      <c r="AN15" s="28"/>
    </row>
    <row r="16" spans="1:40" s="15" customFormat="1" x14ac:dyDescent="0.25">
      <c r="A16" s="18" t="s">
        <v>34</v>
      </c>
      <c r="B16" s="112"/>
      <c r="C16" s="19"/>
      <c r="D16" s="19"/>
      <c r="E16" s="19"/>
      <c r="F16" s="19"/>
      <c r="G16" s="19"/>
      <c r="H16" s="19"/>
      <c r="I16" s="19"/>
      <c r="J16" s="20">
        <f>Modulation!B22</f>
        <v>158</v>
      </c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20">
        <f>Modulation!C22</f>
        <v>569.01</v>
      </c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27"/>
      <c r="AL16" s="28"/>
      <c r="AM16" s="28"/>
      <c r="AN16" s="28"/>
    </row>
    <row r="17" spans="1:40" s="15" customFormat="1" x14ac:dyDescent="0.25">
      <c r="A17" s="18" t="s">
        <v>35</v>
      </c>
      <c r="B17" s="112"/>
      <c r="C17" s="19"/>
      <c r="D17" s="19"/>
      <c r="E17" s="19"/>
      <c r="F17" s="19"/>
      <c r="G17" s="19"/>
      <c r="H17" s="19"/>
      <c r="I17" s="19"/>
      <c r="J17" s="19"/>
      <c r="K17" s="20">
        <f>'Ref Mult'!B11</f>
        <v>176</v>
      </c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>
        <f>'Ref Mult'!C11</f>
        <v>150</v>
      </c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27"/>
      <c r="AL17" s="28"/>
      <c r="AM17" s="28"/>
      <c r="AN17" s="28"/>
    </row>
    <row r="18" spans="1:40" s="15" customFormat="1" x14ac:dyDescent="0.25">
      <c r="A18" s="18" t="s">
        <v>36</v>
      </c>
      <c r="B18" s="112"/>
      <c r="C18" s="19"/>
      <c r="D18" s="19"/>
      <c r="E18" s="19"/>
      <c r="F18" s="19"/>
      <c r="G18" s="19"/>
      <c r="H18" s="20">
        <f>Stalo_1!B32</f>
        <v>192</v>
      </c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>
        <f>Stalo_1!C32</f>
        <v>0.95000000000000007</v>
      </c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27"/>
      <c r="AL18" s="28"/>
      <c r="AM18" s="28"/>
      <c r="AN18" s="28"/>
    </row>
    <row r="19" spans="1:40" s="15" customFormat="1" x14ac:dyDescent="0.25">
      <c r="A19" s="18" t="s">
        <v>37</v>
      </c>
      <c r="B19" s="112"/>
      <c r="C19" s="19"/>
      <c r="D19" s="19"/>
      <c r="E19" s="19"/>
      <c r="F19" s="19"/>
      <c r="G19" s="19"/>
      <c r="H19" s="20">
        <f>Stalo_2!E17</f>
        <v>114</v>
      </c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20">
        <f>Stalo_2!D17</f>
        <v>0.8</v>
      </c>
      <c r="U19" s="19"/>
      <c r="V19" s="19"/>
      <c r="W19" s="19"/>
      <c r="X19" s="19"/>
      <c r="Y19" s="20">
        <f>Stalo_2!C17</f>
        <v>250</v>
      </c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27"/>
      <c r="AL19" s="28"/>
      <c r="AM19" s="28"/>
      <c r="AN19" s="29">
        <f>Stalo_2!B17</f>
        <v>68</v>
      </c>
    </row>
    <row r="20" spans="1:40" s="15" customFormat="1" ht="15.75" thickBot="1" x14ac:dyDescent="0.3">
      <c r="A20" s="18" t="s">
        <v>38</v>
      </c>
      <c r="B20" s="46"/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3">
        <f>Stalo_3!B13</f>
        <v>1.4640000000000004</v>
      </c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34"/>
      <c r="AL20" s="35"/>
      <c r="AM20" s="35"/>
      <c r="AN20" s="35"/>
    </row>
    <row r="21" spans="1:40" ht="16.5" thickTop="1" thickBot="1" x14ac:dyDescent="0.3">
      <c r="A21" s="43" t="s">
        <v>39</v>
      </c>
      <c r="B21" s="47"/>
      <c r="C21" s="4">
        <f t="shared" ref="C21:AN21" si="0">SUM(C4:C20)</f>
        <v>40.005000000000003</v>
      </c>
      <c r="D21" s="4">
        <f t="shared" si="0"/>
        <v>23.11</v>
      </c>
      <c r="E21" s="4">
        <f t="shared" si="0"/>
        <v>300</v>
      </c>
      <c r="F21" s="4">
        <f t="shared" si="0"/>
        <v>5.0000000000000001E-3</v>
      </c>
      <c r="G21" s="24">
        <f t="shared" si="0"/>
        <v>700</v>
      </c>
      <c r="H21" s="24">
        <f t="shared" si="0"/>
        <v>306</v>
      </c>
      <c r="I21" s="4">
        <f t="shared" si="0"/>
        <v>117.2</v>
      </c>
      <c r="J21" s="4">
        <f t="shared" si="0"/>
        <v>158</v>
      </c>
      <c r="K21" s="24">
        <f t="shared" si="0"/>
        <v>176</v>
      </c>
      <c r="L21" s="24">
        <f t="shared" si="0"/>
        <v>700</v>
      </c>
      <c r="M21" s="24">
        <f t="shared" si="0"/>
        <v>390</v>
      </c>
      <c r="N21" s="4">
        <f t="shared" si="0"/>
        <v>57</v>
      </c>
      <c r="O21" s="4">
        <f t="shared" si="0"/>
        <v>1650</v>
      </c>
      <c r="P21" s="4">
        <f t="shared" si="0"/>
        <v>581</v>
      </c>
      <c r="Q21" s="4">
        <f t="shared" si="0"/>
        <v>65</v>
      </c>
      <c r="R21" s="4">
        <f t="shared" si="0"/>
        <v>436</v>
      </c>
      <c r="S21" s="4">
        <f t="shared" si="0"/>
        <v>48</v>
      </c>
      <c r="T21" s="4">
        <f t="shared" si="0"/>
        <v>3.2140000000000004</v>
      </c>
      <c r="U21" s="4">
        <f t="shared" si="0"/>
        <v>662.29299999999989</v>
      </c>
      <c r="V21" s="4">
        <f t="shared" si="0"/>
        <v>17.704999999999998</v>
      </c>
      <c r="W21" s="4">
        <f t="shared" si="0"/>
        <v>17.126000000000001</v>
      </c>
      <c r="X21" s="24">
        <f t="shared" si="0"/>
        <v>1010.015</v>
      </c>
      <c r="Y21" s="24">
        <f t="shared" si="0"/>
        <v>250</v>
      </c>
      <c r="Z21" s="4">
        <f t="shared" si="0"/>
        <v>210.03299999999996</v>
      </c>
      <c r="AA21" s="4">
        <f t="shared" si="0"/>
        <v>58.04</v>
      </c>
      <c r="AB21" s="4">
        <f t="shared" si="0"/>
        <v>130</v>
      </c>
      <c r="AC21" s="4">
        <f t="shared" si="0"/>
        <v>3.9E-2</v>
      </c>
      <c r="AD21" s="24">
        <f t="shared" si="0"/>
        <v>386.28</v>
      </c>
      <c r="AE21" s="24">
        <f t="shared" si="0"/>
        <v>50</v>
      </c>
      <c r="AF21" s="4">
        <f t="shared" si="0"/>
        <v>5.0000000000000001E-3</v>
      </c>
      <c r="AG21" s="24">
        <f t="shared" si="0"/>
        <v>5.0000000000000001E-3</v>
      </c>
      <c r="AH21" s="4">
        <f t="shared" si="0"/>
        <v>40.03</v>
      </c>
      <c r="AI21" s="24">
        <f t="shared" si="0"/>
        <v>40</v>
      </c>
      <c r="AJ21" s="4">
        <f t="shared" si="0"/>
        <v>48</v>
      </c>
      <c r="AK21" s="23">
        <f t="shared" si="0"/>
        <v>280.08</v>
      </c>
      <c r="AL21" s="24">
        <f t="shared" si="0"/>
        <v>2.52</v>
      </c>
      <c r="AM21" s="24">
        <f t="shared" si="0"/>
        <v>100</v>
      </c>
      <c r="AN21" s="24">
        <f t="shared" si="0"/>
        <v>68</v>
      </c>
    </row>
    <row r="22" spans="1:40" ht="15.75" thickBot="1" x14ac:dyDescent="0.3">
      <c r="B22" s="5"/>
      <c r="C22" s="5"/>
      <c r="D22" s="5"/>
      <c r="E22" s="5"/>
      <c r="F22" s="5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</row>
    <row r="23" spans="1:40" ht="15.75" thickBot="1" x14ac:dyDescent="0.3">
      <c r="A23" s="43" t="s">
        <v>356</v>
      </c>
      <c r="B23" s="49"/>
      <c r="C23" s="50">
        <f>C21*15</f>
        <v>600.07500000000005</v>
      </c>
      <c r="D23" s="50">
        <f>D21*12</f>
        <v>277.32</v>
      </c>
      <c r="E23" s="50">
        <f>E21*12</f>
        <v>3600</v>
      </c>
      <c r="F23" s="50">
        <f>F21*12</f>
        <v>0.06</v>
      </c>
      <c r="G23" s="51">
        <f>G21*12</f>
        <v>8400</v>
      </c>
      <c r="H23" s="51">
        <f>H21*8</f>
        <v>2448</v>
      </c>
      <c r="I23" s="50">
        <f>I21*8</f>
        <v>937.6</v>
      </c>
      <c r="J23" s="50">
        <f>J21*8</f>
        <v>1264</v>
      </c>
      <c r="K23" s="51">
        <f>K21*8</f>
        <v>1408</v>
      </c>
      <c r="L23" s="51">
        <f>L21*8</f>
        <v>5600</v>
      </c>
      <c r="M23" s="51">
        <f>M21*7.5</f>
        <v>2925</v>
      </c>
      <c r="N23" s="50">
        <f>N21*6</f>
        <v>342</v>
      </c>
      <c r="O23" s="50">
        <f>O21*6</f>
        <v>9900</v>
      </c>
      <c r="P23" s="50">
        <f t="shared" ref="P23:X23" si="1">P21*5</f>
        <v>2905</v>
      </c>
      <c r="Q23" s="50">
        <f t="shared" si="1"/>
        <v>325</v>
      </c>
      <c r="R23" s="50">
        <f t="shared" si="1"/>
        <v>2180</v>
      </c>
      <c r="S23" s="50">
        <f t="shared" si="1"/>
        <v>240</v>
      </c>
      <c r="T23" s="50">
        <f t="shared" si="1"/>
        <v>16.07</v>
      </c>
      <c r="U23" s="50">
        <f t="shared" si="1"/>
        <v>3311.4649999999992</v>
      </c>
      <c r="V23" s="50">
        <f t="shared" si="1"/>
        <v>88.524999999999991</v>
      </c>
      <c r="W23" s="50">
        <f t="shared" si="1"/>
        <v>85.63000000000001</v>
      </c>
      <c r="X23" s="51">
        <f t="shared" si="1"/>
        <v>5050.0749999999998</v>
      </c>
      <c r="Y23" s="51">
        <f>Y21*3.3</f>
        <v>825</v>
      </c>
      <c r="Z23" s="50">
        <f>Z21*3.3</f>
        <v>693.10889999999984</v>
      </c>
      <c r="AA23" s="50">
        <f>AA21*3.3</f>
        <v>191.53199999999998</v>
      </c>
      <c r="AB23" s="50">
        <f>AB21*3</f>
        <v>390</v>
      </c>
      <c r="AC23" s="50">
        <f>AC21*2.5</f>
        <v>9.7500000000000003E-2</v>
      </c>
      <c r="AD23" s="51">
        <f>AD21*3.3</f>
        <v>1274.7239999999999</v>
      </c>
      <c r="AE23" s="51">
        <f>AE21*5</f>
        <v>250</v>
      </c>
      <c r="AF23" s="50">
        <f>AF21*5</f>
        <v>2.5000000000000001E-2</v>
      </c>
      <c r="AG23" s="51">
        <f>AG21*5</f>
        <v>2.5000000000000001E-2</v>
      </c>
      <c r="AH23" s="50">
        <f>AH21*5</f>
        <v>200.15</v>
      </c>
      <c r="AI23" s="51">
        <f>AI21*7</f>
        <v>280</v>
      </c>
      <c r="AJ23" s="50">
        <f>AJ21*10</f>
        <v>480</v>
      </c>
      <c r="AK23" s="52">
        <f>AK21*12</f>
        <v>3360.96</v>
      </c>
      <c r="AL23" s="51">
        <f>AL21*10</f>
        <v>25.2</v>
      </c>
      <c r="AM23" s="51">
        <f>AM21*3.3</f>
        <v>330</v>
      </c>
      <c r="AN23" s="51">
        <f>AN21*12</f>
        <v>816</v>
      </c>
    </row>
    <row r="24" spans="1:40" ht="15.75" thickBot="1" x14ac:dyDescent="0.3">
      <c r="B24" s="5"/>
      <c r="C24" s="5"/>
      <c r="D24" s="5"/>
      <c r="E24" s="5"/>
      <c r="F24" s="5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</row>
    <row r="25" spans="1:40" ht="15.75" thickBot="1" x14ac:dyDescent="0.3">
      <c r="A25" s="43" t="s">
        <v>357</v>
      </c>
      <c r="B25" s="49"/>
      <c r="C25" s="53">
        <f>ROUNDUP(2*(C23/1000),1)</f>
        <v>1.3</v>
      </c>
      <c r="D25" s="53">
        <f t="shared" ref="D25:AN25" si="2">ROUNDUP(2*(D23/1000),1)</f>
        <v>0.6</v>
      </c>
      <c r="E25" s="53">
        <f t="shared" si="2"/>
        <v>7.2</v>
      </c>
      <c r="F25" s="53">
        <f t="shared" si="2"/>
        <v>0.1</v>
      </c>
      <c r="G25" s="53">
        <f t="shared" si="2"/>
        <v>16.8</v>
      </c>
      <c r="H25" s="53">
        <f t="shared" si="2"/>
        <v>4.8999999999999995</v>
      </c>
      <c r="I25" s="53">
        <f t="shared" si="2"/>
        <v>1.9000000000000001</v>
      </c>
      <c r="J25" s="53">
        <f t="shared" si="2"/>
        <v>2.6</v>
      </c>
      <c r="K25" s="53">
        <f t="shared" si="2"/>
        <v>2.9</v>
      </c>
      <c r="L25" s="53">
        <f t="shared" si="2"/>
        <v>11.2</v>
      </c>
      <c r="M25" s="53">
        <f t="shared" si="2"/>
        <v>5.8999999999999995</v>
      </c>
      <c r="N25" s="53">
        <f t="shared" si="2"/>
        <v>0.7</v>
      </c>
      <c r="O25" s="53">
        <f t="shared" si="2"/>
        <v>19.8</v>
      </c>
      <c r="P25" s="53">
        <f t="shared" si="2"/>
        <v>5.8999999999999995</v>
      </c>
      <c r="Q25" s="53">
        <f t="shared" si="2"/>
        <v>0.7</v>
      </c>
      <c r="R25" s="53">
        <f t="shared" si="2"/>
        <v>4.3999999999999995</v>
      </c>
      <c r="S25" s="53">
        <f t="shared" si="2"/>
        <v>0.5</v>
      </c>
      <c r="T25" s="53">
        <f t="shared" si="2"/>
        <v>0.1</v>
      </c>
      <c r="U25" s="53">
        <f t="shared" si="2"/>
        <v>6.6999999999999993</v>
      </c>
      <c r="V25" s="53">
        <f t="shared" si="2"/>
        <v>0.2</v>
      </c>
      <c r="W25" s="53">
        <f t="shared" si="2"/>
        <v>0.2</v>
      </c>
      <c r="X25" s="53">
        <f t="shared" si="2"/>
        <v>10.199999999999999</v>
      </c>
      <c r="Y25" s="53">
        <f t="shared" si="2"/>
        <v>1.7000000000000002</v>
      </c>
      <c r="Z25" s="53">
        <f t="shared" si="2"/>
        <v>1.4000000000000001</v>
      </c>
      <c r="AA25" s="53">
        <f t="shared" si="2"/>
        <v>0.4</v>
      </c>
      <c r="AB25" s="53">
        <f t="shared" si="2"/>
        <v>0.79999999999999993</v>
      </c>
      <c r="AC25" s="53">
        <f t="shared" si="2"/>
        <v>0.1</v>
      </c>
      <c r="AD25" s="53">
        <f t="shared" si="2"/>
        <v>2.6</v>
      </c>
      <c r="AE25" s="53">
        <f t="shared" si="2"/>
        <v>0.5</v>
      </c>
      <c r="AF25" s="53">
        <f t="shared" si="2"/>
        <v>0.1</v>
      </c>
      <c r="AG25" s="53">
        <f t="shared" si="2"/>
        <v>0.1</v>
      </c>
      <c r="AH25" s="53">
        <f t="shared" si="2"/>
        <v>0.5</v>
      </c>
      <c r="AI25" s="53">
        <f t="shared" si="2"/>
        <v>0.6</v>
      </c>
      <c r="AJ25" s="53">
        <f t="shared" si="2"/>
        <v>1</v>
      </c>
      <c r="AK25" s="53">
        <f t="shared" si="2"/>
        <v>6.8</v>
      </c>
      <c r="AL25" s="53">
        <f t="shared" si="2"/>
        <v>0.1</v>
      </c>
      <c r="AM25" s="53">
        <f t="shared" si="2"/>
        <v>0.7</v>
      </c>
      <c r="AN25" s="53">
        <f t="shared" si="2"/>
        <v>1.7000000000000002</v>
      </c>
    </row>
    <row r="26" spans="1:40" ht="15.75" thickBot="1" x14ac:dyDescent="0.3">
      <c r="B26" s="5"/>
      <c r="C26" s="5"/>
      <c r="D26" s="5"/>
      <c r="E26" s="5"/>
      <c r="F26" s="5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</row>
    <row r="27" spans="1:40" ht="15.75" thickBot="1" x14ac:dyDescent="0.3">
      <c r="A27" s="54" t="s">
        <v>358</v>
      </c>
      <c r="B27" s="49"/>
      <c r="C27" s="53">
        <f>ROUNDDOWN(15/(C21/1000),1)</f>
        <v>374.9</v>
      </c>
      <c r="D27" s="53">
        <f>ROUNDDOWN(12/(D21/1000),1)</f>
        <v>519.20000000000005</v>
      </c>
      <c r="E27" s="53">
        <f t="shared" ref="E27:AN27" si="3">ROUNDDOWN(12/(E21/1000),1)</f>
        <v>40</v>
      </c>
      <c r="F27" s="55">
        <f t="shared" si="3"/>
        <v>2400000</v>
      </c>
      <c r="G27" s="53">
        <f t="shared" si="3"/>
        <v>17.100000000000001</v>
      </c>
      <c r="H27" s="53">
        <f>ROUNDDOWN(8/(H21/1000),1)</f>
        <v>26.1</v>
      </c>
      <c r="I27" s="53">
        <f>ROUNDDOWN(8/(I21/1000),1)</f>
        <v>68.2</v>
      </c>
      <c r="J27" s="53">
        <f>ROUNDDOWN(8/(J21/1000),1)</f>
        <v>50.6</v>
      </c>
      <c r="K27" s="53">
        <f>ROUNDDOWN(8/(K21/1000),1)</f>
        <v>45.4</v>
      </c>
      <c r="L27" s="53">
        <f>ROUNDDOWN(8/(L21/1000),1)</f>
        <v>11.4</v>
      </c>
      <c r="M27" s="53">
        <f>ROUNDDOWN(7.5/(M21/1000),1)</f>
        <v>19.2</v>
      </c>
      <c r="N27" s="53">
        <f>ROUNDDOWN(6/(N21/1000),1)</f>
        <v>105.2</v>
      </c>
      <c r="O27" s="53">
        <f>ROUNDDOWN(6/(O21/1000),1)</f>
        <v>3.6</v>
      </c>
      <c r="P27" s="53">
        <f t="shared" ref="P27:U27" si="4">ROUNDDOWN(5/(P21/1000),1)</f>
        <v>8.6</v>
      </c>
      <c r="Q27" s="53">
        <f t="shared" si="4"/>
        <v>76.900000000000006</v>
      </c>
      <c r="R27" s="53">
        <f t="shared" si="4"/>
        <v>11.4</v>
      </c>
      <c r="S27" s="53">
        <f t="shared" si="4"/>
        <v>104.1</v>
      </c>
      <c r="T27" s="53">
        <f t="shared" si="4"/>
        <v>1555.6</v>
      </c>
      <c r="U27" s="53">
        <f t="shared" si="4"/>
        <v>7.5</v>
      </c>
      <c r="V27" s="53">
        <f t="shared" ref="V27:X27" si="5">ROUNDDOWN(5/(V21/1000),1)</f>
        <v>282.39999999999998</v>
      </c>
      <c r="W27" s="53">
        <f t="shared" si="5"/>
        <v>291.89999999999998</v>
      </c>
      <c r="X27" s="53">
        <f t="shared" si="5"/>
        <v>4.9000000000000004</v>
      </c>
      <c r="Y27" s="53">
        <f>ROUNDDOWN(3.3/(Y21/1000),1)</f>
        <v>13.2</v>
      </c>
      <c r="Z27" s="53">
        <f t="shared" ref="Z27:AA27" si="6">ROUNDDOWN(3.3/(Z21/1000),1)</f>
        <v>15.7</v>
      </c>
      <c r="AA27" s="53">
        <f t="shared" si="6"/>
        <v>56.8</v>
      </c>
      <c r="AB27" s="53">
        <f>ROUNDDOWN(3/(AB21/1000),1)</f>
        <v>23</v>
      </c>
      <c r="AC27" s="53">
        <f>ROUNDDOWN(2.5/(AC21/1000),1)</f>
        <v>64102.5</v>
      </c>
      <c r="AD27" s="53">
        <f>ROUNDDOWN(3.3/(AD21/1000),1)</f>
        <v>8.5</v>
      </c>
      <c r="AE27" s="53">
        <f>ROUNDDOWN(5/(AE21/1000),1)</f>
        <v>100</v>
      </c>
      <c r="AF27" s="55">
        <f>ROUNDDOWN(5/(AF21/1000),1)</f>
        <v>1000000</v>
      </c>
      <c r="AG27" s="55">
        <f>ROUNDDOWN(5/(AG21/1000),1)</f>
        <v>1000000</v>
      </c>
      <c r="AH27" s="53">
        <f>ROUNDDOWN(5/(AH21/1000),1)</f>
        <v>124.9</v>
      </c>
      <c r="AI27" s="53">
        <f>ROUNDDOWN(7/(AI21/1000),1)</f>
        <v>175</v>
      </c>
      <c r="AJ27" s="53">
        <f>ROUNDDOWN(10/(AJ21/1000),1)</f>
        <v>208.3</v>
      </c>
      <c r="AK27" s="53">
        <f t="shared" si="3"/>
        <v>42.8</v>
      </c>
      <c r="AL27" s="53">
        <f>ROUNDDOWN(10/(AL21/1000),1)</f>
        <v>3968.2</v>
      </c>
      <c r="AM27" s="53">
        <f>ROUNDDOWN(3.3/(AM21/1000),1)</f>
        <v>33</v>
      </c>
      <c r="AN27" s="55">
        <f t="shared" si="3"/>
        <v>176.4</v>
      </c>
    </row>
    <row r="28" spans="1:40" x14ac:dyDescent="0.25">
      <c r="B28" s="6"/>
      <c r="C28" s="6"/>
      <c r="D28" s="3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</row>
    <row r="29" spans="1:40" x14ac:dyDescent="0.25"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</row>
    <row r="30" spans="1:40" x14ac:dyDescent="0.25"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</row>
    <row r="31" spans="1:40" x14ac:dyDescent="0.25"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</row>
    <row r="32" spans="1:40" x14ac:dyDescent="0.25"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</row>
    <row r="33" spans="2:6" x14ac:dyDescent="0.25">
      <c r="B33" s="6"/>
      <c r="C33" s="6"/>
      <c r="D33" s="6"/>
      <c r="E33" s="6"/>
      <c r="F33" s="6"/>
    </row>
  </sheetData>
  <customSheetViews>
    <customSheetView guid="{D2DB56BE-885F-4EB8-B044-5D9F6A74F9DB}">
      <pane xSplit="1" topLeftCell="X1" activePane="topRight" state="frozen"/>
      <selection pane="topRight" activeCell="Z38" sqref="Z38"/>
      <pageMargins left="0.7" right="0.7" top="0.75" bottom="0.75" header="0.3" footer="0.3"/>
      <pageSetup orientation="portrait" r:id="rId1"/>
    </customSheetView>
  </customSheetViews>
  <pageMargins left="0.7" right="0.7" top="0.75" bottom="0.75" header="0.3" footer="0.3"/>
  <pageSetup orientation="portrait"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G41" sqref="G41"/>
    </sheetView>
  </sheetViews>
  <sheetFormatPr defaultRowHeight="15" x14ac:dyDescent="0.25"/>
  <cols>
    <col min="1" max="1" width="10.28515625" style="7" bestFit="1" customWidth="1"/>
    <col min="2" max="16384" width="9.140625" style="7"/>
  </cols>
  <sheetData>
    <row r="1" spans="1:3" ht="15.75" thickBot="1" x14ac:dyDescent="0.3"/>
    <row r="2" spans="1:3" ht="15.75" thickBot="1" x14ac:dyDescent="0.3">
      <c r="A2" s="94" t="s">
        <v>268</v>
      </c>
      <c r="B2" s="111">
        <v>300</v>
      </c>
      <c r="C2" s="108" t="s">
        <v>362</v>
      </c>
    </row>
  </sheetData>
  <customSheetViews>
    <customSheetView guid="{D2DB56BE-885F-4EB8-B044-5D9F6A74F9DB}">
      <selection activeCell="G41" sqref="G41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H18" sqref="H18"/>
    </sheetView>
  </sheetViews>
  <sheetFormatPr defaultRowHeight="15" x14ac:dyDescent="0.25"/>
  <cols>
    <col min="1" max="16384" width="9.140625" style="7"/>
  </cols>
  <sheetData>
    <row r="1" spans="1:3" ht="15.75" thickBot="1" x14ac:dyDescent="0.3">
      <c r="A1" s="7" t="s">
        <v>269</v>
      </c>
    </row>
    <row r="2" spans="1:3" ht="15.75" thickBot="1" x14ac:dyDescent="0.3">
      <c r="A2" s="94" t="s">
        <v>270</v>
      </c>
      <c r="B2" s="111">
        <v>390</v>
      </c>
      <c r="C2" s="108" t="s">
        <v>362</v>
      </c>
    </row>
  </sheetData>
  <customSheetViews>
    <customSheetView guid="{D2DB56BE-885F-4EB8-B044-5D9F6A74F9DB}">
      <selection activeCell="H18" sqref="H18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H12" sqref="H12"/>
    </sheetView>
  </sheetViews>
  <sheetFormatPr defaultRowHeight="15" x14ac:dyDescent="0.25"/>
  <sheetData>
    <row r="1" spans="1:8" x14ac:dyDescent="0.25">
      <c r="A1" t="s">
        <v>88</v>
      </c>
      <c r="D1" t="s">
        <v>91</v>
      </c>
      <c r="G1" t="s">
        <v>93</v>
      </c>
    </row>
    <row r="2" spans="1:8" x14ac:dyDescent="0.25">
      <c r="A2" s="7" t="s">
        <v>90</v>
      </c>
      <c r="B2" t="s">
        <v>76</v>
      </c>
      <c r="D2" s="7" t="s">
        <v>49</v>
      </c>
      <c r="E2" t="s">
        <v>92</v>
      </c>
      <c r="G2" s="7" t="s">
        <v>90</v>
      </c>
      <c r="H2" t="s">
        <v>76</v>
      </c>
    </row>
    <row r="3" spans="1:8" ht="15.75" thickBot="1" x14ac:dyDescent="0.3"/>
    <row r="4" spans="1:8" x14ac:dyDescent="0.25">
      <c r="A4" s="119" t="s">
        <v>94</v>
      </c>
      <c r="B4" s="120"/>
      <c r="C4" s="12" t="s">
        <v>95</v>
      </c>
    </row>
    <row r="5" spans="1:8" ht="15.75" thickBot="1" x14ac:dyDescent="0.3">
      <c r="A5" s="123" t="s">
        <v>66</v>
      </c>
      <c r="B5" s="124"/>
      <c r="C5" s="13" t="s">
        <v>92</v>
      </c>
    </row>
    <row r="6" spans="1:8" ht="15.75" thickBot="1" x14ac:dyDescent="0.3"/>
    <row r="7" spans="1:8" ht="15.75" thickBot="1" x14ac:dyDescent="0.3">
      <c r="A7" s="86" t="s">
        <v>338</v>
      </c>
      <c r="B7" s="65" t="s">
        <v>89</v>
      </c>
      <c r="C7" s="108" t="s">
        <v>363</v>
      </c>
    </row>
    <row r="8" spans="1:8" x14ac:dyDescent="0.25">
      <c r="A8" s="80" t="s">
        <v>88</v>
      </c>
      <c r="B8" s="81">
        <v>88</v>
      </c>
      <c r="C8" s="82"/>
    </row>
    <row r="9" spans="1:8" x14ac:dyDescent="0.25">
      <c r="A9" s="73" t="s">
        <v>91</v>
      </c>
      <c r="B9" s="74"/>
      <c r="C9" s="79">
        <v>150</v>
      </c>
    </row>
    <row r="10" spans="1:8" ht="15.75" thickBot="1" x14ac:dyDescent="0.3">
      <c r="A10" s="83" t="s">
        <v>93</v>
      </c>
      <c r="B10" s="84">
        <v>88</v>
      </c>
      <c r="C10" s="85"/>
    </row>
    <row r="11" spans="1:8" ht="15.75" thickBot="1" x14ac:dyDescent="0.3">
      <c r="A11" s="86" t="s">
        <v>359</v>
      </c>
      <c r="B11" s="87">
        <f>SUM(B8:B10)</f>
        <v>176</v>
      </c>
      <c r="C11" s="87">
        <f>SUM(C8:C10)</f>
        <v>150</v>
      </c>
    </row>
  </sheetData>
  <customSheetViews>
    <customSheetView guid="{D2DB56BE-885F-4EB8-B044-5D9F6A74F9DB}">
      <selection activeCell="H12" sqref="H12"/>
      <pageMargins left="0.7" right="0.7" top="0.75" bottom="0.75" header="0.3" footer="0.3"/>
    </customSheetView>
  </customSheetViews>
  <mergeCells count="2">
    <mergeCell ref="A4:B4"/>
    <mergeCell ref="A5:B5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7"/>
  <sheetViews>
    <sheetView workbookViewId="0">
      <selection activeCell="I19" sqref="I19"/>
    </sheetView>
  </sheetViews>
  <sheetFormatPr defaultRowHeight="15" x14ac:dyDescent="0.25"/>
  <cols>
    <col min="1" max="2" width="9.140625" style="7"/>
    <col min="3" max="3" width="10.5703125" style="7" bestFit="1" customWidth="1"/>
    <col min="4" max="4" width="10.42578125" style="7" bestFit="1" customWidth="1"/>
    <col min="5" max="5" width="9.85546875" style="7" bestFit="1" customWidth="1"/>
    <col min="6" max="6" width="9.140625" style="7"/>
    <col min="7" max="7" width="10.7109375" style="7" bestFit="1" customWidth="1"/>
    <col min="8" max="8" width="10.140625" style="7" bestFit="1" customWidth="1"/>
    <col min="9" max="9" width="9.140625" style="7"/>
    <col min="10" max="10" width="10.42578125" style="7" bestFit="1" customWidth="1"/>
    <col min="11" max="12" width="9.140625" style="7"/>
    <col min="13" max="13" width="10.7109375" style="7" bestFit="1" customWidth="1"/>
    <col min="14" max="15" width="9.140625" style="7"/>
    <col min="16" max="16" width="10.42578125" style="7" bestFit="1" customWidth="1"/>
    <col min="17" max="18" width="9.140625" style="7"/>
    <col min="19" max="19" width="10.7109375" style="7" bestFit="1" customWidth="1"/>
    <col min="20" max="16384" width="9.140625" style="7"/>
  </cols>
  <sheetData>
    <row r="1" spans="1:26" x14ac:dyDescent="0.25">
      <c r="A1" s="14" t="s">
        <v>111</v>
      </c>
      <c r="B1" s="14"/>
      <c r="D1" s="14" t="s">
        <v>113</v>
      </c>
      <c r="E1" s="14"/>
      <c r="G1" s="14" t="s">
        <v>114</v>
      </c>
      <c r="H1" s="14"/>
      <c r="J1" s="14" t="s">
        <v>116</v>
      </c>
      <c r="K1" s="14"/>
      <c r="M1" s="14" t="s">
        <v>118</v>
      </c>
      <c r="N1" s="14"/>
      <c r="P1" s="14" t="s">
        <v>120</v>
      </c>
      <c r="Q1" s="14"/>
      <c r="S1" s="14" t="s">
        <v>124</v>
      </c>
      <c r="T1" s="14"/>
      <c r="V1" s="14" t="s">
        <v>126</v>
      </c>
      <c r="W1" s="14"/>
      <c r="Y1" s="14" t="s">
        <v>128</v>
      </c>
      <c r="Z1" s="14"/>
    </row>
    <row r="2" spans="1:26" x14ac:dyDescent="0.25">
      <c r="A2" s="14" t="s">
        <v>112</v>
      </c>
      <c r="B2" s="14" t="s">
        <v>327</v>
      </c>
      <c r="D2" s="14" t="s">
        <v>49</v>
      </c>
      <c r="E2" s="14" t="s">
        <v>92</v>
      </c>
      <c r="G2" s="14" t="s">
        <v>49</v>
      </c>
      <c r="H2" s="14" t="s">
        <v>115</v>
      </c>
      <c r="J2" s="14" t="s">
        <v>117</v>
      </c>
      <c r="K2" s="14" t="s">
        <v>64</v>
      </c>
      <c r="M2" s="14" t="s">
        <v>112</v>
      </c>
      <c r="N2" s="14" t="s">
        <v>73</v>
      </c>
      <c r="P2" s="14" t="s">
        <v>117</v>
      </c>
      <c r="Q2" s="14" t="s">
        <v>121</v>
      </c>
      <c r="S2" s="14" t="s">
        <v>125</v>
      </c>
      <c r="T2" s="14" t="s">
        <v>73</v>
      </c>
      <c r="V2" s="14" t="s">
        <v>112</v>
      </c>
      <c r="W2" s="14" t="s">
        <v>127</v>
      </c>
      <c r="Y2" s="14" t="s">
        <v>129</v>
      </c>
      <c r="Z2" s="14" t="s">
        <v>130</v>
      </c>
    </row>
    <row r="3" spans="1:26" x14ac:dyDescent="0.25">
      <c r="A3" s="14"/>
      <c r="B3" s="14"/>
      <c r="D3" s="14"/>
      <c r="E3" s="14"/>
      <c r="G3" s="14" t="s">
        <v>122</v>
      </c>
      <c r="H3" s="14">
        <v>0</v>
      </c>
      <c r="J3" s="14"/>
      <c r="K3" s="14"/>
      <c r="M3" s="14" t="s">
        <v>119</v>
      </c>
      <c r="N3" s="14" t="s">
        <v>73</v>
      </c>
      <c r="P3" s="14"/>
      <c r="Q3" s="14"/>
      <c r="S3" s="14" t="s">
        <v>137</v>
      </c>
      <c r="T3" s="14">
        <v>0</v>
      </c>
      <c r="V3" s="14" t="s">
        <v>49</v>
      </c>
      <c r="W3" s="14">
        <v>0</v>
      </c>
      <c r="Y3" s="14"/>
      <c r="Z3" s="14"/>
    </row>
    <row r="4" spans="1:26" x14ac:dyDescent="0.25">
      <c r="D4" s="14"/>
      <c r="E4" s="14"/>
      <c r="G4" s="14"/>
      <c r="H4" s="14"/>
      <c r="J4" s="14"/>
      <c r="K4" s="14"/>
      <c r="M4" s="14" t="s">
        <v>122</v>
      </c>
      <c r="N4" s="14" t="s">
        <v>123</v>
      </c>
      <c r="S4" s="14"/>
      <c r="T4" s="14"/>
    </row>
    <row r="6" spans="1:26" x14ac:dyDescent="0.25">
      <c r="A6" s="14" t="s">
        <v>131</v>
      </c>
      <c r="B6" s="14"/>
      <c r="D6" s="7" t="s">
        <v>133</v>
      </c>
    </row>
    <row r="7" spans="1:26" x14ac:dyDescent="0.25">
      <c r="A7" s="14" t="s">
        <v>51</v>
      </c>
      <c r="B7" s="14" t="s">
        <v>132</v>
      </c>
      <c r="D7" s="14" t="s">
        <v>117</v>
      </c>
      <c r="E7" s="14" t="s">
        <v>251</v>
      </c>
    </row>
    <row r="8" spans="1:26" x14ac:dyDescent="0.25">
      <c r="A8" s="14"/>
      <c r="B8" s="14"/>
      <c r="D8" s="14" t="s">
        <v>134</v>
      </c>
      <c r="E8" s="14" t="s">
        <v>135</v>
      </c>
    </row>
    <row r="9" spans="1:26" x14ac:dyDescent="0.25">
      <c r="A9" s="14"/>
      <c r="B9" s="14"/>
      <c r="D9" s="14" t="s">
        <v>125</v>
      </c>
      <c r="E9" s="7" t="s">
        <v>135</v>
      </c>
    </row>
    <row r="10" spans="1:26" x14ac:dyDescent="0.25">
      <c r="D10" s="14" t="s">
        <v>49</v>
      </c>
      <c r="E10" s="7" t="s">
        <v>135</v>
      </c>
    </row>
    <row r="11" spans="1:26" x14ac:dyDescent="0.25">
      <c r="D11" s="14" t="s">
        <v>122</v>
      </c>
      <c r="E11" s="14" t="s">
        <v>286</v>
      </c>
    </row>
    <row r="13" spans="1:26" ht="15.75" thickBot="1" x14ac:dyDescent="0.3"/>
    <row r="14" spans="1:26" x14ac:dyDescent="0.25">
      <c r="A14" s="119" t="s">
        <v>287</v>
      </c>
      <c r="B14" s="120"/>
      <c r="C14" s="8" t="s">
        <v>329</v>
      </c>
    </row>
    <row r="15" spans="1:26" x14ac:dyDescent="0.25">
      <c r="A15" s="121" t="s">
        <v>66</v>
      </c>
      <c r="B15" s="122"/>
      <c r="C15" s="9" t="s">
        <v>295</v>
      </c>
    </row>
    <row r="16" spans="1:26" x14ac:dyDescent="0.25">
      <c r="A16" s="127" t="s">
        <v>288</v>
      </c>
      <c r="B16" s="128"/>
      <c r="C16" s="26" t="s">
        <v>331</v>
      </c>
    </row>
    <row r="17" spans="1:10" x14ac:dyDescent="0.25">
      <c r="A17" s="127" t="s">
        <v>289</v>
      </c>
      <c r="B17" s="128"/>
      <c r="C17" s="26" t="s">
        <v>335</v>
      </c>
    </row>
    <row r="18" spans="1:10" x14ac:dyDescent="0.25">
      <c r="A18" s="121" t="s">
        <v>290</v>
      </c>
      <c r="B18" s="122"/>
      <c r="C18" s="9" t="s">
        <v>73</v>
      </c>
    </row>
    <row r="19" spans="1:10" x14ac:dyDescent="0.25">
      <c r="A19" s="127" t="s">
        <v>291</v>
      </c>
      <c r="B19" s="128"/>
      <c r="C19" s="9" t="s">
        <v>294</v>
      </c>
    </row>
    <row r="20" spans="1:10" x14ac:dyDescent="0.25">
      <c r="A20" s="127" t="s">
        <v>292</v>
      </c>
      <c r="B20" s="128"/>
      <c r="C20" s="9" t="s">
        <v>130</v>
      </c>
    </row>
    <row r="21" spans="1:10" x14ac:dyDescent="0.25">
      <c r="A21" s="127" t="s">
        <v>293</v>
      </c>
      <c r="B21" s="128"/>
      <c r="C21" s="9" t="s">
        <v>132</v>
      </c>
    </row>
    <row r="22" spans="1:10" ht="15.75" thickBot="1" x14ac:dyDescent="0.3">
      <c r="A22" s="129" t="s">
        <v>296</v>
      </c>
      <c r="B22" s="130"/>
      <c r="C22" s="25" t="s">
        <v>135</v>
      </c>
    </row>
    <row r="24" spans="1:10" ht="15.75" thickBot="1" x14ac:dyDescent="0.3"/>
    <row r="25" spans="1:10" ht="15.75" thickBot="1" x14ac:dyDescent="0.3">
      <c r="A25" s="94" t="s">
        <v>338</v>
      </c>
      <c r="B25" s="65" t="s">
        <v>3</v>
      </c>
      <c r="C25" s="107" t="s">
        <v>363</v>
      </c>
      <c r="D25" s="65" t="s">
        <v>332</v>
      </c>
      <c r="E25" s="107" t="s">
        <v>137</v>
      </c>
      <c r="F25" s="65" t="s">
        <v>330</v>
      </c>
      <c r="G25" s="107" t="s">
        <v>364</v>
      </c>
      <c r="H25" s="65" t="s">
        <v>326</v>
      </c>
      <c r="I25" s="107" t="s">
        <v>365</v>
      </c>
      <c r="J25" s="65" t="s">
        <v>328</v>
      </c>
    </row>
    <row r="26" spans="1:10" x14ac:dyDescent="0.25">
      <c r="A26" s="92" t="s">
        <v>111</v>
      </c>
      <c r="B26" s="93">
        <v>75</v>
      </c>
      <c r="C26" s="93"/>
      <c r="D26" s="93"/>
      <c r="E26" s="93"/>
      <c r="F26" s="93"/>
      <c r="G26" s="93"/>
      <c r="H26" s="93"/>
      <c r="I26" s="93"/>
      <c r="J26" s="93"/>
    </row>
    <row r="27" spans="1:10" x14ac:dyDescent="0.25">
      <c r="A27" s="89" t="s">
        <v>113</v>
      </c>
      <c r="B27" s="93"/>
      <c r="C27" s="93">
        <v>150</v>
      </c>
      <c r="D27" s="93"/>
      <c r="E27" s="93"/>
      <c r="F27" s="93"/>
      <c r="G27" s="93"/>
      <c r="H27" s="93"/>
      <c r="I27" s="93"/>
      <c r="J27" s="93"/>
    </row>
    <row r="28" spans="1:10" x14ac:dyDescent="0.25">
      <c r="A28" s="89" t="s">
        <v>114</v>
      </c>
      <c r="B28" s="93"/>
      <c r="C28" s="93">
        <v>102</v>
      </c>
      <c r="D28" s="93">
        <v>0</v>
      </c>
      <c r="E28" s="93"/>
      <c r="F28" s="93"/>
      <c r="G28" s="93"/>
      <c r="H28" s="93"/>
      <c r="I28" s="93"/>
      <c r="J28" s="93"/>
    </row>
    <row r="29" spans="1:10" x14ac:dyDescent="0.25">
      <c r="A29" s="89" t="s">
        <v>116</v>
      </c>
      <c r="B29" s="93"/>
      <c r="C29" s="93"/>
      <c r="D29" s="93"/>
      <c r="E29" s="93">
        <v>0.04</v>
      </c>
      <c r="F29" s="93"/>
      <c r="G29" s="93"/>
      <c r="H29" s="93"/>
      <c r="I29" s="93"/>
      <c r="J29" s="93"/>
    </row>
    <row r="30" spans="1:10" x14ac:dyDescent="0.25">
      <c r="A30" s="89" t="s">
        <v>118</v>
      </c>
      <c r="B30" s="93">
        <v>40</v>
      </c>
      <c r="C30" s="93"/>
      <c r="D30" s="93">
        <v>10.68</v>
      </c>
      <c r="E30" s="93"/>
      <c r="F30" s="93">
        <v>40</v>
      </c>
      <c r="G30" s="93"/>
      <c r="H30" s="93"/>
      <c r="I30" s="93"/>
      <c r="J30" s="93"/>
    </row>
    <row r="31" spans="1:10" x14ac:dyDescent="0.25">
      <c r="A31" s="89" t="s">
        <v>120</v>
      </c>
      <c r="B31" s="93"/>
      <c r="C31" s="93"/>
      <c r="D31" s="93"/>
      <c r="E31" s="93">
        <v>52</v>
      </c>
      <c r="F31" s="93"/>
      <c r="G31" s="93"/>
      <c r="H31" s="93"/>
      <c r="I31" s="93"/>
      <c r="J31" s="93"/>
    </row>
    <row r="32" spans="1:10" x14ac:dyDescent="0.25">
      <c r="A32" s="89" t="s">
        <v>124</v>
      </c>
      <c r="B32" s="93"/>
      <c r="C32" s="93"/>
      <c r="D32" s="93"/>
      <c r="E32" s="93">
        <v>0</v>
      </c>
      <c r="F32" s="93"/>
      <c r="G32" s="93">
        <v>40</v>
      </c>
      <c r="H32" s="93"/>
      <c r="I32" s="93"/>
      <c r="J32" s="93"/>
    </row>
    <row r="33" spans="1:10" x14ac:dyDescent="0.25">
      <c r="A33" s="89" t="s">
        <v>126</v>
      </c>
      <c r="B33" s="93">
        <v>2.2000000000000002</v>
      </c>
      <c r="C33" s="93">
        <v>0</v>
      </c>
      <c r="D33" s="93"/>
      <c r="E33" s="93"/>
      <c r="F33" s="93"/>
      <c r="G33" s="93"/>
      <c r="H33" s="93"/>
      <c r="I33" s="93"/>
      <c r="J33" s="93"/>
    </row>
    <row r="34" spans="1:10" x14ac:dyDescent="0.25">
      <c r="A34" s="89" t="s">
        <v>128</v>
      </c>
      <c r="B34" s="93"/>
      <c r="C34" s="93"/>
      <c r="D34" s="93"/>
      <c r="E34" s="93"/>
      <c r="F34" s="93"/>
      <c r="G34" s="93"/>
      <c r="H34" s="93">
        <v>57</v>
      </c>
      <c r="I34" s="93"/>
      <c r="J34" s="93"/>
    </row>
    <row r="35" spans="1:10" x14ac:dyDescent="0.25">
      <c r="A35" s="89" t="s">
        <v>131</v>
      </c>
      <c r="B35" s="93"/>
      <c r="C35" s="93"/>
      <c r="D35" s="93"/>
      <c r="E35" s="93"/>
      <c r="F35" s="93"/>
      <c r="G35" s="93"/>
      <c r="H35" s="93"/>
      <c r="I35" s="93">
        <v>340</v>
      </c>
      <c r="J35" s="93"/>
    </row>
    <row r="36" spans="1:10" ht="15.75" thickBot="1" x14ac:dyDescent="0.3">
      <c r="A36" s="99" t="s">
        <v>133</v>
      </c>
      <c r="B36" s="110"/>
      <c r="C36" s="110">
        <v>5.0000000000000001E-3</v>
      </c>
      <c r="D36" s="110">
        <v>12.43</v>
      </c>
      <c r="E36" s="110">
        <v>6</v>
      </c>
      <c r="F36" s="110"/>
      <c r="G36" s="110">
        <v>5.0000000000000001E-3</v>
      </c>
      <c r="H36" s="110"/>
      <c r="I36" s="110"/>
      <c r="J36" s="110">
        <v>5.0000000000000001E-3</v>
      </c>
    </row>
    <row r="37" spans="1:10" ht="15.75" thickBot="1" x14ac:dyDescent="0.3">
      <c r="A37" s="94" t="s">
        <v>359</v>
      </c>
      <c r="B37" s="104">
        <f>SUM(B26:B36)</f>
        <v>117.2</v>
      </c>
      <c r="C37" s="104">
        <f t="shared" ref="C37:J37" si="0">SUM(C26:C36)</f>
        <v>252.005</v>
      </c>
      <c r="D37" s="104">
        <f t="shared" si="0"/>
        <v>23.11</v>
      </c>
      <c r="E37" s="104">
        <f t="shared" si="0"/>
        <v>58.04</v>
      </c>
      <c r="F37" s="104">
        <f t="shared" si="0"/>
        <v>40</v>
      </c>
      <c r="G37" s="104">
        <f t="shared" si="0"/>
        <v>40.005000000000003</v>
      </c>
      <c r="H37" s="104">
        <f t="shared" si="0"/>
        <v>57</v>
      </c>
      <c r="I37" s="104">
        <f t="shared" si="0"/>
        <v>340</v>
      </c>
      <c r="J37" s="104">
        <f t="shared" si="0"/>
        <v>5.0000000000000001E-3</v>
      </c>
    </row>
  </sheetData>
  <customSheetViews>
    <customSheetView guid="{D2DB56BE-885F-4EB8-B044-5D9F6A74F9DB}">
      <selection activeCell="I19" sqref="I19"/>
      <pageMargins left="0.7" right="0.7" top="0.75" bottom="0.75" header="0.3" footer="0.3"/>
    </customSheetView>
  </customSheetViews>
  <mergeCells count="9">
    <mergeCell ref="A20:B20"/>
    <mergeCell ref="A21:B21"/>
    <mergeCell ref="A22:B22"/>
    <mergeCell ref="A14:B14"/>
    <mergeCell ref="A15:B15"/>
    <mergeCell ref="A16:B16"/>
    <mergeCell ref="A17:B17"/>
    <mergeCell ref="A18:B18"/>
    <mergeCell ref="A19:B19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zoomScaleNormal="100" workbookViewId="0">
      <selection activeCell="I23" sqref="I23"/>
    </sheetView>
  </sheetViews>
  <sheetFormatPr defaultRowHeight="15" x14ac:dyDescent="0.25"/>
  <sheetData>
    <row r="1" spans="1:8" x14ac:dyDescent="0.25">
      <c r="A1" t="s">
        <v>48</v>
      </c>
      <c r="D1" t="s">
        <v>50</v>
      </c>
      <c r="G1" t="s">
        <v>53</v>
      </c>
    </row>
    <row r="2" spans="1:8" x14ac:dyDescent="0.25">
      <c r="A2" s="7" t="s">
        <v>49</v>
      </c>
      <c r="B2" t="s">
        <v>297</v>
      </c>
      <c r="D2" s="7" t="s">
        <v>51</v>
      </c>
      <c r="E2" t="s">
        <v>52</v>
      </c>
      <c r="G2" s="7" t="s">
        <v>51</v>
      </c>
      <c r="H2" t="s">
        <v>54</v>
      </c>
    </row>
    <row r="3" spans="1:8" ht="15.75" thickBot="1" x14ac:dyDescent="0.3"/>
    <row r="4" spans="1:8" x14ac:dyDescent="0.25">
      <c r="A4" s="119" t="s">
        <v>66</v>
      </c>
      <c r="B4" s="120"/>
      <c r="C4" s="12" t="s">
        <v>297</v>
      </c>
    </row>
    <row r="5" spans="1:8" ht="15.75" thickBot="1" x14ac:dyDescent="0.3">
      <c r="A5" s="123" t="s">
        <v>67</v>
      </c>
      <c r="B5" s="124"/>
      <c r="C5" s="13" t="s">
        <v>68</v>
      </c>
    </row>
    <row r="6" spans="1:8" ht="15.75" thickBot="1" x14ac:dyDescent="0.3"/>
    <row r="7" spans="1:8" ht="15.75" thickBot="1" x14ac:dyDescent="0.3">
      <c r="A7" s="86" t="s">
        <v>338</v>
      </c>
      <c r="B7" s="65" t="s">
        <v>363</v>
      </c>
      <c r="C7" s="65" t="s">
        <v>365</v>
      </c>
    </row>
    <row r="8" spans="1:8" x14ac:dyDescent="0.25">
      <c r="A8" s="80" t="s">
        <v>48</v>
      </c>
      <c r="B8" s="81">
        <v>39</v>
      </c>
      <c r="C8" s="81"/>
    </row>
    <row r="9" spans="1:8" x14ac:dyDescent="0.25">
      <c r="A9" s="73" t="s">
        <v>50</v>
      </c>
      <c r="B9" s="74"/>
      <c r="C9" s="74">
        <v>23.18</v>
      </c>
    </row>
    <row r="10" spans="1:8" ht="15.75" thickBot="1" x14ac:dyDescent="0.3">
      <c r="A10" s="83" t="s">
        <v>53</v>
      </c>
      <c r="B10" s="84"/>
      <c r="C10" s="84">
        <v>23.1</v>
      </c>
    </row>
    <row r="11" spans="1:8" ht="15.75" thickBot="1" x14ac:dyDescent="0.3">
      <c r="A11" s="86" t="s">
        <v>359</v>
      </c>
      <c r="B11" s="87">
        <f>SUM(B8:B10)</f>
        <v>39</v>
      </c>
      <c r="C11" s="87">
        <f>SUM(C8:C10)</f>
        <v>46.28</v>
      </c>
    </row>
    <row r="33" spans="12:12" x14ac:dyDescent="0.25">
      <c r="L33" t="s">
        <v>136</v>
      </c>
    </row>
  </sheetData>
  <customSheetViews>
    <customSheetView guid="{D2DB56BE-885F-4EB8-B044-5D9F6A74F9DB}">
      <selection activeCell="I23" sqref="I23"/>
      <pageMargins left="0.7" right="0.7" top="0.75" bottom="0.75" header="0.3" footer="0.3"/>
      <pageSetup orientation="portrait" r:id="rId1"/>
    </customSheetView>
  </customSheetViews>
  <mergeCells count="2">
    <mergeCell ref="A4:B4"/>
    <mergeCell ref="A5:B5"/>
  </mergeCells>
  <pageMargins left="0.7" right="0.7" top="0.75" bottom="0.75" header="0.3" footer="0.3"/>
  <pageSetup orientation="portrait"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22"/>
  <sheetViews>
    <sheetView tabSelected="1" workbookViewId="0">
      <selection activeCell="G9" sqref="G9"/>
    </sheetView>
  </sheetViews>
  <sheetFormatPr defaultRowHeight="15" x14ac:dyDescent="0.25"/>
  <sheetData>
    <row r="1" spans="1:26" x14ac:dyDescent="0.25">
      <c r="A1" t="s">
        <v>69</v>
      </c>
      <c r="D1" t="s">
        <v>72</v>
      </c>
      <c r="G1" t="s">
        <v>74</v>
      </c>
      <c r="J1" t="s">
        <v>75</v>
      </c>
      <c r="M1" t="s">
        <v>77</v>
      </c>
      <c r="P1" t="s">
        <v>78</v>
      </c>
      <c r="S1" t="s">
        <v>79</v>
      </c>
      <c r="V1" t="s">
        <v>80</v>
      </c>
      <c r="Y1" t="s">
        <v>81</v>
      </c>
    </row>
    <row r="2" spans="1:26" x14ac:dyDescent="0.25">
      <c r="A2" s="7" t="s">
        <v>70</v>
      </c>
      <c r="B2" t="s">
        <v>71</v>
      </c>
      <c r="D2" s="14" t="s">
        <v>49</v>
      </c>
      <c r="E2" s="15" t="s">
        <v>73</v>
      </c>
      <c r="F2" s="15"/>
      <c r="G2" s="14" t="s">
        <v>70</v>
      </c>
      <c r="H2" s="15" t="s">
        <v>71</v>
      </c>
      <c r="I2" s="15"/>
      <c r="J2" s="14" t="s">
        <v>49</v>
      </c>
      <c r="K2" s="15" t="s">
        <v>76</v>
      </c>
      <c r="L2" s="15"/>
      <c r="M2" s="14" t="s">
        <v>49</v>
      </c>
      <c r="N2" s="15" t="s">
        <v>76</v>
      </c>
      <c r="O2" s="15"/>
      <c r="P2" s="14" t="s">
        <v>49</v>
      </c>
      <c r="Q2" s="15" t="s">
        <v>57</v>
      </c>
      <c r="R2" s="15"/>
      <c r="S2" s="14" t="s">
        <v>49</v>
      </c>
      <c r="T2" s="15" t="s">
        <v>76</v>
      </c>
      <c r="U2" s="15"/>
      <c r="V2" s="14" t="s">
        <v>49</v>
      </c>
      <c r="W2" s="15" t="s">
        <v>76</v>
      </c>
      <c r="X2" s="15"/>
      <c r="Y2" s="14" t="s">
        <v>49</v>
      </c>
      <c r="Z2" s="15" t="s">
        <v>76</v>
      </c>
    </row>
    <row r="4" spans="1:26" x14ac:dyDescent="0.25">
      <c r="A4" t="s">
        <v>82</v>
      </c>
      <c r="D4" t="s">
        <v>83</v>
      </c>
    </row>
    <row r="5" spans="1:26" x14ac:dyDescent="0.25">
      <c r="A5" s="7" t="s">
        <v>49</v>
      </c>
      <c r="B5" t="s">
        <v>76</v>
      </c>
      <c r="D5" s="7" t="s">
        <v>49</v>
      </c>
      <c r="E5" t="s">
        <v>84</v>
      </c>
    </row>
    <row r="6" spans="1:26" ht="15.75" thickBot="1" x14ac:dyDescent="0.3"/>
    <row r="7" spans="1:26" x14ac:dyDescent="0.25">
      <c r="A7" s="119" t="s">
        <v>85</v>
      </c>
      <c r="B7" s="120"/>
      <c r="C7" s="12" t="s">
        <v>86</v>
      </c>
    </row>
    <row r="8" spans="1:26" ht="15.75" thickBot="1" x14ac:dyDescent="0.3">
      <c r="A8" s="123" t="s">
        <v>66</v>
      </c>
      <c r="B8" s="124"/>
      <c r="C8" s="13" t="s">
        <v>87</v>
      </c>
    </row>
    <row r="9" spans="1:26" ht="15.75" thickBot="1" x14ac:dyDescent="0.3"/>
    <row r="10" spans="1:26" ht="15.75" thickBot="1" x14ac:dyDescent="0.3">
      <c r="A10" s="86" t="s">
        <v>338</v>
      </c>
      <c r="B10" s="65" t="s">
        <v>4</v>
      </c>
      <c r="C10" s="108" t="s">
        <v>363</v>
      </c>
    </row>
    <row r="11" spans="1:26" x14ac:dyDescent="0.25">
      <c r="A11" s="80" t="s">
        <v>69</v>
      </c>
      <c r="B11" s="81">
        <v>79</v>
      </c>
      <c r="C11" s="82"/>
    </row>
    <row r="12" spans="1:26" x14ac:dyDescent="0.25">
      <c r="A12" s="73" t="s">
        <v>72</v>
      </c>
      <c r="B12" s="74"/>
      <c r="C12" s="79">
        <v>40</v>
      </c>
    </row>
    <row r="13" spans="1:26" x14ac:dyDescent="0.25">
      <c r="A13" s="73" t="s">
        <v>74</v>
      </c>
      <c r="B13" s="74">
        <v>79</v>
      </c>
      <c r="C13" s="79"/>
    </row>
    <row r="14" spans="1:26" x14ac:dyDescent="0.25">
      <c r="A14" s="73" t="s">
        <v>75</v>
      </c>
      <c r="B14" s="74"/>
      <c r="C14" s="79">
        <v>88</v>
      </c>
    </row>
    <row r="15" spans="1:26" x14ac:dyDescent="0.25">
      <c r="A15" s="73" t="s">
        <v>77</v>
      </c>
      <c r="B15" s="74"/>
      <c r="C15" s="79">
        <v>88</v>
      </c>
    </row>
    <row r="16" spans="1:26" x14ac:dyDescent="0.25">
      <c r="A16" s="73" t="s">
        <v>78</v>
      </c>
      <c r="B16" s="74"/>
      <c r="C16" s="79">
        <v>1</v>
      </c>
    </row>
    <row r="17" spans="1:3" x14ac:dyDescent="0.25">
      <c r="A17" s="73" t="s">
        <v>79</v>
      </c>
      <c r="B17" s="74"/>
      <c r="C17" s="79">
        <v>88</v>
      </c>
    </row>
    <row r="18" spans="1:3" x14ac:dyDescent="0.25">
      <c r="A18" s="73" t="s">
        <v>80</v>
      </c>
      <c r="B18" s="74"/>
      <c r="C18" s="79">
        <v>88</v>
      </c>
    </row>
    <row r="19" spans="1:3" x14ac:dyDescent="0.25">
      <c r="A19" s="73" t="s">
        <v>81</v>
      </c>
      <c r="B19" s="74"/>
      <c r="C19" s="79">
        <v>88</v>
      </c>
    </row>
    <row r="20" spans="1:3" x14ac:dyDescent="0.25">
      <c r="A20" s="73" t="s">
        <v>82</v>
      </c>
      <c r="B20" s="74"/>
      <c r="C20" s="79">
        <v>88</v>
      </c>
    </row>
    <row r="21" spans="1:3" ht="15.75" thickBot="1" x14ac:dyDescent="0.3">
      <c r="A21" s="83" t="s">
        <v>83</v>
      </c>
      <c r="B21" s="84"/>
      <c r="C21" s="85">
        <v>0.01</v>
      </c>
    </row>
    <row r="22" spans="1:3" ht="15.75" thickBot="1" x14ac:dyDescent="0.3">
      <c r="A22" s="86" t="s">
        <v>359</v>
      </c>
      <c r="B22" s="87">
        <f>SUM(B11:B21)</f>
        <v>158</v>
      </c>
      <c r="C22" s="87">
        <f>SUM(C11:C21)</f>
        <v>569.01</v>
      </c>
    </row>
  </sheetData>
  <customSheetViews>
    <customSheetView guid="{D2DB56BE-885F-4EB8-B044-5D9F6A74F9DB}">
      <selection activeCell="I11" sqref="I11"/>
      <pageMargins left="0.7" right="0.7" top="0.75" bottom="0.75" header="0.3" footer="0.3"/>
    </customSheetView>
  </customSheetViews>
  <mergeCells count="2">
    <mergeCell ref="A7:B7"/>
    <mergeCell ref="A8:B8"/>
  </mergeCells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9:Q32"/>
  <sheetViews>
    <sheetView topLeftCell="A19" workbookViewId="0">
      <selection activeCell="G33" sqref="G33"/>
    </sheetView>
  </sheetViews>
  <sheetFormatPr defaultRowHeight="15" x14ac:dyDescent="0.25"/>
  <cols>
    <col min="1" max="16384" width="9.140625" style="7"/>
  </cols>
  <sheetData>
    <row r="19" spans="1:17" x14ac:dyDescent="0.25">
      <c r="A19" s="7" t="s">
        <v>300</v>
      </c>
      <c r="D19" s="7" t="s">
        <v>301</v>
      </c>
      <c r="G19" s="7" t="s">
        <v>303</v>
      </c>
      <c r="J19" s="7" t="s">
        <v>305</v>
      </c>
      <c r="M19" s="7" t="s">
        <v>307</v>
      </c>
      <c r="P19" s="7" t="s">
        <v>309</v>
      </c>
    </row>
    <row r="20" spans="1:17" x14ac:dyDescent="0.25">
      <c r="A20" s="7" t="s">
        <v>105</v>
      </c>
      <c r="B20" s="7" t="s">
        <v>302</v>
      </c>
      <c r="D20" s="7" t="s">
        <v>105</v>
      </c>
      <c r="E20" s="7" t="s">
        <v>302</v>
      </c>
      <c r="G20" s="7" t="s">
        <v>105</v>
      </c>
      <c r="H20" s="7" t="s">
        <v>304</v>
      </c>
      <c r="J20" s="7" t="s">
        <v>56</v>
      </c>
      <c r="K20" s="7" t="s">
        <v>306</v>
      </c>
      <c r="M20" s="7" t="s">
        <v>56</v>
      </c>
      <c r="N20" s="7" t="s">
        <v>308</v>
      </c>
      <c r="P20" s="7" t="s">
        <v>56</v>
      </c>
      <c r="Q20" s="7" t="s">
        <v>308</v>
      </c>
    </row>
    <row r="21" spans="1:17" ht="15.75" thickBot="1" x14ac:dyDescent="0.3"/>
    <row r="22" spans="1:17" x14ac:dyDescent="0.25">
      <c r="A22" s="119" t="s">
        <v>110</v>
      </c>
      <c r="B22" s="120"/>
      <c r="C22" s="8" t="s">
        <v>310</v>
      </c>
    </row>
    <row r="23" spans="1:17" ht="15.75" thickBot="1" x14ac:dyDescent="0.3">
      <c r="A23" s="123" t="s">
        <v>65</v>
      </c>
      <c r="B23" s="124"/>
      <c r="C23" s="10" t="s">
        <v>311</v>
      </c>
    </row>
    <row r="24" spans="1:17" ht="15.75" thickBot="1" x14ac:dyDescent="0.3"/>
    <row r="25" spans="1:17" x14ac:dyDescent="0.25">
      <c r="A25" s="91" t="s">
        <v>338</v>
      </c>
      <c r="B25" s="76" t="s">
        <v>2</v>
      </c>
      <c r="C25" s="113" t="s">
        <v>8</v>
      </c>
    </row>
    <row r="26" spans="1:17" x14ac:dyDescent="0.25">
      <c r="A26" s="89" t="s">
        <v>300</v>
      </c>
      <c r="B26" s="90">
        <v>78</v>
      </c>
      <c r="C26" s="90"/>
    </row>
    <row r="27" spans="1:17" x14ac:dyDescent="0.25">
      <c r="A27" s="89" t="s">
        <v>301</v>
      </c>
      <c r="B27" s="90">
        <v>78</v>
      </c>
      <c r="C27" s="90"/>
    </row>
    <row r="28" spans="1:17" x14ac:dyDescent="0.25">
      <c r="A28" s="89" t="s">
        <v>303</v>
      </c>
      <c r="B28" s="90">
        <v>36</v>
      </c>
      <c r="C28" s="90"/>
    </row>
    <row r="29" spans="1:17" x14ac:dyDescent="0.25">
      <c r="A29" s="89" t="s">
        <v>305</v>
      </c>
      <c r="B29" s="90"/>
      <c r="C29" s="90">
        <v>0.15</v>
      </c>
    </row>
    <row r="30" spans="1:17" x14ac:dyDescent="0.25">
      <c r="A30" s="89" t="s">
        <v>307</v>
      </c>
      <c r="B30" s="90"/>
      <c r="C30" s="90">
        <v>0.4</v>
      </c>
    </row>
    <row r="31" spans="1:17" ht="15.75" thickBot="1" x14ac:dyDescent="0.3">
      <c r="A31" s="99" t="s">
        <v>309</v>
      </c>
      <c r="B31" s="102"/>
      <c r="C31" s="102">
        <v>0.4</v>
      </c>
    </row>
    <row r="32" spans="1:17" ht="15.75" thickBot="1" x14ac:dyDescent="0.3">
      <c r="A32" s="94" t="s">
        <v>359</v>
      </c>
      <c r="B32" s="104">
        <f>SUM(B26:B31)</f>
        <v>192</v>
      </c>
      <c r="C32" s="104">
        <f>SUM(C26:C31)</f>
        <v>0.95000000000000007</v>
      </c>
    </row>
  </sheetData>
  <customSheetViews>
    <customSheetView guid="{D2DB56BE-885F-4EB8-B044-5D9F6A74F9DB}" topLeftCell="A19">
      <selection activeCell="G33" sqref="G33"/>
      <pageMargins left="0.7" right="0.7" top="0.75" bottom="0.75" header="0.3" footer="0.3"/>
    </customSheetView>
  </customSheetViews>
  <mergeCells count="2">
    <mergeCell ref="A22:B22"/>
    <mergeCell ref="A23:B23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"/>
  <sheetViews>
    <sheetView zoomScaleNormal="100" workbookViewId="0">
      <selection activeCell="H17" sqref="H17"/>
    </sheetView>
  </sheetViews>
  <sheetFormatPr defaultRowHeight="15" x14ac:dyDescent="0.25"/>
  <sheetData>
    <row r="1" spans="1:17" x14ac:dyDescent="0.25">
      <c r="A1" t="s">
        <v>96</v>
      </c>
      <c r="D1" t="s">
        <v>98</v>
      </c>
      <c r="G1" t="s">
        <v>101</v>
      </c>
      <c r="J1" t="s">
        <v>103</v>
      </c>
      <c r="M1" t="s">
        <v>104</v>
      </c>
      <c r="P1" t="s">
        <v>106</v>
      </c>
    </row>
    <row r="2" spans="1:17" x14ac:dyDescent="0.25">
      <c r="A2" s="7" t="s">
        <v>97</v>
      </c>
      <c r="B2" t="s">
        <v>315</v>
      </c>
      <c r="D2" s="7" t="s">
        <v>99</v>
      </c>
      <c r="E2" t="s">
        <v>100</v>
      </c>
      <c r="G2" s="7" t="s">
        <v>56</v>
      </c>
      <c r="H2" t="s">
        <v>102</v>
      </c>
      <c r="J2" s="7" t="s">
        <v>56</v>
      </c>
      <c r="K2" t="s">
        <v>102</v>
      </c>
      <c r="M2" s="7" t="s">
        <v>105</v>
      </c>
      <c r="N2" t="s">
        <v>302</v>
      </c>
      <c r="P2" s="7" t="s">
        <v>105</v>
      </c>
      <c r="Q2" t="s">
        <v>304</v>
      </c>
    </row>
    <row r="3" spans="1:17" x14ac:dyDescent="0.25">
      <c r="G3" s="14"/>
      <c r="H3" s="15"/>
      <c r="I3" s="15"/>
      <c r="J3" s="14"/>
      <c r="K3" s="15"/>
    </row>
    <row r="4" spans="1:17" ht="15.75" thickBot="1" x14ac:dyDescent="0.3"/>
    <row r="5" spans="1:17" x14ac:dyDescent="0.25">
      <c r="A5" s="119" t="s">
        <v>107</v>
      </c>
      <c r="B5" s="120"/>
      <c r="C5" s="12" t="s">
        <v>315</v>
      </c>
    </row>
    <row r="6" spans="1:17" x14ac:dyDescent="0.25">
      <c r="A6" s="121" t="s">
        <v>108</v>
      </c>
      <c r="B6" s="122"/>
      <c r="C6" s="16" t="s">
        <v>100</v>
      </c>
    </row>
    <row r="7" spans="1:17" x14ac:dyDescent="0.25">
      <c r="A7" s="121" t="s">
        <v>65</v>
      </c>
      <c r="B7" s="122"/>
      <c r="C7" s="16" t="s">
        <v>109</v>
      </c>
    </row>
    <row r="8" spans="1:17" ht="15.75" thickBot="1" x14ac:dyDescent="0.3">
      <c r="A8" s="123" t="s">
        <v>110</v>
      </c>
      <c r="B8" s="124"/>
      <c r="C8" s="13" t="s">
        <v>316</v>
      </c>
    </row>
    <row r="9" spans="1:17" ht="15.75" thickBot="1" x14ac:dyDescent="0.3"/>
    <row r="10" spans="1:17" ht="15.75" thickBot="1" x14ac:dyDescent="0.3">
      <c r="A10" s="86" t="s">
        <v>338</v>
      </c>
      <c r="B10" s="65" t="s">
        <v>325</v>
      </c>
      <c r="C10" s="107" t="s">
        <v>13</v>
      </c>
      <c r="D10" s="65" t="s">
        <v>8</v>
      </c>
      <c r="E10" s="108" t="s">
        <v>2</v>
      </c>
    </row>
    <row r="11" spans="1:17" x14ac:dyDescent="0.25">
      <c r="A11" s="80" t="s">
        <v>96</v>
      </c>
      <c r="B11" s="81">
        <v>68</v>
      </c>
      <c r="C11" s="115"/>
      <c r="D11" s="81"/>
      <c r="E11" s="82"/>
    </row>
    <row r="12" spans="1:17" x14ac:dyDescent="0.25">
      <c r="A12" s="73" t="s">
        <v>98</v>
      </c>
      <c r="B12" s="74"/>
      <c r="C12" s="114">
        <v>250</v>
      </c>
      <c r="D12" s="74"/>
      <c r="E12" s="79"/>
    </row>
    <row r="13" spans="1:17" x14ac:dyDescent="0.25">
      <c r="A13" s="73" t="s">
        <v>101</v>
      </c>
      <c r="B13" s="74"/>
      <c r="C13" s="114"/>
      <c r="D13" s="74">
        <v>0.4</v>
      </c>
      <c r="E13" s="79"/>
    </row>
    <row r="14" spans="1:17" x14ac:dyDescent="0.25">
      <c r="A14" s="73" t="s">
        <v>103</v>
      </c>
      <c r="B14" s="74"/>
      <c r="C14" s="114"/>
      <c r="D14" s="74">
        <v>0.4</v>
      </c>
      <c r="E14" s="79"/>
    </row>
    <row r="15" spans="1:17" x14ac:dyDescent="0.25">
      <c r="A15" s="73" t="s">
        <v>104</v>
      </c>
      <c r="B15" s="74"/>
      <c r="C15" s="114"/>
      <c r="D15" s="74"/>
      <c r="E15" s="79">
        <v>78</v>
      </c>
    </row>
    <row r="16" spans="1:17" ht="15.75" thickBot="1" x14ac:dyDescent="0.3">
      <c r="A16" s="83" t="s">
        <v>106</v>
      </c>
      <c r="B16" s="84"/>
      <c r="C16" s="116"/>
      <c r="D16" s="84"/>
      <c r="E16" s="85">
        <v>36</v>
      </c>
    </row>
    <row r="17" spans="1:5" ht="15.75" thickBot="1" x14ac:dyDescent="0.3">
      <c r="A17" s="86" t="s">
        <v>359</v>
      </c>
      <c r="B17" s="87">
        <f>SUM(B11:B16)</f>
        <v>68</v>
      </c>
      <c r="C17" s="87">
        <f t="shared" ref="C17:E17" si="0">SUM(C11:C16)</f>
        <v>250</v>
      </c>
      <c r="D17" s="87">
        <f t="shared" si="0"/>
        <v>0.8</v>
      </c>
      <c r="E17" s="87">
        <f t="shared" si="0"/>
        <v>114</v>
      </c>
    </row>
  </sheetData>
  <customSheetViews>
    <customSheetView guid="{D2DB56BE-885F-4EB8-B044-5D9F6A74F9DB}">
      <selection activeCell="H17" sqref="H17"/>
      <pageMargins left="0.7" right="0.7" top="0.75" bottom="0.75" header="0.3" footer="0.3"/>
    </customSheetView>
  </customSheetViews>
  <mergeCells count="4">
    <mergeCell ref="A5:B5"/>
    <mergeCell ref="A6:B6"/>
    <mergeCell ref="A7:B7"/>
    <mergeCell ref="A8:B8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"/>
  <sheetViews>
    <sheetView workbookViewId="0">
      <selection activeCell="O35" sqref="O35"/>
    </sheetView>
  </sheetViews>
  <sheetFormatPr defaultRowHeight="15" x14ac:dyDescent="0.25"/>
  <sheetData>
    <row r="1" spans="1:17" x14ac:dyDescent="0.25">
      <c r="A1" t="s">
        <v>55</v>
      </c>
      <c r="D1" t="s">
        <v>58</v>
      </c>
      <c r="G1" t="s">
        <v>59</v>
      </c>
      <c r="J1" t="s">
        <v>61</v>
      </c>
      <c r="M1" t="s">
        <v>62</v>
      </c>
      <c r="P1" t="s">
        <v>63</v>
      </c>
    </row>
    <row r="2" spans="1:17" x14ac:dyDescent="0.25">
      <c r="A2" s="7" t="s">
        <v>56</v>
      </c>
      <c r="B2" t="s">
        <v>57</v>
      </c>
      <c r="D2" s="7" t="s">
        <v>56</v>
      </c>
      <c r="E2" t="s">
        <v>313</v>
      </c>
      <c r="G2" s="7" t="s">
        <v>56</v>
      </c>
      <c r="H2" t="s">
        <v>312</v>
      </c>
      <c r="J2" s="7" t="s">
        <v>56</v>
      </c>
      <c r="K2" t="s">
        <v>312</v>
      </c>
      <c r="M2" s="7" t="s">
        <v>56</v>
      </c>
      <c r="N2" t="s">
        <v>312</v>
      </c>
      <c r="P2" s="7" t="s">
        <v>56</v>
      </c>
      <c r="Q2" t="s">
        <v>312</v>
      </c>
    </row>
    <row r="3" spans="1:17" ht="15.75" thickBot="1" x14ac:dyDescent="0.3"/>
    <row r="4" spans="1:17" ht="15.75" thickBot="1" x14ac:dyDescent="0.3">
      <c r="A4" s="125" t="s">
        <v>65</v>
      </c>
      <c r="B4" s="126"/>
      <c r="C4" s="11" t="s">
        <v>314</v>
      </c>
    </row>
    <row r="5" spans="1:17" ht="15.75" thickBot="1" x14ac:dyDescent="0.3"/>
    <row r="6" spans="1:17" ht="15.75" thickBot="1" x14ac:dyDescent="0.3">
      <c r="A6" s="86" t="s">
        <v>338</v>
      </c>
      <c r="B6" s="65" t="s">
        <v>8</v>
      </c>
    </row>
    <row r="7" spans="1:17" x14ac:dyDescent="0.25">
      <c r="A7" s="80" t="s">
        <v>55</v>
      </c>
      <c r="B7" s="117">
        <v>1</v>
      </c>
    </row>
    <row r="8" spans="1:17" x14ac:dyDescent="0.25">
      <c r="A8" s="73" t="s">
        <v>58</v>
      </c>
      <c r="B8" s="74">
        <v>6.4000000000000001E-2</v>
      </c>
    </row>
    <row r="9" spans="1:17" x14ac:dyDescent="0.25">
      <c r="A9" s="73" t="s">
        <v>59</v>
      </c>
      <c r="B9" s="74">
        <v>0.1</v>
      </c>
    </row>
    <row r="10" spans="1:17" x14ac:dyDescent="0.25">
      <c r="A10" s="73" t="s">
        <v>61</v>
      </c>
      <c r="B10" s="74">
        <v>0.1</v>
      </c>
    </row>
    <row r="11" spans="1:17" x14ac:dyDescent="0.25">
      <c r="A11" s="73" t="s">
        <v>62</v>
      </c>
      <c r="B11" s="74">
        <v>0.1</v>
      </c>
    </row>
    <row r="12" spans="1:17" ht="15.75" thickBot="1" x14ac:dyDescent="0.3">
      <c r="A12" s="83" t="s">
        <v>63</v>
      </c>
      <c r="B12" s="84">
        <v>0.1</v>
      </c>
    </row>
    <row r="13" spans="1:17" ht="15.75" thickBot="1" x14ac:dyDescent="0.3">
      <c r="A13" s="86" t="s">
        <v>359</v>
      </c>
      <c r="B13" s="87">
        <f>SUM(B7:B12)</f>
        <v>1.4640000000000004</v>
      </c>
    </row>
  </sheetData>
  <customSheetViews>
    <customSheetView guid="{D2DB56BE-885F-4EB8-B044-5D9F6A74F9DB}">
      <selection activeCell="O35" sqref="O35"/>
      <pageMargins left="0.7" right="0.7" top="0.75" bottom="0.75" header="0.3" footer="0.3"/>
    </customSheetView>
  </customSheetViews>
  <mergeCells count="1">
    <mergeCell ref="A4:B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zoomScaleNormal="100" workbookViewId="0">
      <selection activeCell="E43" sqref="E43"/>
    </sheetView>
  </sheetViews>
  <sheetFormatPr defaultRowHeight="15" x14ac:dyDescent="0.25"/>
  <cols>
    <col min="1" max="1" width="9.140625" style="7"/>
    <col min="2" max="2" width="12.42578125" style="7" bestFit="1" customWidth="1"/>
    <col min="3" max="3" width="9.5703125" style="7" bestFit="1" customWidth="1"/>
    <col min="4" max="4" width="9.42578125" style="7" bestFit="1" customWidth="1"/>
    <col min="5" max="5" width="11.42578125" style="7" bestFit="1" customWidth="1"/>
    <col min="6" max="7" width="9.140625" style="7"/>
    <col min="8" max="8" width="12.42578125" style="7" bestFit="1" customWidth="1"/>
    <col min="9" max="10" width="9.140625" style="7"/>
    <col min="11" max="11" width="12.42578125" style="7" bestFit="1" customWidth="1"/>
    <col min="12" max="16384" width="9.140625" style="7"/>
  </cols>
  <sheetData>
    <row r="1" spans="1:13" x14ac:dyDescent="0.25">
      <c r="A1" s="118" t="s">
        <v>271</v>
      </c>
      <c r="B1" s="118"/>
      <c r="D1" s="7" t="s">
        <v>40</v>
      </c>
      <c r="G1" s="118" t="s">
        <v>275</v>
      </c>
      <c r="H1" s="118"/>
      <c r="J1" s="118" t="s">
        <v>276</v>
      </c>
      <c r="K1" s="118"/>
      <c r="L1" s="118"/>
      <c r="M1" s="118"/>
    </row>
    <row r="2" spans="1:13" x14ac:dyDescent="0.25">
      <c r="A2" s="7" t="s">
        <v>41</v>
      </c>
      <c r="B2" s="7" t="s">
        <v>272</v>
      </c>
      <c r="D2" s="7" t="s">
        <v>41</v>
      </c>
      <c r="E2" s="7" t="s">
        <v>223</v>
      </c>
      <c r="G2" s="7" t="s">
        <v>41</v>
      </c>
      <c r="H2" s="7" t="s">
        <v>272</v>
      </c>
      <c r="J2" s="7" t="s">
        <v>41</v>
      </c>
      <c r="K2" s="7" t="s">
        <v>277</v>
      </c>
    </row>
    <row r="3" spans="1:13" x14ac:dyDescent="0.25">
      <c r="A3" s="7" t="s">
        <v>42</v>
      </c>
      <c r="B3" s="7" t="s">
        <v>273</v>
      </c>
      <c r="D3" s="7" t="s">
        <v>44</v>
      </c>
      <c r="E3" s="7" t="s">
        <v>274</v>
      </c>
      <c r="G3" s="7" t="s">
        <v>42</v>
      </c>
      <c r="H3" s="7" t="s">
        <v>273</v>
      </c>
      <c r="J3" s="7" t="s">
        <v>44</v>
      </c>
      <c r="K3" s="7" t="s">
        <v>278</v>
      </c>
    </row>
    <row r="4" spans="1:13" ht="15.75" thickBot="1" x14ac:dyDescent="0.3"/>
    <row r="5" spans="1:13" x14ac:dyDescent="0.25">
      <c r="A5" s="119" t="s">
        <v>45</v>
      </c>
      <c r="B5" s="120"/>
      <c r="C5" s="8" t="s">
        <v>279</v>
      </c>
    </row>
    <row r="6" spans="1:13" x14ac:dyDescent="0.25">
      <c r="A6" s="121" t="s">
        <v>46</v>
      </c>
      <c r="B6" s="122"/>
      <c r="C6" s="9" t="s">
        <v>280</v>
      </c>
    </row>
    <row r="7" spans="1:13" ht="15.75" thickBot="1" x14ac:dyDescent="0.3">
      <c r="A7" s="123" t="s">
        <v>47</v>
      </c>
      <c r="B7" s="124"/>
      <c r="C7" s="10" t="s">
        <v>281</v>
      </c>
    </row>
    <row r="9" spans="1:13" ht="15.75" thickBot="1" x14ac:dyDescent="0.3"/>
    <row r="10" spans="1:13" ht="15.75" thickBot="1" x14ac:dyDescent="0.3">
      <c r="A10" s="65" t="s">
        <v>338</v>
      </c>
      <c r="B10" s="66" t="s">
        <v>9</v>
      </c>
      <c r="C10" s="67" t="s">
        <v>18</v>
      </c>
      <c r="D10" s="68" t="s">
        <v>339</v>
      </c>
    </row>
    <row r="11" spans="1:13" x14ac:dyDescent="0.25">
      <c r="A11" s="61" t="s">
        <v>340</v>
      </c>
      <c r="B11" s="62">
        <v>40.01</v>
      </c>
      <c r="C11" s="63">
        <v>0</v>
      </c>
      <c r="D11" s="64">
        <v>0</v>
      </c>
    </row>
    <row r="12" spans="1:13" x14ac:dyDescent="0.25">
      <c r="A12" s="57" t="s">
        <v>341</v>
      </c>
      <c r="B12" s="58">
        <v>40.01</v>
      </c>
      <c r="C12" s="59">
        <v>0</v>
      </c>
      <c r="D12" s="60">
        <v>0</v>
      </c>
    </row>
    <row r="13" spans="1:13" x14ac:dyDescent="0.25">
      <c r="A13" s="57" t="s">
        <v>342</v>
      </c>
      <c r="B13" s="58">
        <v>20.010000000000002</v>
      </c>
      <c r="C13" s="59">
        <v>20.010000000000002</v>
      </c>
      <c r="D13" s="60">
        <v>0</v>
      </c>
    </row>
    <row r="14" spans="1:13" x14ac:dyDescent="0.25">
      <c r="A14" s="57" t="s">
        <v>343</v>
      </c>
      <c r="B14" s="58">
        <v>40.01</v>
      </c>
      <c r="C14" s="59">
        <v>0</v>
      </c>
      <c r="D14" s="60">
        <v>0</v>
      </c>
    </row>
    <row r="15" spans="1:13" x14ac:dyDescent="0.25">
      <c r="A15" s="57" t="s">
        <v>344</v>
      </c>
      <c r="B15" s="58">
        <v>40.01</v>
      </c>
      <c r="C15" s="59">
        <v>0</v>
      </c>
      <c r="D15" s="60">
        <v>0</v>
      </c>
    </row>
    <row r="16" spans="1:13" x14ac:dyDescent="0.25">
      <c r="A16" s="57" t="s">
        <v>345</v>
      </c>
      <c r="B16" s="58">
        <v>20.010000000000002</v>
      </c>
      <c r="C16" s="59">
        <v>20.010000000000002</v>
      </c>
      <c r="D16" s="60">
        <v>0</v>
      </c>
    </row>
    <row r="17" spans="1:4" x14ac:dyDescent="0.25">
      <c r="A17" s="57" t="s">
        <v>346</v>
      </c>
      <c r="B17" s="58">
        <v>20.010000000000002</v>
      </c>
      <c r="C17" s="59">
        <v>0</v>
      </c>
      <c r="D17" s="60">
        <v>20.010000000000002</v>
      </c>
    </row>
    <row r="18" spans="1:4" x14ac:dyDescent="0.25">
      <c r="A18" s="57" t="s">
        <v>350</v>
      </c>
      <c r="B18" s="58">
        <v>20.010000000000002</v>
      </c>
      <c r="C18" s="59">
        <v>0</v>
      </c>
      <c r="D18" s="60">
        <v>20.010000000000002</v>
      </c>
    </row>
    <row r="19" spans="1:4" x14ac:dyDescent="0.25">
      <c r="A19" s="57" t="s">
        <v>351</v>
      </c>
      <c r="B19" s="58">
        <v>20.010000000000002</v>
      </c>
      <c r="C19" s="59">
        <v>0</v>
      </c>
      <c r="D19" s="60">
        <v>20.010000000000002</v>
      </c>
    </row>
    <row r="20" spans="1:4" x14ac:dyDescent="0.25">
      <c r="A20" s="57" t="s">
        <v>347</v>
      </c>
      <c r="B20" s="58">
        <v>20.010000000000002</v>
      </c>
      <c r="C20" s="59">
        <v>0</v>
      </c>
      <c r="D20" s="60">
        <v>20.010000000000002</v>
      </c>
    </row>
    <row r="21" spans="1:4" x14ac:dyDescent="0.25">
      <c r="A21" s="57" t="s">
        <v>348</v>
      </c>
      <c r="B21" s="58">
        <v>20.010000000000002</v>
      </c>
      <c r="C21" s="59">
        <v>0</v>
      </c>
      <c r="D21" s="60">
        <v>20.010000000000002</v>
      </c>
    </row>
    <row r="22" spans="1:4" x14ac:dyDescent="0.25">
      <c r="A22" s="57" t="s">
        <v>349</v>
      </c>
      <c r="B22" s="58">
        <v>20.010000000000002</v>
      </c>
      <c r="C22" s="59">
        <v>0</v>
      </c>
      <c r="D22" s="60">
        <v>20.010000000000002</v>
      </c>
    </row>
    <row r="23" spans="1:4" x14ac:dyDescent="0.25">
      <c r="A23" s="57" t="s">
        <v>352</v>
      </c>
      <c r="B23" s="58">
        <v>20.010000000000002</v>
      </c>
      <c r="C23" s="59">
        <v>0</v>
      </c>
      <c r="D23" s="60">
        <v>20.010000000000002</v>
      </c>
    </row>
    <row r="24" spans="1:4" x14ac:dyDescent="0.25">
      <c r="A24" s="57" t="s">
        <v>40</v>
      </c>
      <c r="B24" s="58">
        <v>40.01</v>
      </c>
      <c r="C24" s="59">
        <v>0</v>
      </c>
      <c r="D24" s="60">
        <v>20.010000000000002</v>
      </c>
    </row>
    <row r="25" spans="1:4" ht="15.75" thickBot="1" x14ac:dyDescent="0.3">
      <c r="A25" s="69" t="s">
        <v>359</v>
      </c>
      <c r="B25" s="70">
        <f>SUM(B11:B24)</f>
        <v>380.13999999999993</v>
      </c>
      <c r="C25" s="71">
        <f>SUM(C11:C24)</f>
        <v>40.020000000000003</v>
      </c>
      <c r="D25" s="72">
        <f>SUM(D11:D24)</f>
        <v>160.08000000000001</v>
      </c>
    </row>
  </sheetData>
  <customSheetViews>
    <customSheetView guid="{D2DB56BE-885F-4EB8-B044-5D9F6A74F9DB}">
      <selection activeCell="E43" sqref="E43"/>
      <pageMargins left="0.7" right="0.7" top="0.75" bottom="0.75" header="0.3" footer="0.3"/>
      <pageSetup orientation="portrait" r:id="rId1"/>
    </customSheetView>
  </customSheetViews>
  <mergeCells count="6">
    <mergeCell ref="J1:M1"/>
    <mergeCell ref="A5:B5"/>
    <mergeCell ref="A6:B6"/>
    <mergeCell ref="A7:B7"/>
    <mergeCell ref="A1:B1"/>
    <mergeCell ref="G1:H1"/>
  </mergeCell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5"/>
  <sheetViews>
    <sheetView workbookViewId="0">
      <selection activeCell="F22" sqref="F22"/>
    </sheetView>
  </sheetViews>
  <sheetFormatPr defaultRowHeight="15" x14ac:dyDescent="0.25"/>
  <sheetData>
    <row r="1" spans="1:23" x14ac:dyDescent="0.25">
      <c r="A1" t="s">
        <v>199</v>
      </c>
      <c r="D1" t="s">
        <v>201</v>
      </c>
      <c r="G1" t="s">
        <v>203</v>
      </c>
      <c r="J1" t="s">
        <v>205</v>
      </c>
      <c r="M1" t="s">
        <v>207</v>
      </c>
      <c r="P1" t="s">
        <v>209</v>
      </c>
      <c r="S1" t="s">
        <v>211</v>
      </c>
      <c r="V1" t="s">
        <v>213</v>
      </c>
    </row>
    <row r="2" spans="1:23" x14ac:dyDescent="0.25">
      <c r="A2" s="7" t="s">
        <v>41</v>
      </c>
      <c r="B2" t="s">
        <v>200</v>
      </c>
      <c r="D2" s="7" t="s">
        <v>41</v>
      </c>
      <c r="E2" t="s">
        <v>202</v>
      </c>
      <c r="G2" s="7" t="s">
        <v>41</v>
      </c>
      <c r="H2" t="s">
        <v>204</v>
      </c>
      <c r="J2" s="7" t="s">
        <v>41</v>
      </c>
      <c r="K2" t="s">
        <v>206</v>
      </c>
      <c r="M2" s="7" t="s">
        <v>41</v>
      </c>
      <c r="N2" t="s">
        <v>208</v>
      </c>
      <c r="P2" s="7" t="s">
        <v>41</v>
      </c>
      <c r="Q2" t="s">
        <v>210</v>
      </c>
      <c r="S2" s="7" t="s">
        <v>41</v>
      </c>
      <c r="T2" t="s">
        <v>212</v>
      </c>
      <c r="V2" s="7" t="s">
        <v>41</v>
      </c>
      <c r="W2" t="s">
        <v>204</v>
      </c>
    </row>
    <row r="3" spans="1:23" ht="15.75" thickBot="1" x14ac:dyDescent="0.3"/>
    <row r="4" spans="1:23" ht="15.75" thickBot="1" x14ac:dyDescent="0.3">
      <c r="A4" s="125" t="s">
        <v>45</v>
      </c>
      <c r="B4" s="126"/>
      <c r="C4" s="11" t="s">
        <v>214</v>
      </c>
    </row>
    <row r="5" spans="1:23" ht="15.75" thickBot="1" x14ac:dyDescent="0.3"/>
    <row r="6" spans="1:23" x14ac:dyDescent="0.25">
      <c r="A6" s="75" t="s">
        <v>338</v>
      </c>
      <c r="B6" s="76" t="s">
        <v>9</v>
      </c>
    </row>
    <row r="7" spans="1:23" x14ac:dyDescent="0.25">
      <c r="A7" s="73" t="s">
        <v>199</v>
      </c>
      <c r="B7" s="74">
        <v>4.8000000000000001E-2</v>
      </c>
    </row>
    <row r="8" spans="1:23" x14ac:dyDescent="0.25">
      <c r="A8" s="73" t="s">
        <v>201</v>
      </c>
      <c r="B8" s="74">
        <v>0.24</v>
      </c>
    </row>
    <row r="9" spans="1:23" x14ac:dyDescent="0.25">
      <c r="A9" s="73" t="s">
        <v>203</v>
      </c>
      <c r="B9" s="74">
        <v>0.09</v>
      </c>
    </row>
    <row r="10" spans="1:23" x14ac:dyDescent="0.25">
      <c r="A10" s="73" t="s">
        <v>205</v>
      </c>
      <c r="B10" s="74">
        <v>0.05</v>
      </c>
    </row>
    <row r="11" spans="1:23" x14ac:dyDescent="0.25">
      <c r="A11" s="73" t="s">
        <v>207</v>
      </c>
      <c r="B11" s="74">
        <v>0.52</v>
      </c>
    </row>
    <row r="12" spans="1:23" x14ac:dyDescent="0.25">
      <c r="A12" s="73" t="s">
        <v>209</v>
      </c>
      <c r="B12" s="74">
        <v>4.5999999999999999E-2</v>
      </c>
    </row>
    <row r="13" spans="1:23" x14ac:dyDescent="0.25">
      <c r="A13" s="73" t="s">
        <v>211</v>
      </c>
      <c r="B13" s="74">
        <v>0.28000000000000003</v>
      </c>
    </row>
    <row r="14" spans="1:23" x14ac:dyDescent="0.25">
      <c r="A14" s="73" t="s">
        <v>213</v>
      </c>
      <c r="B14" s="74">
        <v>0.09</v>
      </c>
    </row>
    <row r="15" spans="1:23" ht="15.75" thickBot="1" x14ac:dyDescent="0.3">
      <c r="A15" s="77" t="s">
        <v>359</v>
      </c>
      <c r="B15" s="78">
        <f>SUM(B7:B14)</f>
        <v>1.3640000000000001</v>
      </c>
    </row>
  </sheetData>
  <customSheetViews>
    <customSheetView guid="{D2DB56BE-885F-4EB8-B044-5D9F6A74F9DB}">
      <selection activeCell="F22" sqref="F22"/>
      <pageMargins left="0.7" right="0.7" top="0.75" bottom="0.75" header="0.3" footer="0.3"/>
    </customSheetView>
  </customSheetViews>
  <mergeCells count="1">
    <mergeCell ref="A4:B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0"/>
  <sheetViews>
    <sheetView workbookViewId="0">
      <selection activeCell="G34" sqref="G34"/>
    </sheetView>
  </sheetViews>
  <sheetFormatPr defaultRowHeight="15" x14ac:dyDescent="0.25"/>
  <cols>
    <col min="1" max="1" width="11.140625" bestFit="1" customWidth="1"/>
    <col min="2" max="2" width="11.28515625" customWidth="1"/>
    <col min="3" max="4" width="11.140625" bestFit="1" customWidth="1"/>
    <col min="7" max="7" width="11.140625" bestFit="1" customWidth="1"/>
    <col min="10" max="10" width="11.140625" bestFit="1" customWidth="1"/>
    <col min="13" max="13" width="11.140625" bestFit="1" customWidth="1"/>
    <col min="16" max="16" width="11.140625" bestFit="1" customWidth="1"/>
    <col min="19" max="19" width="11.140625" bestFit="1" customWidth="1"/>
    <col min="22" max="22" width="11.140625" bestFit="1" customWidth="1"/>
  </cols>
  <sheetData>
    <row r="1" spans="1:23" x14ac:dyDescent="0.25">
      <c r="A1" t="s">
        <v>163</v>
      </c>
      <c r="D1" t="s">
        <v>166</v>
      </c>
      <c r="G1" s="17" t="s">
        <v>167</v>
      </c>
      <c r="J1" t="s">
        <v>169</v>
      </c>
    </row>
    <row r="2" spans="1:23" x14ac:dyDescent="0.25">
      <c r="A2" s="7" t="s">
        <v>164</v>
      </c>
      <c r="B2" t="s">
        <v>165</v>
      </c>
      <c r="D2" s="7" t="s">
        <v>164</v>
      </c>
      <c r="E2" s="48" t="s">
        <v>354</v>
      </c>
      <c r="G2" s="7" t="s">
        <v>164</v>
      </c>
      <c r="H2" t="s">
        <v>168</v>
      </c>
      <c r="J2" s="7" t="s">
        <v>164</v>
      </c>
      <c r="K2" t="s">
        <v>353</v>
      </c>
    </row>
    <row r="4" spans="1:23" x14ac:dyDescent="0.25">
      <c r="A4" t="s">
        <v>170</v>
      </c>
      <c r="D4" t="s">
        <v>173</v>
      </c>
      <c r="G4" t="s">
        <v>175</v>
      </c>
      <c r="J4" t="s">
        <v>177</v>
      </c>
      <c r="M4" t="s">
        <v>178</v>
      </c>
      <c r="P4" t="s">
        <v>179</v>
      </c>
      <c r="S4" t="s">
        <v>180</v>
      </c>
      <c r="V4" t="s">
        <v>181</v>
      </c>
    </row>
    <row r="5" spans="1:23" x14ac:dyDescent="0.25">
      <c r="A5" s="7" t="s">
        <v>171</v>
      </c>
      <c r="B5" s="48" t="s">
        <v>355</v>
      </c>
      <c r="D5" s="7" t="s">
        <v>171</v>
      </c>
      <c r="E5" t="s">
        <v>174</v>
      </c>
      <c r="G5" s="7" t="s">
        <v>176</v>
      </c>
      <c r="H5" t="s">
        <v>172</v>
      </c>
      <c r="J5" s="7" t="s">
        <v>176</v>
      </c>
      <c r="K5" t="s">
        <v>172</v>
      </c>
      <c r="M5" s="7" t="s">
        <v>171</v>
      </c>
      <c r="N5" t="s">
        <v>172</v>
      </c>
      <c r="P5" s="7" t="s">
        <v>171</v>
      </c>
      <c r="Q5" t="s">
        <v>172</v>
      </c>
      <c r="S5" s="7" t="s">
        <v>171</v>
      </c>
      <c r="T5" t="s">
        <v>172</v>
      </c>
      <c r="V5" s="7" t="s">
        <v>171</v>
      </c>
      <c r="W5" t="s">
        <v>182</v>
      </c>
    </row>
    <row r="7" spans="1:23" x14ac:dyDescent="0.25">
      <c r="A7" t="s">
        <v>183</v>
      </c>
      <c r="D7" t="s">
        <v>185</v>
      </c>
    </row>
    <row r="8" spans="1:23" x14ac:dyDescent="0.25">
      <c r="A8" s="7" t="s">
        <v>171</v>
      </c>
      <c r="B8" t="s">
        <v>184</v>
      </c>
      <c r="D8" s="7" t="s">
        <v>171</v>
      </c>
      <c r="E8" t="s">
        <v>186</v>
      </c>
    </row>
    <row r="9" spans="1:23" ht="15.75" thickBot="1" x14ac:dyDescent="0.3"/>
    <row r="10" spans="1:23" x14ac:dyDescent="0.25">
      <c r="A10" s="119" t="s">
        <v>187</v>
      </c>
      <c r="B10" s="120"/>
      <c r="C10" s="12" t="s">
        <v>360</v>
      </c>
    </row>
    <row r="11" spans="1:23" x14ac:dyDescent="0.25">
      <c r="A11" s="121" t="s">
        <v>188</v>
      </c>
      <c r="B11" s="122"/>
      <c r="C11" s="16" t="s">
        <v>361</v>
      </c>
    </row>
    <row r="12" spans="1:23" ht="15.75" thickBot="1" x14ac:dyDescent="0.3">
      <c r="A12" s="123" t="s">
        <v>189</v>
      </c>
      <c r="B12" s="124"/>
      <c r="C12" s="13" t="s">
        <v>190</v>
      </c>
    </row>
    <row r="14" spans="1:23" ht="15.75" thickBot="1" x14ac:dyDescent="0.3"/>
    <row r="15" spans="1:23" ht="15.75" thickBot="1" x14ac:dyDescent="0.3">
      <c r="A15" s="86" t="s">
        <v>338</v>
      </c>
      <c r="B15" s="67" t="s">
        <v>334</v>
      </c>
      <c r="C15" s="67" t="s">
        <v>317</v>
      </c>
      <c r="D15" s="68" t="s">
        <v>318</v>
      </c>
    </row>
    <row r="16" spans="1:23" x14ac:dyDescent="0.25">
      <c r="A16" s="80" t="s">
        <v>163</v>
      </c>
      <c r="B16" s="81">
        <v>124</v>
      </c>
      <c r="C16" s="81"/>
      <c r="D16" s="82"/>
    </row>
    <row r="17" spans="1:4" x14ac:dyDescent="0.25">
      <c r="A17" s="73" t="s">
        <v>166</v>
      </c>
      <c r="B17" s="74">
        <v>520</v>
      </c>
      <c r="C17" s="74"/>
      <c r="D17" s="79"/>
    </row>
    <row r="18" spans="1:4" x14ac:dyDescent="0.25">
      <c r="A18" s="73" t="s">
        <v>167</v>
      </c>
      <c r="B18" s="74">
        <v>436</v>
      </c>
      <c r="C18" s="74"/>
      <c r="D18" s="79"/>
    </row>
    <row r="19" spans="1:4" x14ac:dyDescent="0.25">
      <c r="A19" s="73" t="s">
        <v>169</v>
      </c>
      <c r="B19" s="74">
        <v>570</v>
      </c>
      <c r="C19" s="74"/>
      <c r="D19" s="79"/>
    </row>
    <row r="20" spans="1:4" x14ac:dyDescent="0.25">
      <c r="A20" s="73" t="s">
        <v>170</v>
      </c>
      <c r="B20" s="74"/>
      <c r="C20" s="74">
        <v>0</v>
      </c>
      <c r="D20" s="79"/>
    </row>
    <row r="21" spans="1:4" x14ac:dyDescent="0.25">
      <c r="A21" s="73" t="s">
        <v>173</v>
      </c>
      <c r="B21" s="74"/>
      <c r="C21" s="74">
        <v>66</v>
      </c>
      <c r="D21" s="79"/>
    </row>
    <row r="22" spans="1:4" x14ac:dyDescent="0.25">
      <c r="A22" s="73" t="s">
        <v>175</v>
      </c>
      <c r="B22" s="74"/>
      <c r="C22" s="74"/>
      <c r="D22" s="79">
        <v>65</v>
      </c>
    </row>
    <row r="23" spans="1:4" x14ac:dyDescent="0.25">
      <c r="A23" s="73" t="s">
        <v>177</v>
      </c>
      <c r="B23" s="74"/>
      <c r="C23" s="74"/>
      <c r="D23" s="79">
        <v>65</v>
      </c>
    </row>
    <row r="24" spans="1:4" x14ac:dyDescent="0.25">
      <c r="A24" s="73" t="s">
        <v>178</v>
      </c>
      <c r="B24" s="74"/>
      <c r="C24" s="74">
        <v>65</v>
      </c>
      <c r="D24" s="79"/>
    </row>
    <row r="25" spans="1:4" x14ac:dyDescent="0.25">
      <c r="A25" s="73" t="s">
        <v>179</v>
      </c>
      <c r="B25" s="74"/>
      <c r="C25" s="74">
        <v>65</v>
      </c>
      <c r="D25" s="79"/>
    </row>
    <row r="26" spans="1:4" x14ac:dyDescent="0.25">
      <c r="A26" s="73" t="s">
        <v>180</v>
      </c>
      <c r="B26" s="74"/>
      <c r="C26" s="74">
        <v>65</v>
      </c>
      <c r="D26" s="79"/>
    </row>
    <row r="27" spans="1:4" x14ac:dyDescent="0.25">
      <c r="A27" s="73" t="s">
        <v>181</v>
      </c>
      <c r="B27" s="74"/>
      <c r="C27" s="74">
        <v>155</v>
      </c>
      <c r="D27" s="79"/>
    </row>
    <row r="28" spans="1:4" x14ac:dyDescent="0.25">
      <c r="A28" s="73" t="s">
        <v>183</v>
      </c>
      <c r="B28" s="74"/>
      <c r="C28" s="74">
        <v>120</v>
      </c>
      <c r="D28" s="79"/>
    </row>
    <row r="29" spans="1:4" ht="15.75" thickBot="1" x14ac:dyDescent="0.3">
      <c r="A29" s="83" t="s">
        <v>185</v>
      </c>
      <c r="B29" s="84"/>
      <c r="C29" s="84">
        <v>45</v>
      </c>
      <c r="D29" s="85"/>
    </row>
    <row r="30" spans="1:4" ht="15.75" thickBot="1" x14ac:dyDescent="0.3">
      <c r="A30" s="86" t="s">
        <v>359</v>
      </c>
      <c r="B30" s="87">
        <f>SUM(B16:B29)</f>
        <v>1650</v>
      </c>
      <c r="C30" s="87">
        <f>SUM(C16:C29)</f>
        <v>581</v>
      </c>
      <c r="D30" s="88">
        <f>SUM(D16:D29)</f>
        <v>130</v>
      </c>
    </row>
  </sheetData>
  <customSheetViews>
    <customSheetView guid="{D2DB56BE-885F-4EB8-B044-5D9F6A74F9DB}">
      <selection activeCell="G34" sqref="G34"/>
      <pageMargins left="0.7" right="0.7" top="0.75" bottom="0.75" header="0.3" footer="0.3"/>
      <pageSetup orientation="portrait" r:id="rId1"/>
    </customSheetView>
  </customSheetViews>
  <mergeCells count="3">
    <mergeCell ref="A10:B10"/>
    <mergeCell ref="A11:B11"/>
    <mergeCell ref="A12:B12"/>
  </mergeCells>
  <pageMargins left="0.7" right="0.7" top="0.75" bottom="0.75" header="0.3" footer="0.3"/>
  <pageSetup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H17" sqref="H17"/>
    </sheetView>
  </sheetViews>
  <sheetFormatPr defaultRowHeight="15" x14ac:dyDescent="0.25"/>
  <sheetData>
    <row r="1" spans="1:5" x14ac:dyDescent="0.25">
      <c r="A1" t="s">
        <v>191</v>
      </c>
      <c r="D1" t="s">
        <v>195</v>
      </c>
    </row>
    <row r="2" spans="1:5" x14ac:dyDescent="0.25">
      <c r="A2" s="7" t="s">
        <v>192</v>
      </c>
      <c r="B2" t="s">
        <v>194</v>
      </c>
      <c r="D2" s="7" t="s">
        <v>192</v>
      </c>
      <c r="E2" t="s">
        <v>194</v>
      </c>
    </row>
    <row r="3" spans="1:5" x14ac:dyDescent="0.25">
      <c r="A3" s="7" t="s">
        <v>193</v>
      </c>
      <c r="B3" t="s">
        <v>194</v>
      </c>
      <c r="D3" s="7" t="s">
        <v>193</v>
      </c>
      <c r="E3" t="s">
        <v>194</v>
      </c>
    </row>
    <row r="4" spans="1:5" ht="15.75" thickBot="1" x14ac:dyDescent="0.3"/>
    <row r="5" spans="1:5" x14ac:dyDescent="0.25">
      <c r="A5" s="119" t="s">
        <v>196</v>
      </c>
      <c r="B5" s="120"/>
      <c r="C5" s="12" t="s">
        <v>198</v>
      </c>
    </row>
    <row r="6" spans="1:5" ht="15.75" thickBot="1" x14ac:dyDescent="0.3">
      <c r="A6" s="123" t="s">
        <v>197</v>
      </c>
      <c r="B6" s="124"/>
      <c r="C6" s="13" t="s">
        <v>198</v>
      </c>
    </row>
    <row r="7" spans="1:5" ht="15.75" thickBot="1" x14ac:dyDescent="0.3"/>
    <row r="8" spans="1:5" ht="15.75" thickBot="1" x14ac:dyDescent="0.3">
      <c r="A8" s="86" t="s">
        <v>338</v>
      </c>
      <c r="B8" s="65" t="s">
        <v>7</v>
      </c>
      <c r="C8" s="65" t="s">
        <v>19</v>
      </c>
    </row>
    <row r="9" spans="1:5" x14ac:dyDescent="0.25">
      <c r="A9" s="80" t="s">
        <v>191</v>
      </c>
      <c r="B9" s="81">
        <v>12</v>
      </c>
      <c r="C9" s="81">
        <v>12</v>
      </c>
    </row>
    <row r="10" spans="1:5" ht="15.75" thickBot="1" x14ac:dyDescent="0.3">
      <c r="A10" s="83" t="s">
        <v>195</v>
      </c>
      <c r="B10" s="84">
        <v>12</v>
      </c>
      <c r="C10" s="84">
        <v>12</v>
      </c>
    </row>
    <row r="11" spans="1:5" ht="15.75" thickBot="1" x14ac:dyDescent="0.3">
      <c r="A11" s="86" t="s">
        <v>359</v>
      </c>
      <c r="B11" s="87">
        <f>SUM(B9:B10)</f>
        <v>24</v>
      </c>
      <c r="C11" s="87">
        <f>SUM(C9:C10)</f>
        <v>24</v>
      </c>
    </row>
  </sheetData>
  <customSheetViews>
    <customSheetView guid="{D2DB56BE-885F-4EB8-B044-5D9F6A74F9DB}">
      <selection activeCell="H17" sqref="H17"/>
      <pageMargins left="0.7" right="0.7" top="0.75" bottom="0.75" header="0.3" footer="0.3"/>
    </customSheetView>
  </customSheetViews>
  <mergeCells count="2">
    <mergeCell ref="A5:B5"/>
    <mergeCell ref="A6:B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9"/>
  <sheetViews>
    <sheetView workbookViewId="0">
      <selection activeCell="H30" sqref="H30"/>
    </sheetView>
  </sheetViews>
  <sheetFormatPr defaultRowHeight="15" x14ac:dyDescent="0.25"/>
  <cols>
    <col min="1" max="1" width="11.7109375" style="7" bestFit="1" customWidth="1"/>
    <col min="2" max="2" width="11.42578125" style="7" bestFit="1" customWidth="1"/>
    <col min="3" max="3" width="10.5703125" style="7" bestFit="1" customWidth="1"/>
    <col min="4" max="4" width="9.42578125" style="7" bestFit="1" customWidth="1"/>
    <col min="5" max="5" width="11.42578125" style="7" bestFit="1" customWidth="1"/>
    <col min="6" max="6" width="9.140625" style="7"/>
    <col min="7" max="7" width="9.42578125" style="7" bestFit="1" customWidth="1"/>
    <col min="8" max="8" width="11.42578125" style="7" bestFit="1" customWidth="1"/>
    <col min="9" max="9" width="9.140625" style="7"/>
    <col min="10" max="10" width="9.42578125" style="7" bestFit="1" customWidth="1"/>
    <col min="11" max="11" width="11.42578125" style="7" bestFit="1" customWidth="1"/>
    <col min="12" max="12" width="9.140625" style="7"/>
    <col min="13" max="13" width="8.7109375" style="7" bestFit="1" customWidth="1"/>
    <col min="14" max="14" width="7.5703125" style="7" bestFit="1" customWidth="1"/>
    <col min="15" max="15" width="9.140625" style="7"/>
    <col min="16" max="16" width="9.42578125" style="7" bestFit="1" customWidth="1"/>
    <col min="17" max="17" width="11.42578125" style="7" bestFit="1" customWidth="1"/>
    <col min="18" max="18" width="9.140625" style="7"/>
    <col min="19" max="19" width="9.42578125" style="7" bestFit="1" customWidth="1"/>
    <col min="20" max="20" width="11.42578125" style="7" bestFit="1" customWidth="1"/>
    <col min="21" max="21" width="9.140625" style="7"/>
    <col min="22" max="22" width="9.42578125" style="7" bestFit="1" customWidth="1"/>
    <col min="23" max="23" width="11.42578125" style="7" bestFit="1" customWidth="1"/>
    <col min="24" max="16384" width="9.140625" style="7"/>
  </cols>
  <sheetData>
    <row r="1" spans="1:23" x14ac:dyDescent="0.25">
      <c r="A1" s="7" t="s">
        <v>215</v>
      </c>
      <c r="D1" s="7" t="s">
        <v>216</v>
      </c>
      <c r="G1" s="7" t="s">
        <v>217</v>
      </c>
      <c r="J1" s="7" t="s">
        <v>219</v>
      </c>
      <c r="M1" s="7" t="s">
        <v>221</v>
      </c>
      <c r="P1" s="7" t="s">
        <v>222</v>
      </c>
      <c r="S1" s="7" t="s">
        <v>225</v>
      </c>
      <c r="V1" s="7" t="s">
        <v>226</v>
      </c>
    </row>
    <row r="2" spans="1:23" x14ac:dyDescent="0.25">
      <c r="A2" s="7" t="s">
        <v>192</v>
      </c>
      <c r="B2" s="7" t="s">
        <v>194</v>
      </c>
      <c r="D2" s="7" t="s">
        <v>192</v>
      </c>
      <c r="E2" s="7" t="s">
        <v>194</v>
      </c>
      <c r="G2" s="7" t="s">
        <v>41</v>
      </c>
      <c r="H2" s="7" t="s">
        <v>218</v>
      </c>
      <c r="J2" s="7" t="s">
        <v>41</v>
      </c>
      <c r="K2" s="7" t="s">
        <v>220</v>
      </c>
      <c r="M2" s="7" t="s">
        <v>41</v>
      </c>
      <c r="N2" s="7" t="s">
        <v>208</v>
      </c>
      <c r="P2" s="7" t="s">
        <v>41</v>
      </c>
      <c r="Q2" s="7" t="s">
        <v>223</v>
      </c>
      <c r="S2" s="7" t="s">
        <v>41</v>
      </c>
      <c r="T2" s="7" t="s">
        <v>223</v>
      </c>
      <c r="V2" s="7" t="s">
        <v>41</v>
      </c>
      <c r="W2" s="7" t="s">
        <v>223</v>
      </c>
    </row>
    <row r="3" spans="1:23" x14ac:dyDescent="0.25">
      <c r="A3" s="7" t="s">
        <v>193</v>
      </c>
      <c r="B3" s="7" t="s">
        <v>194</v>
      </c>
      <c r="D3" s="7" t="s">
        <v>193</v>
      </c>
      <c r="E3" s="7" t="s">
        <v>194</v>
      </c>
      <c r="P3" s="7" t="s">
        <v>44</v>
      </c>
      <c r="Q3" s="7" t="s">
        <v>224</v>
      </c>
      <c r="S3" s="7" t="s">
        <v>44</v>
      </c>
      <c r="T3" s="7" t="s">
        <v>135</v>
      </c>
      <c r="V3" s="7" t="s">
        <v>44</v>
      </c>
      <c r="W3" s="7" t="s">
        <v>135</v>
      </c>
    </row>
    <row r="4" spans="1:23" x14ac:dyDescent="0.25">
      <c r="P4" s="118" t="s">
        <v>227</v>
      </c>
      <c r="Q4" s="118"/>
      <c r="R4" s="118"/>
      <c r="S4" s="118"/>
      <c r="T4" s="118"/>
      <c r="U4" s="118"/>
      <c r="V4" s="118"/>
      <c r="W4" s="118"/>
    </row>
    <row r="6" spans="1:23" x14ac:dyDescent="0.25">
      <c r="A6" s="7" t="s">
        <v>228</v>
      </c>
      <c r="D6" s="7" t="s">
        <v>229</v>
      </c>
      <c r="G6" s="7" t="s">
        <v>230</v>
      </c>
      <c r="J6" s="118" t="s">
        <v>232</v>
      </c>
      <c r="K6" s="118"/>
    </row>
    <row r="7" spans="1:23" x14ac:dyDescent="0.25">
      <c r="A7" s="7" t="s">
        <v>41</v>
      </c>
      <c r="B7" s="7" t="s">
        <v>223</v>
      </c>
      <c r="D7" s="7" t="s">
        <v>41</v>
      </c>
      <c r="E7" s="7" t="s">
        <v>223</v>
      </c>
      <c r="G7" s="7" t="s">
        <v>41</v>
      </c>
      <c r="H7" s="7" t="s">
        <v>223</v>
      </c>
      <c r="J7" s="7" t="s">
        <v>41</v>
      </c>
      <c r="K7" s="7" t="s">
        <v>233</v>
      </c>
    </row>
    <row r="8" spans="1:23" x14ac:dyDescent="0.25">
      <c r="A8" s="7" t="s">
        <v>44</v>
      </c>
      <c r="B8" s="7" t="s">
        <v>224</v>
      </c>
      <c r="D8" s="7" t="s">
        <v>44</v>
      </c>
      <c r="E8" s="7" t="s">
        <v>135</v>
      </c>
      <c r="G8" s="7" t="s">
        <v>44</v>
      </c>
      <c r="H8" s="7" t="s">
        <v>135</v>
      </c>
      <c r="J8" s="7" t="s">
        <v>44</v>
      </c>
      <c r="K8" s="7" t="s">
        <v>223</v>
      </c>
    </row>
    <row r="9" spans="1:23" x14ac:dyDescent="0.25">
      <c r="A9" s="118" t="s">
        <v>231</v>
      </c>
      <c r="B9" s="118"/>
      <c r="C9" s="118"/>
      <c r="D9" s="118"/>
      <c r="E9" s="118"/>
      <c r="F9" s="118"/>
      <c r="G9" s="118"/>
      <c r="H9" s="118"/>
    </row>
    <row r="10" spans="1:23" ht="15.75" thickBot="1" x14ac:dyDescent="0.3"/>
    <row r="11" spans="1:23" x14ac:dyDescent="0.25">
      <c r="A11" s="119" t="s">
        <v>196</v>
      </c>
      <c r="B11" s="120"/>
      <c r="C11" s="8" t="s">
        <v>198</v>
      </c>
    </row>
    <row r="12" spans="1:23" x14ac:dyDescent="0.25">
      <c r="A12" s="121" t="s">
        <v>197</v>
      </c>
      <c r="B12" s="122"/>
      <c r="C12" s="9" t="s">
        <v>198</v>
      </c>
    </row>
    <row r="13" spans="1:23" x14ac:dyDescent="0.25">
      <c r="A13" s="121" t="s">
        <v>45</v>
      </c>
      <c r="B13" s="122"/>
      <c r="C13" s="9" t="s">
        <v>234</v>
      </c>
    </row>
    <row r="14" spans="1:23" ht="15.75" thickBot="1" x14ac:dyDescent="0.3">
      <c r="A14" s="123" t="s">
        <v>47</v>
      </c>
      <c r="B14" s="124"/>
      <c r="C14" s="10" t="s">
        <v>235</v>
      </c>
    </row>
    <row r="15" spans="1:23" ht="15.75" thickBot="1" x14ac:dyDescent="0.3"/>
    <row r="16" spans="1:23" ht="15.75" thickBot="1" x14ac:dyDescent="0.3">
      <c r="A16" s="94" t="s">
        <v>338</v>
      </c>
      <c r="B16" s="65" t="s">
        <v>7</v>
      </c>
      <c r="C16" s="107" t="s">
        <v>19</v>
      </c>
      <c r="D16" s="65" t="s">
        <v>9</v>
      </c>
      <c r="E16" s="108" t="s">
        <v>20</v>
      </c>
    </row>
    <row r="17" spans="1:6" x14ac:dyDescent="0.25">
      <c r="A17" s="92" t="s">
        <v>215</v>
      </c>
      <c r="B17" s="93">
        <v>12</v>
      </c>
      <c r="C17" s="97">
        <v>12</v>
      </c>
      <c r="D17" s="93"/>
      <c r="E17" s="98"/>
      <c r="F17" s="56"/>
    </row>
    <row r="18" spans="1:6" x14ac:dyDescent="0.25">
      <c r="A18" s="89" t="s">
        <v>216</v>
      </c>
      <c r="B18" s="90">
        <v>12</v>
      </c>
      <c r="C18" s="95">
        <v>12</v>
      </c>
      <c r="D18" s="90"/>
      <c r="E18" s="96"/>
      <c r="F18" s="56"/>
    </row>
    <row r="19" spans="1:6" x14ac:dyDescent="0.25">
      <c r="A19" s="89" t="s">
        <v>217</v>
      </c>
      <c r="B19" s="90"/>
      <c r="C19" s="95"/>
      <c r="D19" s="90">
        <v>9.2999999999999999E-2</v>
      </c>
      <c r="E19" s="96"/>
      <c r="F19" s="56"/>
    </row>
    <row r="20" spans="1:6" x14ac:dyDescent="0.25">
      <c r="A20" s="89" t="s">
        <v>219</v>
      </c>
      <c r="B20" s="90"/>
      <c r="C20" s="95"/>
      <c r="D20" s="90">
        <v>9.6000000000000002E-2</v>
      </c>
      <c r="E20" s="96"/>
      <c r="F20" s="56"/>
    </row>
    <row r="21" spans="1:6" x14ac:dyDescent="0.25">
      <c r="A21" s="89" t="s">
        <v>221</v>
      </c>
      <c r="B21" s="90"/>
      <c r="C21" s="95"/>
      <c r="D21" s="90">
        <v>0.52</v>
      </c>
      <c r="E21" s="96"/>
      <c r="F21" s="56"/>
    </row>
    <row r="22" spans="1:6" x14ac:dyDescent="0.25">
      <c r="A22" s="89" t="s">
        <v>222</v>
      </c>
      <c r="B22" s="90"/>
      <c r="C22" s="95"/>
      <c r="D22" s="90">
        <v>40.01</v>
      </c>
      <c r="E22" s="96">
        <v>40.005000000000003</v>
      </c>
      <c r="F22" s="56"/>
    </row>
    <row r="23" spans="1:6" x14ac:dyDescent="0.25">
      <c r="A23" s="89" t="s">
        <v>225</v>
      </c>
      <c r="B23" s="90"/>
      <c r="C23" s="95"/>
      <c r="D23" s="90">
        <v>40.01</v>
      </c>
      <c r="E23" s="96">
        <v>5.0000000000000001E-3</v>
      </c>
      <c r="F23" s="56"/>
    </row>
    <row r="24" spans="1:6" x14ac:dyDescent="0.25">
      <c r="A24" s="89" t="s">
        <v>226</v>
      </c>
      <c r="B24" s="90"/>
      <c r="C24" s="95"/>
      <c r="D24" s="90">
        <v>40.01</v>
      </c>
      <c r="E24" s="96">
        <v>5.0000000000000001E-3</v>
      </c>
      <c r="F24" s="56"/>
    </row>
    <row r="25" spans="1:6" x14ac:dyDescent="0.25">
      <c r="A25" s="89" t="s">
        <v>228</v>
      </c>
      <c r="B25" s="90"/>
      <c r="C25" s="95"/>
      <c r="D25" s="90">
        <v>40.01</v>
      </c>
      <c r="E25" s="96">
        <v>40.005000000000003</v>
      </c>
      <c r="F25" s="56"/>
    </row>
    <row r="26" spans="1:6" x14ac:dyDescent="0.25">
      <c r="A26" s="89" t="s">
        <v>229</v>
      </c>
      <c r="B26" s="90"/>
      <c r="C26" s="95"/>
      <c r="D26" s="90">
        <v>40.01</v>
      </c>
      <c r="E26" s="96">
        <v>5.0000000000000001E-3</v>
      </c>
      <c r="F26" s="56"/>
    </row>
    <row r="27" spans="1:6" x14ac:dyDescent="0.25">
      <c r="A27" s="89" t="s">
        <v>230</v>
      </c>
      <c r="B27" s="90"/>
      <c r="C27" s="95"/>
      <c r="D27" s="90">
        <v>40.01</v>
      </c>
      <c r="E27" s="96">
        <v>5.0000000000000001E-3</v>
      </c>
      <c r="F27" s="56"/>
    </row>
    <row r="28" spans="1:6" ht="15.75" thickBot="1" x14ac:dyDescent="0.3">
      <c r="A28" s="99" t="s">
        <v>232</v>
      </c>
      <c r="B28" s="100"/>
      <c r="C28" s="101"/>
      <c r="D28" s="102">
        <v>40.020000000000003</v>
      </c>
      <c r="E28" s="103">
        <v>40.01</v>
      </c>
    </row>
    <row r="29" spans="1:6" ht="15.75" thickBot="1" x14ac:dyDescent="0.3">
      <c r="A29" s="94" t="s">
        <v>359</v>
      </c>
      <c r="B29" s="104">
        <f>SUM(B17:B28)</f>
        <v>24</v>
      </c>
      <c r="C29" s="105">
        <f t="shared" ref="C29:E29" si="0">SUM(C17:C28)</f>
        <v>24</v>
      </c>
      <c r="D29" s="104">
        <f t="shared" si="0"/>
        <v>280.78899999999999</v>
      </c>
      <c r="E29" s="106">
        <f t="shared" si="0"/>
        <v>120.03999999999999</v>
      </c>
    </row>
  </sheetData>
  <customSheetViews>
    <customSheetView guid="{D2DB56BE-885F-4EB8-B044-5D9F6A74F9DB}">
      <selection activeCell="H30" sqref="H30"/>
      <pageMargins left="0.7" right="0.7" top="0.75" bottom="0.75" header="0.3" footer="0.3"/>
      <pageSetup orientation="portrait" r:id="rId1"/>
    </customSheetView>
  </customSheetViews>
  <mergeCells count="7">
    <mergeCell ref="A14:B14"/>
    <mergeCell ref="P4:W4"/>
    <mergeCell ref="A9:H9"/>
    <mergeCell ref="J6:K6"/>
    <mergeCell ref="A11:B11"/>
    <mergeCell ref="A12:B12"/>
    <mergeCell ref="A13:B13"/>
  </mergeCells>
  <pageMargins left="0.7" right="0.7" top="0.75" bottom="0.75" header="0.3" footer="0.3"/>
  <pageSetup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selection activeCell="G20" sqref="G20"/>
    </sheetView>
  </sheetViews>
  <sheetFormatPr defaultRowHeight="15" x14ac:dyDescent="0.25"/>
  <cols>
    <col min="1" max="1" width="12.140625" style="7" bestFit="1" customWidth="1"/>
    <col min="2" max="2" width="11.5703125" style="7" bestFit="1" customWidth="1"/>
    <col min="3" max="3" width="10.5703125" style="7" bestFit="1" customWidth="1"/>
    <col min="4" max="4" width="11.140625" style="7" bestFit="1" customWidth="1"/>
    <col min="5" max="6" width="9.140625" style="7"/>
    <col min="7" max="7" width="11.140625" style="7" bestFit="1" customWidth="1"/>
    <col min="8" max="16384" width="9.140625" style="7"/>
  </cols>
  <sheetData>
    <row r="1" spans="1:8" x14ac:dyDescent="0.25">
      <c r="A1" s="7" t="s">
        <v>236</v>
      </c>
      <c r="D1" s="7" t="s">
        <v>239</v>
      </c>
      <c r="G1" s="7" t="s">
        <v>241</v>
      </c>
    </row>
    <row r="2" spans="1:8" x14ac:dyDescent="0.25">
      <c r="A2" s="7" t="s">
        <v>237</v>
      </c>
      <c r="B2" s="7" t="s">
        <v>238</v>
      </c>
      <c r="D2" s="7" t="s">
        <v>240</v>
      </c>
      <c r="E2" s="7" t="s">
        <v>238</v>
      </c>
      <c r="G2" s="7" t="s">
        <v>242</v>
      </c>
      <c r="H2" s="7" t="s">
        <v>172</v>
      </c>
    </row>
    <row r="3" spans="1:8" ht="15.75" thickBot="1" x14ac:dyDescent="0.3"/>
    <row r="4" spans="1:8" x14ac:dyDescent="0.25">
      <c r="A4" s="119" t="s">
        <v>243</v>
      </c>
      <c r="B4" s="120"/>
      <c r="C4" s="8" t="s">
        <v>238</v>
      </c>
    </row>
    <row r="5" spans="1:8" x14ac:dyDescent="0.25">
      <c r="A5" s="121" t="s">
        <v>244</v>
      </c>
      <c r="B5" s="122"/>
      <c r="C5" s="9" t="s">
        <v>238</v>
      </c>
    </row>
    <row r="6" spans="1:8" ht="15.75" thickBot="1" x14ac:dyDescent="0.3">
      <c r="A6" s="123" t="s">
        <v>245</v>
      </c>
      <c r="B6" s="124"/>
      <c r="C6" s="10" t="s">
        <v>172</v>
      </c>
    </row>
    <row r="7" spans="1:8" ht="15.75" thickBot="1" x14ac:dyDescent="0.3"/>
    <row r="8" spans="1:8" ht="15.75" thickBot="1" x14ac:dyDescent="0.3">
      <c r="A8" s="94" t="s">
        <v>338</v>
      </c>
      <c r="B8" s="65" t="s">
        <v>319</v>
      </c>
      <c r="C8" s="65" t="s">
        <v>320</v>
      </c>
      <c r="D8" s="108" t="s">
        <v>321</v>
      </c>
    </row>
    <row r="9" spans="1:8" x14ac:dyDescent="0.25">
      <c r="A9" s="92" t="s">
        <v>236</v>
      </c>
      <c r="B9" s="93">
        <v>700</v>
      </c>
      <c r="C9" s="93"/>
      <c r="D9" s="98"/>
    </row>
    <row r="10" spans="1:8" x14ac:dyDescent="0.25">
      <c r="A10" s="89" t="s">
        <v>239</v>
      </c>
      <c r="B10" s="90"/>
      <c r="C10" s="90">
        <v>700</v>
      </c>
      <c r="D10" s="96"/>
    </row>
    <row r="11" spans="1:8" ht="15.75" thickBot="1" x14ac:dyDescent="0.3">
      <c r="A11" s="99" t="s">
        <v>241</v>
      </c>
      <c r="B11" s="102"/>
      <c r="C11" s="102"/>
      <c r="D11" s="103">
        <v>65</v>
      </c>
    </row>
    <row r="12" spans="1:8" ht="15.75" thickBot="1" x14ac:dyDescent="0.3">
      <c r="A12" s="94" t="s">
        <v>359</v>
      </c>
      <c r="B12" s="104">
        <f>SUM(B9:B11)</f>
        <v>700</v>
      </c>
      <c r="C12" s="104">
        <f t="shared" ref="C12:D12" si="0">SUM(C9:C11)</f>
        <v>700</v>
      </c>
      <c r="D12" s="106">
        <f t="shared" si="0"/>
        <v>65</v>
      </c>
    </row>
  </sheetData>
  <customSheetViews>
    <customSheetView guid="{D2DB56BE-885F-4EB8-B044-5D9F6A74F9DB}">
      <selection activeCell="G20" sqref="G20"/>
      <pageMargins left="0.7" right="0.7" top="0.75" bottom="0.75" header="0.3" footer="0.3"/>
    </customSheetView>
  </customSheetViews>
  <mergeCells count="3">
    <mergeCell ref="A4:B4"/>
    <mergeCell ref="A5:B5"/>
    <mergeCell ref="A6:B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9"/>
  <sheetViews>
    <sheetView workbookViewId="0">
      <selection activeCell="M34" sqref="M34"/>
    </sheetView>
  </sheetViews>
  <sheetFormatPr defaultRowHeight="15" x14ac:dyDescent="0.25"/>
  <cols>
    <col min="1" max="1" width="10.140625" style="7" bestFit="1" customWidth="1"/>
    <col min="2" max="2" width="9.5703125" style="7" bestFit="1" customWidth="1"/>
    <col min="3" max="3" width="10.5703125" style="7" bestFit="1" customWidth="1"/>
    <col min="4" max="4" width="10.28515625" style="7" bestFit="1" customWidth="1"/>
    <col min="5" max="6" width="9.140625" style="7"/>
    <col min="7" max="7" width="10.140625" style="7" bestFit="1" customWidth="1"/>
    <col min="8" max="9" width="9.140625" style="7"/>
    <col min="10" max="10" width="10.28515625" style="7" bestFit="1" customWidth="1"/>
    <col min="11" max="12" width="9.140625" style="7"/>
    <col min="13" max="13" width="10.28515625" style="7" bestFit="1" customWidth="1"/>
    <col min="14" max="15" width="9.140625" style="7"/>
    <col min="16" max="16" width="10.140625" style="7" bestFit="1" customWidth="1"/>
    <col min="17" max="18" width="9.140625" style="7"/>
    <col min="19" max="19" width="10.140625" style="7" bestFit="1" customWidth="1"/>
    <col min="20" max="21" width="9.140625" style="7"/>
    <col min="22" max="22" width="10.28515625" style="7" bestFit="1" customWidth="1"/>
    <col min="23" max="16384" width="9.140625" style="7"/>
  </cols>
  <sheetData>
    <row r="1" spans="1:26" x14ac:dyDescent="0.25">
      <c r="A1" s="7" t="s">
        <v>138</v>
      </c>
      <c r="D1" s="7" t="s">
        <v>141</v>
      </c>
      <c r="G1" s="7" t="s">
        <v>143</v>
      </c>
      <c r="J1" s="7" t="s">
        <v>144</v>
      </c>
      <c r="M1" s="7" t="s">
        <v>147</v>
      </c>
      <c r="P1" s="7" t="s">
        <v>148</v>
      </c>
      <c r="S1" s="7" t="s">
        <v>150</v>
      </c>
      <c r="V1" s="7" t="s">
        <v>151</v>
      </c>
      <c r="Y1" s="7" t="s">
        <v>152</v>
      </c>
    </row>
    <row r="2" spans="1:26" x14ac:dyDescent="0.25">
      <c r="A2" s="7" t="s">
        <v>139</v>
      </c>
      <c r="B2" s="7" t="s">
        <v>140</v>
      </c>
      <c r="D2" s="7" t="s">
        <v>142</v>
      </c>
      <c r="E2" s="7" t="s">
        <v>64</v>
      </c>
      <c r="G2" s="7" t="s">
        <v>139</v>
      </c>
      <c r="H2" s="7" t="s">
        <v>140</v>
      </c>
      <c r="J2" s="7" t="s">
        <v>146</v>
      </c>
      <c r="K2" s="7" t="s">
        <v>43</v>
      </c>
      <c r="M2" s="7" t="s">
        <v>146</v>
      </c>
      <c r="N2" s="7" t="s">
        <v>43</v>
      </c>
      <c r="P2" s="7" t="s">
        <v>139</v>
      </c>
      <c r="Q2" s="7" t="s">
        <v>149</v>
      </c>
      <c r="S2" s="7" t="s">
        <v>139</v>
      </c>
      <c r="T2" s="7" t="s">
        <v>140</v>
      </c>
      <c r="V2" s="7" t="s">
        <v>146</v>
      </c>
      <c r="W2" s="7" t="s">
        <v>149</v>
      </c>
      <c r="Y2" s="7" t="s">
        <v>142</v>
      </c>
      <c r="Z2" s="7" t="s">
        <v>60</v>
      </c>
    </row>
    <row r="3" spans="1:26" x14ac:dyDescent="0.25">
      <c r="J3" s="7" t="s">
        <v>142</v>
      </c>
      <c r="K3" s="7" t="s">
        <v>43</v>
      </c>
      <c r="M3" s="7" t="s">
        <v>142</v>
      </c>
      <c r="N3" s="7" t="s">
        <v>43</v>
      </c>
      <c r="P3" s="7" t="s">
        <v>142</v>
      </c>
      <c r="Q3" s="7" t="s">
        <v>149</v>
      </c>
      <c r="V3" s="7" t="s">
        <v>142</v>
      </c>
      <c r="W3" s="7" t="s">
        <v>149</v>
      </c>
    </row>
    <row r="5" spans="1:26" x14ac:dyDescent="0.25">
      <c r="A5" s="7" t="s">
        <v>153</v>
      </c>
      <c r="D5" s="7" t="s">
        <v>154</v>
      </c>
      <c r="G5" s="7" t="s">
        <v>155</v>
      </c>
      <c r="J5" s="7" t="s">
        <v>156</v>
      </c>
      <c r="M5" s="7" t="s">
        <v>283</v>
      </c>
    </row>
    <row r="6" spans="1:26" x14ac:dyDescent="0.25">
      <c r="A6" s="7" t="s">
        <v>146</v>
      </c>
      <c r="B6" s="7" t="s">
        <v>149</v>
      </c>
      <c r="D6" s="7" t="s">
        <v>146</v>
      </c>
      <c r="E6" s="7" t="s">
        <v>43</v>
      </c>
      <c r="G6" s="7" t="s">
        <v>139</v>
      </c>
      <c r="H6" s="7" t="s">
        <v>149</v>
      </c>
      <c r="J6" s="7" t="s">
        <v>142</v>
      </c>
      <c r="K6" s="7" t="s">
        <v>157</v>
      </c>
      <c r="M6" s="7" t="s">
        <v>284</v>
      </c>
      <c r="N6" s="7" t="s">
        <v>337</v>
      </c>
    </row>
    <row r="7" spans="1:26" x14ac:dyDescent="0.25">
      <c r="A7" s="7" t="s">
        <v>142</v>
      </c>
      <c r="B7" s="7" t="s">
        <v>149</v>
      </c>
      <c r="D7" s="7" t="s">
        <v>139</v>
      </c>
      <c r="E7" s="7" t="s">
        <v>43</v>
      </c>
      <c r="G7" s="7" t="s">
        <v>142</v>
      </c>
      <c r="H7" s="7" t="s">
        <v>149</v>
      </c>
    </row>
    <row r="8" spans="1:26" ht="15.75" thickBot="1" x14ac:dyDescent="0.3"/>
    <row r="9" spans="1:26" x14ac:dyDescent="0.25">
      <c r="A9" s="119" t="s">
        <v>158</v>
      </c>
      <c r="B9" s="120"/>
      <c r="C9" s="8" t="s">
        <v>159</v>
      </c>
    </row>
    <row r="10" spans="1:26" x14ac:dyDescent="0.25">
      <c r="A10" s="121" t="s">
        <v>160</v>
      </c>
      <c r="B10" s="122"/>
      <c r="C10" s="9" t="s">
        <v>161</v>
      </c>
    </row>
    <row r="11" spans="1:26" x14ac:dyDescent="0.25">
      <c r="A11" s="121" t="s">
        <v>162</v>
      </c>
      <c r="B11" s="122"/>
      <c r="C11" s="9" t="s">
        <v>282</v>
      </c>
    </row>
    <row r="12" spans="1:26" ht="15.75" thickBot="1" x14ac:dyDescent="0.3">
      <c r="A12" s="123" t="s">
        <v>285</v>
      </c>
      <c r="B12" s="124"/>
      <c r="C12" s="10" t="s">
        <v>337</v>
      </c>
    </row>
    <row r="13" spans="1:26" ht="15.75" thickBot="1" x14ac:dyDescent="0.3"/>
    <row r="14" spans="1:26" ht="15.75" thickBot="1" x14ac:dyDescent="0.3">
      <c r="A14" s="94" t="s">
        <v>338</v>
      </c>
      <c r="B14" s="65" t="s">
        <v>14</v>
      </c>
      <c r="C14" s="107" t="s">
        <v>11</v>
      </c>
      <c r="D14" s="65" t="s">
        <v>145</v>
      </c>
      <c r="E14" s="108" t="s">
        <v>322</v>
      </c>
    </row>
    <row r="15" spans="1:26" x14ac:dyDescent="0.25">
      <c r="A15" s="92" t="s">
        <v>138</v>
      </c>
      <c r="B15" s="93">
        <v>70</v>
      </c>
      <c r="C15" s="97"/>
      <c r="D15" s="93"/>
      <c r="E15" s="98"/>
    </row>
    <row r="16" spans="1:26" x14ac:dyDescent="0.25">
      <c r="A16" s="89" t="s">
        <v>141</v>
      </c>
      <c r="B16" s="90"/>
      <c r="C16" s="95">
        <v>0.04</v>
      </c>
      <c r="D16" s="90"/>
      <c r="E16" s="96"/>
    </row>
    <row r="17" spans="1:5" x14ac:dyDescent="0.25">
      <c r="A17" s="89" t="s">
        <v>143</v>
      </c>
      <c r="B17" s="90">
        <v>70</v>
      </c>
      <c r="C17" s="95"/>
      <c r="D17" s="90"/>
      <c r="E17" s="96"/>
    </row>
    <row r="18" spans="1:5" x14ac:dyDescent="0.25">
      <c r="A18" s="89" t="s">
        <v>144</v>
      </c>
      <c r="B18" s="90"/>
      <c r="C18" s="95">
        <v>3.0000000000000001E-3</v>
      </c>
      <c r="D18" s="90">
        <v>3.0000000000000001E-3</v>
      </c>
      <c r="E18" s="96"/>
    </row>
    <row r="19" spans="1:5" x14ac:dyDescent="0.25">
      <c r="A19" s="89" t="s">
        <v>147</v>
      </c>
      <c r="B19" s="90"/>
      <c r="C19" s="95">
        <v>3.0000000000000001E-3</v>
      </c>
      <c r="D19" s="90">
        <v>3.0000000000000001E-3</v>
      </c>
      <c r="E19" s="96"/>
    </row>
    <row r="20" spans="1:5" x14ac:dyDescent="0.25">
      <c r="A20" s="89" t="s">
        <v>148</v>
      </c>
      <c r="B20" s="90">
        <v>1.4999999999999999E-2</v>
      </c>
      <c r="C20" s="95">
        <v>1.4999999999999999E-2</v>
      </c>
      <c r="D20" s="90"/>
      <c r="E20" s="96"/>
    </row>
    <row r="21" spans="1:5" x14ac:dyDescent="0.25">
      <c r="A21" s="89" t="s">
        <v>150</v>
      </c>
      <c r="B21" s="90">
        <v>70</v>
      </c>
      <c r="C21" s="95"/>
      <c r="D21" s="90"/>
      <c r="E21" s="96"/>
    </row>
    <row r="22" spans="1:5" x14ac:dyDescent="0.25">
      <c r="A22" s="89" t="s">
        <v>151</v>
      </c>
      <c r="B22" s="90"/>
      <c r="C22" s="95">
        <v>1.4999999999999999E-2</v>
      </c>
      <c r="D22" s="90">
        <v>1.4999999999999999E-2</v>
      </c>
      <c r="E22" s="96"/>
    </row>
    <row r="23" spans="1:5" x14ac:dyDescent="0.25">
      <c r="A23" s="89" t="s">
        <v>152</v>
      </c>
      <c r="B23" s="90"/>
      <c r="C23" s="95">
        <v>0.02</v>
      </c>
      <c r="D23" s="90"/>
      <c r="E23" s="96"/>
    </row>
    <row r="24" spans="1:5" x14ac:dyDescent="0.25">
      <c r="A24" s="89" t="s">
        <v>153</v>
      </c>
      <c r="B24" s="90"/>
      <c r="C24" s="95">
        <v>1.4999999999999999E-2</v>
      </c>
      <c r="D24" s="90">
        <v>1.4999999999999999E-2</v>
      </c>
      <c r="E24" s="96"/>
    </row>
    <row r="25" spans="1:5" x14ac:dyDescent="0.25">
      <c r="A25" s="89" t="s">
        <v>154</v>
      </c>
      <c r="B25" s="90">
        <v>3.0000000000000001E-3</v>
      </c>
      <c r="C25" s="95"/>
      <c r="D25" s="90">
        <v>3.0000000000000001E-3</v>
      </c>
      <c r="E25" s="96"/>
    </row>
    <row r="26" spans="1:5" x14ac:dyDescent="0.25">
      <c r="A26" s="89" t="s">
        <v>155</v>
      </c>
      <c r="B26" s="90">
        <v>1.4999999999999999E-2</v>
      </c>
      <c r="C26" s="95">
        <v>1.4999999999999999E-2</v>
      </c>
      <c r="D26" s="90"/>
      <c r="E26" s="96"/>
    </row>
    <row r="27" spans="1:5" x14ac:dyDescent="0.25">
      <c r="A27" s="89" t="s">
        <v>156</v>
      </c>
      <c r="B27" s="90"/>
      <c r="C27" s="95">
        <v>17</v>
      </c>
      <c r="D27" s="90"/>
      <c r="E27" s="96"/>
    </row>
    <row r="28" spans="1:5" ht="15.75" thickBot="1" x14ac:dyDescent="0.3">
      <c r="A28" s="99" t="s">
        <v>283</v>
      </c>
      <c r="B28" s="102"/>
      <c r="C28" s="109"/>
      <c r="D28" s="102"/>
      <c r="E28" s="103">
        <v>2.52</v>
      </c>
    </row>
    <row r="29" spans="1:5" ht="15.75" thickBot="1" x14ac:dyDescent="0.3">
      <c r="A29" s="94" t="s">
        <v>359</v>
      </c>
      <c r="B29" s="104">
        <f>SUM(B15:B28)</f>
        <v>210.03299999999996</v>
      </c>
      <c r="C29" s="105">
        <f t="shared" ref="C29:E29" si="0">SUM(C15:C28)</f>
        <v>17.126000000000001</v>
      </c>
      <c r="D29" s="104">
        <f t="shared" si="0"/>
        <v>3.9E-2</v>
      </c>
      <c r="E29" s="106">
        <f t="shared" si="0"/>
        <v>2.52</v>
      </c>
    </row>
  </sheetData>
  <customSheetViews>
    <customSheetView guid="{D2DB56BE-885F-4EB8-B044-5D9F6A74F9DB}">
      <selection activeCell="M34" sqref="M34"/>
      <pageMargins left="0.7" right="0.7" top="0.75" bottom="0.75" header="0.3" footer="0.3"/>
    </customSheetView>
  </customSheetViews>
  <mergeCells count="4">
    <mergeCell ref="A9:B9"/>
    <mergeCell ref="A10:B10"/>
    <mergeCell ref="A11:B11"/>
    <mergeCell ref="A12:B1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"/>
  <sheetViews>
    <sheetView workbookViewId="0">
      <selection activeCell="G38" sqref="G38"/>
    </sheetView>
  </sheetViews>
  <sheetFormatPr defaultRowHeight="15" x14ac:dyDescent="0.25"/>
  <cols>
    <col min="1" max="1" width="11.140625" style="7" bestFit="1" customWidth="1"/>
    <col min="2" max="2" width="10.5703125" style="7" bestFit="1" customWidth="1"/>
    <col min="3" max="3" width="10.28515625" style="7" bestFit="1" customWidth="1"/>
    <col min="4" max="4" width="11.140625" style="7" bestFit="1" customWidth="1"/>
    <col min="5" max="5" width="10.140625" style="7" bestFit="1" customWidth="1"/>
    <col min="6" max="6" width="9.140625" style="7"/>
    <col min="7" max="7" width="10.7109375" style="7" bestFit="1" customWidth="1"/>
    <col min="8" max="9" width="9.140625" style="7"/>
    <col min="10" max="10" width="10.42578125" style="7" bestFit="1" customWidth="1"/>
    <col min="11" max="12" width="9.140625" style="7"/>
    <col min="13" max="13" width="9.7109375" style="7" bestFit="1" customWidth="1"/>
    <col min="14" max="15" width="9.140625" style="7"/>
    <col min="16" max="16" width="11.28515625" style="7" bestFit="1" customWidth="1"/>
    <col min="17" max="16384" width="9.140625" style="7"/>
  </cols>
  <sheetData>
    <row r="1" spans="1:17" x14ac:dyDescent="0.25">
      <c r="A1" s="7" t="s">
        <v>246</v>
      </c>
      <c r="D1" s="7" t="s">
        <v>250</v>
      </c>
      <c r="G1" s="7" t="s">
        <v>253</v>
      </c>
      <c r="J1" s="7" t="s">
        <v>255</v>
      </c>
      <c r="M1" s="7" t="s">
        <v>257</v>
      </c>
      <c r="P1" s="7" t="s">
        <v>258</v>
      </c>
    </row>
    <row r="2" spans="1:17" x14ac:dyDescent="0.25">
      <c r="A2" s="7" t="s">
        <v>247</v>
      </c>
      <c r="B2" s="7" t="s">
        <v>248</v>
      </c>
      <c r="D2" s="7" t="s">
        <v>247</v>
      </c>
      <c r="E2" s="7" t="s">
        <v>251</v>
      </c>
      <c r="G2" s="7" t="s">
        <v>252</v>
      </c>
      <c r="H2" s="7" t="s">
        <v>254</v>
      </c>
      <c r="J2" s="7" t="s">
        <v>266</v>
      </c>
      <c r="K2" s="7" t="s">
        <v>135</v>
      </c>
      <c r="M2" s="7" t="s">
        <v>252</v>
      </c>
      <c r="N2" s="7" t="s">
        <v>157</v>
      </c>
      <c r="P2" s="7" t="s">
        <v>259</v>
      </c>
      <c r="Q2" s="7" t="s">
        <v>298</v>
      </c>
    </row>
    <row r="3" spans="1:17" x14ac:dyDescent="0.25">
      <c r="A3" s="7" t="s">
        <v>249</v>
      </c>
      <c r="B3" s="7" t="s">
        <v>299</v>
      </c>
      <c r="D3" s="7" t="s">
        <v>252</v>
      </c>
      <c r="E3" s="7" t="s">
        <v>102</v>
      </c>
      <c r="J3" s="7" t="s">
        <v>252</v>
      </c>
      <c r="K3" s="7" t="s">
        <v>135</v>
      </c>
    </row>
    <row r="4" spans="1:17" x14ac:dyDescent="0.25">
      <c r="J4" s="7" t="s">
        <v>256</v>
      </c>
      <c r="K4" s="7" t="s">
        <v>135</v>
      </c>
    </row>
    <row r="5" spans="1:17" ht="15.75" thickBot="1" x14ac:dyDescent="0.3"/>
    <row r="6" spans="1:17" x14ac:dyDescent="0.25">
      <c r="A6" s="119" t="s">
        <v>260</v>
      </c>
      <c r="B6" s="120"/>
      <c r="C6" s="8" t="s">
        <v>168</v>
      </c>
    </row>
    <row r="7" spans="1:17" x14ac:dyDescent="0.25">
      <c r="A7" s="121" t="s">
        <v>261</v>
      </c>
      <c r="B7" s="122"/>
      <c r="C7" s="9" t="s">
        <v>299</v>
      </c>
    </row>
    <row r="8" spans="1:17" x14ac:dyDescent="0.25">
      <c r="A8" s="121" t="s">
        <v>262</v>
      </c>
      <c r="B8" s="122"/>
      <c r="C8" s="9" t="s">
        <v>263</v>
      </c>
    </row>
    <row r="9" spans="1:17" x14ac:dyDescent="0.25">
      <c r="A9" s="121" t="s">
        <v>264</v>
      </c>
      <c r="B9" s="122"/>
      <c r="C9" s="9" t="s">
        <v>135</v>
      </c>
    </row>
    <row r="10" spans="1:17" x14ac:dyDescent="0.25">
      <c r="A10" s="121" t="s">
        <v>265</v>
      </c>
      <c r="B10" s="122"/>
      <c r="C10" s="9" t="s">
        <v>135</v>
      </c>
    </row>
    <row r="11" spans="1:17" ht="15.75" thickBot="1" x14ac:dyDescent="0.3">
      <c r="A11" s="123" t="s">
        <v>267</v>
      </c>
      <c r="B11" s="124"/>
      <c r="C11" s="10" t="s">
        <v>298</v>
      </c>
    </row>
    <row r="12" spans="1:17" ht="15.75" thickBot="1" x14ac:dyDescent="0.3"/>
    <row r="13" spans="1:17" ht="15.75" thickBot="1" x14ac:dyDescent="0.3">
      <c r="A13" s="94" t="s">
        <v>338</v>
      </c>
      <c r="B13" s="65" t="s">
        <v>6</v>
      </c>
      <c r="C13" s="107" t="s">
        <v>16</v>
      </c>
      <c r="D13" s="65" t="s">
        <v>10</v>
      </c>
      <c r="E13" s="107" t="s">
        <v>1</v>
      </c>
      <c r="F13" s="65" t="s">
        <v>17</v>
      </c>
      <c r="G13" s="108" t="s">
        <v>323</v>
      </c>
    </row>
    <row r="14" spans="1:17" x14ac:dyDescent="0.25">
      <c r="A14" s="92" t="s">
        <v>246</v>
      </c>
      <c r="B14" s="93">
        <v>430</v>
      </c>
      <c r="C14" s="93">
        <v>50</v>
      </c>
      <c r="D14" s="93"/>
      <c r="E14" s="93"/>
      <c r="F14" s="93"/>
      <c r="G14" s="93"/>
    </row>
    <row r="15" spans="1:17" x14ac:dyDescent="0.25">
      <c r="A15" s="89" t="s">
        <v>250</v>
      </c>
      <c r="B15" s="93">
        <v>6</v>
      </c>
      <c r="C15" s="93"/>
      <c r="D15" s="93">
        <v>0.4</v>
      </c>
      <c r="E15" s="93"/>
      <c r="F15" s="93"/>
      <c r="G15" s="93"/>
    </row>
    <row r="16" spans="1:17" x14ac:dyDescent="0.25">
      <c r="A16" s="89" t="s">
        <v>253</v>
      </c>
      <c r="B16" s="93"/>
      <c r="C16" s="93"/>
      <c r="D16" s="93">
        <v>0.3</v>
      </c>
      <c r="E16" s="93"/>
      <c r="F16" s="93"/>
      <c r="G16" s="93"/>
    </row>
    <row r="17" spans="1:7" x14ac:dyDescent="0.25">
      <c r="A17" s="89" t="s">
        <v>255</v>
      </c>
      <c r="B17" s="93"/>
      <c r="C17" s="93"/>
      <c r="D17" s="93">
        <v>5.0000000000000001E-3</v>
      </c>
      <c r="E17" s="93">
        <v>5.0000000000000001E-3</v>
      </c>
      <c r="F17" s="93">
        <v>5.0000000000000001E-3</v>
      </c>
      <c r="G17" s="93"/>
    </row>
    <row r="18" spans="1:7" x14ac:dyDescent="0.25">
      <c r="A18" s="89" t="s">
        <v>257</v>
      </c>
      <c r="B18" s="93"/>
      <c r="C18" s="93"/>
      <c r="D18" s="93">
        <v>17</v>
      </c>
      <c r="E18" s="93"/>
      <c r="F18" s="93"/>
      <c r="G18" s="93"/>
    </row>
    <row r="19" spans="1:7" ht="15.75" thickBot="1" x14ac:dyDescent="0.3">
      <c r="A19" s="99" t="s">
        <v>258</v>
      </c>
      <c r="B19" s="110"/>
      <c r="C19" s="110"/>
      <c r="D19" s="110"/>
      <c r="E19" s="110"/>
      <c r="F19" s="110"/>
      <c r="G19" s="110">
        <v>100</v>
      </c>
    </row>
    <row r="20" spans="1:7" ht="15.75" thickBot="1" x14ac:dyDescent="0.3">
      <c r="A20" s="94" t="s">
        <v>359</v>
      </c>
      <c r="B20" s="104">
        <f>SUM(B14:B19)</f>
        <v>436</v>
      </c>
      <c r="C20" s="104">
        <f t="shared" ref="C20:G20" si="0">SUM(C14:C19)</f>
        <v>50</v>
      </c>
      <c r="D20" s="104">
        <f t="shared" si="0"/>
        <v>17.704999999999998</v>
      </c>
      <c r="E20" s="104">
        <f t="shared" si="0"/>
        <v>5.0000000000000001E-3</v>
      </c>
      <c r="F20" s="104">
        <f t="shared" si="0"/>
        <v>5.0000000000000001E-3</v>
      </c>
      <c r="G20" s="104">
        <f t="shared" si="0"/>
        <v>100</v>
      </c>
    </row>
  </sheetData>
  <customSheetViews>
    <customSheetView guid="{D2DB56BE-885F-4EB8-B044-5D9F6A74F9DB}">
      <selection activeCell="G38" sqref="G38"/>
      <pageMargins left="0.7" right="0.7" top="0.75" bottom="0.75" header="0.3" footer="0.3"/>
    </customSheetView>
  </customSheetViews>
  <mergeCells count="6">
    <mergeCell ref="A11:B11"/>
    <mergeCell ref="A6:B6"/>
    <mergeCell ref="A7:B7"/>
    <mergeCell ref="A8:B8"/>
    <mergeCell ref="A9:B9"/>
    <mergeCell ref="A10:B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A1 Supply</vt:lpstr>
      <vt:lpstr>A1-A1 Switches New</vt:lpstr>
      <vt:lpstr>A1-A1 Switches Control Logic</vt:lpstr>
      <vt:lpstr>A1-A1 Active Bias</vt:lpstr>
      <vt:lpstr>A1-A1 Gain Control Driver</vt:lpstr>
      <vt:lpstr>A1-A2 Switches New</vt:lpstr>
      <vt:lpstr>A1-A2 Power</vt:lpstr>
      <vt:lpstr>A3 to A1 Board Connector b</vt:lpstr>
      <vt:lpstr>Analog Mux</vt:lpstr>
      <vt:lpstr>200MHz Comb Gen Driver</vt:lpstr>
      <vt:lpstr>1.2GHz Comb Gen Driver</vt:lpstr>
      <vt:lpstr>Ref Mult</vt:lpstr>
      <vt:lpstr>Fast PLL</vt:lpstr>
      <vt:lpstr>Fast PLL Page 2</vt:lpstr>
      <vt:lpstr>Modulation</vt:lpstr>
      <vt:lpstr>Stalo_1</vt:lpstr>
      <vt:lpstr>Stalo_2</vt:lpstr>
      <vt:lpstr>Stalo_3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Garcia</dc:creator>
  <cp:lastModifiedBy>Mike Hoopes</cp:lastModifiedBy>
  <dcterms:created xsi:type="dcterms:W3CDTF">2013-04-30T23:43:25Z</dcterms:created>
  <dcterms:modified xsi:type="dcterms:W3CDTF">2013-09-09T22:19:00Z</dcterms:modified>
</cp:coreProperties>
</file>