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MATLAB\Projects\TechnologickyProjekt\Solution\Connection\"/>
    </mc:Choice>
  </mc:AlternateContent>
  <xr:revisionPtr revIDLastSave="0" documentId="13_ncr:1_{E5537FB9-5825-4801-8E83-CA5CFB72234D}" xr6:coauthVersionLast="41" xr6:coauthVersionMax="41" xr10:uidLastSave="{00000000-0000-0000-0000-000000000000}"/>
  <bookViews>
    <workbookView xWindow="1152" yWindow="1152" windowWidth="17280" windowHeight="8964" xr2:uid="{169315D7-77F5-479F-B577-1183F484CD40}"/>
  </bookViews>
  <sheets>
    <sheet name="DM" sheetId="1" r:id="rId1"/>
    <sheet name="EXT" sheetId="2" r:id="rId2"/>
  </sheets>
  <externalReferences>
    <externalReference r:id="rId3"/>
  </externalReferences>
  <definedNames>
    <definedName name="solver_adj" localSheetId="0" hidden="1">DM!$F$6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DM!$F$8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8" i="2" l="1"/>
  <c r="K20" i="2" l="1"/>
  <c r="C39" i="1"/>
  <c r="C38" i="1"/>
  <c r="C37" i="1"/>
  <c r="C35" i="1"/>
  <c r="I39" i="1"/>
  <c r="I40" i="1"/>
  <c r="I38" i="1"/>
  <c r="I37" i="1"/>
  <c r="I35" i="1"/>
  <c r="E26" i="2" l="1"/>
  <c r="D26" i="2"/>
  <c r="C26" i="2"/>
  <c r="B26" i="2"/>
  <c r="E25" i="2"/>
  <c r="D25" i="2"/>
  <c r="C25" i="2"/>
  <c r="B25" i="2"/>
  <c r="E24" i="2"/>
  <c r="D24" i="2"/>
  <c r="C24" i="2"/>
  <c r="B24" i="2"/>
  <c r="M24" i="2"/>
  <c r="L24" i="2"/>
  <c r="K24" i="2"/>
  <c r="J24" i="2"/>
  <c r="E23" i="2"/>
  <c r="D23" i="2"/>
  <c r="C23" i="2"/>
  <c r="B23" i="2"/>
  <c r="M23" i="2"/>
  <c r="L23" i="2"/>
  <c r="K23" i="2"/>
  <c r="J23" i="2"/>
  <c r="M22" i="2"/>
  <c r="L22" i="2"/>
  <c r="K22" i="2"/>
  <c r="J22" i="2"/>
  <c r="J26" i="2" s="1"/>
  <c r="E21" i="2"/>
  <c r="D21" i="2"/>
  <c r="C21" i="2"/>
  <c r="B21" i="2"/>
  <c r="M20" i="2"/>
  <c r="L20" i="2"/>
  <c r="J20" i="2"/>
  <c r="F15" i="2"/>
  <c r="N15" i="2"/>
  <c r="D9" i="2"/>
  <c r="I46" i="1"/>
  <c r="I45" i="1"/>
  <c r="D45" i="1"/>
  <c r="I44" i="1"/>
  <c r="C44" i="1"/>
  <c r="I43" i="1"/>
  <c r="D43" i="1"/>
  <c r="C43" i="1"/>
  <c r="D42" i="1"/>
  <c r="D46" i="1" s="1"/>
  <c r="C42" i="1"/>
  <c r="I41" i="1"/>
  <c r="C40" i="1"/>
  <c r="D35" i="1"/>
  <c r="C27" i="1"/>
  <c r="C29" i="1" s="1"/>
  <c r="G21" i="1"/>
  <c r="C8" i="1"/>
  <c r="G19" i="1" s="1"/>
  <c r="F7" i="1"/>
  <c r="F9" i="1" s="1"/>
  <c r="C7" i="1"/>
  <c r="C5" i="1"/>
  <c r="C9" i="1" s="1"/>
  <c r="G20" i="1" s="1"/>
  <c r="L26" i="2" l="1"/>
  <c r="M26" i="2"/>
  <c r="K26" i="2"/>
  <c r="D27" i="2"/>
  <c r="B27" i="2"/>
  <c r="L46" i="1"/>
  <c r="F12" i="1"/>
  <c r="F27" i="1" s="1"/>
  <c r="F28" i="1" s="1"/>
  <c r="L43" i="1"/>
  <c r="N43" i="1" s="1"/>
  <c r="L44" i="1"/>
  <c r="I47" i="1"/>
  <c r="N46" i="1"/>
  <c r="N23" i="2"/>
  <c r="N24" i="2"/>
  <c r="F24" i="2"/>
  <c r="F25" i="2"/>
  <c r="F26" i="2"/>
  <c r="C30" i="1"/>
  <c r="C28" i="1"/>
  <c r="L45" i="1"/>
  <c r="M45" i="1" s="1"/>
  <c r="N45" i="1" s="1"/>
  <c r="C27" i="2"/>
  <c r="E27" i="2"/>
  <c r="D38" i="1"/>
  <c r="D39" i="1"/>
  <c r="D37" i="1"/>
  <c r="F13" i="1"/>
  <c r="N44" i="1"/>
  <c r="C46" i="1"/>
  <c r="N22" i="2"/>
  <c r="F23" i="2"/>
  <c r="F8" i="1"/>
  <c r="G18" i="1" l="1"/>
  <c r="H18" i="1" s="1"/>
  <c r="C31" i="1"/>
  <c r="F29" i="1"/>
  <c r="F30" i="1" s="1"/>
  <c r="F27" i="2"/>
  <c r="C13" i="1"/>
  <c r="I27" i="1"/>
  <c r="I29" i="1" s="1"/>
  <c r="J29" i="1" s="1"/>
  <c r="K29" i="1" s="1"/>
  <c r="F14" i="1"/>
  <c r="F15" i="1" s="1"/>
  <c r="N47" i="1"/>
  <c r="G13" i="1"/>
  <c r="H14" i="1" s="1"/>
  <c r="H13" i="1"/>
  <c r="I13" i="1" s="1"/>
  <c r="D40" i="1"/>
  <c r="I28" i="1" l="1"/>
  <c r="I30" i="1"/>
  <c r="J30" i="1" s="1"/>
  <c r="M28" i="1" s="1"/>
  <c r="O46" i="1"/>
  <c r="P46" i="1" s="1"/>
  <c r="O45" i="1"/>
  <c r="P45" i="1" s="1"/>
  <c r="J28" i="1"/>
  <c r="O44" i="1"/>
  <c r="P44" i="1" s="1"/>
  <c r="H21" i="1"/>
  <c r="H19" i="1"/>
  <c r="I31" i="1" l="1"/>
  <c r="L28" i="1"/>
  <c r="K30" i="1"/>
  <c r="H20" i="1"/>
  <c r="K28" i="1"/>
</calcChain>
</file>

<file path=xl/sharedStrings.xml><?xml version="1.0" encoding="utf-8"?>
<sst xmlns="http://schemas.openxmlformats.org/spreadsheetml/2006/main" count="156" uniqueCount="93">
  <si>
    <t>BILANCIA decanter</t>
  </si>
  <si>
    <t>zadaj</t>
  </si>
  <si>
    <t>mDIN kg//h</t>
  </si>
  <si>
    <t>hus_dod kg/m3</t>
  </si>
  <si>
    <t>w_BaIN</t>
  </si>
  <si>
    <t>hus_water kg/m3</t>
  </si>
  <si>
    <t>w_dodIN</t>
  </si>
  <si>
    <t>M_BA kg/kmol</t>
  </si>
  <si>
    <t>w_wIN</t>
  </si>
  <si>
    <t>caf_nastrel kmol/m3</t>
  </si>
  <si>
    <t>nastrel</t>
  </si>
  <si>
    <t>m_BaIN kg/h</t>
  </si>
  <si>
    <t xml:space="preserve">D </t>
  </si>
  <si>
    <t>m_dodIN kg/h</t>
  </si>
  <si>
    <t>function</t>
  </si>
  <si>
    <t>optimalizuj</t>
  </si>
  <si>
    <t>m_wIN kg/h</t>
  </si>
  <si>
    <t>cas_vystup</t>
  </si>
  <si>
    <t>mDBA v dodekane</t>
  </si>
  <si>
    <t>w_BA_W</t>
  </si>
  <si>
    <t>c_BA_W</t>
  </si>
  <si>
    <t>zakoncentrovanie</t>
  </si>
  <si>
    <t>m_c_w</t>
  </si>
  <si>
    <t>mWBA vo vode</t>
  </si>
  <si>
    <t>mBAc</t>
  </si>
  <si>
    <t>BA (in-out)</t>
  </si>
  <si>
    <t>2 prud SPD</t>
  </si>
  <si>
    <t>celkova bilancia organiky</t>
  </si>
  <si>
    <t>odchylka MB vystup z ext1</t>
  </si>
  <si>
    <t>mBA</t>
  </si>
  <si>
    <t>mH2O</t>
  </si>
  <si>
    <t>mDODc</t>
  </si>
  <si>
    <t>mDOD</t>
  </si>
  <si>
    <t>mWc</t>
  </si>
  <si>
    <t>DOD v IL prude z SPD kg/h</t>
  </si>
  <si>
    <t>mILc</t>
  </si>
  <si>
    <t>IL v IL prude z SPD kg/h</t>
  </si>
  <si>
    <t>BA v IL prude z SPD kg/h</t>
  </si>
  <si>
    <t>zmiesavac pred ext 2</t>
  </si>
  <si>
    <t>DOD+BA</t>
  </si>
  <si>
    <t>ORGANIKA</t>
  </si>
  <si>
    <t>mi</t>
  </si>
  <si>
    <t>chyba MB</t>
  </si>
  <si>
    <t>ci</t>
  </si>
  <si>
    <t>Vorg</t>
  </si>
  <si>
    <t>wBA</t>
  </si>
  <si>
    <t>wH2O</t>
  </si>
  <si>
    <t>wDOD</t>
  </si>
  <si>
    <t>nanedbavame</t>
  </si>
  <si>
    <t>sumawi</t>
  </si>
  <si>
    <t>zmiesavac za ext 2</t>
  </si>
  <si>
    <t>simulacia2</t>
  </si>
  <si>
    <t>IN</t>
  </si>
  <si>
    <t>OUT</t>
  </si>
  <si>
    <t>total</t>
  </si>
  <si>
    <t>wi</t>
  </si>
  <si>
    <t>organika_out_ext2</t>
  </si>
  <si>
    <t>vystup org z rekuperacie</t>
  </si>
  <si>
    <t>organika_in</t>
  </si>
  <si>
    <t>BA</t>
  </si>
  <si>
    <t>DOD</t>
  </si>
  <si>
    <t>WATER</t>
  </si>
  <si>
    <t>suma wi</t>
  </si>
  <si>
    <t>IL</t>
  </si>
  <si>
    <t>pridanie vody</t>
  </si>
  <si>
    <t>vstup do extraktora mi kg/h</t>
  </si>
  <si>
    <t>mWATER</t>
  </si>
  <si>
    <t>suma mi</t>
  </si>
  <si>
    <t>mIL</t>
  </si>
  <si>
    <t>ext1</t>
  </si>
  <si>
    <t>ext2</t>
  </si>
  <si>
    <t>V_broth m3/h</t>
  </si>
  <si>
    <t>V_sol m3/h</t>
  </si>
  <si>
    <t>c_c0</t>
  </si>
  <si>
    <t>c_d0</t>
  </si>
  <si>
    <t>m_BA_organika_vstup kg/h</t>
  </si>
  <si>
    <t>m_water kg/h</t>
  </si>
  <si>
    <t>mIL kg/h</t>
  </si>
  <si>
    <t>Dc m</t>
  </si>
  <si>
    <t>w_IL0</t>
  </si>
  <si>
    <t>n</t>
  </si>
  <si>
    <t>w_h2o_v_IL0</t>
  </si>
  <si>
    <t>vytazok %</t>
  </si>
  <si>
    <t>xd</t>
  </si>
  <si>
    <t>H</t>
  </si>
  <si>
    <t>xdf</t>
  </si>
  <si>
    <t>a</t>
  </si>
  <si>
    <t>bez axialnej</t>
  </si>
  <si>
    <t xml:space="preserve"> </t>
  </si>
  <si>
    <t>vodna_in</t>
  </si>
  <si>
    <t>vodna_out</t>
  </si>
  <si>
    <t>organika_out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</si>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</sst>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Fill="1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2" borderId="0" xfId="0" applyFill="1" applyBorder="1"/>
    <xf numFmtId="0" fontId="0" fillId="3" borderId="4" xfId="0" applyFill="1" applyBorder="1"/>
    <xf numFmtId="0" fontId="0" fillId="3" borderId="0" xfId="0" applyFill="1" applyBorder="1"/>
    <xf numFmtId="0" fontId="0" fillId="4" borderId="4" xfId="0" applyFill="1" applyBorder="1"/>
    <xf numFmtId="0" fontId="0" fillId="4" borderId="0" xfId="0" applyFill="1" applyBorder="1"/>
    <xf numFmtId="0" fontId="0" fillId="0" borderId="6" xfId="0" applyBorder="1"/>
    <xf numFmtId="0" fontId="0" fillId="0" borderId="7" xfId="0" applyBorder="1"/>
    <xf numFmtId="0" fontId="0" fillId="5" borderId="7" xfId="0" applyFill="1" applyBorder="1"/>
    <xf numFmtId="0" fontId="0" fillId="0" borderId="8" xfId="0" applyBorder="1"/>
    <xf numFmtId="0" fontId="0" fillId="0" borderId="1" xfId="0" applyBorder="1"/>
    <xf numFmtId="0" fontId="0" fillId="6" borderId="0" xfId="0" applyFill="1" applyBorder="1"/>
    <xf numFmtId="0" fontId="0" fillId="5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5" xfId="0" applyFill="1" applyBorder="1"/>
    <xf numFmtId="0" fontId="0" fillId="3" borderId="2" xfId="0" applyFill="1" applyBorder="1"/>
    <xf numFmtId="0" fontId="0" fillId="3" borderId="0" xfId="0" applyFill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D = f(caf)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</c:trendlineLbl>
          </c:trendline>
          <c:xVal>
            <c:numRef>
              <c:f>[1]rovnovaha!$K$2:$K$30</c:f>
              <c:numCache>
                <c:formatCode>General</c:formatCode>
                <c:ptCount val="29"/>
                <c:pt idx="0">
                  <c:v>9.5600000000000004E-2</c:v>
                </c:pt>
                <c:pt idx="1">
                  <c:v>0.1055</c:v>
                </c:pt>
                <c:pt idx="2">
                  <c:v>0.109</c:v>
                </c:pt>
                <c:pt idx="3">
                  <c:v>0.18559999999999999</c:v>
                </c:pt>
                <c:pt idx="4">
                  <c:v>0.21629999999999999</c:v>
                </c:pt>
                <c:pt idx="5">
                  <c:v>0.24529999999999999</c:v>
                </c:pt>
                <c:pt idx="6">
                  <c:v>0.30599999999999999</c:v>
                </c:pt>
                <c:pt idx="7">
                  <c:v>0.34279999999999999</c:v>
                </c:pt>
                <c:pt idx="8">
                  <c:v>0.36520000000000002</c:v>
                </c:pt>
                <c:pt idx="9">
                  <c:v>0.38500000000000001</c:v>
                </c:pt>
                <c:pt idx="10">
                  <c:v>0.45939999999999998</c:v>
                </c:pt>
                <c:pt idx="11">
                  <c:v>0.48130000000000001</c:v>
                </c:pt>
                <c:pt idx="12">
                  <c:v>0.50490000000000002</c:v>
                </c:pt>
                <c:pt idx="13">
                  <c:v>0.50970000000000004</c:v>
                </c:pt>
                <c:pt idx="14">
                  <c:v>0.55389999999999995</c:v>
                </c:pt>
                <c:pt idx="15">
                  <c:v>0.5958</c:v>
                </c:pt>
                <c:pt idx="16">
                  <c:v>0.63239999999999996</c:v>
                </c:pt>
                <c:pt idx="17">
                  <c:v>0.71430000000000005</c:v>
                </c:pt>
                <c:pt idx="18">
                  <c:v>0.87470000000000003</c:v>
                </c:pt>
                <c:pt idx="19">
                  <c:v>0.93330000000000002</c:v>
                </c:pt>
                <c:pt idx="20">
                  <c:v>0.9486</c:v>
                </c:pt>
                <c:pt idx="21">
                  <c:v>1.0409999999999999</c:v>
                </c:pt>
                <c:pt idx="22">
                  <c:v>1.2587999999999999</c:v>
                </c:pt>
                <c:pt idx="23">
                  <c:v>1.6617</c:v>
                </c:pt>
                <c:pt idx="24">
                  <c:v>0.19439999999999999</c:v>
                </c:pt>
                <c:pt idx="25">
                  <c:v>0.37890000000000001</c:v>
                </c:pt>
                <c:pt idx="26">
                  <c:v>0.43919999999999998</c:v>
                </c:pt>
                <c:pt idx="27">
                  <c:v>0.58079999999999998</c:v>
                </c:pt>
                <c:pt idx="28">
                  <c:v>0.70640000000000003</c:v>
                </c:pt>
              </c:numCache>
            </c:numRef>
          </c:xVal>
          <c:yVal>
            <c:numRef>
              <c:f>[1]rovnovaha!$M$2:$M$30</c:f>
              <c:numCache>
                <c:formatCode>General</c:formatCode>
                <c:ptCount val="29"/>
                <c:pt idx="0">
                  <c:v>0.17468619246861899</c:v>
                </c:pt>
                <c:pt idx="1">
                  <c:v>0.13649289099526066</c:v>
                </c:pt>
                <c:pt idx="2">
                  <c:v>0.27431192660550457</c:v>
                </c:pt>
                <c:pt idx="3">
                  <c:v>0.31573275862068967</c:v>
                </c:pt>
                <c:pt idx="4">
                  <c:v>0.30790568654646328</c:v>
                </c:pt>
                <c:pt idx="5">
                  <c:v>0.31145536078271502</c:v>
                </c:pt>
                <c:pt idx="6">
                  <c:v>0.38529411764705884</c:v>
                </c:pt>
                <c:pt idx="7">
                  <c:v>0.46149358226371062</c:v>
                </c:pt>
                <c:pt idx="8">
                  <c:v>0.5605147864184008</c:v>
                </c:pt>
                <c:pt idx="9">
                  <c:v>0.44077922077922072</c:v>
                </c:pt>
                <c:pt idx="10">
                  <c:v>0.63996517196343061</c:v>
                </c:pt>
                <c:pt idx="11">
                  <c:v>0.50280490338666106</c:v>
                </c:pt>
                <c:pt idx="12">
                  <c:v>0.58902753020400078</c:v>
                </c:pt>
                <c:pt idx="13">
                  <c:v>0.70590543456935451</c:v>
                </c:pt>
                <c:pt idx="14">
                  <c:v>0.67286513811157256</c:v>
                </c:pt>
                <c:pt idx="15">
                  <c:v>0.57099697885196377</c:v>
                </c:pt>
                <c:pt idx="16">
                  <c:v>0.79743833017077803</c:v>
                </c:pt>
                <c:pt idx="17">
                  <c:v>0.9134817303653926</c:v>
                </c:pt>
                <c:pt idx="18">
                  <c:v>0.99142563164513542</c:v>
                </c:pt>
                <c:pt idx="19">
                  <c:v>1.0286081645773062</c:v>
                </c:pt>
                <c:pt idx="20">
                  <c:v>1.0548176259751212</c:v>
                </c:pt>
                <c:pt idx="21">
                  <c:v>1.0351585014409221</c:v>
                </c:pt>
                <c:pt idx="22">
                  <c:v>1.2407054337464254</c:v>
                </c:pt>
                <c:pt idx="23">
                  <c:v>1.3701029066618524</c:v>
                </c:pt>
                <c:pt idx="24">
                  <c:v>0.27983539094650206</c:v>
                </c:pt>
                <c:pt idx="25">
                  <c:v>0.44523621008181574</c:v>
                </c:pt>
                <c:pt idx="26">
                  <c:v>0.51388888888888895</c:v>
                </c:pt>
                <c:pt idx="27">
                  <c:v>0.68078512396694213</c:v>
                </c:pt>
                <c:pt idx="28">
                  <c:v>0.82007361268403178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17-48E9-B735-4A598AE0B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999616"/>
        <c:axId val="988004208"/>
      </c:scatterChart>
      <c:valAx>
        <c:axId val="98799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8004208"/>
        <c:crosses val="autoZero"/>
        <c:crossBetween val="midCat"/>
      </c:valAx>
      <c:valAx>
        <c:axId val="9880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8799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0</xdr:row>
      <xdr:rowOff>0</xdr:rowOff>
    </xdr:from>
    <xdr:to>
      <xdr:col>17</xdr:col>
      <xdr:colOff>247649</xdr:colOff>
      <xdr:row>18</xdr:row>
      <xdr:rowOff>98612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3229F82-A5C4-4C40-8A19-666210673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33d15884df6fabae/Dokumenty/D_d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ovnovaha"/>
      <sheetName val="ext MB"/>
      <sheetName val="decanter+mix S1"/>
      <sheetName val="S1"/>
      <sheetName val="decanter+mix S2"/>
      <sheetName val="S2"/>
      <sheetName val="decanter+mix S3"/>
      <sheetName val="S3"/>
      <sheetName val="decanter+mix S4"/>
      <sheetName val="S4"/>
      <sheetName val="decanter+mix S5"/>
      <sheetName val="S5"/>
      <sheetName val="decanter+mix S6"/>
      <sheetName val="S6"/>
      <sheetName val="decanter+mix S7"/>
      <sheetName val="S7"/>
      <sheetName val="decanter+mix S7 (2)"/>
      <sheetName val="S7 (2)"/>
    </sheetNames>
    <sheetDataSet>
      <sheetData sheetId="0"/>
      <sheetData sheetId="1">
        <row r="2">
          <cell r="K2">
            <v>9.5600000000000004E-2</v>
          </cell>
          <cell r="M2">
            <v>0.17468619246861899</v>
          </cell>
        </row>
        <row r="3">
          <cell r="K3">
            <v>0.1055</v>
          </cell>
          <cell r="M3">
            <v>0.13649289099526066</v>
          </cell>
        </row>
        <row r="4">
          <cell r="K4">
            <v>0.109</v>
          </cell>
          <cell r="M4">
            <v>0.27431192660550457</v>
          </cell>
        </row>
        <row r="5">
          <cell r="K5">
            <v>0.18559999999999999</v>
          </cell>
          <cell r="M5">
            <v>0.31573275862068967</v>
          </cell>
        </row>
        <row r="6">
          <cell r="K6">
            <v>0.21629999999999999</v>
          </cell>
          <cell r="M6">
            <v>0.30790568654646328</v>
          </cell>
        </row>
        <row r="7">
          <cell r="K7">
            <v>0.24529999999999999</v>
          </cell>
          <cell r="M7">
            <v>0.31145536078271502</v>
          </cell>
        </row>
        <row r="8">
          <cell r="K8">
            <v>0.30599999999999999</v>
          </cell>
          <cell r="M8">
            <v>0.38529411764705884</v>
          </cell>
        </row>
        <row r="9">
          <cell r="K9">
            <v>0.34279999999999999</v>
          </cell>
          <cell r="M9">
            <v>0.46149358226371062</v>
          </cell>
        </row>
        <row r="10">
          <cell r="K10">
            <v>0.36520000000000002</v>
          </cell>
          <cell r="M10">
            <v>0.5605147864184008</v>
          </cell>
        </row>
        <row r="11">
          <cell r="K11">
            <v>0.38500000000000001</v>
          </cell>
          <cell r="M11">
            <v>0.44077922077922072</v>
          </cell>
        </row>
        <row r="12">
          <cell r="K12">
            <v>0.45939999999999998</v>
          </cell>
          <cell r="M12">
            <v>0.63996517196343061</v>
          </cell>
        </row>
        <row r="13">
          <cell r="K13">
            <v>0.48130000000000001</v>
          </cell>
          <cell r="M13">
            <v>0.50280490338666106</v>
          </cell>
        </row>
        <row r="14">
          <cell r="K14">
            <v>0.50490000000000002</v>
          </cell>
          <cell r="M14">
            <v>0.58902753020400078</v>
          </cell>
        </row>
        <row r="15">
          <cell r="K15">
            <v>0.50970000000000004</v>
          </cell>
          <cell r="M15">
            <v>0.70590543456935451</v>
          </cell>
        </row>
        <row r="16">
          <cell r="K16">
            <v>0.55389999999999995</v>
          </cell>
          <cell r="M16">
            <v>0.67286513811157256</v>
          </cell>
        </row>
        <row r="17">
          <cell r="K17">
            <v>0.5958</v>
          </cell>
          <cell r="M17">
            <v>0.57099697885196377</v>
          </cell>
        </row>
        <row r="18">
          <cell r="K18">
            <v>0.63239999999999996</v>
          </cell>
          <cell r="M18">
            <v>0.79743833017077803</v>
          </cell>
        </row>
        <row r="19">
          <cell r="K19">
            <v>0.71430000000000005</v>
          </cell>
          <cell r="M19">
            <v>0.9134817303653926</v>
          </cell>
        </row>
        <row r="20">
          <cell r="K20">
            <v>0.87470000000000003</v>
          </cell>
          <cell r="M20">
            <v>0.99142563164513542</v>
          </cell>
        </row>
        <row r="21">
          <cell r="K21">
            <v>0.93330000000000002</v>
          </cell>
          <cell r="M21">
            <v>1.0286081645773062</v>
          </cell>
        </row>
        <row r="22">
          <cell r="K22">
            <v>0.9486</v>
          </cell>
          <cell r="M22">
            <v>1.0548176259751212</v>
          </cell>
        </row>
        <row r="23">
          <cell r="K23">
            <v>1.0409999999999999</v>
          </cell>
          <cell r="M23">
            <v>1.0351585014409221</v>
          </cell>
        </row>
        <row r="24">
          <cell r="K24">
            <v>1.2587999999999999</v>
          </cell>
          <cell r="M24">
            <v>1.2407054337464254</v>
          </cell>
        </row>
        <row r="25">
          <cell r="K25">
            <v>1.6617</v>
          </cell>
          <cell r="M25">
            <v>1.3701029066618524</v>
          </cell>
        </row>
        <row r="26">
          <cell r="K26">
            <v>0.19439999999999999</v>
          </cell>
          <cell r="M26">
            <v>0.27983539094650206</v>
          </cell>
        </row>
        <row r="27">
          <cell r="K27">
            <v>0.37890000000000001</v>
          </cell>
          <cell r="M27">
            <v>0.44523621008181574</v>
          </cell>
        </row>
        <row r="28">
          <cell r="K28">
            <v>0.43919999999999998</v>
          </cell>
          <cell r="M28">
            <v>0.51388888888888895</v>
          </cell>
        </row>
        <row r="29">
          <cell r="K29">
            <v>0.58079999999999998</v>
          </cell>
          <cell r="M29">
            <v>0.68078512396694213</v>
          </cell>
        </row>
        <row r="30">
          <cell r="K30">
            <v>0.70640000000000003</v>
          </cell>
          <cell r="M30">
            <v>0.82007361268403178</v>
          </cell>
        </row>
      </sheetData>
      <sheetData sheetId="2"/>
      <sheetData sheetId="3"/>
      <sheetData sheetId="4">
        <row r="24">
          <cell r="E24">
            <v>117.22978000000001</v>
          </cell>
        </row>
        <row r="25">
          <cell r="E25">
            <v>12.894029999999999</v>
          </cell>
        </row>
        <row r="26">
          <cell r="E26">
            <v>449.98295999999999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93535-40BD-449A-A189-7ED882300414}">
  <dimension ref="B1:P47"/>
  <sheetViews>
    <sheetView tabSelected="1" topLeftCell="B1" workbookViewId="0">
      <selection activeCell="C4" sqref="C4"/>
    </sheetView>
  </sheetViews>
  <sheetFormatPr defaultRowHeight="14.4" x14ac:dyDescent="0.3"/>
  <cols>
    <col min="2" max="2" width="26.33203125" bestFit="1" customWidth="1"/>
    <col min="3" max="3" width="24.109375" customWidth="1"/>
    <col min="4" max="4" width="22.88671875" customWidth="1"/>
    <col min="5" max="5" width="15.5546875" customWidth="1"/>
    <col min="6" max="6" width="18.5546875" customWidth="1"/>
    <col min="7" max="7" width="12" bestFit="1" customWidth="1"/>
    <col min="8" max="8" width="24.44140625" bestFit="1" customWidth="1"/>
    <col min="9" max="9" width="16.88671875" bestFit="1" customWidth="1"/>
    <col min="12" max="12" width="12.6640625" customWidth="1"/>
    <col min="13" max="13" width="13.33203125" bestFit="1" customWidth="1"/>
    <col min="14" max="14" width="28.88671875" customWidth="1"/>
    <col min="15" max="15" width="16.33203125" bestFit="1" customWidth="1"/>
    <col min="16" max="16" width="12.6640625" bestFit="1" customWidth="1"/>
  </cols>
  <sheetData>
    <row r="1" spans="2:9" x14ac:dyDescent="0.3">
      <c r="B1" s="1" t="s">
        <v>0</v>
      </c>
      <c r="C1" s="2" t="s">
        <v>1</v>
      </c>
      <c r="D1" s="3"/>
      <c r="E1" s="3"/>
      <c r="F1" s="3"/>
      <c r="G1" s="3"/>
      <c r="H1" s="3"/>
      <c r="I1" s="4"/>
    </row>
    <row r="2" spans="2:9" x14ac:dyDescent="0.3">
      <c r="B2" s="5" t="s">
        <v>2</v>
      </c>
      <c r="C2" s="6">
        <v>67.87</v>
      </c>
      <c r="D2" s="7"/>
      <c r="E2" s="7" t="s">
        <v>3</v>
      </c>
      <c r="F2" s="7">
        <v>746.18</v>
      </c>
      <c r="G2" s="7"/>
      <c r="H2" s="7"/>
      <c r="I2" s="8"/>
    </row>
    <row r="3" spans="2:9" x14ac:dyDescent="0.3">
      <c r="B3" s="5" t="s">
        <v>4</v>
      </c>
      <c r="C3" s="6">
        <v>0.5</v>
      </c>
      <c r="D3" s="7"/>
      <c r="E3" s="7" t="s">
        <v>5</v>
      </c>
      <c r="F3" s="7">
        <v>997</v>
      </c>
      <c r="G3" s="7"/>
      <c r="H3" s="7"/>
      <c r="I3" s="8"/>
    </row>
    <row r="4" spans="2:9" x14ac:dyDescent="0.3">
      <c r="B4" s="5" t="s">
        <v>6</v>
      </c>
      <c r="C4" s="6">
        <v>0.38200000000000001</v>
      </c>
      <c r="D4" s="7"/>
      <c r="E4" s="7" t="s">
        <v>7</v>
      </c>
      <c r="F4" s="7">
        <v>88.11</v>
      </c>
      <c r="G4" s="7"/>
      <c r="H4" s="7"/>
      <c r="I4" s="8"/>
    </row>
    <row r="5" spans="2:9" x14ac:dyDescent="0.3">
      <c r="B5" s="5" t="s">
        <v>8</v>
      </c>
      <c r="C5" s="6">
        <f>1-C3-C4</f>
        <v>0.11799999999999999</v>
      </c>
      <c r="D5" s="7"/>
      <c r="E5" s="7"/>
      <c r="F5" s="7"/>
      <c r="G5" s="7"/>
      <c r="H5" s="7"/>
      <c r="I5" s="8"/>
    </row>
    <row r="6" spans="2:9" x14ac:dyDescent="0.3">
      <c r="B6" s="9"/>
      <c r="C6" s="7"/>
      <c r="D6" s="7"/>
      <c r="E6" s="7" t="s">
        <v>9</v>
      </c>
      <c r="F6" s="7">
        <v>3.0218572910116586</v>
      </c>
      <c r="G6" s="10" t="s">
        <v>10</v>
      </c>
      <c r="H6" s="7"/>
      <c r="I6" s="8"/>
    </row>
    <row r="7" spans="2:9" x14ac:dyDescent="0.3">
      <c r="B7" s="9" t="s">
        <v>11</v>
      </c>
      <c r="C7" s="7">
        <f>$C$2*C3</f>
        <v>33.935000000000002</v>
      </c>
      <c r="D7" s="7"/>
      <c r="E7" s="7" t="s">
        <v>12</v>
      </c>
      <c r="F7" s="7">
        <f>0.8565*F6+0.1609</f>
        <v>2.7491207697514857</v>
      </c>
      <c r="G7" s="7"/>
      <c r="H7" s="7"/>
      <c r="I7" s="8"/>
    </row>
    <row r="8" spans="2:9" x14ac:dyDescent="0.3">
      <c r="B8" s="11" t="s">
        <v>13</v>
      </c>
      <c r="C8" s="12">
        <f>$C$2*C4</f>
        <v>25.926340000000003</v>
      </c>
      <c r="D8" s="7"/>
      <c r="E8" s="7" t="s">
        <v>14</v>
      </c>
      <c r="F8" s="7">
        <f>C8*F7*F6*F4/F2+C9*F6*F4/F3-C2*C3</f>
        <v>-6.3636418208858103</v>
      </c>
      <c r="G8" s="10" t="s">
        <v>15</v>
      </c>
      <c r="H8" s="7"/>
      <c r="I8" s="8"/>
    </row>
    <row r="9" spans="2:9" x14ac:dyDescent="0.3">
      <c r="B9" s="13" t="s">
        <v>16</v>
      </c>
      <c r="C9" s="14">
        <f t="shared" ref="C9" si="0">$C$2*C5</f>
        <v>8.0086600000000008</v>
      </c>
      <c r="D9" s="7"/>
      <c r="E9" s="7" t="s">
        <v>17</v>
      </c>
      <c r="F9" s="7">
        <f>F7*F6</f>
        <v>8.3074506419451097</v>
      </c>
      <c r="G9" s="7"/>
      <c r="H9" s="7"/>
      <c r="I9" s="8"/>
    </row>
    <row r="10" spans="2:9" x14ac:dyDescent="0.3">
      <c r="B10" s="9"/>
      <c r="C10" s="7"/>
      <c r="D10" s="7"/>
      <c r="E10" s="7"/>
      <c r="F10" s="7"/>
      <c r="G10" s="7"/>
      <c r="H10" s="7"/>
      <c r="I10" s="8"/>
    </row>
    <row r="11" spans="2:9" x14ac:dyDescent="0.3">
      <c r="B11" s="9"/>
      <c r="C11" s="7"/>
      <c r="D11" s="7"/>
      <c r="E11" s="7"/>
      <c r="F11" s="7"/>
      <c r="G11" s="7"/>
      <c r="H11" s="7"/>
      <c r="I11" s="8"/>
    </row>
    <row r="12" spans="2:9" x14ac:dyDescent="0.3">
      <c r="B12" s="9"/>
      <c r="C12" s="7"/>
      <c r="D12" s="7"/>
      <c r="E12" s="12" t="s">
        <v>18</v>
      </c>
      <c r="F12" s="12">
        <f>F9*C8/F2*F4</f>
        <v>25.432589329651918</v>
      </c>
      <c r="G12" s="7" t="s">
        <v>19</v>
      </c>
      <c r="H12" s="7" t="s">
        <v>20</v>
      </c>
      <c r="I12" s="8" t="s">
        <v>21</v>
      </c>
    </row>
    <row r="13" spans="2:9" x14ac:dyDescent="0.3">
      <c r="B13" s="9" t="s">
        <v>22</v>
      </c>
      <c r="C13" s="7">
        <f>SUM(C9,F13)</f>
        <v>10.147428849462276</v>
      </c>
      <c r="D13" s="7"/>
      <c r="E13" s="14" t="s">
        <v>23</v>
      </c>
      <c r="F13" s="14">
        <f>F6*C9/F3*F4</f>
        <v>2.1387688494622745</v>
      </c>
      <c r="G13" s="7">
        <f>F13/(C9+F13)</f>
        <v>0.2107695339569304</v>
      </c>
      <c r="H13" s="7">
        <f>F13/F4/(C9/F3)</f>
        <v>3.0218572910116581</v>
      </c>
      <c r="I13" s="8">
        <f>H13/0.19</f>
        <v>15.904512057956095</v>
      </c>
    </row>
    <row r="14" spans="2:9" x14ac:dyDescent="0.3">
      <c r="B14" s="9"/>
      <c r="C14" s="7"/>
      <c r="D14" s="7"/>
      <c r="E14" s="7" t="s">
        <v>24</v>
      </c>
      <c r="F14" s="7">
        <f>SUM(F12:F13)</f>
        <v>27.571358179114192</v>
      </c>
      <c r="G14" s="7"/>
      <c r="H14" s="7">
        <f>G13/EXT!B17</f>
        <v>10.852507291033747</v>
      </c>
      <c r="I14" s="8"/>
    </row>
    <row r="15" spans="2:9" ht="15" thickBot="1" x14ac:dyDescent="0.35">
      <c r="B15" s="15"/>
      <c r="C15" s="16"/>
      <c r="D15" s="16"/>
      <c r="E15" s="17" t="s">
        <v>25</v>
      </c>
      <c r="F15" s="17">
        <f>F14-C7</f>
        <v>-6.3636418208858103</v>
      </c>
      <c r="G15" s="16"/>
      <c r="H15" s="16"/>
      <c r="I15" s="18"/>
    </row>
    <row r="16" spans="2:9" x14ac:dyDescent="0.3">
      <c r="B16" s="19"/>
      <c r="C16" s="3"/>
      <c r="D16" s="3"/>
      <c r="E16" s="3"/>
      <c r="F16" s="3"/>
      <c r="G16" s="3"/>
      <c r="H16" s="3"/>
      <c r="I16" s="4"/>
    </row>
    <row r="17" spans="2:13" x14ac:dyDescent="0.3">
      <c r="B17" s="11" t="s">
        <v>26</v>
      </c>
      <c r="C17" s="10" t="s">
        <v>1</v>
      </c>
      <c r="D17" s="7"/>
      <c r="E17" s="7"/>
      <c r="F17" s="20" t="s">
        <v>27</v>
      </c>
      <c r="G17" s="20"/>
      <c r="H17" s="21" t="s">
        <v>28</v>
      </c>
      <c r="I17" s="8"/>
    </row>
    <row r="18" spans="2:13" x14ac:dyDescent="0.3">
      <c r="B18" s="11" t="s">
        <v>29</v>
      </c>
      <c r="C18" s="12">
        <v>18.260000000000002</v>
      </c>
      <c r="D18" s="7"/>
      <c r="E18" s="7"/>
      <c r="F18" s="20" t="s">
        <v>24</v>
      </c>
      <c r="G18" s="20">
        <f>F12+C18+F13+C23</f>
        <v>49.021358179114195</v>
      </c>
      <c r="H18" s="21">
        <f>G18-EXT!E23</f>
        <v>-2.5513195880422401</v>
      </c>
      <c r="I18" s="8"/>
    </row>
    <row r="19" spans="2:13" x14ac:dyDescent="0.3">
      <c r="B19" s="11" t="s">
        <v>30</v>
      </c>
      <c r="C19" s="12">
        <v>4.2999999999999997E-2</v>
      </c>
      <c r="D19" s="7"/>
      <c r="E19" s="7"/>
      <c r="F19" s="20" t="s">
        <v>31</v>
      </c>
      <c r="G19" s="20">
        <f>C8+C20+C21</f>
        <v>117.24634</v>
      </c>
      <c r="H19" s="21">
        <f>G19-[1]S1!E24</f>
        <v>1.6559999999998354E-2</v>
      </c>
      <c r="I19" s="8"/>
    </row>
    <row r="20" spans="2:13" x14ac:dyDescent="0.3">
      <c r="B20" s="11" t="s">
        <v>32</v>
      </c>
      <c r="C20" s="12">
        <v>51.3</v>
      </c>
      <c r="D20" s="7"/>
      <c r="E20" s="7"/>
      <c r="F20" s="20" t="s">
        <v>33</v>
      </c>
      <c r="G20" s="20">
        <f>C9</f>
        <v>8.0086600000000008</v>
      </c>
      <c r="H20" s="21">
        <f>G20-[1]S1!E25</f>
        <v>-4.8853699999999982</v>
      </c>
      <c r="I20" s="8"/>
    </row>
    <row r="21" spans="2:13" x14ac:dyDescent="0.3">
      <c r="B21" s="11" t="s">
        <v>34</v>
      </c>
      <c r="C21" s="12">
        <v>40.020000000000003</v>
      </c>
      <c r="D21" s="7"/>
      <c r="E21" s="7"/>
      <c r="F21" s="20" t="s">
        <v>35</v>
      </c>
      <c r="G21" s="20">
        <f>C22</f>
        <v>450</v>
      </c>
      <c r="H21" s="21">
        <f>G21-[1]S1!E26</f>
        <v>1.7040000000008604E-2</v>
      </c>
      <c r="I21" s="8"/>
    </row>
    <row r="22" spans="2:13" x14ac:dyDescent="0.3">
      <c r="B22" s="11" t="s">
        <v>36</v>
      </c>
      <c r="C22" s="12">
        <v>450</v>
      </c>
      <c r="D22" s="7"/>
      <c r="E22" s="7"/>
      <c r="F22" s="20"/>
      <c r="G22" s="20"/>
      <c r="H22" s="21"/>
      <c r="I22" s="8"/>
    </row>
    <row r="23" spans="2:13" ht="15" thickBot="1" x14ac:dyDescent="0.35">
      <c r="B23" s="22" t="s">
        <v>37</v>
      </c>
      <c r="C23" s="23">
        <v>3.19</v>
      </c>
      <c r="D23" s="16"/>
      <c r="E23" s="16"/>
      <c r="F23" s="16"/>
      <c r="G23" s="16"/>
      <c r="H23" s="16"/>
      <c r="I23" s="18"/>
    </row>
    <row r="24" spans="2:13" ht="15" thickBot="1" x14ac:dyDescent="0.35"/>
    <row r="25" spans="2:13" x14ac:dyDescent="0.3">
      <c r="B25" s="19" t="s">
        <v>38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2:13" x14ac:dyDescent="0.3">
      <c r="B26" s="9"/>
      <c r="C26" s="7"/>
      <c r="D26" s="7"/>
      <c r="E26" s="7"/>
      <c r="F26" s="7"/>
      <c r="G26" s="7"/>
      <c r="H26" s="7"/>
      <c r="I26" s="7"/>
      <c r="J26" s="7"/>
      <c r="K26" s="7"/>
      <c r="L26" s="7"/>
      <c r="M26" s="8"/>
    </row>
    <row r="27" spans="2:13" x14ac:dyDescent="0.3">
      <c r="B27" s="5" t="s">
        <v>26</v>
      </c>
      <c r="C27" s="7">
        <f>SUM(C18:C20)</f>
        <v>69.602999999999994</v>
      </c>
      <c r="D27" s="7"/>
      <c r="E27" s="7" t="s">
        <v>39</v>
      </c>
      <c r="F27" s="7">
        <f>F12+C8</f>
        <v>51.358929329651922</v>
      </c>
      <c r="G27" s="7"/>
      <c r="H27" s="7" t="s">
        <v>40</v>
      </c>
      <c r="I27" s="7">
        <f>C27+F27</f>
        <v>120.96192932965192</v>
      </c>
      <c r="J27" s="7" t="s">
        <v>41</v>
      </c>
      <c r="K27" s="7" t="s">
        <v>42</v>
      </c>
      <c r="L27" s="14" t="s">
        <v>43</v>
      </c>
      <c r="M27" s="24" t="s">
        <v>44</v>
      </c>
    </row>
    <row r="28" spans="2:13" x14ac:dyDescent="0.3">
      <c r="B28" s="5" t="s">
        <v>45</v>
      </c>
      <c r="C28" s="7">
        <f>C18/$C$27</f>
        <v>0.26234501386434494</v>
      </c>
      <c r="D28" s="7"/>
      <c r="E28" s="7" t="s">
        <v>45</v>
      </c>
      <c r="F28" s="7">
        <f>F12/$F$27</f>
        <v>0.49519313703777873</v>
      </c>
      <c r="G28" s="7"/>
      <c r="H28" s="5" t="s">
        <v>45</v>
      </c>
      <c r="I28" s="7">
        <f>(C28*$C$27+F28*$F$27)/I27</f>
        <v>0.36120942822082919</v>
      </c>
      <c r="J28" s="7">
        <f>I28*$I$27</f>
        <v>43.692589329651916</v>
      </c>
      <c r="K28" s="7">
        <f>J28-C18-F12</f>
        <v>0</v>
      </c>
      <c r="L28" s="14">
        <f>J28/F4/M28</f>
        <v>4.7913812963595674</v>
      </c>
      <c r="M28" s="24">
        <f>J30/F2</f>
        <v>0.10349559087619609</v>
      </c>
    </row>
    <row r="29" spans="2:13" x14ac:dyDescent="0.3">
      <c r="B29" s="5" t="s">
        <v>46</v>
      </c>
      <c r="C29" s="7">
        <f>C19/$C$27</f>
        <v>6.1778946309785498E-4</v>
      </c>
      <c r="D29" s="7"/>
      <c r="E29" s="7" t="s">
        <v>47</v>
      </c>
      <c r="F29" s="7">
        <f>C8/F27</f>
        <v>0.50480686296222121</v>
      </c>
      <c r="G29" s="7"/>
      <c r="H29" s="5" t="s">
        <v>46</v>
      </c>
      <c r="I29" s="7">
        <f>(C29*C27)/I27</f>
        <v>3.5548374797176138E-4</v>
      </c>
      <c r="J29" s="7">
        <f t="shared" ref="J29:J30" si="1">I29*$I$27</f>
        <v>4.2999999999999997E-2</v>
      </c>
      <c r="K29" s="7">
        <f>J29-C19</f>
        <v>0</v>
      </c>
      <c r="L29" s="7" t="s">
        <v>48</v>
      </c>
      <c r="M29" s="8"/>
    </row>
    <row r="30" spans="2:13" x14ac:dyDescent="0.3">
      <c r="B30" s="5" t="s">
        <v>47</v>
      </c>
      <c r="C30" s="7">
        <f>C20/$C$27</f>
        <v>0.73703719667255718</v>
      </c>
      <c r="D30" s="7"/>
      <c r="E30" s="12" t="s">
        <v>49</v>
      </c>
      <c r="F30" s="7">
        <f>SUM(F28:F29)</f>
        <v>1</v>
      </c>
      <c r="G30" s="7"/>
      <c r="H30" s="5" t="s">
        <v>47</v>
      </c>
      <c r="I30" s="7">
        <f>(C30*C27+F29*F27)/I27</f>
        <v>0.63843508803119897</v>
      </c>
      <c r="J30" s="7">
        <f t="shared" si="1"/>
        <v>77.226339999999993</v>
      </c>
      <c r="K30" s="7">
        <f>C20+C8-J30</f>
        <v>0</v>
      </c>
      <c r="L30" s="7"/>
      <c r="M30" s="8"/>
    </row>
    <row r="31" spans="2:13" ht="15" thickBot="1" x14ac:dyDescent="0.35">
      <c r="B31" s="22" t="s">
        <v>49</v>
      </c>
      <c r="C31" s="16">
        <f>SUM(C28:C30)</f>
        <v>1</v>
      </c>
      <c r="D31" s="16"/>
      <c r="E31" s="16"/>
      <c r="F31" s="16"/>
      <c r="G31" s="16"/>
      <c r="H31" s="23" t="s">
        <v>49</v>
      </c>
      <c r="I31" s="16">
        <f>SUM(I28:I30)</f>
        <v>1</v>
      </c>
      <c r="J31" s="16"/>
      <c r="K31" s="16"/>
      <c r="L31" s="16"/>
      <c r="M31" s="18"/>
    </row>
    <row r="32" spans="2:13" ht="15" thickBot="1" x14ac:dyDescent="0.35">
      <c r="C32" s="7"/>
      <c r="D32" s="7"/>
      <c r="E32" s="7"/>
      <c r="F32" s="7"/>
      <c r="G32" s="7"/>
      <c r="H32" s="12"/>
      <c r="I32" s="7"/>
    </row>
    <row r="33" spans="2:16" x14ac:dyDescent="0.3">
      <c r="B33" s="19" t="s">
        <v>50</v>
      </c>
      <c r="C33" s="3" t="s">
        <v>51</v>
      </c>
      <c r="D33" s="3"/>
      <c r="E33" s="3"/>
      <c r="F33" s="3"/>
      <c r="G33" s="3"/>
      <c r="H33" s="25"/>
      <c r="I33" s="3"/>
      <c r="J33" s="3"/>
      <c r="K33" s="3"/>
      <c r="L33" s="3"/>
      <c r="M33" s="3"/>
      <c r="N33" s="3"/>
      <c r="O33" s="3"/>
      <c r="P33" s="4"/>
    </row>
    <row r="34" spans="2:16" x14ac:dyDescent="0.3">
      <c r="B34" s="9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</row>
    <row r="35" spans="2:16" x14ac:dyDescent="0.3">
      <c r="B35" s="9" t="s">
        <v>52</v>
      </c>
      <c r="C35" s="6">
        <f>EXT!M15</f>
        <v>81.05695232620559</v>
      </c>
      <c r="D35" s="7">
        <f>SUM(C21:C23)</f>
        <v>493.21</v>
      </c>
      <c r="E35" s="7"/>
      <c r="F35" s="7"/>
      <c r="G35" s="7"/>
      <c r="H35" s="7" t="s">
        <v>53</v>
      </c>
      <c r="I35">
        <f>EXT!D15</f>
        <v>650.24531215467891</v>
      </c>
      <c r="J35" s="7"/>
      <c r="K35" s="7" t="s">
        <v>54</v>
      </c>
      <c r="L35" s="7"/>
      <c r="M35" s="7"/>
      <c r="N35" s="7"/>
      <c r="O35" s="7"/>
      <c r="P35" s="8"/>
    </row>
    <row r="36" spans="2:16" x14ac:dyDescent="0.3">
      <c r="B36" s="9" t="s">
        <v>55</v>
      </c>
      <c r="C36" s="6" t="s">
        <v>56</v>
      </c>
      <c r="D36" s="7" t="s">
        <v>57</v>
      </c>
      <c r="E36" s="7"/>
      <c r="F36" s="7"/>
      <c r="G36" s="7"/>
      <c r="H36" s="7" t="s">
        <v>55</v>
      </c>
      <c r="I36" t="s">
        <v>58</v>
      </c>
      <c r="J36" s="7"/>
      <c r="K36" s="7"/>
      <c r="L36" s="7"/>
      <c r="M36" s="7"/>
      <c r="N36" s="7"/>
      <c r="O36" s="7"/>
      <c r="P36" s="8"/>
    </row>
    <row r="37" spans="2:16" x14ac:dyDescent="0.3">
      <c r="B37" s="9" t="s">
        <v>59</v>
      </c>
      <c r="C37" s="6">
        <f>EXT!M17</f>
        <v>4.7258282186542849E-2</v>
      </c>
      <c r="D37" s="7">
        <f>D42/$D$46</f>
        <v>6.4678331745098442E-3</v>
      </c>
      <c r="E37" s="7"/>
      <c r="F37" s="7"/>
      <c r="G37" s="7"/>
      <c r="H37" s="7" t="s">
        <v>59</v>
      </c>
      <c r="I37">
        <f>EXT!D17</f>
        <v>1.0796867266819221E-2</v>
      </c>
      <c r="J37" s="7"/>
      <c r="K37" s="7"/>
      <c r="L37" s="7"/>
      <c r="M37" s="7"/>
      <c r="N37" s="7"/>
      <c r="O37" s="7"/>
      <c r="P37" s="8"/>
    </row>
    <row r="38" spans="2:16" x14ac:dyDescent="0.3">
      <c r="B38" s="9" t="s">
        <v>60</v>
      </c>
      <c r="C38" s="6">
        <f>EXT!M18</f>
        <v>0.95274171781345718</v>
      </c>
      <c r="D38" s="7">
        <f t="shared" ref="D38:D39" si="2">D43/$D$46</f>
        <v>8.1141907098396235E-2</v>
      </c>
      <c r="E38" s="7"/>
      <c r="F38" s="7"/>
      <c r="G38" s="7"/>
      <c r="H38" s="7" t="s">
        <v>60</v>
      </c>
      <c r="I38">
        <f>EXT!D18</f>
        <v>0.29676093981995422</v>
      </c>
      <c r="J38" s="7"/>
      <c r="K38" s="7"/>
      <c r="L38" s="7"/>
      <c r="M38" s="7"/>
      <c r="N38" s="7"/>
      <c r="O38" s="7"/>
      <c r="P38" s="8"/>
    </row>
    <row r="39" spans="2:16" x14ac:dyDescent="0.3">
      <c r="B39" s="9" t="s">
        <v>61</v>
      </c>
      <c r="C39" s="6">
        <f>EXT!M19</f>
        <v>0</v>
      </c>
      <c r="D39" s="7">
        <f t="shared" si="2"/>
        <v>0</v>
      </c>
      <c r="E39" s="7"/>
      <c r="F39" s="7"/>
      <c r="G39" s="7"/>
      <c r="H39" s="7" t="s">
        <v>61</v>
      </c>
      <c r="I39">
        <f>EXT!D19</f>
        <v>3.956812530932723E-4</v>
      </c>
      <c r="J39" s="7"/>
      <c r="K39" s="7"/>
      <c r="L39" s="7"/>
      <c r="M39" s="7"/>
      <c r="N39" s="7"/>
      <c r="O39" s="7"/>
      <c r="P39" s="8"/>
    </row>
    <row r="40" spans="2:16" x14ac:dyDescent="0.3">
      <c r="B40" s="9" t="s">
        <v>62</v>
      </c>
      <c r="C40" s="7">
        <f t="shared" ref="C40:D40" si="3">SUM(C37:C39)</f>
        <v>1</v>
      </c>
      <c r="D40" s="7">
        <f t="shared" si="3"/>
        <v>8.7609740272906078E-2</v>
      </c>
      <c r="E40" s="7"/>
      <c r="F40" s="7"/>
      <c r="G40" s="7"/>
      <c r="H40" s="7" t="s">
        <v>63</v>
      </c>
      <c r="I40">
        <f>EXT!D20</f>
        <v>0.69204651166013331</v>
      </c>
      <c r="J40" s="7"/>
      <c r="K40" s="7"/>
      <c r="L40" s="7"/>
      <c r="M40" s="7"/>
      <c r="N40" s="7"/>
      <c r="O40" s="7"/>
      <c r="P40" s="8"/>
    </row>
    <row r="41" spans="2:16" x14ac:dyDescent="0.3">
      <c r="B41" s="9" t="s">
        <v>41</v>
      </c>
      <c r="C41" s="7"/>
      <c r="D41" s="7"/>
      <c r="E41" s="7"/>
      <c r="F41" s="7"/>
      <c r="G41" s="7"/>
      <c r="H41" s="7" t="s">
        <v>62</v>
      </c>
      <c r="I41" s="7">
        <f>SUM(I37:I40)</f>
        <v>1</v>
      </c>
      <c r="J41" s="7"/>
      <c r="K41" s="7"/>
      <c r="L41" s="7"/>
      <c r="M41" s="7"/>
      <c r="N41" s="7"/>
      <c r="O41" s="7"/>
      <c r="P41" s="8"/>
    </row>
    <row r="42" spans="2:16" x14ac:dyDescent="0.3">
      <c r="B42" s="9" t="s">
        <v>59</v>
      </c>
      <c r="C42" s="7">
        <f>C$35*C37</f>
        <v>3.8306123262129748</v>
      </c>
      <c r="D42" s="7">
        <f>C23</f>
        <v>3.19</v>
      </c>
      <c r="E42" s="7"/>
      <c r="F42" s="7"/>
      <c r="G42" s="7"/>
      <c r="H42" s="7" t="s">
        <v>41</v>
      </c>
      <c r="I42" s="7"/>
      <c r="J42" s="7"/>
      <c r="K42" s="7"/>
      <c r="L42" s="7"/>
      <c r="M42" s="12" t="s">
        <v>64</v>
      </c>
      <c r="N42" s="7" t="s">
        <v>65</v>
      </c>
      <c r="O42" s="7" t="s">
        <v>55</v>
      </c>
      <c r="P42" s="8" t="s">
        <v>42</v>
      </c>
    </row>
    <row r="43" spans="2:16" x14ac:dyDescent="0.3">
      <c r="B43" s="9" t="s">
        <v>60</v>
      </c>
      <c r="C43" s="7">
        <f>C$35*C38</f>
        <v>77.226339999992618</v>
      </c>
      <c r="D43" s="7">
        <f>C21</f>
        <v>40.020000000000003</v>
      </c>
      <c r="E43" s="7"/>
      <c r="F43" s="7"/>
      <c r="G43" s="7"/>
      <c r="H43" s="7" t="s">
        <v>59</v>
      </c>
      <c r="I43" s="7">
        <f>$I$35*$I37</f>
        <v>7.0206123262054998</v>
      </c>
      <c r="J43" s="7"/>
      <c r="K43" s="7" t="s">
        <v>29</v>
      </c>
      <c r="L43" s="7">
        <f>C42+D42</f>
        <v>7.0206123262129747</v>
      </c>
      <c r="M43" s="7"/>
      <c r="N43" s="7">
        <f>L43</f>
        <v>7.0206123262129747</v>
      </c>
      <c r="O43" s="7"/>
      <c r="P43" s="8"/>
    </row>
    <row r="44" spans="2:16" x14ac:dyDescent="0.3">
      <c r="B44" s="9" t="s">
        <v>61</v>
      </c>
      <c r="C44" s="7">
        <f>C$35*C39</f>
        <v>0</v>
      </c>
      <c r="D44" s="7">
        <v>0</v>
      </c>
      <c r="E44" s="7"/>
      <c r="F44" s="7"/>
      <c r="G44" s="7"/>
      <c r="H44" s="7" t="s">
        <v>60</v>
      </c>
      <c r="I44" s="7">
        <f t="shared" ref="I44:I46" si="4">$I$35*$I38</f>
        <v>192.96740994854201</v>
      </c>
      <c r="J44" s="7"/>
      <c r="K44" s="7" t="s">
        <v>32</v>
      </c>
      <c r="L44" s="7">
        <f>C43+D43-I44</f>
        <v>-75.721069948549399</v>
      </c>
      <c r="M44" s="7"/>
      <c r="N44" s="7">
        <f>C43+D43</f>
        <v>117.24633999999261</v>
      </c>
      <c r="O44" s="7">
        <f>N44/$N$47</f>
        <v>0.20660015870700305</v>
      </c>
      <c r="P44" s="8">
        <f>O44-I38</f>
        <v>-9.0160781112951172E-2</v>
      </c>
    </row>
    <row r="45" spans="2:16" x14ac:dyDescent="0.3">
      <c r="B45" s="9" t="s">
        <v>63</v>
      </c>
      <c r="C45" s="7"/>
      <c r="D45" s="7">
        <f>C22</f>
        <v>450</v>
      </c>
      <c r="E45" s="7"/>
      <c r="F45" s="7"/>
      <c r="G45" s="7"/>
      <c r="H45" s="7" t="s">
        <v>61</v>
      </c>
      <c r="I45" s="7">
        <f t="shared" si="4"/>
        <v>0.25728987993138935</v>
      </c>
      <c r="J45" s="7"/>
      <c r="K45" s="7" t="s">
        <v>66</v>
      </c>
      <c r="L45" s="7">
        <f>C44+D44-I45</f>
        <v>-0.25728987993138935</v>
      </c>
      <c r="M45" s="12">
        <f>ABS(L45)</f>
        <v>0.25728987993138935</v>
      </c>
      <c r="N45" s="7">
        <f>M45</f>
        <v>0.25728987993138935</v>
      </c>
      <c r="O45" s="7">
        <f t="shared" ref="O45:O46" si="5">N45/$N$47</f>
        <v>4.5337133788171251E-4</v>
      </c>
      <c r="P45" s="8">
        <f t="shared" ref="P45:P46" si="6">O45-I39</f>
        <v>5.769008478844021E-5</v>
      </c>
    </row>
    <row r="46" spans="2:16" x14ac:dyDescent="0.3">
      <c r="B46" s="9" t="s">
        <v>67</v>
      </c>
      <c r="C46" s="7">
        <f t="shared" ref="C46" si="7">SUM(C42:C44)</f>
        <v>81.05695232620559</v>
      </c>
      <c r="D46" s="7">
        <f>SUM(D42:D45)</f>
        <v>493.21</v>
      </c>
      <c r="E46" s="7"/>
      <c r="F46" s="7"/>
      <c r="G46" s="7"/>
      <c r="H46" s="7" t="s">
        <v>63</v>
      </c>
      <c r="I46" s="7">
        <f t="shared" si="4"/>
        <v>450</v>
      </c>
      <c r="J46" s="7"/>
      <c r="K46" s="7" t="s">
        <v>68</v>
      </c>
      <c r="L46" s="7">
        <f>C45+D45-I46</f>
        <v>0</v>
      </c>
      <c r="M46" s="7"/>
      <c r="N46" s="7">
        <f>C45+D45</f>
        <v>450</v>
      </c>
      <c r="O46" s="7">
        <f t="shared" si="5"/>
        <v>0.7929464699551152</v>
      </c>
      <c r="P46" s="8">
        <f t="shared" si="6"/>
        <v>0.10089995829498188</v>
      </c>
    </row>
    <row r="47" spans="2:16" ht="15" thickBot="1" x14ac:dyDescent="0.35">
      <c r="B47" s="15"/>
      <c r="C47" s="16"/>
      <c r="D47" s="16"/>
      <c r="E47" s="16"/>
      <c r="F47" s="16"/>
      <c r="G47" s="16"/>
      <c r="H47" s="16" t="s">
        <v>67</v>
      </c>
      <c r="I47" s="16">
        <f>SUM(I43:I46)</f>
        <v>650.24531215467891</v>
      </c>
      <c r="J47" s="16"/>
      <c r="K47" s="16"/>
      <c r="L47" s="16"/>
      <c r="M47" s="16"/>
      <c r="N47" s="16">
        <f>SUM(N44:N46)</f>
        <v>567.50362987992401</v>
      </c>
      <c r="O47" s="16"/>
      <c r="P47" s="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FBC63-030D-44F1-8A21-608D0BDC0171}">
  <dimension ref="A1:N28"/>
  <sheetViews>
    <sheetView workbookViewId="0">
      <selection activeCell="A29" sqref="A29"/>
    </sheetView>
  </sheetViews>
  <sheetFormatPr defaultRowHeight="14.4" x14ac:dyDescent="0.3"/>
  <cols>
    <col min="1" max="1" width="25.5546875" bestFit="1" customWidth="1"/>
    <col min="2" max="2" width="13.5546875" bestFit="1" customWidth="1"/>
    <col min="4" max="4" width="13.88671875" customWidth="1"/>
    <col min="9" max="9" width="25.5546875" bestFit="1" customWidth="1"/>
  </cols>
  <sheetData>
    <row r="1" spans="1:14" x14ac:dyDescent="0.3">
      <c r="A1" t="s">
        <v>69</v>
      </c>
      <c r="I1" t="s">
        <v>70</v>
      </c>
    </row>
    <row r="2" spans="1:14" x14ac:dyDescent="0.3">
      <c r="A2" t="s">
        <v>71</v>
      </c>
      <c r="B2">
        <v>2.5</v>
      </c>
      <c r="I2" t="s">
        <v>72</v>
      </c>
      <c r="J2">
        <v>0.10349559087619609</v>
      </c>
    </row>
    <row r="3" spans="1:14" x14ac:dyDescent="0.3">
      <c r="A3" t="s">
        <v>73</v>
      </c>
      <c r="B3">
        <v>0.22</v>
      </c>
      <c r="I3" t="s">
        <v>74</v>
      </c>
      <c r="J3">
        <v>4.7913812963595674</v>
      </c>
    </row>
    <row r="4" spans="1:14" x14ac:dyDescent="0.3">
      <c r="A4" t="s">
        <v>75</v>
      </c>
      <c r="B4">
        <v>7.0206123262055815</v>
      </c>
      <c r="I4" t="s">
        <v>76</v>
      </c>
      <c r="J4">
        <v>220</v>
      </c>
    </row>
    <row r="5" spans="1:14" x14ac:dyDescent="0.3">
      <c r="A5" t="s">
        <v>77</v>
      </c>
      <c r="B5">
        <v>450</v>
      </c>
      <c r="I5" t="s">
        <v>78</v>
      </c>
      <c r="J5">
        <v>0.2</v>
      </c>
    </row>
    <row r="6" spans="1:14" x14ac:dyDescent="0.3">
      <c r="A6" t="s">
        <v>79</v>
      </c>
      <c r="B6">
        <v>0.6996</v>
      </c>
      <c r="I6" t="s">
        <v>80</v>
      </c>
      <c r="J6">
        <v>80</v>
      </c>
    </row>
    <row r="7" spans="1:14" x14ac:dyDescent="0.3">
      <c r="A7" t="s">
        <v>81</v>
      </c>
      <c r="B7">
        <v>4.0000000000000002E-4</v>
      </c>
      <c r="I7" t="s">
        <v>82</v>
      </c>
      <c r="J7">
        <v>91.232809991387484</v>
      </c>
    </row>
    <row r="8" spans="1:14" x14ac:dyDescent="0.3">
      <c r="A8" t="s">
        <v>78</v>
      </c>
      <c r="B8">
        <v>0.6</v>
      </c>
      <c r="I8" t="s">
        <v>83</v>
      </c>
      <c r="J8">
        <v>4.0858262437753055E-2</v>
      </c>
    </row>
    <row r="9" spans="1:14" x14ac:dyDescent="0.3">
      <c r="A9" t="s">
        <v>80</v>
      </c>
      <c r="B9">
        <v>80</v>
      </c>
      <c r="C9" t="s">
        <v>84</v>
      </c>
      <c r="D9">
        <f>0.05*B9</f>
        <v>4</v>
      </c>
      <c r="I9" t="s">
        <v>85</v>
      </c>
      <c r="J9">
        <v>0.25075560522671875</v>
      </c>
    </row>
    <row r="10" spans="1:14" x14ac:dyDescent="0.3">
      <c r="A10" t="s">
        <v>82</v>
      </c>
      <c r="B10">
        <v>91.934803481084288</v>
      </c>
      <c r="I10" t="s">
        <v>86</v>
      </c>
      <c r="J10">
        <v>83.794174073714188</v>
      </c>
    </row>
    <row r="11" spans="1:14" x14ac:dyDescent="0.3">
      <c r="A11" t="s">
        <v>83</v>
      </c>
      <c r="B11">
        <v>0.13969063726568776</v>
      </c>
      <c r="I11" t="s">
        <v>87</v>
      </c>
    </row>
    <row r="12" spans="1:14" x14ac:dyDescent="0.3">
      <c r="A12" t="s">
        <v>85</v>
      </c>
      <c r="B12">
        <v>0.20666424499099773</v>
      </c>
    </row>
    <row r="13" spans="1:14" x14ac:dyDescent="0.3">
      <c r="A13" t="s">
        <v>86</v>
      </c>
      <c r="B13">
        <v>462.03257781334736</v>
      </c>
    </row>
    <row r="15" spans="1:14" x14ac:dyDescent="0.3">
      <c r="B15">
        <v>2495.227463399</v>
      </c>
      <c r="C15">
        <v>2437.6576242279625</v>
      </c>
      <c r="D15">
        <v>650.24531215467891</v>
      </c>
      <c r="E15">
        <v>707.81515132571644</v>
      </c>
      <c r="F15">
        <f>B15+D15-C15-E15</f>
        <v>0</v>
      </c>
      <c r="G15" t="s">
        <v>88</v>
      </c>
      <c r="J15">
        <v>220</v>
      </c>
      <c r="K15">
        <v>259.8619770034386</v>
      </c>
      <c r="L15">
        <v>81.056952326213349</v>
      </c>
      <c r="M15">
        <v>81.05695232620559</v>
      </c>
      <c r="N15">
        <f>J15+L15-K15-M15</f>
        <v>-39.861977003430809</v>
      </c>
    </row>
    <row r="16" spans="1:14" x14ac:dyDescent="0.3">
      <c r="A16" t="s">
        <v>55</v>
      </c>
      <c r="B16" t="s">
        <v>89</v>
      </c>
      <c r="C16" t="s">
        <v>90</v>
      </c>
      <c r="D16" t="s">
        <v>58</v>
      </c>
      <c r="E16" t="s">
        <v>91</v>
      </c>
      <c r="I16" t="s">
        <v>55</v>
      </c>
      <c r="J16" t="s">
        <v>89</v>
      </c>
      <c r="K16" t="s">
        <v>90</v>
      </c>
      <c r="L16" t="s">
        <v>58</v>
      </c>
      <c r="M16" t="s">
        <v>91</v>
      </c>
    </row>
    <row r="17" spans="1:14" x14ac:dyDescent="0.3">
      <c r="A17" t="s">
        <v>59</v>
      </c>
      <c r="B17">
        <v>1.9421275499263334E-2</v>
      </c>
      <c r="C17">
        <v>1.603356650237339E-3</v>
      </c>
      <c r="D17">
        <v>1.0796867266819221E-2</v>
      </c>
      <c r="E17">
        <v>7.2861788378734707E-2</v>
      </c>
      <c r="I17" t="s">
        <v>59</v>
      </c>
      <c r="J17">
        <v>0</v>
      </c>
      <c r="K17">
        <v>0.15339672799807533</v>
      </c>
      <c r="L17">
        <v>0.36133787796397199</v>
      </c>
      <c r="M17">
        <v>4.7258282186542849E-2</v>
      </c>
    </row>
    <row r="18" spans="1:14" x14ac:dyDescent="0.3">
      <c r="A18" t="s">
        <v>60</v>
      </c>
      <c r="B18">
        <v>0</v>
      </c>
      <c r="C18">
        <v>0</v>
      </c>
      <c r="D18">
        <v>0.29676093981995422</v>
      </c>
      <c r="E18">
        <v>0.27262401714221557</v>
      </c>
      <c r="I18" t="s">
        <v>60</v>
      </c>
      <c r="J18">
        <v>0</v>
      </c>
      <c r="K18">
        <v>0</v>
      </c>
      <c r="L18">
        <v>0.63866212203602801</v>
      </c>
      <c r="M18">
        <v>0.95274171781345718</v>
      </c>
    </row>
    <row r="19" spans="1:14" x14ac:dyDescent="0.3">
      <c r="A19" t="s">
        <v>61</v>
      </c>
      <c r="B19">
        <v>0.98057872450073669</v>
      </c>
      <c r="C19">
        <v>0.99839664334976264</v>
      </c>
      <c r="D19">
        <v>3.956812530932723E-4</v>
      </c>
      <c r="E19">
        <v>1.8754986508713135E-2</v>
      </c>
      <c r="I19" t="s">
        <v>61</v>
      </c>
      <c r="J19">
        <v>1</v>
      </c>
      <c r="K19">
        <v>0.84660327200192464</v>
      </c>
      <c r="L19">
        <v>0</v>
      </c>
      <c r="M19">
        <v>0</v>
      </c>
    </row>
    <row r="20" spans="1:14" x14ac:dyDescent="0.3">
      <c r="A20" t="s">
        <v>63</v>
      </c>
      <c r="B20">
        <v>0</v>
      </c>
      <c r="C20">
        <v>0</v>
      </c>
      <c r="D20">
        <v>0.69204651166013331</v>
      </c>
      <c r="E20">
        <v>0.63575920797564667</v>
      </c>
      <c r="I20" t="s">
        <v>62</v>
      </c>
      <c r="J20">
        <f>SUM(J17:J19)</f>
        <v>1</v>
      </c>
      <c r="K20">
        <f>SUM(K17:K19)</f>
        <v>1</v>
      </c>
      <c r="L20">
        <f t="shared" ref="L20:M20" si="0">SUM(L17:L19)</f>
        <v>1</v>
      </c>
      <c r="M20">
        <f t="shared" si="0"/>
        <v>1</v>
      </c>
    </row>
    <row r="21" spans="1:14" x14ac:dyDescent="0.3">
      <c r="A21" t="s">
        <v>62</v>
      </c>
      <c r="B21">
        <f>SUM(B17:B20)</f>
        <v>1</v>
      </c>
      <c r="C21">
        <f>SUM(C17:C20)</f>
        <v>1</v>
      </c>
      <c r="D21">
        <f>SUM(D17:D20)</f>
        <v>1</v>
      </c>
      <c r="E21">
        <f>SUM(E17:E20)</f>
        <v>1.00000000000531</v>
      </c>
      <c r="I21" t="s">
        <v>41</v>
      </c>
    </row>
    <row r="22" spans="1:14" x14ac:dyDescent="0.3">
      <c r="A22" t="s">
        <v>41</v>
      </c>
      <c r="I22" t="s">
        <v>59</v>
      </c>
      <c r="J22">
        <f>J$15*J17</f>
        <v>0</v>
      </c>
      <c r="K22">
        <f t="shared" ref="K22:L22" si="1">K$15*K17</f>
        <v>39.861977003438575</v>
      </c>
      <c r="L22">
        <f t="shared" si="1"/>
        <v>29.288947147780775</v>
      </c>
      <c r="M22">
        <f>M$15*M17</f>
        <v>3.8306123262129748</v>
      </c>
      <c r="N22">
        <f>J22+L22-K22-M22</f>
        <v>-14.403642181870776</v>
      </c>
    </row>
    <row r="23" spans="1:14" x14ac:dyDescent="0.3">
      <c r="A23" t="s">
        <v>59</v>
      </c>
      <c r="B23">
        <f>$B$15*B17</f>
        <v>48.460499999999996</v>
      </c>
      <c r="C23">
        <f>$C$15*C17</f>
        <v>3.9084345628076562</v>
      </c>
      <c r="D23">
        <f>$D$15*D17</f>
        <v>7.0206123262054998</v>
      </c>
      <c r="E23">
        <f>$E$15*E17</f>
        <v>51.572677767156435</v>
      </c>
      <c r="F23">
        <f>B23+D23-C23-E23</f>
        <v>-3.75859343648699E-9</v>
      </c>
      <c r="I23" t="s">
        <v>60</v>
      </c>
      <c r="J23">
        <f t="shared" ref="J23:M24" si="2">J$15*J18</f>
        <v>0</v>
      </c>
      <c r="K23">
        <f t="shared" si="2"/>
        <v>0</v>
      </c>
      <c r="L23">
        <f t="shared" si="2"/>
        <v>51.768005178432574</v>
      </c>
      <c r="M23">
        <f t="shared" si="2"/>
        <v>77.226339999992618</v>
      </c>
      <c r="N23">
        <f t="shared" ref="N23:N24" si="3">J23+L23-K23-M23</f>
        <v>-25.458334821560044</v>
      </c>
    </row>
    <row r="24" spans="1:14" x14ac:dyDescent="0.3">
      <c r="A24" t="s">
        <v>60</v>
      </c>
      <c r="B24">
        <f>$B$15*B18</f>
        <v>0</v>
      </c>
      <c r="C24">
        <f t="shared" ref="C24:C26" si="4">$C$15*C18</f>
        <v>0</v>
      </c>
      <c r="D24">
        <f t="shared" ref="D24:D26" si="5">$D$15*D18</f>
        <v>192.96740994854201</v>
      </c>
      <c r="E24">
        <f t="shared" ref="E24" si="6">$E$15*E18</f>
        <v>192.96740994854201</v>
      </c>
      <c r="F24">
        <f t="shared" ref="F24:F26" si="7">B24+D24-C24-E24</f>
        <v>0</v>
      </c>
      <c r="I24" t="s">
        <v>61</v>
      </c>
      <c r="J24">
        <f t="shared" si="2"/>
        <v>220</v>
      </c>
      <c r="K24">
        <f t="shared" si="2"/>
        <v>220</v>
      </c>
      <c r="L24">
        <f t="shared" si="2"/>
        <v>0</v>
      </c>
      <c r="M24">
        <f t="shared" si="2"/>
        <v>0</v>
      </c>
      <c r="N24">
        <f t="shared" si="3"/>
        <v>0</v>
      </c>
    </row>
    <row r="25" spans="1:14" x14ac:dyDescent="0.3">
      <c r="A25" t="s">
        <v>61</v>
      </c>
      <c r="B25">
        <f>$B$15*B19</f>
        <v>2446.7669633989999</v>
      </c>
      <c r="C25">
        <f>$C$15*C19</f>
        <v>2433.749189665155</v>
      </c>
      <c r="D25">
        <f t="shared" si="5"/>
        <v>0.25728987993138935</v>
      </c>
      <c r="E25">
        <f>$E$15*E19</f>
        <v>13.275063613776558</v>
      </c>
      <c r="F25">
        <f t="shared" si="7"/>
        <v>-3.7481129311345285E-13</v>
      </c>
    </row>
    <row r="26" spans="1:14" x14ac:dyDescent="0.3">
      <c r="A26" t="s">
        <v>63</v>
      </c>
      <c r="B26">
        <f t="shared" ref="B26" si="8">$B$15*B20</f>
        <v>0</v>
      </c>
      <c r="C26">
        <f t="shared" si="4"/>
        <v>0</v>
      </c>
      <c r="D26">
        <f t="shared" si="5"/>
        <v>450</v>
      </c>
      <c r="E26">
        <f>$E$15*E20</f>
        <v>450</v>
      </c>
      <c r="F26">
        <f t="shared" si="7"/>
        <v>0</v>
      </c>
      <c r="I26" t="s">
        <v>67</v>
      </c>
      <c r="J26">
        <f>SUM(J22:J24)</f>
        <v>220</v>
      </c>
      <c r="K26">
        <f t="shared" ref="K26:M26" si="9">SUM(K22:K24)</f>
        <v>259.8619770034386</v>
      </c>
      <c r="L26">
        <f t="shared" si="9"/>
        <v>81.056952326213349</v>
      </c>
      <c r="M26">
        <f t="shared" si="9"/>
        <v>81.05695232620559</v>
      </c>
    </row>
    <row r="27" spans="1:14" x14ac:dyDescent="0.3">
      <c r="A27" t="s">
        <v>67</v>
      </c>
      <c r="B27">
        <f>SUM(B23:B26)</f>
        <v>2495.227463399</v>
      </c>
      <c r="C27">
        <f t="shared" ref="C27:E27" si="10">SUM(C23:C26)</f>
        <v>2437.6576242279625</v>
      </c>
      <c r="D27">
        <f t="shared" si="10"/>
        <v>650.24531215467891</v>
      </c>
      <c r="E27">
        <f t="shared" si="10"/>
        <v>707.81515132947504</v>
      </c>
      <c r="F27" s="26">
        <f>SUM(B27,D27)-SUM(C27,E27)</f>
        <v>-3.7589416024275124E-9</v>
      </c>
      <c r="M27" s="26" t="s">
        <v>92</v>
      </c>
    </row>
    <row r="28" spans="1:14" x14ac:dyDescent="0.3">
      <c r="M28" s="26">
        <f>K17/B17</f>
        <v>7.898385870891631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DM</vt:lpstr>
      <vt:lpstr>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Dáša</dc:creator>
  <cp:lastModifiedBy>Igor Rosa</cp:lastModifiedBy>
  <dcterms:created xsi:type="dcterms:W3CDTF">2019-12-09T20:06:19Z</dcterms:created>
  <dcterms:modified xsi:type="dcterms:W3CDTF">2019-12-16T00:06:51Z</dcterms:modified>
</cp:coreProperties>
</file>