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FDelGrosso\Desktop\"/>
    </mc:Choice>
  </mc:AlternateContent>
  <xr:revisionPtr revIDLastSave="0" documentId="13_ncr:1_{1257AE53-A273-4D55-984C-50D6651BD306}" xr6:coauthVersionLast="36" xr6:coauthVersionMax="36" xr10:uidLastSave="{00000000-0000-0000-0000-000000000000}"/>
  <bookViews>
    <workbookView xWindow="600" yWindow="270" windowWidth="10155" windowHeight="10485" activeTab="2" xr2:uid="{00000000-000D-0000-FFFF-FFFF00000000}"/>
  </bookViews>
  <sheets>
    <sheet name="Cover" sheetId="19" r:id="rId1"/>
    <sheet name="Assumptions" sheetId="20" r:id="rId2"/>
    <sheet name="Financials" sheetId="2" r:id="rId3"/>
    <sheet name="Val_out" sheetId="9" state="hidden" r:id="rId4"/>
    <sheet name="Colgate FSM" sheetId="4" state="hidden" r:id="rId5"/>
  </sheets>
  <externalReferences>
    <externalReference r:id="rId6"/>
    <externalReference r:id="rId7"/>
    <externalReference r:id="rId8"/>
    <externalReference r:id="rId9"/>
  </externalReferences>
  <definedNames>
    <definedName name="_fcf1">#REF!</definedName>
    <definedName name="_fcf2">#REF!</definedName>
    <definedName name="_fcf3">#REF!</definedName>
    <definedName name="_fcf4">#REF!</definedName>
    <definedName name="_fcf5">#REF!</definedName>
    <definedName name="AcqTaxRate1">[1]DataArray!$D$30</definedName>
    <definedName name="AdvisoryFees1">[1]PartnersAnalysis!$F$194</definedName>
    <definedName name="affiliates">'[2]Valuation LBO'!$D$65</definedName>
    <definedName name="amort_revolver">'[2]Valuation LBO'!$M$38</definedName>
    <definedName name="amort_senior">'[2]Valuation LBO'!$M$36</definedName>
    <definedName name="amort_sub">'[2]Valuation LBO'!$M$37</definedName>
    <definedName name="amort_year_1">'[2]Valuation LBO'!$D$90</definedName>
    <definedName name="ARselect">#REF!</definedName>
    <definedName name="assump_case">[3]Assump!$A$2</definedName>
    <definedName name="assump1">[3]Main!$D$28</definedName>
    <definedName name="assump1_est">[3]Main!$H$29</definedName>
    <definedName name="assump2">[3]Main!$D$29</definedName>
    <definedName name="assump2_calc">[3]Main!$I$29</definedName>
    <definedName name="assump3">[3]Main!$D$30</definedName>
    <definedName name="assump3_fye">[3]Main!$J$29</definedName>
    <definedName name="beat_unlev">[4]DCF!$I$141</definedName>
    <definedName name="benchmk_table">[3]DealSheet!$D$13:$E$18</definedName>
    <definedName name="benchmk_table1">[3]DebtPay!$C$12:$R$17</definedName>
    <definedName name="beta_levered">[4]DCF!$I$142</definedName>
    <definedName name="beta_observed">#REF!</definedName>
    <definedName name="beta_observed_unlevered">#REF!</definedName>
    <definedName name="beta_unlev_comps">#REF!</definedName>
    <definedName name="Capexdepmethod">#REF!</definedName>
    <definedName name="capexlife">#REF!</definedName>
    <definedName name="capgainstax">[2]IS!$I$14</definedName>
    <definedName name="carryback">#REF!</definedName>
    <definedName name="caseinput">#REF!</definedName>
    <definedName name="circref" localSheetId="4">'Colgate FSM'!$D$20</definedName>
    <definedName name="circref">#REF!</definedName>
    <definedName name="cost_debt">[4]DCF!$H$127</definedName>
    <definedName name="cost_equity">[4]DCF!$H$128</definedName>
    <definedName name="costdebtfirm">#REF!</definedName>
    <definedName name="costequity">#REF!</definedName>
    <definedName name="curr_factor">[3]Main!$D$21</definedName>
    <definedName name="Date">#REF!</definedName>
    <definedName name="DCFPeriods">'[2]Valuation DCF'!$E$8</definedName>
    <definedName name="deal_select">[3]DealSheet!$E$6</definedName>
    <definedName name="deal_type">[3]Main!$D$11</definedName>
    <definedName name="DealPP1">[1]DataArray!$D$7</definedName>
    <definedName name="Debt">#REF!</definedName>
    <definedName name="debt_revolver">'[2]Valuation LBO'!$M$22</definedName>
    <definedName name="debt_senior">'[2]Valuation LBO'!$M$20</definedName>
    <definedName name="debt_sub">'[2]Valuation LBO'!$M$21</definedName>
    <definedName name="debt_weight">#REF!</definedName>
    <definedName name="DebtRefinanced1">#REF!</definedName>
    <definedName name="Depmethod">#REF!</definedName>
    <definedName name="DisplayChoice">#REF!</definedName>
    <definedName name="dividends">'[2]Valuation LBO'!$D$68</definedName>
    <definedName name="Exit">'[2]Valuation LBO'!$M$43</definedName>
    <definedName name="exitequity">'[2]Valuation LBO'!$D$158</definedName>
    <definedName name="fees_revolver">'[2]Valuation LBO'!$M$34</definedName>
    <definedName name="fees_senior">'[2]Valuation LBO'!$M$32</definedName>
    <definedName name="fees_sub">'[2]Valuation LBO'!$M$33</definedName>
    <definedName name="gainloss">'[2]Valuation LBO'!$D$61</definedName>
    <definedName name="GWAmort">#REF!</definedName>
    <definedName name="GWDeduct">#REF!</definedName>
    <definedName name="GWDeductible1">[1]DataArray!$E$7</definedName>
    <definedName name="incremental_borrow_cost">[4]DCF!#REF!</definedName>
    <definedName name="interest_revolver">'[2]Valuation LBO'!$M$26</definedName>
    <definedName name="interest_senior">'[2]Valuation LBO'!$M$24</definedName>
    <definedName name="interest_sub">'[2]Valuation LBO'!$M$25</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GROWTH_1YR" hidden="1">"c1636"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k">Financials!$F$15</definedName>
    <definedName name="LastQ">#REF!</definedName>
    <definedName name="LBO">#REF!</definedName>
    <definedName name="lbocircref">'[2]Valuation LBO'!$G$8</definedName>
    <definedName name="lbotax">'[2]Valuation LBO'!#REF!</definedName>
    <definedName name="leverage">'[2]Valuation LBO'!$M$13</definedName>
    <definedName name="LFY">#REF!</definedName>
    <definedName name="ltm">'[2]Valuation DCF'!$E$11</definedName>
    <definedName name="Market_Equity">#REF!</definedName>
    <definedName name="midyear">#REF!</definedName>
    <definedName name="minority">'[2]Valuation LBO'!$D$66</definedName>
    <definedName name="Net_Debt">#REF!</definedName>
    <definedName name="newco_name">[3]DealSheet!$A$1</definedName>
    <definedName name="NOLreport">#REF!</definedName>
    <definedName name="otherincome">'[2]Valuation LBO'!$D$62</definedName>
    <definedName name="Period">#REF!</definedName>
    <definedName name="Plus1AcqTaxRate1">[1]DataArray!$D$31</definedName>
    <definedName name="Plus2AcqTaxRate1">[1]DataArray!$D$32</definedName>
    <definedName name="PPElife">#REF!</definedName>
    <definedName name="project">[3]Main!$D$10</definedName>
    <definedName name="QDate">#REF!</definedName>
    <definedName name="range">#REF!</definedName>
    <definedName name="relevered_beta">#REF!</definedName>
    <definedName name="risk_free_rate">#REF!</definedName>
    <definedName name="risk_premium">#REF!</definedName>
    <definedName name="rrr">'[2]Valuation LBO'!$M$45</definedName>
    <definedName name="salvage">#REF!</definedName>
    <definedName name="stub">'[2]Valuation DCF'!$E$7</definedName>
    <definedName name="Stub_year_fraction">#REF!</definedName>
    <definedName name="StubYr">#REF!</definedName>
    <definedName name="syd">#REF!</definedName>
    <definedName name="tar_name">[3]Assump!$A$1</definedName>
    <definedName name="TargetOldGoodwillAmort1">[1]DataArray!$E$55</definedName>
    <definedName name="taxrate">[4]DCF!$I$127</definedName>
    <definedName name="totalcap">#REF!</definedName>
    <definedName name="TransactionDate">#REF!</definedName>
    <definedName name="transtype">'[2]Valuation LBO'!$M$12</definedName>
    <definedName name="TransWt1">[1]DataArray!$E$80</definedName>
    <definedName name="TVSelect">'[2]Valuation DCF'!$F$50</definedName>
    <definedName name="Useful_Life_of_Depreciable_PP_E">"PPElife"</definedName>
    <definedName name="wacc">#REF!</definedName>
    <definedName name="wacc1">#REF!</definedName>
    <definedName name="wacc2">#REF!</definedName>
    <definedName name="wacc3">#REF!</definedName>
    <definedName name="wacc4">#REF!</definedName>
    <definedName name="Year">#REF!</definedName>
  </definedNames>
  <calcPr calcId="191029" iterate="1" iterateCount="50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9" i="2" l="1"/>
  <c r="F59" i="2"/>
  <c r="G59" i="2"/>
  <c r="H59" i="2"/>
  <c r="I59" i="2"/>
  <c r="D59" i="2"/>
  <c r="D110" i="2" l="1"/>
  <c r="E60" i="2" l="1"/>
  <c r="F60" i="2"/>
  <c r="G60" i="2"/>
  <c r="H60" i="2"/>
  <c r="I60" i="2"/>
  <c r="D60" i="2"/>
  <c r="E126" i="2"/>
  <c r="F126" i="2"/>
  <c r="G126" i="2"/>
  <c r="H126" i="2"/>
  <c r="I126" i="2"/>
  <c r="E119" i="2"/>
  <c r="F119" i="2"/>
  <c r="G119" i="2"/>
  <c r="H119" i="2"/>
  <c r="I119" i="2"/>
  <c r="D126" i="2"/>
  <c r="D119" i="2"/>
  <c r="D98" i="2" l="1"/>
  <c r="D93" i="2"/>
  <c r="D92" i="2"/>
  <c r="D91" i="2"/>
  <c r="D90" i="2"/>
  <c r="D88" i="2"/>
  <c r="D87" i="2"/>
  <c r="D86" i="2"/>
  <c r="D108" i="2"/>
  <c r="D96" i="2"/>
  <c r="D81" i="2"/>
  <c r="I52" i="2"/>
  <c r="E54" i="2"/>
  <c r="F54" i="2" s="1"/>
  <c r="G54" i="2" s="1"/>
  <c r="H54" i="2" s="1"/>
  <c r="I54" i="2" s="1"/>
  <c r="E53" i="2"/>
  <c r="F53" i="2" s="1"/>
  <c r="G53" i="2" s="1"/>
  <c r="H53" i="2" s="1"/>
  <c r="I53" i="2" s="1"/>
  <c r="E45" i="2"/>
  <c r="F45" i="2" s="1"/>
  <c r="G45" i="2" s="1"/>
  <c r="H45" i="2" s="1"/>
  <c r="I45" i="2" s="1"/>
  <c r="E43" i="2"/>
  <c r="F43" i="2" s="1"/>
  <c r="G43" i="2" s="1"/>
  <c r="H43" i="2" s="1"/>
  <c r="I43" i="2" s="1"/>
  <c r="E50" i="2" l="1"/>
  <c r="F50" i="2" s="1"/>
  <c r="G50" i="2" s="1"/>
  <c r="H50" i="2" s="1"/>
  <c r="I50" i="2" s="1"/>
  <c r="D76" i="2"/>
  <c r="G75" i="2"/>
  <c r="H75" i="2" s="1"/>
  <c r="I75" i="2" s="1"/>
  <c r="E69" i="2"/>
  <c r="D69" i="2"/>
  <c r="D97" i="2" s="1"/>
  <c r="D99" i="2" s="1"/>
  <c r="F70" i="2" l="1"/>
  <c r="H76" i="2"/>
  <c r="E70" i="2"/>
  <c r="D70" i="2"/>
  <c r="G76" i="2"/>
  <c r="E76" i="2"/>
  <c r="I76" i="2"/>
  <c r="F76" i="2"/>
  <c r="D77" i="2"/>
  <c r="E41" i="2"/>
  <c r="F41" i="2" s="1"/>
  <c r="G41" i="2" s="1"/>
  <c r="H41" i="2" s="1"/>
  <c r="I41" i="2" s="1"/>
  <c r="E49" i="2"/>
  <c r="F49" i="2" s="1"/>
  <c r="G49" i="2" s="1"/>
  <c r="H49" i="2" s="1"/>
  <c r="I49" i="2" s="1"/>
  <c r="E40" i="2"/>
  <c r="F40" i="2" s="1"/>
  <c r="G40" i="2" s="1"/>
  <c r="H40" i="2" s="1"/>
  <c r="I40" i="2" s="1"/>
  <c r="E39" i="2"/>
  <c r="F39" i="2" s="1"/>
  <c r="G39" i="2" s="1"/>
  <c r="H39" i="2" s="1"/>
  <c r="I39" i="2" s="1"/>
  <c r="F20" i="2" l="1"/>
  <c r="E74" i="2"/>
  <c r="E77" i="2" s="1"/>
  <c r="D42" i="2"/>
  <c r="E20" i="2"/>
  <c r="D20" i="2"/>
  <c r="D71" i="2"/>
  <c r="D44" i="2" s="1"/>
  <c r="E33" i="2"/>
  <c r="D33" i="2"/>
  <c r="D54" i="20"/>
  <c r="D18" i="2" s="1"/>
  <c r="E18" i="2" s="1"/>
  <c r="F18" i="2" s="1"/>
  <c r="G18" i="2" s="1"/>
  <c r="H18" i="2" s="1"/>
  <c r="I18" i="2" s="1"/>
  <c r="D48" i="20"/>
  <c r="D17" i="2" s="1"/>
  <c r="E17" i="2" s="1"/>
  <c r="F17" i="2" s="1"/>
  <c r="G17" i="2" s="1"/>
  <c r="H17" i="2" s="1"/>
  <c r="I17" i="2" s="1"/>
  <c r="D42" i="20"/>
  <c r="D16" i="2" s="1"/>
  <c r="E16" i="2" s="1"/>
  <c r="F16" i="2" s="1"/>
  <c r="G16" i="2" s="1"/>
  <c r="D35" i="20"/>
  <c r="D25" i="20"/>
  <c r="D14" i="2" s="1"/>
  <c r="E14" i="2" s="1"/>
  <c r="F14" i="2" s="1"/>
  <c r="G14" i="2" s="1"/>
  <c r="H14" i="2" s="1"/>
  <c r="I14" i="2" s="1"/>
  <c r="D19" i="20"/>
  <c r="D13" i="2" s="1"/>
  <c r="E13" i="2" s="1"/>
  <c r="F13" i="2" s="1"/>
  <c r="G13" i="2" s="1"/>
  <c r="H13" i="2" s="1"/>
  <c r="I13" i="2" s="1"/>
  <c r="D11" i="20"/>
  <c r="D12" i="2" s="1"/>
  <c r="E12" i="2" s="1"/>
  <c r="F12" i="2" s="1"/>
  <c r="G12" i="2" s="1"/>
  <c r="F74" i="2" l="1"/>
  <c r="F77" i="2" s="1"/>
  <c r="E42" i="2"/>
  <c r="E29" i="2"/>
  <c r="F29" i="2"/>
  <c r="D29" i="2"/>
  <c r="D83" i="2" s="1"/>
  <c r="F15" i="2"/>
  <c r="F48" i="2" s="1"/>
  <c r="E15" i="2"/>
  <c r="E48" i="2" s="1"/>
  <c r="G15" i="2"/>
  <c r="G48" i="2" s="1"/>
  <c r="H16" i="2"/>
  <c r="D15" i="2"/>
  <c r="D48" i="2" s="1"/>
  <c r="D89" i="2" s="1"/>
  <c r="E11" i="2"/>
  <c r="G11" i="2"/>
  <c r="H12" i="2"/>
  <c r="F11" i="2"/>
  <c r="D11" i="2"/>
  <c r="G74" i="2" l="1"/>
  <c r="G77" i="2" s="1"/>
  <c r="F42" i="2"/>
  <c r="D19" i="2"/>
  <c r="D38" i="2"/>
  <c r="D85" i="2" s="1"/>
  <c r="E19" i="2"/>
  <c r="E21" i="2" s="1"/>
  <c r="E38" i="2"/>
  <c r="G19" i="2"/>
  <c r="G38" i="2"/>
  <c r="F19" i="2"/>
  <c r="F21" i="2" s="1"/>
  <c r="F38" i="2"/>
  <c r="D21" i="2"/>
  <c r="H15" i="2"/>
  <c r="H48" i="2" s="1"/>
  <c r="I16" i="2"/>
  <c r="I15" i="2" s="1"/>
  <c r="I48" i="2" s="1"/>
  <c r="H11" i="2"/>
  <c r="I12" i="2"/>
  <c r="I11" i="2" s="1"/>
  <c r="I38" i="2" l="1"/>
  <c r="H74" i="2"/>
  <c r="H77" i="2" s="1"/>
  <c r="G42" i="2"/>
  <c r="H19" i="2"/>
  <c r="H38" i="2"/>
  <c r="I19" i="2"/>
  <c r="I74" i="2" l="1"/>
  <c r="I77" i="2" s="1"/>
  <c r="I42" i="2" s="1"/>
  <c r="H42" i="2"/>
  <c r="D4" i="2"/>
  <c r="E12" i="9" l="1"/>
  <c r="E21" i="9"/>
  <c r="H16" i="9"/>
  <c r="E15" i="9"/>
  <c r="E14" i="9"/>
  <c r="C11" i="9"/>
  <c r="F8" i="9"/>
  <c r="D24" i="9" s="1"/>
  <c r="F24" i="9"/>
  <c r="E8" i="9"/>
  <c r="F23" i="9" s="1"/>
  <c r="D8" i="9"/>
  <c r="F7" i="9"/>
  <c r="C24" i="9" s="1"/>
  <c r="E7" i="9"/>
  <c r="C23" i="9"/>
  <c r="D7" i="9"/>
  <c r="C7" i="9"/>
  <c r="F6" i="9"/>
  <c r="E6" i="9"/>
  <c r="D6" i="9"/>
  <c r="F10" i="2"/>
  <c r="G10" i="2" s="1"/>
  <c r="H10" i="2" s="1"/>
  <c r="I10" i="2" s="1"/>
  <c r="C93" i="2"/>
  <c r="E92" i="2"/>
  <c r="D36" i="2"/>
  <c r="E9" i="2"/>
  <c r="E81" i="2" s="1"/>
  <c r="E68" i="2"/>
  <c r="E71" i="2" s="1"/>
  <c r="E44" i="2" s="1"/>
  <c r="E97" i="2"/>
  <c r="O315" i="4"/>
  <c r="N315" i="4"/>
  <c r="M315" i="4"/>
  <c r="L315" i="4"/>
  <c r="K315" i="4"/>
  <c r="J315" i="4"/>
  <c r="I315" i="4"/>
  <c r="H315" i="4"/>
  <c r="G315" i="4"/>
  <c r="O313" i="4"/>
  <c r="N313" i="4"/>
  <c r="M313" i="4"/>
  <c r="L313" i="4"/>
  <c r="K313" i="4"/>
  <c r="J313" i="4"/>
  <c r="I313" i="4"/>
  <c r="H313" i="4"/>
  <c r="G313" i="4"/>
  <c r="O310" i="4"/>
  <c r="N310" i="4"/>
  <c r="M310" i="4"/>
  <c r="L310" i="4"/>
  <c r="K310" i="4"/>
  <c r="J310" i="4"/>
  <c r="I310" i="4"/>
  <c r="H310" i="4"/>
  <c r="G310" i="4"/>
  <c r="O308" i="4"/>
  <c r="N308" i="4"/>
  <c r="M308" i="4"/>
  <c r="L308" i="4"/>
  <c r="K308" i="4"/>
  <c r="J308" i="4"/>
  <c r="I308" i="4"/>
  <c r="H308" i="4"/>
  <c r="G308" i="4"/>
  <c r="K294" i="4"/>
  <c r="J294" i="4"/>
  <c r="J295" i="4"/>
  <c r="I294" i="4"/>
  <c r="H294" i="4"/>
  <c r="H295" i="4"/>
  <c r="G294" i="4"/>
  <c r="O290" i="4"/>
  <c r="N290" i="4"/>
  <c r="M290" i="4"/>
  <c r="L290" i="4"/>
  <c r="K290" i="4"/>
  <c r="J290" i="4"/>
  <c r="I290" i="4"/>
  <c r="H290" i="4"/>
  <c r="G290" i="4"/>
  <c r="C290" i="4"/>
  <c r="C289" i="4"/>
  <c r="C304" i="4"/>
  <c r="C309" i="4"/>
  <c r="C314" i="4"/>
  <c r="O288" i="4"/>
  <c r="N288" i="4"/>
  <c r="M288" i="4"/>
  <c r="L288" i="4"/>
  <c r="K288" i="4"/>
  <c r="J288" i="4"/>
  <c r="I288" i="4"/>
  <c r="H288" i="4"/>
  <c r="G288" i="4"/>
  <c r="C288" i="4"/>
  <c r="C293" i="4"/>
  <c r="O285" i="4"/>
  <c r="N285" i="4"/>
  <c r="M285" i="4"/>
  <c r="L285" i="4"/>
  <c r="K285" i="4"/>
  <c r="J285" i="4"/>
  <c r="I285" i="4"/>
  <c r="H285" i="4"/>
  <c r="G285" i="4"/>
  <c r="O283" i="4"/>
  <c r="N283" i="4"/>
  <c r="M283" i="4"/>
  <c r="L283" i="4"/>
  <c r="K283" i="4"/>
  <c r="J283" i="4"/>
  <c r="I283" i="4"/>
  <c r="H283" i="4"/>
  <c r="G283" i="4"/>
  <c r="F249" i="4"/>
  <c r="E249" i="4"/>
  <c r="F247" i="4"/>
  <c r="E247" i="4"/>
  <c r="F246" i="4"/>
  <c r="E246" i="4"/>
  <c r="F245" i="4"/>
  <c r="E245" i="4"/>
  <c r="F244" i="4"/>
  <c r="F248" i="4"/>
  <c r="E244" i="4"/>
  <c r="E248" i="4"/>
  <c r="F240" i="4"/>
  <c r="E240" i="4"/>
  <c r="G236" i="4"/>
  <c r="F233" i="4"/>
  <c r="G233" i="4"/>
  <c r="E233" i="4"/>
  <c r="F230" i="4"/>
  <c r="G230" i="4"/>
  <c r="E230" i="4"/>
  <c r="J228" i="4"/>
  <c r="I228" i="4"/>
  <c r="H228" i="4"/>
  <c r="G228" i="4"/>
  <c r="F226" i="4"/>
  <c r="E226" i="4"/>
  <c r="O218" i="4"/>
  <c r="N218" i="4"/>
  <c r="M218" i="4"/>
  <c r="L218" i="4"/>
  <c r="K218" i="4"/>
  <c r="J218" i="4"/>
  <c r="I218" i="4"/>
  <c r="H218" i="4"/>
  <c r="G218" i="4"/>
  <c r="O208" i="4"/>
  <c r="N208" i="4"/>
  <c r="M208" i="4"/>
  <c r="L208" i="4"/>
  <c r="K208" i="4"/>
  <c r="J208" i="4"/>
  <c r="I208" i="4"/>
  <c r="H208" i="4"/>
  <c r="G208" i="4"/>
  <c r="O202" i="4"/>
  <c r="N202" i="4"/>
  <c r="M202" i="4"/>
  <c r="L202" i="4"/>
  <c r="K202" i="4"/>
  <c r="J202" i="4"/>
  <c r="I202" i="4"/>
  <c r="H202" i="4"/>
  <c r="G202" i="4"/>
  <c r="F184" i="4"/>
  <c r="E184" i="4"/>
  <c r="F178" i="4"/>
  <c r="E178" i="4"/>
  <c r="F172" i="4"/>
  <c r="E172" i="4"/>
  <c r="O168" i="4"/>
  <c r="N168" i="4"/>
  <c r="M168" i="4"/>
  <c r="L168" i="4"/>
  <c r="K168" i="4"/>
  <c r="J168" i="4"/>
  <c r="I168" i="4"/>
  <c r="H168" i="4"/>
  <c r="G168" i="4"/>
  <c r="G167" i="4"/>
  <c r="H167" i="4"/>
  <c r="F162" i="4"/>
  <c r="E162" i="4"/>
  <c r="F161" i="4"/>
  <c r="E161" i="4"/>
  <c r="G160" i="4"/>
  <c r="G207" i="4"/>
  <c r="F156" i="4"/>
  <c r="G156" i="4"/>
  <c r="E156" i="4"/>
  <c r="F151" i="4"/>
  <c r="G151" i="4"/>
  <c r="E151" i="4"/>
  <c r="F147" i="4"/>
  <c r="E147" i="4"/>
  <c r="F143" i="4"/>
  <c r="E143" i="4"/>
  <c r="F139" i="4"/>
  <c r="E139" i="4"/>
  <c r="F134" i="4"/>
  <c r="G134" i="4"/>
  <c r="E134" i="4"/>
  <c r="F130" i="4"/>
  <c r="E130" i="4"/>
  <c r="F126" i="4"/>
  <c r="E126" i="4"/>
  <c r="F121" i="4"/>
  <c r="E121" i="4"/>
  <c r="G107" i="4"/>
  <c r="G216" i="4"/>
  <c r="G106" i="4"/>
  <c r="G215" i="4"/>
  <c r="H106" i="4"/>
  <c r="H215" i="4"/>
  <c r="G105" i="4"/>
  <c r="G214" i="4"/>
  <c r="F104" i="4"/>
  <c r="F109" i="4"/>
  <c r="E104" i="4"/>
  <c r="E109" i="4"/>
  <c r="G103" i="4"/>
  <c r="G212" i="4"/>
  <c r="F99" i="4"/>
  <c r="F100" i="4"/>
  <c r="E99" i="4"/>
  <c r="E100" i="4"/>
  <c r="O94" i="4"/>
  <c r="N94" i="4"/>
  <c r="N244" i="4"/>
  <c r="M94" i="4"/>
  <c r="L94" i="4"/>
  <c r="K94" i="4"/>
  <c r="J94" i="4"/>
  <c r="J244" i="4"/>
  <c r="I94" i="4"/>
  <c r="I244" i="4"/>
  <c r="H94" i="4"/>
  <c r="G94" i="4"/>
  <c r="F88" i="4"/>
  <c r="E88" i="4"/>
  <c r="G87" i="4"/>
  <c r="G85" i="4"/>
  <c r="H85" i="4"/>
  <c r="I85" i="4"/>
  <c r="J85" i="4"/>
  <c r="K85" i="4"/>
  <c r="L85" i="4"/>
  <c r="M85" i="4"/>
  <c r="N85" i="4"/>
  <c r="O85" i="4"/>
  <c r="O72" i="4"/>
  <c r="N72" i="4"/>
  <c r="M72" i="4"/>
  <c r="L72" i="4"/>
  <c r="K72" i="4"/>
  <c r="J72" i="4"/>
  <c r="I72" i="4"/>
  <c r="H72" i="4"/>
  <c r="G72" i="4"/>
  <c r="G40" i="4" s="1"/>
  <c r="O71" i="4"/>
  <c r="N71" i="4"/>
  <c r="M71" i="4"/>
  <c r="L71" i="4"/>
  <c r="K71" i="4"/>
  <c r="J71" i="4"/>
  <c r="I71" i="4"/>
  <c r="H71" i="4"/>
  <c r="G71" i="4"/>
  <c r="G39" i="4" s="1"/>
  <c r="F70" i="4"/>
  <c r="E70" i="4"/>
  <c r="J67" i="4"/>
  <c r="H67" i="4"/>
  <c r="O66" i="4"/>
  <c r="N66" i="4"/>
  <c r="M66" i="4"/>
  <c r="L66" i="4"/>
  <c r="K66" i="4"/>
  <c r="J66" i="4"/>
  <c r="I66" i="4"/>
  <c r="H66" i="4"/>
  <c r="G66" i="4"/>
  <c r="O65" i="4"/>
  <c r="O70" i="4" s="1"/>
  <c r="N65" i="4"/>
  <c r="N70" i="4" s="1"/>
  <c r="M65" i="4"/>
  <c r="M70" i="4" s="1"/>
  <c r="L65" i="4"/>
  <c r="L70" i="4" s="1"/>
  <c r="K65" i="4"/>
  <c r="K70" i="4" s="1"/>
  <c r="J65" i="4"/>
  <c r="J70" i="4" s="1"/>
  <c r="I65" i="4"/>
  <c r="I70" i="4" s="1"/>
  <c r="H65" i="4"/>
  <c r="H70" i="4" s="1"/>
  <c r="G65" i="4"/>
  <c r="G70" i="4" s="1"/>
  <c r="G46" i="4" s="1"/>
  <c r="G161" i="4" s="1"/>
  <c r="F65" i="4"/>
  <c r="E65" i="4"/>
  <c r="H61" i="4"/>
  <c r="I61" i="4"/>
  <c r="J61" i="4"/>
  <c r="K61" i="4"/>
  <c r="L61" i="4"/>
  <c r="M61" i="4"/>
  <c r="N61" i="4"/>
  <c r="O61" i="4"/>
  <c r="G61" i="4"/>
  <c r="F61" i="4"/>
  <c r="F58" i="4"/>
  <c r="F59" i="4"/>
  <c r="E58" i="4"/>
  <c r="E59" i="4"/>
  <c r="D58" i="4"/>
  <c r="D59" i="4"/>
  <c r="G56" i="4"/>
  <c r="H56" i="4"/>
  <c r="I56" i="4"/>
  <c r="J56" i="4"/>
  <c r="K56" i="4"/>
  <c r="L56" i="4"/>
  <c r="M56" i="4"/>
  <c r="N56" i="4"/>
  <c r="O56" i="4"/>
  <c r="G50" i="4"/>
  <c r="H50" i="4"/>
  <c r="I50" i="4"/>
  <c r="J50" i="4"/>
  <c r="K50" i="4"/>
  <c r="L50" i="4"/>
  <c r="M50" i="4"/>
  <c r="N50" i="4"/>
  <c r="O50" i="4"/>
  <c r="F40" i="4"/>
  <c r="E40" i="4"/>
  <c r="D40" i="4"/>
  <c r="F39" i="4"/>
  <c r="E39" i="4"/>
  <c r="D39" i="4"/>
  <c r="F35" i="4"/>
  <c r="G35" i="4"/>
  <c r="H35" i="4"/>
  <c r="I35" i="4"/>
  <c r="J35" i="4"/>
  <c r="K35" i="4"/>
  <c r="L35" i="4"/>
  <c r="M35" i="4"/>
  <c r="N35" i="4"/>
  <c r="O35" i="4"/>
  <c r="E35" i="4"/>
  <c r="D35" i="4"/>
  <c r="F30" i="4"/>
  <c r="E30" i="4"/>
  <c r="D30" i="4"/>
  <c r="F29" i="4"/>
  <c r="E29" i="4"/>
  <c r="E66" i="4"/>
  <c r="D29" i="4"/>
  <c r="F25" i="4"/>
  <c r="E25" i="4"/>
  <c r="F24" i="4"/>
  <c r="M13" i="4"/>
  <c r="L13" i="4"/>
  <c r="K13" i="4"/>
  <c r="C13" i="4"/>
  <c r="M9" i="4"/>
  <c r="F31" i="4"/>
  <c r="F67" i="4"/>
  <c r="L9" i="4"/>
  <c r="K9" i="4"/>
  <c r="D38" i="4"/>
  <c r="D4" i="4"/>
  <c r="C2" i="4"/>
  <c r="G209" i="4"/>
  <c r="G244" i="4"/>
  <c r="K244" i="4"/>
  <c r="M244" i="4"/>
  <c r="O244" i="4"/>
  <c r="F38" i="4"/>
  <c r="G58" i="4"/>
  <c r="D66" i="4"/>
  <c r="F66" i="4"/>
  <c r="F76" i="4"/>
  <c r="F115" i="4"/>
  <c r="H244" i="4"/>
  <c r="L244" i="4"/>
  <c r="H87" i="4"/>
  <c r="H209" i="4"/>
  <c r="G99" i="4"/>
  <c r="H99" i="4"/>
  <c r="I99" i="4"/>
  <c r="J99" i="4"/>
  <c r="K99" i="4"/>
  <c r="L99" i="4"/>
  <c r="M99" i="4"/>
  <c r="N99" i="4"/>
  <c r="O99" i="4"/>
  <c r="H105" i="4"/>
  <c r="H160" i="4"/>
  <c r="G169" i="4"/>
  <c r="C303" i="4"/>
  <c r="C308" i="4"/>
  <c r="C313" i="4"/>
  <c r="C294" i="4"/>
  <c r="D28" i="2"/>
  <c r="D30" i="2" s="1"/>
  <c r="D23" i="9"/>
  <c r="D13" i="9"/>
  <c r="D18" i="9" s="1"/>
  <c r="E13" i="9"/>
  <c r="F13" i="9"/>
  <c r="F18" i="9"/>
  <c r="I106" i="4"/>
  <c r="J106" i="4"/>
  <c r="J215" i="4"/>
  <c r="D19" i="9"/>
  <c r="I87" i="4"/>
  <c r="J87" i="4"/>
  <c r="H58" i="4"/>
  <c r="I58" i="4"/>
  <c r="J58" i="4"/>
  <c r="K58" i="4"/>
  <c r="H293" i="4"/>
  <c r="J293" i="4"/>
  <c r="H169" i="4"/>
  <c r="G170" i="4"/>
  <c r="G171" i="4"/>
  <c r="F20" i="9"/>
  <c r="F19" i="9"/>
  <c r="F68" i="4"/>
  <c r="F32" i="4"/>
  <c r="I293" i="4"/>
  <c r="D20" i="9"/>
  <c r="K209" i="4"/>
  <c r="K87" i="4"/>
  <c r="J209" i="4"/>
  <c r="G86" i="4"/>
  <c r="H156" i="4"/>
  <c r="H170" i="4"/>
  <c r="I167" i="4"/>
  <c r="G97" i="4"/>
  <c r="H233" i="4"/>
  <c r="I233" i="4"/>
  <c r="J233" i="4"/>
  <c r="J97" i="4"/>
  <c r="E112" i="4"/>
  <c r="E111" i="4"/>
  <c r="F250" i="4"/>
  <c r="K106" i="4"/>
  <c r="G96" i="4"/>
  <c r="G246" i="4"/>
  <c r="H230" i="4"/>
  <c r="I215" i="4"/>
  <c r="I209" i="4"/>
  <c r="G293" i="4"/>
  <c r="H96" i="4"/>
  <c r="H246" i="4"/>
  <c r="I230" i="4"/>
  <c r="J230" i="4"/>
  <c r="J96" i="4"/>
  <c r="J246" i="4"/>
  <c r="H97" i="4"/>
  <c r="H247" i="4"/>
  <c r="I97" i="4"/>
  <c r="I247" i="4"/>
  <c r="H86" i="4"/>
  <c r="I156" i="4"/>
  <c r="J156" i="4"/>
  <c r="L209" i="4"/>
  <c r="L87" i="4"/>
  <c r="M209" i="4"/>
  <c r="G247" i="4"/>
  <c r="M87" i="4"/>
  <c r="N209" i="4"/>
  <c r="I86" i="4"/>
  <c r="N87" i="4"/>
  <c r="O209" i="4"/>
  <c r="K230" i="4"/>
  <c r="L230" i="4"/>
  <c r="L96" i="4"/>
  <c r="K233" i="4"/>
  <c r="L233" i="4"/>
  <c r="K97" i="4"/>
  <c r="K247" i="4"/>
  <c r="J247" i="4"/>
  <c r="O87" i="4"/>
  <c r="K96" i="4"/>
  <c r="K246" i="4"/>
  <c r="F124" i="4"/>
  <c r="F137" i="4"/>
  <c r="F119" i="4"/>
  <c r="E76" i="4"/>
  <c r="E115" i="4"/>
  <c r="D25" i="4"/>
  <c r="E137" i="4"/>
  <c r="E124" i="4"/>
  <c r="F45" i="4"/>
  <c r="F47" i="4"/>
  <c r="F36" i="4"/>
  <c r="G25" i="4"/>
  <c r="F111" i="4"/>
  <c r="F112" i="4"/>
  <c r="M230" i="4"/>
  <c r="E119" i="4"/>
  <c r="L246" i="4"/>
  <c r="C14" i="4"/>
  <c r="H25" i="4"/>
  <c r="G76" i="4"/>
  <c r="G253" i="4"/>
  <c r="E72" i="4"/>
  <c r="F72" i="4"/>
  <c r="M96" i="4"/>
  <c r="M246" i="4"/>
  <c r="N230" i="4"/>
  <c r="F41" i="4"/>
  <c r="F69" i="4"/>
  <c r="G69" i="4"/>
  <c r="K215" i="4"/>
  <c r="L106" i="4"/>
  <c r="L58" i="4"/>
  <c r="L97" i="4"/>
  <c r="M233" i="4"/>
  <c r="J167" i="4"/>
  <c r="I169" i="4"/>
  <c r="I170" i="4"/>
  <c r="I105" i="4"/>
  <c r="H214" i="4"/>
  <c r="E71" i="4"/>
  <c r="F71" i="4"/>
  <c r="H134" i="4"/>
  <c r="G82" i="4"/>
  <c r="H151" i="4"/>
  <c r="G93" i="4"/>
  <c r="G199" i="4"/>
  <c r="J86" i="4"/>
  <c r="K156" i="4"/>
  <c r="G172" i="4"/>
  <c r="G52" i="4"/>
  <c r="G59" i="4"/>
  <c r="H172" i="4"/>
  <c r="H52" i="4"/>
  <c r="H59" i="4"/>
  <c r="H171" i="4"/>
  <c r="I96" i="4"/>
  <c r="G24" i="4"/>
  <c r="H24" i="4"/>
  <c r="I24" i="4"/>
  <c r="J24" i="4"/>
  <c r="K24" i="4"/>
  <c r="L24" i="4"/>
  <c r="M24" i="4"/>
  <c r="N24" i="4"/>
  <c r="O24" i="4"/>
  <c r="E24" i="4"/>
  <c r="M7" i="4"/>
  <c r="D31" i="4"/>
  <c r="E38" i="4"/>
  <c r="E31" i="4"/>
  <c r="G295" i="4"/>
  <c r="G67" i="4"/>
  <c r="L294" i="4"/>
  <c r="K293" i="4"/>
  <c r="K295" i="4"/>
  <c r="K67" i="4"/>
  <c r="H207" i="4"/>
  <c r="I160" i="4"/>
  <c r="C295" i="4"/>
  <c r="C305" i="4"/>
  <c r="C310" i="4"/>
  <c r="C315" i="4"/>
  <c r="I295" i="4"/>
  <c r="I67" i="4"/>
  <c r="H107" i="4"/>
  <c r="G104" i="4"/>
  <c r="H103" i="4"/>
  <c r="E67" i="4"/>
  <c r="E68" i="4"/>
  <c r="E32" i="4"/>
  <c r="H253" i="4"/>
  <c r="I25" i="4"/>
  <c r="C15" i="4"/>
  <c r="H76" i="4"/>
  <c r="J160" i="4"/>
  <c r="I207" i="4"/>
  <c r="L67" i="4"/>
  <c r="M294" i="4"/>
  <c r="L293" i="4"/>
  <c r="L295" i="4"/>
  <c r="D24" i="4"/>
  <c r="K7" i="4"/>
  <c r="L7" i="4"/>
  <c r="I246" i="4"/>
  <c r="I151" i="4"/>
  <c r="H93" i="4"/>
  <c r="H199" i="4"/>
  <c r="L247" i="4"/>
  <c r="O230" i="4"/>
  <c r="O96" i="4"/>
  <c r="O246" i="4"/>
  <c r="N96" i="4"/>
  <c r="N246" i="4"/>
  <c r="M97" i="4"/>
  <c r="N233" i="4"/>
  <c r="M58" i="4"/>
  <c r="F57" i="4"/>
  <c r="F60" i="4"/>
  <c r="F62" i="4"/>
  <c r="F73" i="4"/>
  <c r="G73" i="4"/>
  <c r="H73" i="4"/>
  <c r="I73" i="4"/>
  <c r="J73" i="4"/>
  <c r="K73" i="4"/>
  <c r="L73" i="4"/>
  <c r="M73" i="4"/>
  <c r="N73" i="4"/>
  <c r="O73" i="4"/>
  <c r="F51" i="4"/>
  <c r="F53" i="4"/>
  <c r="H104" i="4"/>
  <c r="G213" i="4"/>
  <c r="H216" i="4"/>
  <c r="I107" i="4"/>
  <c r="G195" i="4"/>
  <c r="J170" i="4"/>
  <c r="K167" i="4"/>
  <c r="J169" i="4"/>
  <c r="H212" i="4"/>
  <c r="I103" i="4"/>
  <c r="D32" i="4"/>
  <c r="D67" i="4"/>
  <c r="D68" i="4"/>
  <c r="I171" i="4"/>
  <c r="I172" i="4"/>
  <c r="I52" i="4"/>
  <c r="I59" i="4"/>
  <c r="K86" i="4"/>
  <c r="L156" i="4"/>
  <c r="H82" i="4"/>
  <c r="I134" i="4"/>
  <c r="I214" i="4"/>
  <c r="J105" i="4"/>
  <c r="L215" i="4"/>
  <c r="M106" i="4"/>
  <c r="H69" i="4"/>
  <c r="G298" i="4"/>
  <c r="G115" i="4"/>
  <c r="G187" i="4"/>
  <c r="H115" i="4"/>
  <c r="H187" i="4"/>
  <c r="K105" i="4"/>
  <c r="J214" i="4"/>
  <c r="K170" i="4"/>
  <c r="L167" i="4"/>
  <c r="K169" i="4"/>
  <c r="N58" i="4"/>
  <c r="N294" i="4"/>
  <c r="M67" i="4"/>
  <c r="M295" i="4"/>
  <c r="M293" i="4"/>
  <c r="H298" i="4"/>
  <c r="I69" i="4"/>
  <c r="H213" i="4"/>
  <c r="I104" i="4"/>
  <c r="O233" i="4"/>
  <c r="O97" i="4"/>
  <c r="N97" i="4"/>
  <c r="I76" i="4"/>
  <c r="I253" i="4"/>
  <c r="J25" i="4"/>
  <c r="I93" i="4"/>
  <c r="I199" i="4"/>
  <c r="J151" i="4"/>
  <c r="E45" i="4"/>
  <c r="E47" i="4"/>
  <c r="E36" i="4"/>
  <c r="M215" i="4"/>
  <c r="N106" i="4"/>
  <c r="I82" i="4"/>
  <c r="J134" i="4"/>
  <c r="M156" i="4"/>
  <c r="L86" i="4"/>
  <c r="J171" i="4"/>
  <c r="J172" i="4"/>
  <c r="J52" i="4"/>
  <c r="J59" i="4"/>
  <c r="D36" i="4"/>
  <c r="D45" i="4"/>
  <c r="D47" i="4"/>
  <c r="I212" i="4"/>
  <c r="J103" i="4"/>
  <c r="H195" i="4"/>
  <c r="J107" i="4"/>
  <c r="I216" i="4"/>
  <c r="M247" i="4"/>
  <c r="K160" i="4"/>
  <c r="J207" i="4"/>
  <c r="L105" i="4"/>
  <c r="K214" i="4"/>
  <c r="D41" i="4"/>
  <c r="D69" i="4"/>
  <c r="M86" i="4"/>
  <c r="N156" i="4"/>
  <c r="J76" i="4"/>
  <c r="K25" i="4"/>
  <c r="J253" i="4"/>
  <c r="E41" i="4"/>
  <c r="E69" i="4"/>
  <c r="K103" i="4"/>
  <c r="J212" i="4"/>
  <c r="J82" i="4"/>
  <c r="K134" i="4"/>
  <c r="N247" i="4"/>
  <c r="I213" i="4"/>
  <c r="J104" i="4"/>
  <c r="N295" i="4"/>
  <c r="O294" i="4"/>
  <c r="N293" i="4"/>
  <c r="N67" i="4"/>
  <c r="O58" i="4"/>
  <c r="L169" i="4"/>
  <c r="M167" i="4"/>
  <c r="L170" i="4"/>
  <c r="O106" i="4"/>
  <c r="O215" i="4"/>
  <c r="N215" i="4"/>
  <c r="J93" i="4"/>
  <c r="J199" i="4"/>
  <c r="K151" i="4"/>
  <c r="K107" i="4"/>
  <c r="J216" i="4"/>
  <c r="K207" i="4"/>
  <c r="L160" i="4"/>
  <c r="K171" i="4"/>
  <c r="K172" i="4"/>
  <c r="K52" i="4"/>
  <c r="K59" i="4"/>
  <c r="J195" i="4"/>
  <c r="I115" i="4"/>
  <c r="I187" i="4"/>
  <c r="O247" i="4"/>
  <c r="J69" i="4"/>
  <c r="I298" i="4"/>
  <c r="I195" i="4"/>
  <c r="K76" i="4"/>
  <c r="K253" i="4"/>
  <c r="L25" i="4"/>
  <c r="L134" i="4"/>
  <c r="K82" i="4"/>
  <c r="K195" i="4"/>
  <c r="E57" i="4"/>
  <c r="E60" i="4"/>
  <c r="E73" i="4"/>
  <c r="E51" i="4"/>
  <c r="E53" i="4"/>
  <c r="N86" i="4"/>
  <c r="O156" i="4"/>
  <c r="O86" i="4"/>
  <c r="L107" i="4"/>
  <c r="K216" i="4"/>
  <c r="K93" i="4"/>
  <c r="K199" i="4"/>
  <c r="L151" i="4"/>
  <c r="N167" i="4"/>
  <c r="M169" i="4"/>
  <c r="M170" i="4"/>
  <c r="J115" i="4"/>
  <c r="J187" i="4"/>
  <c r="M105" i="4"/>
  <c r="L214" i="4"/>
  <c r="J298" i="4"/>
  <c r="K69" i="4"/>
  <c r="L171" i="4"/>
  <c r="M160" i="4"/>
  <c r="L207" i="4"/>
  <c r="O67" i="4"/>
  <c r="O295" i="4"/>
  <c r="O293" i="4"/>
  <c r="K104" i="4"/>
  <c r="J213" i="4"/>
  <c r="L103" i="4"/>
  <c r="K212" i="4"/>
  <c r="D51" i="4"/>
  <c r="D53" i="4"/>
  <c r="D73" i="4"/>
  <c r="D57" i="4"/>
  <c r="D60" i="4"/>
  <c r="M25" i="4"/>
  <c r="L76" i="4"/>
  <c r="L253" i="4"/>
  <c r="L93" i="4"/>
  <c r="L199" i="4"/>
  <c r="M151" i="4"/>
  <c r="M134" i="4"/>
  <c r="L82" i="4"/>
  <c r="L104" i="4"/>
  <c r="K213" i="4"/>
  <c r="M207" i="4"/>
  <c r="N160" i="4"/>
  <c r="N105" i="4"/>
  <c r="M214" i="4"/>
  <c r="K187" i="4"/>
  <c r="K115" i="4"/>
  <c r="M172" i="4"/>
  <c r="M52" i="4"/>
  <c r="M59" i="4"/>
  <c r="M171" i="4"/>
  <c r="N169" i="4"/>
  <c r="N170" i="4"/>
  <c r="O167" i="4"/>
  <c r="L195" i="4"/>
  <c r="M103" i="4"/>
  <c r="L212" i="4"/>
  <c r="L172" i="4"/>
  <c r="L52" i="4"/>
  <c r="L59" i="4"/>
  <c r="K298" i="4"/>
  <c r="L69" i="4"/>
  <c r="L216" i="4"/>
  <c r="M107" i="4"/>
  <c r="M216" i="4"/>
  <c r="N107" i="4"/>
  <c r="O169" i="4"/>
  <c r="O170" i="4"/>
  <c r="O105" i="4"/>
  <c r="O214" i="4"/>
  <c r="N214" i="4"/>
  <c r="N134" i="4"/>
  <c r="M82" i="4"/>
  <c r="L298" i="4"/>
  <c r="M69" i="4"/>
  <c r="M212" i="4"/>
  <c r="N103" i="4"/>
  <c r="L187" i="4"/>
  <c r="L115" i="4"/>
  <c r="N207" i="4"/>
  <c r="O160" i="4"/>
  <c r="O207" i="4"/>
  <c r="N171" i="4"/>
  <c r="M104" i="4"/>
  <c r="L213" i="4"/>
  <c r="M93" i="4"/>
  <c r="M199" i="4"/>
  <c r="N151" i="4"/>
  <c r="N25" i="4"/>
  <c r="M253" i="4"/>
  <c r="M76" i="4"/>
  <c r="N69" i="4"/>
  <c r="M298" i="4"/>
  <c r="N82" i="4"/>
  <c r="O134" i="4"/>
  <c r="O82" i="4"/>
  <c r="N93" i="4"/>
  <c r="N199" i="4"/>
  <c r="O151" i="4"/>
  <c r="O93" i="4"/>
  <c r="O199" i="4"/>
  <c r="O25" i="4"/>
  <c r="N253" i="4"/>
  <c r="N76" i="4"/>
  <c r="M195" i="4"/>
  <c r="M213" i="4"/>
  <c r="N104" i="4"/>
  <c r="O107" i="4"/>
  <c r="O216" i="4"/>
  <c r="N216" i="4"/>
  <c r="O171" i="4"/>
  <c r="O172" i="4"/>
  <c r="O52" i="4"/>
  <c r="O59" i="4"/>
  <c r="M187" i="4"/>
  <c r="M115" i="4"/>
  <c r="N172" i="4"/>
  <c r="N52" i="4"/>
  <c r="N59" i="4"/>
  <c r="N212" i="4"/>
  <c r="O103" i="4"/>
  <c r="O212" i="4"/>
  <c r="O76" i="4"/>
  <c r="O253" i="4"/>
  <c r="O195" i="4"/>
  <c r="N195" i="4"/>
  <c r="N298" i="4"/>
  <c r="O69" i="4"/>
  <c r="O298" i="4"/>
  <c r="N213" i="4"/>
  <c r="O104" i="4"/>
  <c r="O213" i="4"/>
  <c r="N187" i="4"/>
  <c r="N115" i="4"/>
  <c r="O115" i="4"/>
  <c r="O187" i="4"/>
  <c r="E98" i="2" l="1"/>
  <c r="F28" i="2"/>
  <c r="F9" i="2"/>
  <c r="E108" i="2"/>
  <c r="E36" i="2"/>
  <c r="N68" i="4"/>
  <c r="E93" i="2"/>
  <c r="F97" i="2"/>
  <c r="E96" i="2"/>
  <c r="E91" i="2"/>
  <c r="G98" i="2"/>
  <c r="F98" i="2"/>
  <c r="E87" i="2"/>
  <c r="E28" i="2"/>
  <c r="G96" i="2"/>
  <c r="E89" i="2"/>
  <c r="E90" i="2"/>
  <c r="F93" i="2"/>
  <c r="J68" i="4"/>
  <c r="M68" i="4"/>
  <c r="I68" i="4"/>
  <c r="O68" i="4"/>
  <c r="K68" i="4"/>
  <c r="G68" i="4"/>
  <c r="G189" i="4"/>
  <c r="H46" i="4"/>
  <c r="H161" i="4" s="1"/>
  <c r="G121" i="4"/>
  <c r="G78" i="4" s="1"/>
  <c r="H40" i="4"/>
  <c r="H182" i="4" s="1"/>
  <c r="H203" i="4" s="1"/>
  <c r="G182" i="4"/>
  <c r="H68" i="4"/>
  <c r="L68" i="4"/>
  <c r="G176" i="4"/>
  <c r="H39" i="4"/>
  <c r="G27" i="4"/>
  <c r="E99" i="2" l="1"/>
  <c r="F86" i="2"/>
  <c r="F108" i="2"/>
  <c r="F81" i="2"/>
  <c r="F36" i="2"/>
  <c r="G9" i="2"/>
  <c r="G108" i="2" s="1"/>
  <c r="I46" i="4"/>
  <c r="I189" i="4" s="1"/>
  <c r="G69" i="2"/>
  <c r="F68" i="2"/>
  <c r="F87" i="2"/>
  <c r="F96" i="2"/>
  <c r="F99" i="2" s="1"/>
  <c r="F92" i="2"/>
  <c r="F91" i="2"/>
  <c r="F83" i="2"/>
  <c r="F30" i="2"/>
  <c r="E85" i="2"/>
  <c r="E86" i="2"/>
  <c r="E83" i="2"/>
  <c r="G86" i="2"/>
  <c r="E30" i="2"/>
  <c r="F89" i="2"/>
  <c r="F85" i="2"/>
  <c r="E88" i="2"/>
  <c r="F90" i="2"/>
  <c r="G93" i="2"/>
  <c r="H189" i="4"/>
  <c r="H121" i="4"/>
  <c r="H78" i="4" s="1"/>
  <c r="I40" i="4"/>
  <c r="G184" i="4"/>
  <c r="G203" i="4"/>
  <c r="G31" i="4"/>
  <c r="G159" i="4"/>
  <c r="G29" i="4"/>
  <c r="H27" i="4"/>
  <c r="G238" i="4"/>
  <c r="G191" i="4"/>
  <c r="H176" i="4"/>
  <c r="H201" i="4" s="1"/>
  <c r="I39" i="4"/>
  <c r="G201" i="4"/>
  <c r="G178" i="4"/>
  <c r="G97" i="2" l="1"/>
  <c r="G99" i="2" s="1"/>
  <c r="G70" i="2"/>
  <c r="G20" i="2" s="1"/>
  <c r="F71" i="2"/>
  <c r="F44" i="2" s="1"/>
  <c r="H96" i="2"/>
  <c r="G36" i="2"/>
  <c r="G81" i="2"/>
  <c r="H9" i="2"/>
  <c r="H81" i="2" s="1"/>
  <c r="H69" i="2"/>
  <c r="H70" i="2" s="1"/>
  <c r="H20" i="2" s="1"/>
  <c r="I96" i="2"/>
  <c r="J46" i="4"/>
  <c r="J161" i="4" s="1"/>
  <c r="I161" i="4"/>
  <c r="G89" i="2"/>
  <c r="G92" i="2"/>
  <c r="I98" i="2"/>
  <c r="H98" i="2"/>
  <c r="G91" i="2"/>
  <c r="G90" i="2"/>
  <c r="F88" i="2"/>
  <c r="H86" i="2"/>
  <c r="G85" i="2"/>
  <c r="G87" i="2"/>
  <c r="H93" i="2"/>
  <c r="I93" i="2"/>
  <c r="I121" i="4"/>
  <c r="I78" i="4" s="1"/>
  <c r="I191" i="4" s="1"/>
  <c r="J40" i="4"/>
  <c r="I182" i="4"/>
  <c r="I203" i="4" s="1"/>
  <c r="G32" i="4"/>
  <c r="G45" i="4" s="1"/>
  <c r="G47" i="4" s="1"/>
  <c r="G102" i="4"/>
  <c r="H184" i="4"/>
  <c r="H191" i="4"/>
  <c r="G139" i="4"/>
  <c r="G126" i="4"/>
  <c r="G83" i="4"/>
  <c r="H178" i="4"/>
  <c r="I176" i="4"/>
  <c r="I201" i="4" s="1"/>
  <c r="J39" i="4"/>
  <c r="G162" i="4"/>
  <c r="G206" i="4"/>
  <c r="G210" i="4" s="1"/>
  <c r="H29" i="4"/>
  <c r="H159" i="4"/>
  <c r="H206" i="4" s="1"/>
  <c r="H210" i="4" s="1"/>
  <c r="H238" i="4"/>
  <c r="H31" i="4"/>
  <c r="I27" i="4"/>
  <c r="G130" i="4"/>
  <c r="G143" i="4"/>
  <c r="H29" i="2" l="1"/>
  <c r="H21" i="2"/>
  <c r="H28" i="2" s="1"/>
  <c r="G29" i="2"/>
  <c r="G83" i="2" s="1"/>
  <c r="G21" i="2"/>
  <c r="G28" i="2" s="1"/>
  <c r="G30" i="2" s="1"/>
  <c r="I9" i="2"/>
  <c r="I81" i="2" s="1"/>
  <c r="H36" i="2"/>
  <c r="H108" i="2"/>
  <c r="I87" i="2"/>
  <c r="K46" i="4"/>
  <c r="K161" i="4" s="1"/>
  <c r="H97" i="2"/>
  <c r="H99" i="2" s="1"/>
  <c r="I69" i="2"/>
  <c r="J189" i="4"/>
  <c r="H92" i="2"/>
  <c r="I92" i="2"/>
  <c r="J121" i="4"/>
  <c r="K121" i="4" s="1"/>
  <c r="H91" i="2"/>
  <c r="H89" i="2"/>
  <c r="I86" i="2"/>
  <c r="I91" i="2"/>
  <c r="H90" i="2"/>
  <c r="H85" i="2"/>
  <c r="H83" i="2"/>
  <c r="H87" i="2"/>
  <c r="G88" i="2"/>
  <c r="I108" i="2"/>
  <c r="G273" i="4"/>
  <c r="H32" i="4"/>
  <c r="H273" i="4" s="1"/>
  <c r="K40" i="4"/>
  <c r="J182" i="4"/>
  <c r="J203" i="4" s="1"/>
  <c r="H102" i="4"/>
  <c r="I184" i="4"/>
  <c r="H130" i="4"/>
  <c r="G81" i="4"/>
  <c r="G79" i="4"/>
  <c r="H126" i="4"/>
  <c r="G90" i="4"/>
  <c r="H139" i="4"/>
  <c r="H162" i="4"/>
  <c r="G84" i="4"/>
  <c r="H83" i="4"/>
  <c r="I178" i="4"/>
  <c r="J176" i="4"/>
  <c r="J201" i="4" s="1"/>
  <c r="K39" i="4"/>
  <c r="G91" i="4"/>
  <c r="G197" i="4" s="1"/>
  <c r="H143" i="4"/>
  <c r="I29" i="4"/>
  <c r="J27" i="4"/>
  <c r="I159" i="4"/>
  <c r="I206" i="4" s="1"/>
  <c r="I210" i="4" s="1"/>
  <c r="I31" i="4"/>
  <c r="I238" i="4"/>
  <c r="H30" i="2" l="1"/>
  <c r="I97" i="2"/>
  <c r="I99" i="2" s="1"/>
  <c r="I70" i="2"/>
  <c r="I20" i="2" s="1"/>
  <c r="G68" i="2"/>
  <c r="I36" i="2"/>
  <c r="L46" i="4"/>
  <c r="L189" i="4" s="1"/>
  <c r="K189" i="4"/>
  <c r="I89" i="2"/>
  <c r="J78" i="4"/>
  <c r="J191" i="4" s="1"/>
  <c r="I85" i="2"/>
  <c r="I90" i="2"/>
  <c r="H45" i="4"/>
  <c r="H47" i="4" s="1"/>
  <c r="I88" i="2"/>
  <c r="H88" i="2"/>
  <c r="K182" i="4"/>
  <c r="K203" i="4" s="1"/>
  <c r="L40" i="4"/>
  <c r="I32" i="4"/>
  <c r="I273" i="4" s="1"/>
  <c r="I102" i="4"/>
  <c r="J184" i="4"/>
  <c r="K176" i="4"/>
  <c r="K201" i="4" s="1"/>
  <c r="L39" i="4"/>
  <c r="G196" i="4"/>
  <c r="H91" i="4"/>
  <c r="H197" i="4" s="1"/>
  <c r="I143" i="4"/>
  <c r="I162" i="4"/>
  <c r="H84" i="4"/>
  <c r="H79" i="4"/>
  <c r="H192" i="4" s="1"/>
  <c r="I126" i="4"/>
  <c r="L121" i="4"/>
  <c r="K78" i="4"/>
  <c r="J178" i="4"/>
  <c r="I83" i="4"/>
  <c r="G192" i="4"/>
  <c r="G194" i="4"/>
  <c r="J29" i="4"/>
  <c r="J159" i="4"/>
  <c r="J206" i="4" s="1"/>
  <c r="J210" i="4" s="1"/>
  <c r="J31" i="4"/>
  <c r="J238" i="4"/>
  <c r="K27" i="4"/>
  <c r="H90" i="4"/>
  <c r="I139" i="4"/>
  <c r="H81" i="4"/>
  <c r="I130" i="4"/>
  <c r="I29" i="2" l="1"/>
  <c r="I83" i="2" s="1"/>
  <c r="I21" i="2"/>
  <c r="I28" i="2" s="1"/>
  <c r="G71" i="2"/>
  <c r="M46" i="4"/>
  <c r="M161" i="4" s="1"/>
  <c r="L161" i="4"/>
  <c r="I45" i="4"/>
  <c r="I47" i="4" s="1"/>
  <c r="M40" i="4"/>
  <c r="L182" i="4"/>
  <c r="L203" i="4" s="1"/>
  <c r="J32" i="4"/>
  <c r="J45" i="4" s="1"/>
  <c r="J47" i="4" s="1"/>
  <c r="J102" i="4"/>
  <c r="K184" i="4"/>
  <c r="K31" i="4"/>
  <c r="K159" i="4"/>
  <c r="K206" i="4" s="1"/>
  <c r="K210" i="4" s="1"/>
  <c r="K29" i="4"/>
  <c r="K238" i="4"/>
  <c r="L27" i="4"/>
  <c r="J126" i="4"/>
  <c r="I79" i="4"/>
  <c r="I192" i="4" s="1"/>
  <c r="H196" i="4"/>
  <c r="M121" i="4"/>
  <c r="L78" i="4"/>
  <c r="L191" i="4" s="1"/>
  <c r="J143" i="4"/>
  <c r="I91" i="4"/>
  <c r="I197" i="4" s="1"/>
  <c r="I81" i="4"/>
  <c r="I194" i="4" s="1"/>
  <c r="J130" i="4"/>
  <c r="L176" i="4"/>
  <c r="L201" i="4" s="1"/>
  <c r="M39" i="4"/>
  <c r="J139" i="4"/>
  <c r="I90" i="4"/>
  <c r="H194" i="4"/>
  <c r="K178" i="4"/>
  <c r="J83" i="4"/>
  <c r="I84" i="4"/>
  <c r="J162" i="4"/>
  <c r="K191" i="4"/>
  <c r="I30" i="2" l="1"/>
  <c r="H68" i="2"/>
  <c r="H71" i="2" s="1"/>
  <c r="H44" i="2" s="1"/>
  <c r="G44" i="2"/>
  <c r="N46" i="4"/>
  <c r="N189" i="4" s="1"/>
  <c r="M189" i="4"/>
  <c r="K32" i="4"/>
  <c r="K273" i="4" s="1"/>
  <c r="J273" i="4"/>
  <c r="M182" i="4"/>
  <c r="M203" i="4" s="1"/>
  <c r="N40" i="4"/>
  <c r="K102" i="4"/>
  <c r="L184" i="4"/>
  <c r="L178" i="4"/>
  <c r="K83" i="4"/>
  <c r="I196" i="4"/>
  <c r="K126" i="4"/>
  <c r="J79" i="4"/>
  <c r="J192" i="4" s="1"/>
  <c r="J90" i="4"/>
  <c r="K139" i="4"/>
  <c r="N39" i="4"/>
  <c r="M176" i="4"/>
  <c r="M201" i="4" s="1"/>
  <c r="K130" i="4"/>
  <c r="J81" i="4"/>
  <c r="J194" i="4" s="1"/>
  <c r="K143" i="4"/>
  <c r="J91" i="4"/>
  <c r="J197" i="4" s="1"/>
  <c r="L31" i="4"/>
  <c r="M27" i="4"/>
  <c r="L159" i="4"/>
  <c r="L206" i="4" s="1"/>
  <c r="L210" i="4" s="1"/>
  <c r="L238" i="4"/>
  <c r="L29" i="4"/>
  <c r="K162" i="4"/>
  <c r="J84" i="4"/>
  <c r="N121" i="4"/>
  <c r="M78" i="4"/>
  <c r="N161" i="4" l="1"/>
  <c r="O46" i="4"/>
  <c r="O189" i="4" s="1"/>
  <c r="L32" i="4"/>
  <c r="L273" i="4" s="1"/>
  <c r="K45" i="4"/>
  <c r="K47" i="4" s="1"/>
  <c r="O40" i="4"/>
  <c r="O182" i="4" s="1"/>
  <c r="O203" i="4" s="1"/>
  <c r="N182" i="4"/>
  <c r="N203" i="4" s="1"/>
  <c r="L102" i="4"/>
  <c r="M184" i="4"/>
  <c r="L126" i="4"/>
  <c r="K79" i="4"/>
  <c r="K192" i="4" s="1"/>
  <c r="O121" i="4"/>
  <c r="O78" i="4" s="1"/>
  <c r="N78" i="4"/>
  <c r="M31" i="4"/>
  <c r="M159" i="4"/>
  <c r="M206" i="4" s="1"/>
  <c r="M210" i="4" s="1"/>
  <c r="N27" i="4"/>
  <c r="M238" i="4"/>
  <c r="M29" i="4"/>
  <c r="L139" i="4"/>
  <c r="K90" i="4"/>
  <c r="L143" i="4"/>
  <c r="K91" i="4"/>
  <c r="K197" i="4" s="1"/>
  <c r="O39" i="4"/>
  <c r="O176" i="4" s="1"/>
  <c r="O201" i="4" s="1"/>
  <c r="N176" i="4"/>
  <c r="N201" i="4" s="1"/>
  <c r="K81" i="4"/>
  <c r="K194" i="4" s="1"/>
  <c r="L130" i="4"/>
  <c r="J196" i="4"/>
  <c r="M191" i="4"/>
  <c r="K84" i="4"/>
  <c r="L162" i="4"/>
  <c r="M178" i="4"/>
  <c r="L83" i="4"/>
  <c r="I68" i="2" l="1"/>
  <c r="L45" i="4"/>
  <c r="L47" i="4" s="1"/>
  <c r="M32" i="4"/>
  <c r="M45" i="4" s="1"/>
  <c r="M47" i="4" s="1"/>
  <c r="O161" i="4"/>
  <c r="O191" i="4"/>
  <c r="M102" i="4"/>
  <c r="N184" i="4"/>
  <c r="N238" i="4"/>
  <c r="N29" i="4"/>
  <c r="N31" i="4"/>
  <c r="O27" i="4"/>
  <c r="N159" i="4"/>
  <c r="N206" i="4" s="1"/>
  <c r="N210" i="4" s="1"/>
  <c r="N191" i="4"/>
  <c r="M143" i="4"/>
  <c r="L91" i="4"/>
  <c r="L197" i="4" s="1"/>
  <c r="K196" i="4"/>
  <c r="N178" i="4"/>
  <c r="M83" i="4"/>
  <c r="L84" i="4"/>
  <c r="M162" i="4"/>
  <c r="M130" i="4"/>
  <c r="L81" i="4"/>
  <c r="L194" i="4" s="1"/>
  <c r="L90" i="4"/>
  <c r="M139" i="4"/>
  <c r="L79" i="4"/>
  <c r="M126" i="4"/>
  <c r="I71" i="2" l="1"/>
  <c r="I44" i="2" s="1"/>
  <c r="M273" i="4"/>
  <c r="O184" i="4"/>
  <c r="O102" i="4" s="1"/>
  <c r="N102" i="4"/>
  <c r="N32" i="4"/>
  <c r="N273" i="4" s="1"/>
  <c r="M84" i="4"/>
  <c r="N162" i="4"/>
  <c r="N126" i="4"/>
  <c r="M79" i="4"/>
  <c r="M81" i="4"/>
  <c r="N130" i="4"/>
  <c r="L192" i="4"/>
  <c r="N143" i="4"/>
  <c r="M91" i="4"/>
  <c r="M197" i="4" s="1"/>
  <c r="L196" i="4"/>
  <c r="M90" i="4"/>
  <c r="N139" i="4"/>
  <c r="O178" i="4"/>
  <c r="O83" i="4" s="1"/>
  <c r="N83" i="4"/>
  <c r="O159" i="4"/>
  <c r="O206" i="4" s="1"/>
  <c r="O210" i="4" s="1"/>
  <c r="O238" i="4"/>
  <c r="O29" i="4"/>
  <c r="O31" i="4"/>
  <c r="N45" i="4" l="1"/>
  <c r="N47" i="4" s="1"/>
  <c r="O32" i="4"/>
  <c r="O45" i="4" s="1"/>
  <c r="O47" i="4" s="1"/>
  <c r="M196" i="4"/>
  <c r="N91" i="4"/>
  <c r="N197" i="4" s="1"/>
  <c r="O143" i="4"/>
  <c r="O91" i="4" s="1"/>
  <c r="N79" i="4"/>
  <c r="N192" i="4" s="1"/>
  <c r="O126" i="4"/>
  <c r="O79" i="4" s="1"/>
  <c r="N90" i="4"/>
  <c r="O139" i="4"/>
  <c r="O90" i="4" s="1"/>
  <c r="M192" i="4"/>
  <c r="O162" i="4"/>
  <c r="O84" i="4" s="1"/>
  <c r="N84" i="4"/>
  <c r="O130" i="4"/>
  <c r="O81" i="4" s="1"/>
  <c r="N81" i="4"/>
  <c r="M194" i="4"/>
  <c r="O194" i="4" l="1"/>
  <c r="O273" i="4"/>
  <c r="O197" i="4"/>
  <c r="N196" i="4"/>
  <c r="O192" i="4"/>
  <c r="O196" i="4"/>
  <c r="N194" i="4"/>
  <c r="E124" i="2" l="1"/>
  <c r="E127" i="2"/>
  <c r="F124" i="2" s="1"/>
  <c r="F127" i="2" s="1"/>
  <c r="G124" i="2" l="1"/>
  <c r="G127" i="2" s="1"/>
  <c r="E52" i="2"/>
  <c r="F128" i="2"/>
  <c r="D52" i="2"/>
  <c r="E128" i="2"/>
  <c r="H124" i="2" l="1"/>
  <c r="H127" i="2" s="1"/>
  <c r="F52" i="2"/>
  <c r="G128" i="2"/>
  <c r="I124" i="2" l="1"/>
  <c r="I127" i="2" s="1"/>
  <c r="G52" i="2"/>
  <c r="H128" i="2"/>
  <c r="H52" i="2" l="1"/>
  <c r="I128" i="2"/>
  <c r="D127" i="2"/>
  <c r="D128" i="2" s="1"/>
  <c r="G33" i="4"/>
  <c r="H33" i="4"/>
  <c r="I33" i="4"/>
  <c r="J33" i="4"/>
  <c r="K33" i="4"/>
  <c r="L33" i="4"/>
  <c r="M33" i="4"/>
  <c r="N33" i="4"/>
  <c r="O33" i="4"/>
  <c r="G36" i="4"/>
  <c r="H36" i="4"/>
  <c r="I36" i="4"/>
  <c r="J36" i="4"/>
  <c r="K36" i="4"/>
  <c r="L36" i="4"/>
  <c r="M36" i="4"/>
  <c r="N36" i="4"/>
  <c r="O36" i="4"/>
  <c r="G38" i="4"/>
  <c r="H38" i="4"/>
  <c r="I38" i="4"/>
  <c r="J38" i="4"/>
  <c r="K38" i="4"/>
  <c r="L38" i="4"/>
  <c r="M38" i="4"/>
  <c r="N38" i="4"/>
  <c r="O38" i="4"/>
  <c r="G41" i="4"/>
  <c r="H41" i="4"/>
  <c r="I41" i="4"/>
  <c r="J41" i="4"/>
  <c r="K41" i="4"/>
  <c r="L41" i="4"/>
  <c r="M41" i="4"/>
  <c r="N41" i="4"/>
  <c r="O41" i="4"/>
  <c r="G42" i="4"/>
  <c r="H42" i="4"/>
  <c r="I42" i="4"/>
  <c r="J42" i="4"/>
  <c r="K42" i="4"/>
  <c r="L42" i="4"/>
  <c r="M42" i="4"/>
  <c r="N42" i="4"/>
  <c r="O42" i="4"/>
  <c r="G51" i="4"/>
  <c r="H51" i="4"/>
  <c r="I51" i="4"/>
  <c r="J51" i="4"/>
  <c r="K51" i="4"/>
  <c r="L51" i="4"/>
  <c r="M51" i="4"/>
  <c r="N51" i="4"/>
  <c r="O51" i="4"/>
  <c r="G53" i="4"/>
  <c r="H53" i="4"/>
  <c r="I53" i="4"/>
  <c r="J53" i="4"/>
  <c r="K53" i="4"/>
  <c r="L53" i="4"/>
  <c r="M53" i="4"/>
  <c r="N53" i="4"/>
  <c r="O53" i="4"/>
  <c r="G57" i="4"/>
  <c r="H57" i="4"/>
  <c r="I57" i="4"/>
  <c r="J57" i="4"/>
  <c r="K57" i="4"/>
  <c r="L57" i="4"/>
  <c r="M57" i="4"/>
  <c r="N57" i="4"/>
  <c r="O57" i="4"/>
  <c r="G60" i="4"/>
  <c r="H60" i="4"/>
  <c r="I60" i="4"/>
  <c r="J60" i="4"/>
  <c r="K60" i="4"/>
  <c r="L60" i="4"/>
  <c r="M60" i="4"/>
  <c r="N60" i="4"/>
  <c r="O60" i="4"/>
  <c r="G62" i="4"/>
  <c r="H62" i="4"/>
  <c r="I62" i="4"/>
  <c r="J62" i="4"/>
  <c r="K62" i="4"/>
  <c r="L62" i="4"/>
  <c r="M62" i="4"/>
  <c r="N62" i="4"/>
  <c r="O62" i="4"/>
  <c r="G77" i="4"/>
  <c r="H77" i="4"/>
  <c r="I77" i="4"/>
  <c r="J77" i="4"/>
  <c r="K77" i="4"/>
  <c r="L77" i="4"/>
  <c r="M77" i="4"/>
  <c r="N77" i="4"/>
  <c r="O77" i="4"/>
  <c r="G80" i="4"/>
  <c r="H80" i="4"/>
  <c r="I80" i="4"/>
  <c r="J80" i="4"/>
  <c r="K80" i="4"/>
  <c r="L80" i="4"/>
  <c r="M80" i="4"/>
  <c r="N80" i="4"/>
  <c r="O80" i="4"/>
  <c r="G88" i="4"/>
  <c r="H88" i="4"/>
  <c r="I88" i="4"/>
  <c r="J88" i="4"/>
  <c r="K88" i="4"/>
  <c r="L88" i="4"/>
  <c r="M88" i="4"/>
  <c r="N88" i="4"/>
  <c r="O88" i="4"/>
  <c r="G92" i="4"/>
  <c r="H92" i="4"/>
  <c r="I92" i="4"/>
  <c r="J92" i="4"/>
  <c r="K92" i="4"/>
  <c r="L92" i="4"/>
  <c r="M92" i="4"/>
  <c r="N92" i="4"/>
  <c r="O92" i="4"/>
  <c r="G95" i="4"/>
  <c r="H95" i="4"/>
  <c r="I95" i="4"/>
  <c r="J95" i="4"/>
  <c r="K95" i="4"/>
  <c r="L95" i="4"/>
  <c r="M95" i="4"/>
  <c r="N95" i="4"/>
  <c r="O95" i="4"/>
  <c r="G98" i="4"/>
  <c r="H98" i="4"/>
  <c r="I98" i="4"/>
  <c r="J98" i="4"/>
  <c r="K98" i="4"/>
  <c r="L98" i="4"/>
  <c r="M98" i="4"/>
  <c r="N98" i="4"/>
  <c r="O98" i="4"/>
  <c r="G100" i="4"/>
  <c r="H100" i="4"/>
  <c r="I100" i="4"/>
  <c r="J100" i="4"/>
  <c r="K100" i="4"/>
  <c r="L100" i="4"/>
  <c r="M100" i="4"/>
  <c r="N100" i="4"/>
  <c r="O100" i="4"/>
  <c r="G108" i="4"/>
  <c r="H108" i="4"/>
  <c r="I108" i="4"/>
  <c r="J108" i="4"/>
  <c r="K108" i="4"/>
  <c r="L108" i="4"/>
  <c r="M108" i="4"/>
  <c r="N108" i="4"/>
  <c r="O108" i="4"/>
  <c r="G109" i="4"/>
  <c r="H109" i="4"/>
  <c r="I109" i="4"/>
  <c r="J109" i="4"/>
  <c r="K109" i="4"/>
  <c r="L109" i="4"/>
  <c r="M109" i="4"/>
  <c r="N109" i="4"/>
  <c r="O109" i="4"/>
  <c r="G111" i="4"/>
  <c r="H111" i="4"/>
  <c r="I111" i="4"/>
  <c r="J111" i="4"/>
  <c r="K111" i="4"/>
  <c r="L111" i="4"/>
  <c r="M111" i="4"/>
  <c r="N111" i="4"/>
  <c r="O111" i="4"/>
  <c r="G112" i="4"/>
  <c r="H112" i="4"/>
  <c r="I112" i="4"/>
  <c r="J112" i="4"/>
  <c r="K112" i="4"/>
  <c r="L112" i="4"/>
  <c r="M112" i="4"/>
  <c r="N112" i="4"/>
  <c r="O112" i="4"/>
  <c r="G147" i="4"/>
  <c r="H147" i="4"/>
  <c r="I147" i="4"/>
  <c r="J147" i="4"/>
  <c r="K147" i="4"/>
  <c r="L147" i="4"/>
  <c r="M147" i="4"/>
  <c r="N147" i="4"/>
  <c r="O147" i="4"/>
  <c r="G188" i="4"/>
  <c r="H188" i="4"/>
  <c r="I188" i="4"/>
  <c r="J188" i="4"/>
  <c r="K188" i="4"/>
  <c r="L188" i="4"/>
  <c r="M188" i="4"/>
  <c r="N188" i="4"/>
  <c r="O188" i="4"/>
  <c r="G193" i="4"/>
  <c r="H193" i="4"/>
  <c r="I193" i="4"/>
  <c r="J193" i="4"/>
  <c r="K193" i="4"/>
  <c r="L193" i="4"/>
  <c r="M193" i="4"/>
  <c r="N193" i="4"/>
  <c r="O193" i="4"/>
  <c r="G198" i="4"/>
  <c r="H198" i="4"/>
  <c r="I198" i="4"/>
  <c r="J198" i="4"/>
  <c r="K198" i="4"/>
  <c r="L198" i="4"/>
  <c r="M198" i="4"/>
  <c r="N198" i="4"/>
  <c r="O198" i="4"/>
  <c r="G200" i="4"/>
  <c r="H200" i="4"/>
  <c r="I200" i="4"/>
  <c r="J200" i="4"/>
  <c r="K200" i="4"/>
  <c r="L200" i="4"/>
  <c r="M200" i="4"/>
  <c r="N200" i="4"/>
  <c r="O200" i="4"/>
  <c r="G204" i="4"/>
  <c r="H204" i="4"/>
  <c r="I204" i="4"/>
  <c r="J204" i="4"/>
  <c r="K204" i="4"/>
  <c r="L204" i="4"/>
  <c r="M204" i="4"/>
  <c r="N204" i="4"/>
  <c r="O204" i="4"/>
  <c r="G217" i="4"/>
  <c r="H217" i="4"/>
  <c r="I217" i="4"/>
  <c r="J217" i="4"/>
  <c r="K217" i="4"/>
  <c r="L217" i="4"/>
  <c r="M217" i="4"/>
  <c r="N217" i="4"/>
  <c r="O217" i="4"/>
  <c r="G219" i="4"/>
  <c r="H219" i="4"/>
  <c r="I219" i="4"/>
  <c r="J219" i="4"/>
  <c r="K219" i="4"/>
  <c r="L219" i="4"/>
  <c r="M219" i="4"/>
  <c r="N219" i="4"/>
  <c r="O219" i="4"/>
  <c r="G220" i="4"/>
  <c r="H220" i="4"/>
  <c r="I220" i="4"/>
  <c r="J220" i="4"/>
  <c r="K220" i="4"/>
  <c r="L220" i="4"/>
  <c r="M220" i="4"/>
  <c r="N220" i="4"/>
  <c r="O220" i="4"/>
  <c r="G222" i="4"/>
  <c r="H222" i="4"/>
  <c r="I222" i="4"/>
  <c r="J222" i="4"/>
  <c r="K222" i="4"/>
  <c r="L222" i="4"/>
  <c r="M222" i="4"/>
  <c r="N222" i="4"/>
  <c r="O222" i="4"/>
  <c r="H236" i="4"/>
  <c r="I236" i="4"/>
  <c r="J236" i="4"/>
  <c r="K236" i="4"/>
  <c r="L236" i="4"/>
  <c r="M236" i="4"/>
  <c r="N236" i="4"/>
  <c r="O236" i="4"/>
  <c r="G237" i="4"/>
  <c r="H237" i="4"/>
  <c r="I237" i="4"/>
  <c r="J237" i="4"/>
  <c r="K237" i="4"/>
  <c r="L237" i="4"/>
  <c r="M237" i="4"/>
  <c r="N237" i="4"/>
  <c r="O237" i="4"/>
  <c r="G239" i="4"/>
  <c r="H239" i="4"/>
  <c r="I239" i="4"/>
  <c r="J239" i="4"/>
  <c r="K239" i="4"/>
  <c r="L239" i="4"/>
  <c r="M239" i="4"/>
  <c r="N239" i="4"/>
  <c r="O239" i="4"/>
  <c r="G240" i="4"/>
  <c r="H240" i="4"/>
  <c r="I240" i="4"/>
  <c r="J240" i="4"/>
  <c r="K240" i="4"/>
  <c r="L240" i="4"/>
  <c r="M240" i="4"/>
  <c r="N240" i="4"/>
  <c r="O240" i="4"/>
  <c r="G245" i="4"/>
  <c r="H245" i="4"/>
  <c r="I245" i="4"/>
  <c r="J245" i="4"/>
  <c r="K245" i="4"/>
  <c r="L245" i="4"/>
  <c r="M245" i="4"/>
  <c r="N245" i="4"/>
  <c r="O245" i="4"/>
  <c r="G248" i="4"/>
  <c r="H248" i="4"/>
  <c r="I248" i="4"/>
  <c r="J248" i="4"/>
  <c r="K248" i="4"/>
  <c r="L248" i="4"/>
  <c r="M248" i="4"/>
  <c r="N248" i="4"/>
  <c r="O248" i="4"/>
  <c r="G249" i="4"/>
  <c r="H249" i="4"/>
  <c r="I249" i="4"/>
  <c r="J249" i="4"/>
  <c r="K249" i="4"/>
  <c r="L249" i="4"/>
  <c r="M249" i="4"/>
  <c r="N249" i="4"/>
  <c r="O249" i="4"/>
  <c r="G255" i="4"/>
  <c r="H255" i="4"/>
  <c r="I255" i="4"/>
  <c r="J255" i="4"/>
  <c r="K255" i="4"/>
  <c r="L255" i="4"/>
  <c r="M255" i="4"/>
  <c r="N255" i="4"/>
  <c r="O255" i="4"/>
  <c r="G258" i="4"/>
  <c r="H258" i="4"/>
  <c r="I258" i="4"/>
  <c r="J258" i="4"/>
  <c r="K258" i="4"/>
  <c r="L258" i="4"/>
  <c r="M258" i="4"/>
  <c r="N258" i="4"/>
  <c r="O258" i="4"/>
  <c r="G259" i="4"/>
  <c r="H259" i="4"/>
  <c r="I259" i="4"/>
  <c r="J259" i="4"/>
  <c r="K259" i="4"/>
  <c r="L259" i="4"/>
  <c r="M259" i="4"/>
  <c r="N259" i="4"/>
  <c r="O259" i="4"/>
  <c r="G260" i="4"/>
  <c r="H260" i="4"/>
  <c r="I260" i="4"/>
  <c r="J260" i="4"/>
  <c r="K260" i="4"/>
  <c r="L260" i="4"/>
  <c r="M260" i="4"/>
  <c r="N260" i="4"/>
  <c r="O260" i="4"/>
  <c r="G261" i="4"/>
  <c r="H261" i="4"/>
  <c r="I261" i="4"/>
  <c r="J261" i="4"/>
  <c r="K261" i="4"/>
  <c r="L261" i="4"/>
  <c r="M261" i="4"/>
  <c r="N261" i="4"/>
  <c r="O261" i="4"/>
  <c r="G262" i="4"/>
  <c r="H262" i="4"/>
  <c r="I262" i="4"/>
  <c r="J262" i="4"/>
  <c r="K262" i="4"/>
  <c r="L262" i="4"/>
  <c r="M262" i="4"/>
  <c r="N262" i="4"/>
  <c r="O262" i="4"/>
  <c r="G263" i="4"/>
  <c r="H263" i="4"/>
  <c r="I263" i="4"/>
  <c r="J263" i="4"/>
  <c r="K263" i="4"/>
  <c r="L263" i="4"/>
  <c r="M263" i="4"/>
  <c r="N263" i="4"/>
  <c r="O263" i="4"/>
  <c r="G266" i="4"/>
  <c r="H266" i="4"/>
  <c r="I266" i="4"/>
  <c r="J266" i="4"/>
  <c r="K266" i="4"/>
  <c r="L266" i="4"/>
  <c r="M266" i="4"/>
  <c r="N266" i="4"/>
  <c r="O266" i="4"/>
  <c r="G267" i="4"/>
  <c r="H267" i="4"/>
  <c r="I267" i="4"/>
  <c r="J267" i="4"/>
  <c r="K267" i="4"/>
  <c r="L267" i="4"/>
  <c r="M267" i="4"/>
  <c r="N267" i="4"/>
  <c r="O267" i="4"/>
  <c r="G270" i="4"/>
  <c r="H270" i="4"/>
  <c r="I270" i="4"/>
  <c r="J270" i="4"/>
  <c r="K270" i="4"/>
  <c r="L270" i="4"/>
  <c r="M270" i="4"/>
  <c r="N270" i="4"/>
  <c r="O270" i="4"/>
  <c r="G274" i="4"/>
  <c r="H274" i="4"/>
  <c r="I274" i="4"/>
  <c r="J274" i="4"/>
  <c r="K274" i="4"/>
  <c r="L274" i="4"/>
  <c r="M274" i="4"/>
  <c r="N274" i="4"/>
  <c r="O274" i="4"/>
  <c r="G275" i="4"/>
  <c r="H275" i="4"/>
  <c r="I275" i="4"/>
  <c r="J275" i="4"/>
  <c r="K275" i="4"/>
  <c r="L275" i="4"/>
  <c r="M275" i="4"/>
  <c r="N275" i="4"/>
  <c r="O275" i="4"/>
  <c r="G276" i="4"/>
  <c r="H276" i="4"/>
  <c r="I276" i="4"/>
  <c r="J276" i="4"/>
  <c r="K276" i="4"/>
  <c r="L276" i="4"/>
  <c r="M276" i="4"/>
  <c r="N276" i="4"/>
  <c r="O276" i="4"/>
  <c r="G277" i="4"/>
  <c r="H277" i="4"/>
  <c r="I277" i="4"/>
  <c r="J277" i="4"/>
  <c r="K277" i="4"/>
  <c r="L277" i="4"/>
  <c r="M277" i="4"/>
  <c r="N277" i="4"/>
  <c r="O277" i="4"/>
  <c r="G278" i="4"/>
  <c r="H278" i="4"/>
  <c r="I278" i="4"/>
  <c r="J278" i="4"/>
  <c r="K278" i="4"/>
  <c r="L278" i="4"/>
  <c r="M278" i="4"/>
  <c r="N278" i="4"/>
  <c r="O278" i="4"/>
  <c r="D322" i="4"/>
  <c r="D22" i="2"/>
  <c r="E22" i="2"/>
  <c r="F22" i="2"/>
  <c r="G22" i="2"/>
  <c r="H22" i="2"/>
  <c r="I22" i="2"/>
  <c r="D23" i="2"/>
  <c r="E23" i="2"/>
  <c r="F23" i="2"/>
  <c r="G23" i="2"/>
  <c r="H23" i="2"/>
  <c r="I23" i="2"/>
  <c r="D24" i="2"/>
  <c r="E24" i="2"/>
  <c r="F24" i="2"/>
  <c r="G24" i="2"/>
  <c r="H24" i="2"/>
  <c r="I24" i="2"/>
  <c r="D25" i="2"/>
  <c r="E25" i="2"/>
  <c r="F25" i="2"/>
  <c r="G25" i="2"/>
  <c r="H25" i="2"/>
  <c r="I25" i="2"/>
  <c r="D37" i="2"/>
  <c r="E37" i="2"/>
  <c r="F37" i="2"/>
  <c r="G37" i="2"/>
  <c r="H37" i="2"/>
  <c r="I37" i="2"/>
  <c r="D46" i="2"/>
  <c r="E46" i="2"/>
  <c r="F46" i="2"/>
  <c r="G46" i="2"/>
  <c r="H46" i="2"/>
  <c r="I46" i="2"/>
  <c r="D51" i="2"/>
  <c r="E51" i="2"/>
  <c r="F51" i="2"/>
  <c r="G51" i="2"/>
  <c r="H51" i="2"/>
  <c r="I51" i="2"/>
  <c r="D55" i="2"/>
  <c r="E55" i="2"/>
  <c r="F55" i="2"/>
  <c r="G55" i="2"/>
  <c r="H55" i="2"/>
  <c r="I55" i="2"/>
  <c r="D57" i="2"/>
  <c r="E57" i="2"/>
  <c r="F57" i="2"/>
  <c r="G57" i="2"/>
  <c r="H57" i="2"/>
  <c r="I57" i="2"/>
  <c r="E58" i="2"/>
  <c r="F58" i="2"/>
  <c r="G58" i="2"/>
  <c r="H58" i="2"/>
  <c r="I58" i="2"/>
  <c r="D61" i="2"/>
  <c r="E61" i="2"/>
  <c r="F61" i="2"/>
  <c r="G61" i="2"/>
  <c r="H61" i="2"/>
  <c r="I61" i="2"/>
  <c r="D63" i="2"/>
  <c r="E63" i="2"/>
  <c r="F63" i="2"/>
  <c r="G63" i="2"/>
  <c r="H63" i="2"/>
  <c r="I63" i="2"/>
  <c r="D64" i="2"/>
  <c r="E64" i="2"/>
  <c r="F64" i="2"/>
  <c r="G64" i="2"/>
  <c r="H64" i="2"/>
  <c r="I64" i="2"/>
  <c r="D82" i="2"/>
  <c r="E82" i="2"/>
  <c r="F82" i="2"/>
  <c r="G82" i="2"/>
  <c r="H82" i="2"/>
  <c r="I82" i="2"/>
  <c r="D94" i="2"/>
  <c r="E94" i="2"/>
  <c r="F94" i="2"/>
  <c r="G94" i="2"/>
  <c r="H94" i="2"/>
  <c r="I94" i="2"/>
  <c r="D101" i="2"/>
  <c r="E101" i="2"/>
  <c r="F101" i="2"/>
  <c r="G101" i="2"/>
  <c r="H101" i="2"/>
  <c r="I101" i="2"/>
  <c r="D102" i="2"/>
  <c r="E102" i="2"/>
  <c r="F102" i="2"/>
  <c r="G102" i="2"/>
  <c r="H102" i="2"/>
  <c r="I102" i="2"/>
  <c r="D104" i="2"/>
  <c r="E104" i="2"/>
  <c r="F104" i="2"/>
  <c r="G104" i="2"/>
  <c r="H104" i="2"/>
  <c r="I104" i="2"/>
  <c r="E110" i="2"/>
  <c r="F110" i="2"/>
  <c r="G110" i="2"/>
  <c r="H110" i="2"/>
  <c r="I110" i="2"/>
  <c r="D111" i="2"/>
  <c r="E111" i="2"/>
  <c r="F111" i="2"/>
  <c r="G111" i="2"/>
  <c r="H111" i="2"/>
  <c r="I111" i="2"/>
  <c r="D112" i="2"/>
  <c r="E112" i="2"/>
  <c r="F112" i="2"/>
  <c r="G112" i="2"/>
  <c r="H112" i="2"/>
  <c r="I112" i="2"/>
  <c r="D113" i="2"/>
  <c r="E113" i="2"/>
  <c r="F113" i="2"/>
  <c r="G113" i="2"/>
  <c r="H113" i="2"/>
  <c r="I113" i="2"/>
  <c r="D114" i="2"/>
  <c r="E114" i="2"/>
  <c r="F114" i="2"/>
  <c r="G114" i="2"/>
  <c r="H114" i="2"/>
  <c r="I114" i="2"/>
  <c r="E117" i="2"/>
  <c r="F117" i="2"/>
  <c r="G117" i="2"/>
  <c r="H117" i="2"/>
  <c r="I117" i="2"/>
  <c r="D118" i="2"/>
  <c r="E118" i="2"/>
  <c r="F118" i="2"/>
  <c r="G118" i="2"/>
  <c r="H118" i="2"/>
  <c r="I118" i="2"/>
  <c r="D120" i="2"/>
  <c r="E120" i="2"/>
  <c r="F120" i="2"/>
  <c r="G120" i="2"/>
  <c r="H120" i="2"/>
  <c r="I120" i="2"/>
  <c r="D121" i="2"/>
  <c r="E121" i="2"/>
  <c r="F121" i="2"/>
  <c r="G121" i="2"/>
  <c r="H121" i="2"/>
  <c r="I121" i="2"/>
  <c r="D131" i="2"/>
  <c r="E131" i="2"/>
  <c r="F131" i="2"/>
  <c r="G131" i="2"/>
  <c r="H131" i="2"/>
  <c r="I131" i="2"/>
  <c r="D132" i="2"/>
  <c r="E132" i="2"/>
  <c r="F132" i="2"/>
  <c r="G132" i="2"/>
  <c r="H132" i="2"/>
  <c r="I1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 Inc.</author>
    <author>Matan Feldman</author>
    <author>Wall Street Prep, LLC</author>
  </authors>
  <commentList>
    <comment ref="K8" authorId="0" shapeId="0" xr:uid="{00000000-0006-0000-0400-000001000000}">
      <text>
        <r>
          <rPr>
            <b/>
            <sz val="8"/>
            <color indexed="81"/>
            <rFont val="Tahoma"/>
            <family val="2"/>
          </rPr>
          <t>Wall Street Prep, Inc.:</t>
        </r>
        <r>
          <rPr>
            <sz val="8"/>
            <color indexed="81"/>
            <rFont val="Tahoma"/>
            <family val="2"/>
          </rPr>
          <t xml:space="preserve">
Restructuring activities footnote p.19. Colgate 2006 10K</t>
        </r>
      </text>
    </comment>
    <comment ref="L8" authorId="0" shapeId="0" xr:uid="{00000000-0006-0000-0400-000002000000}">
      <text>
        <r>
          <rPr>
            <b/>
            <sz val="8"/>
            <color indexed="81"/>
            <rFont val="Tahoma"/>
            <family val="2"/>
          </rPr>
          <t>Wall Street Prep, Inc.:</t>
        </r>
        <r>
          <rPr>
            <sz val="8"/>
            <color indexed="81"/>
            <rFont val="Tahoma"/>
            <family val="2"/>
          </rPr>
          <t xml:space="preserve">
Restructuring activities footnote p.19. Colgate 2006 10K</t>
        </r>
      </text>
    </comment>
    <comment ref="M8" authorId="0" shapeId="0" xr:uid="{00000000-0006-0000-0400-000003000000}">
      <text>
        <r>
          <rPr>
            <b/>
            <sz val="8"/>
            <color indexed="81"/>
            <rFont val="Tahoma"/>
            <family val="2"/>
          </rPr>
          <t>Wall Street Prep, Inc.:</t>
        </r>
        <r>
          <rPr>
            <sz val="8"/>
            <color indexed="81"/>
            <rFont val="Tahoma"/>
            <family val="2"/>
          </rPr>
          <t xml:space="preserve">
Restructuring activities footnote p.19. Colgate 2006 10K</t>
        </r>
      </text>
    </comment>
    <comment ref="K9" authorId="0" shapeId="0" xr:uid="{00000000-0006-0000-0400-000004000000}">
      <text>
        <r>
          <rPr>
            <b/>
            <sz val="8"/>
            <color indexed="81"/>
            <rFont val="Tahoma"/>
            <family val="2"/>
          </rPr>
          <t>Wall Street Prep, Inc.:</t>
        </r>
        <r>
          <rPr>
            <sz val="8"/>
            <color indexed="81"/>
            <rFont val="Tahoma"/>
            <family val="2"/>
          </rPr>
          <t xml:space="preserve">
After-tax nonrecurring items in </t>
        </r>
        <r>
          <rPr>
            <b/>
            <sz val="8"/>
            <color indexed="81"/>
            <rFont val="Tahoma"/>
            <family val="2"/>
          </rPr>
          <t>SG&amp;A</t>
        </r>
        <r>
          <rPr>
            <sz val="8"/>
            <color indexed="81"/>
            <rFont val="Tahoma"/>
            <family val="2"/>
          </rPr>
          <t xml:space="preserve"> comprised of:
Restructuring plan  expenses. Source p.19 Colgate 2006 10K
After-tax nonrecurring items in </t>
        </r>
        <r>
          <rPr>
            <b/>
            <sz val="8"/>
            <color indexed="81"/>
            <rFont val="Tahoma"/>
            <family val="2"/>
          </rPr>
          <t>Other</t>
        </r>
        <r>
          <rPr>
            <sz val="8"/>
            <color indexed="81"/>
            <rFont val="Tahoma"/>
            <family val="2"/>
          </rPr>
          <t xml:space="preserve"> comprised of:
Restructuring plan  expenses. Source p.19.
Minority interest (removed and explicitly identified in the model)
Equity in affiliates (removed and explicitly identified in the model), 
Gains on sale of non-core products
Source: p. 13
Including pretax stock option expense to be apples-to-apples with FAS123R. p.52. Used CL's effective tax rate per p. 61 to convert aftertax stk option expense to pretax.</t>
        </r>
      </text>
    </comment>
    <comment ref="L9" authorId="0" shapeId="0" xr:uid="{00000000-0006-0000-0400-000005000000}">
      <text>
        <r>
          <rPr>
            <b/>
            <sz val="8"/>
            <color indexed="81"/>
            <rFont val="Tahoma"/>
            <family val="2"/>
          </rPr>
          <t>Wall Street Prep, Inc.:</t>
        </r>
        <r>
          <rPr>
            <sz val="8"/>
            <color indexed="81"/>
            <rFont val="Tahoma"/>
            <family val="2"/>
          </rPr>
          <t xml:space="preserve">
After-tax nonrecurring items in </t>
        </r>
        <r>
          <rPr>
            <b/>
            <sz val="8"/>
            <color indexed="81"/>
            <rFont val="Tahoma"/>
            <family val="2"/>
          </rPr>
          <t>SG&amp;A</t>
        </r>
        <r>
          <rPr>
            <sz val="8"/>
            <color indexed="81"/>
            <rFont val="Tahoma"/>
            <family val="2"/>
          </rPr>
          <t xml:space="preserve"> comprised of:
Restructuring plan  expenses. Source p.19 Colgate 2006 10K
After-tax nonrecurring items in </t>
        </r>
        <r>
          <rPr>
            <b/>
            <sz val="8"/>
            <color indexed="81"/>
            <rFont val="Tahoma"/>
            <family val="2"/>
          </rPr>
          <t>Other</t>
        </r>
        <r>
          <rPr>
            <sz val="8"/>
            <color indexed="81"/>
            <rFont val="Tahoma"/>
            <family val="2"/>
          </rPr>
          <t xml:space="preserve"> comprised of:
Restructuring plan expenses. Source p.19.
Minority interest (removed and explicitly identified in the model)
Equity in affiliates (removed and explicitly identified in the model), 
Gains on sale of non-core products
Incremental pension expense 
Source: p. 13
Including pretax stock option expense to be apples-to-apples with FAS123R. p.52. Used CL's effective tax rate per p. 61 to convert aftertax stk option expense to pretax.</t>
        </r>
      </text>
    </comment>
    <comment ref="M9" authorId="0" shapeId="0" xr:uid="{00000000-0006-0000-0400-000006000000}">
      <text>
        <r>
          <rPr>
            <b/>
            <sz val="8"/>
            <color indexed="81"/>
            <rFont val="Tahoma"/>
            <family val="2"/>
          </rPr>
          <t>Wall Street Prep, Inc.:</t>
        </r>
        <r>
          <rPr>
            <sz val="8"/>
            <color indexed="81"/>
            <rFont val="Tahoma"/>
            <family val="2"/>
          </rPr>
          <t xml:space="preserve">
After-tax nonrecurring items in </t>
        </r>
        <r>
          <rPr>
            <b/>
            <sz val="8"/>
            <color indexed="81"/>
            <rFont val="Tahoma"/>
            <family val="2"/>
          </rPr>
          <t>SG&amp;A</t>
        </r>
        <r>
          <rPr>
            <sz val="8"/>
            <color indexed="81"/>
            <rFont val="Tahoma"/>
            <family val="2"/>
          </rPr>
          <t xml:space="preserve"> comprised of:
Restructuring plan  expenses. Source p.19 Colgate 2006 10K
After-tax nonrecurring items in </t>
        </r>
        <r>
          <rPr>
            <b/>
            <sz val="8"/>
            <color indexed="81"/>
            <rFont val="Tahoma"/>
            <family val="2"/>
          </rPr>
          <t>Other</t>
        </r>
        <r>
          <rPr>
            <sz val="8"/>
            <color indexed="81"/>
            <rFont val="Tahoma"/>
            <family val="2"/>
          </rPr>
          <t xml:space="preserve"> comprised of:
Restructuring plan  expenses. Source p.19.
Minority interest (removed and explicitly identified in the model)
Equity in affiliates (removed and explicitly identified in the model), Gains on sale of non-core products
Source: p. 13</t>
        </r>
      </text>
    </comment>
    <comment ref="K12" authorId="0" shapeId="0" xr:uid="{00000000-0006-0000-0400-000007000000}">
      <text>
        <r>
          <rPr>
            <b/>
            <sz val="8"/>
            <color indexed="81"/>
            <rFont val="Tahoma"/>
            <family val="2"/>
          </rPr>
          <t>Wall Street Prep, Inc.:</t>
        </r>
        <r>
          <rPr>
            <sz val="8"/>
            <color indexed="81"/>
            <rFont val="Tahoma"/>
            <family val="2"/>
          </rPr>
          <t xml:space="preserve">
Since after-tax impact of restructuring plan  disclosed in aggregate on p.19, I allocated to expense categories by taking weighted averages based on pretax allocations. </t>
        </r>
      </text>
    </comment>
    <comment ref="L12" authorId="0" shapeId="0" xr:uid="{00000000-0006-0000-0400-000008000000}">
      <text>
        <r>
          <rPr>
            <b/>
            <sz val="8"/>
            <color indexed="81"/>
            <rFont val="Tahoma"/>
            <family val="2"/>
          </rPr>
          <t>Wall Street Prep, Inc.:</t>
        </r>
        <r>
          <rPr>
            <sz val="8"/>
            <color indexed="81"/>
            <rFont val="Tahoma"/>
            <family val="2"/>
          </rPr>
          <t xml:space="preserve">
Since after-tax impact of restructuring plan  disclosed in aggregate on p.19, I allocated to expense categories by taking weighted averages based on pretax allocations. </t>
        </r>
      </text>
    </comment>
    <comment ref="M12" authorId="0" shapeId="0" xr:uid="{00000000-0006-0000-0400-000009000000}">
      <text>
        <r>
          <rPr>
            <b/>
            <sz val="8"/>
            <color indexed="81"/>
            <rFont val="Tahoma"/>
            <family val="2"/>
          </rPr>
          <t>Wall Street Prep, Inc.:</t>
        </r>
        <r>
          <rPr>
            <sz val="8"/>
            <color indexed="81"/>
            <rFont val="Tahoma"/>
            <family val="2"/>
          </rPr>
          <t xml:space="preserve">
Since after-tax impact of restructuring plan  disclosed in aggregate on p.19, I allocated to expense categories by taking weighted averages based on pretax allocations. </t>
        </r>
      </text>
    </comment>
    <comment ref="K13" authorId="0" shapeId="0" xr:uid="{00000000-0006-0000-0400-00000A000000}">
      <text>
        <r>
          <rPr>
            <b/>
            <sz val="8"/>
            <color indexed="81"/>
            <rFont val="Tahoma"/>
            <family val="2"/>
          </rPr>
          <t>Wall Street Prep, Inc.:</t>
        </r>
        <r>
          <rPr>
            <sz val="8"/>
            <color indexed="81"/>
            <rFont val="Tahoma"/>
            <family val="2"/>
          </rPr>
          <t xml:space="preserve">
Since impact of restructuring plan  disclosed in aggregate on p.19, I allocated to expense categories by taking weighted averages. 
Includes aftertax gain on sale (p.15)
minority interest and equity in affiliates tax-effected at company's effective tax rate p. 14.
Including stock option expense (will reduce recurring net income) in order to be apples-to-apples with FAS123 presentation going forward.</t>
        </r>
      </text>
    </comment>
    <comment ref="L13" authorId="0" shapeId="0" xr:uid="{00000000-0006-0000-0400-00000B000000}">
      <text>
        <r>
          <rPr>
            <b/>
            <sz val="8"/>
            <color indexed="81"/>
            <rFont val="Tahoma"/>
            <family val="2"/>
          </rPr>
          <t>Wall Street Prep, Inc.:</t>
        </r>
        <r>
          <rPr>
            <sz val="8"/>
            <color indexed="81"/>
            <rFont val="Tahoma"/>
            <family val="2"/>
          </rPr>
          <t xml:space="preserve">
Since impact of restructuring plan  disclosed in aggregate on p.19, I allocated to expense categories by taking weighted averages. 
Includes aftertax gain on sale (p.15)
minority interest and equity in affiliates tax-effected at company's effective tax rate p. 14.
Including stock option expense (will reduce recurring net income) in order to be apples-to-apples with FAS123 presentation going forward.p.52.</t>
        </r>
      </text>
    </comment>
    <comment ref="M13" authorId="0" shapeId="0" xr:uid="{00000000-0006-0000-0400-00000C000000}">
      <text>
        <r>
          <rPr>
            <b/>
            <sz val="8"/>
            <color indexed="81"/>
            <rFont val="Tahoma"/>
            <family val="2"/>
          </rPr>
          <t>Wall Street Prep, Inc.:</t>
        </r>
        <r>
          <rPr>
            <sz val="8"/>
            <color indexed="81"/>
            <rFont val="Tahoma"/>
            <family val="2"/>
          </rPr>
          <t xml:space="preserve">
Since impact of restructuring plan  disclosed in aggregate on p.19, I allocated to expense categories by taking weighted averages. 
Includes aftertax gain on sale (p.15)
minority interest and equity in affiliates tax-effected at company's effective tax rate p. 14.</t>
        </r>
      </text>
    </comment>
    <comment ref="F31" authorId="0" shapeId="0" xr:uid="{00000000-0006-0000-0400-00000D000000}">
      <text>
        <r>
          <rPr>
            <b/>
            <sz val="8"/>
            <color indexed="81"/>
            <rFont val="Tahoma"/>
            <family val="2"/>
          </rPr>
          <t>Wall Street Prep, Inc.:</t>
        </r>
        <r>
          <rPr>
            <sz val="8"/>
            <color indexed="81"/>
            <rFont val="Tahoma"/>
            <family val="2"/>
          </rPr>
          <t xml:space="preserve">
Note: 2006 stock option expense was 69.8/48.1 pre/afterttax  p.52.</t>
        </r>
      </text>
    </comment>
    <comment ref="E155" authorId="0" shapeId="0" xr:uid="{00000000-0006-0000-0400-00000E000000}">
      <text>
        <r>
          <rPr>
            <b/>
            <sz val="8"/>
            <color indexed="81"/>
            <rFont val="Tahoma"/>
            <family val="2"/>
          </rPr>
          <t>Wall Street Prep, Inc.:</t>
        </r>
        <r>
          <rPr>
            <sz val="8"/>
            <color indexed="81"/>
            <rFont val="Tahoma"/>
            <family val="2"/>
          </rPr>
          <t xml:space="preserve">
CL 2006 10K p. 13</t>
        </r>
      </text>
    </comment>
    <comment ref="F155" authorId="0" shapeId="0" xr:uid="{00000000-0006-0000-0400-00000F000000}">
      <text>
        <r>
          <rPr>
            <b/>
            <sz val="8"/>
            <color indexed="81"/>
            <rFont val="Tahoma"/>
            <family val="2"/>
          </rPr>
          <t>Wall Street Prep, Inc.:</t>
        </r>
        <r>
          <rPr>
            <sz val="8"/>
            <color indexed="81"/>
            <rFont val="Tahoma"/>
            <family val="2"/>
          </rPr>
          <t xml:space="preserve">
CL 2006 10K p. 13</t>
        </r>
      </text>
    </comment>
    <comment ref="G155" authorId="1" shapeId="0" xr:uid="{00000000-0006-0000-0400-000010000000}">
      <text>
        <r>
          <rPr>
            <b/>
            <sz val="8"/>
            <color indexed="81"/>
            <rFont val="Tahoma"/>
            <family val="2"/>
          </rPr>
          <t>Wall Street Prep:</t>
        </r>
        <r>
          <rPr>
            <sz val="8"/>
            <color indexed="81"/>
            <rFont val="Tahoma"/>
            <family val="2"/>
          </rPr>
          <t xml:space="preserve">
Colgate 2006 10K, P.48</t>
        </r>
      </text>
    </comment>
    <comment ref="H155" authorId="1" shapeId="0" xr:uid="{00000000-0006-0000-0400-000011000000}">
      <text>
        <r>
          <rPr>
            <b/>
            <sz val="8"/>
            <color indexed="81"/>
            <rFont val="Tahoma"/>
            <family val="2"/>
          </rPr>
          <t>Matan Feldman:</t>
        </r>
        <r>
          <rPr>
            <sz val="8"/>
            <color indexed="81"/>
            <rFont val="Tahoma"/>
            <family val="2"/>
          </rPr>
          <t xml:space="preserve">
Colgate 2006 10K, P.48</t>
        </r>
      </text>
    </comment>
    <comment ref="I155" authorId="1" shapeId="0" xr:uid="{00000000-0006-0000-0400-000012000000}">
      <text>
        <r>
          <rPr>
            <b/>
            <sz val="8"/>
            <color indexed="81"/>
            <rFont val="Tahoma"/>
            <family val="2"/>
          </rPr>
          <t>Matan Feldman:</t>
        </r>
        <r>
          <rPr>
            <sz val="8"/>
            <color indexed="81"/>
            <rFont val="Tahoma"/>
            <family val="2"/>
          </rPr>
          <t xml:space="preserve">
Colgate 2006 10K, P.48</t>
        </r>
      </text>
    </comment>
    <comment ref="J155" authorId="1" shapeId="0" xr:uid="{00000000-0006-0000-0400-000013000000}">
      <text>
        <r>
          <rPr>
            <b/>
            <sz val="8"/>
            <color indexed="81"/>
            <rFont val="Tahoma"/>
            <family val="2"/>
          </rPr>
          <t>Matan Feldman:</t>
        </r>
        <r>
          <rPr>
            <sz val="8"/>
            <color indexed="81"/>
            <rFont val="Tahoma"/>
            <family val="2"/>
          </rPr>
          <t xml:space="preserve">
Colgate 2006 10K, P.48</t>
        </r>
      </text>
    </comment>
    <comment ref="K155" authorId="1" shapeId="0" xr:uid="{00000000-0006-0000-0400-000014000000}">
      <text>
        <r>
          <rPr>
            <b/>
            <sz val="8"/>
            <color indexed="81"/>
            <rFont val="Tahoma"/>
            <family val="2"/>
          </rPr>
          <t>Matan Feldman:</t>
        </r>
        <r>
          <rPr>
            <sz val="8"/>
            <color indexed="81"/>
            <rFont val="Tahoma"/>
            <family val="2"/>
          </rPr>
          <t xml:space="preserve">
Colgate 2006 10K, P.48</t>
        </r>
      </text>
    </comment>
    <comment ref="E159" authorId="0" shapeId="0" xr:uid="{00000000-0006-0000-0400-000015000000}">
      <text>
        <r>
          <rPr>
            <b/>
            <sz val="8"/>
            <color indexed="81"/>
            <rFont val="Tahoma"/>
            <family val="2"/>
          </rPr>
          <t>Wall Street Prep, Inc.:</t>
        </r>
        <r>
          <rPr>
            <sz val="8"/>
            <color indexed="81"/>
            <rFont val="Tahoma"/>
            <family val="2"/>
          </rPr>
          <t xml:space="preserve">
CL 2006 10K Cash flow statement</t>
        </r>
      </text>
    </comment>
    <comment ref="F159" authorId="0" shapeId="0" xr:uid="{00000000-0006-0000-0400-000016000000}">
      <text>
        <r>
          <rPr>
            <b/>
            <sz val="8"/>
            <color indexed="81"/>
            <rFont val="Tahoma"/>
            <family val="2"/>
          </rPr>
          <t>Wall Street Prep, Inc.:</t>
        </r>
        <r>
          <rPr>
            <sz val="8"/>
            <color indexed="81"/>
            <rFont val="Tahoma"/>
            <family val="2"/>
          </rPr>
          <t xml:space="preserve">
CL 2006 10K Cash flow statement</t>
        </r>
      </text>
    </comment>
    <comment ref="E165" authorId="2" shapeId="0" xr:uid="{00000000-0006-0000-0400-000017000000}">
      <text>
        <r>
          <rPr>
            <b/>
            <sz val="8"/>
            <color indexed="81"/>
            <rFont val="Tahoma"/>
            <family val="2"/>
          </rPr>
          <t>Wall Street Prep, LLC:</t>
        </r>
        <r>
          <rPr>
            <sz val="8"/>
            <color indexed="81"/>
            <rFont val="Tahoma"/>
            <family val="2"/>
          </rPr>
          <t xml:space="preserve">
PG 10K Statement of shareholders equity</t>
        </r>
      </text>
    </comment>
    <comment ref="F165" authorId="2" shapeId="0" xr:uid="{00000000-0006-0000-0400-000018000000}">
      <text>
        <r>
          <rPr>
            <b/>
            <sz val="8"/>
            <color indexed="81"/>
            <rFont val="Tahoma"/>
            <family val="2"/>
          </rPr>
          <t>Wall Street Prep, LLC:</t>
        </r>
        <r>
          <rPr>
            <sz val="8"/>
            <color indexed="81"/>
            <rFont val="Tahoma"/>
            <family val="2"/>
          </rPr>
          <t xml:space="preserve">
PG 10K Statement of shareholders equity</t>
        </r>
      </text>
    </comment>
    <comment ref="G165" authorId="0" shapeId="0" xr:uid="{00000000-0006-0000-0400-000019000000}">
      <text>
        <r>
          <rPr>
            <b/>
            <sz val="8"/>
            <color indexed="81"/>
            <rFont val="Tahoma"/>
            <family val="2"/>
          </rPr>
          <t>Wall Street Prep, Inc.:</t>
        </r>
        <r>
          <rPr>
            <sz val="8"/>
            <color indexed="81"/>
            <rFont val="Tahoma"/>
            <family val="2"/>
          </rPr>
          <t xml:space="preserve">
Mgmt guided to approx. $850m in 2007 per CCT p.11</t>
        </r>
      </text>
    </comment>
    <comment ref="E166" authorId="2" shapeId="0" xr:uid="{00000000-0006-0000-0400-00001A000000}">
      <text>
        <r>
          <rPr>
            <b/>
            <sz val="8"/>
            <color indexed="81"/>
            <rFont val="Tahoma"/>
            <family val="2"/>
          </rPr>
          <t>Wall Street Prep, LLC:</t>
        </r>
        <r>
          <rPr>
            <sz val="8"/>
            <color indexed="81"/>
            <rFont val="Tahoma"/>
            <family val="2"/>
          </rPr>
          <t xml:space="preserve">
PG 10K Statement of shareholders equity</t>
        </r>
      </text>
    </comment>
    <comment ref="F166" authorId="2" shapeId="0" xr:uid="{00000000-0006-0000-0400-00001B000000}">
      <text>
        <r>
          <rPr>
            <b/>
            <sz val="8"/>
            <color indexed="81"/>
            <rFont val="Tahoma"/>
            <family val="2"/>
          </rPr>
          <t>Wall Street Prep, LLC:</t>
        </r>
        <r>
          <rPr>
            <sz val="8"/>
            <color indexed="81"/>
            <rFont val="Tahoma"/>
            <family val="2"/>
          </rPr>
          <t xml:space="preserve">
PG 10K Statement of shareholders equity</t>
        </r>
      </text>
    </comment>
    <comment ref="F167" authorId="2" shapeId="0" xr:uid="{00000000-0006-0000-0400-00001C000000}">
      <text>
        <r>
          <rPr>
            <b/>
            <sz val="8"/>
            <color indexed="81"/>
            <rFont val="Tahoma"/>
            <family val="2"/>
          </rPr>
          <t>Wall Street Prep, LLC:</t>
        </r>
        <r>
          <rPr>
            <sz val="8"/>
            <color indexed="81"/>
            <rFont val="Tahoma"/>
            <family val="2"/>
          </rPr>
          <t xml:space="preserve">
FY 2004 52 week average 
source: yahoo!finance</t>
        </r>
      </text>
    </comment>
    <comment ref="F171" authorId="0" shapeId="0" xr:uid="{00000000-0006-0000-0400-00001D000000}">
      <text>
        <r>
          <rPr>
            <b/>
            <sz val="8"/>
            <color indexed="81"/>
            <rFont val="Tahoma"/>
            <family val="2"/>
          </rPr>
          <t>Wall Street Prep, Inc.:</t>
        </r>
        <r>
          <rPr>
            <sz val="8"/>
            <color indexed="81"/>
            <rFont val="Tahoma"/>
            <family val="2"/>
          </rPr>
          <t xml:space="preserve">
Front cover of CL 2006 10K</t>
        </r>
      </text>
    </comment>
    <comment ref="C177" authorId="0" shapeId="0" xr:uid="{00000000-0006-0000-0400-00001E000000}">
      <text>
        <r>
          <rPr>
            <b/>
            <sz val="8"/>
            <color indexed="81"/>
            <rFont val="Tahoma"/>
            <family val="2"/>
          </rPr>
          <t>Wall Street Prep, Inc.:</t>
        </r>
        <r>
          <rPr>
            <sz val="8"/>
            <color indexed="81"/>
            <rFont val="Tahoma"/>
            <family val="2"/>
          </rPr>
          <t xml:space="preserve">
Classified as cash from operations under US GAAP</t>
        </r>
      </text>
    </comment>
    <comment ref="C183" authorId="0" shapeId="0" xr:uid="{00000000-0006-0000-0400-00001F000000}">
      <text>
        <r>
          <rPr>
            <b/>
            <sz val="8"/>
            <color indexed="81"/>
            <rFont val="Tahoma"/>
            <family val="2"/>
          </rPr>
          <t>Wall Street Prep, Inc.:</t>
        </r>
        <r>
          <rPr>
            <sz val="8"/>
            <color indexed="81"/>
            <rFont val="Tahoma"/>
            <family val="2"/>
          </rPr>
          <t xml:space="preserve">
Classified as outflows from financing activities under US GAAP.</t>
        </r>
      </text>
    </comment>
    <comment ref="G226" authorId="2" shapeId="0" xr:uid="{00000000-0006-0000-0400-000020000000}">
      <text>
        <r>
          <rPr>
            <b/>
            <sz val="12"/>
            <color indexed="81"/>
            <rFont val="Tahoma"/>
            <family val="2"/>
          </rPr>
          <t xml:space="preserve">Wall Street Prep, LLC:
</t>
        </r>
        <r>
          <rPr>
            <sz val="12"/>
            <color indexed="81"/>
            <rFont val="Tahoma"/>
            <family val="2"/>
          </rPr>
          <t>CL 10K p. 49</t>
        </r>
        <r>
          <rPr>
            <sz val="14"/>
            <color indexed="81"/>
            <rFont val="Tahoma"/>
            <family val="2"/>
          </rPr>
          <t xml:space="preserve"> </t>
        </r>
      </text>
    </comment>
    <comment ref="H226" authorId="2" shapeId="0" xr:uid="{00000000-0006-0000-0400-000021000000}">
      <text>
        <r>
          <rPr>
            <b/>
            <sz val="14"/>
            <color indexed="81"/>
            <rFont val="Tahoma"/>
            <family val="2"/>
          </rPr>
          <t xml:space="preserve">Wall Street Prep, LLC:
</t>
        </r>
        <r>
          <rPr>
            <sz val="14"/>
            <color indexed="81"/>
            <rFont val="Tahoma"/>
            <family val="2"/>
          </rPr>
          <t xml:space="preserve">CL 10K p. 49 </t>
        </r>
      </text>
    </comment>
    <comment ref="I226" authorId="2" shapeId="0" xr:uid="{00000000-0006-0000-0400-000022000000}">
      <text>
        <r>
          <rPr>
            <b/>
            <sz val="14"/>
            <color indexed="81"/>
            <rFont val="Tahoma"/>
            <family val="2"/>
          </rPr>
          <t xml:space="preserve">Wall Street Prep, LLC:
</t>
        </r>
        <r>
          <rPr>
            <sz val="14"/>
            <color indexed="81"/>
            <rFont val="Tahoma"/>
            <family val="2"/>
          </rPr>
          <t xml:space="preserve">CL 10K p. 49 </t>
        </r>
      </text>
    </comment>
    <comment ref="J226" authorId="2" shapeId="0" xr:uid="{00000000-0006-0000-0400-000023000000}">
      <text>
        <r>
          <rPr>
            <b/>
            <sz val="14"/>
            <color indexed="81"/>
            <rFont val="Tahoma"/>
            <family val="2"/>
          </rPr>
          <t xml:space="preserve">Wall Street Prep, LLC:
</t>
        </r>
        <r>
          <rPr>
            <sz val="14"/>
            <color indexed="81"/>
            <rFont val="Tahoma"/>
            <family val="2"/>
          </rPr>
          <t xml:space="preserve">CL 10K p. 49 </t>
        </r>
      </text>
    </comment>
    <comment ref="C255" authorId="1" shapeId="0" xr:uid="{00000000-0006-0000-0400-000024000000}">
      <text>
        <r>
          <rPr>
            <b/>
            <sz val="8"/>
            <color indexed="81"/>
            <rFont val="Tahoma"/>
            <family val="2"/>
          </rPr>
          <t>Matan Feldman:</t>
        </r>
        <r>
          <rPr>
            <sz val="8"/>
            <color indexed="81"/>
            <rFont val="Tahoma"/>
            <family val="2"/>
          </rPr>
          <t xml:space="preserve">
Book value of debt is used as proxy for market value</t>
        </r>
      </text>
    </comment>
    <comment ref="C270" authorId="2" shapeId="0" xr:uid="{00000000-0006-0000-0400-000025000000}">
      <text>
        <r>
          <rPr>
            <b/>
            <sz val="8"/>
            <color indexed="81"/>
            <rFont val="Tahoma"/>
            <family val="2"/>
          </rPr>
          <t>Wall Street Prep, LLC:</t>
        </r>
        <r>
          <rPr>
            <sz val="8"/>
            <color indexed="81"/>
            <rFont val="Tahoma"/>
            <family val="2"/>
          </rPr>
          <t xml:space="preserve">
Analysts should consider adjusting accounting treatement of operating leases, R&amp;D expenses, advertising, non-recurring items in calculating return on capital.  Model makes no adjustments by default.</t>
        </r>
      </text>
    </comment>
    <comment ref="G284" authorId="0" shapeId="0" xr:uid="{00000000-0006-0000-0400-000026000000}">
      <text>
        <r>
          <rPr>
            <b/>
            <sz val="8"/>
            <color indexed="81"/>
            <rFont val="Tahoma"/>
            <family val="2"/>
          </rPr>
          <t>Wall Street Prep, Inc.:</t>
        </r>
        <r>
          <rPr>
            <sz val="8"/>
            <color indexed="81"/>
            <rFont val="Tahoma"/>
            <family val="2"/>
          </rPr>
          <t xml:space="preserve">
MS Research 1/30/07.</t>
        </r>
      </text>
    </comment>
    <comment ref="H284" authorId="0" shapeId="0" xr:uid="{00000000-0006-0000-0400-000027000000}">
      <text>
        <r>
          <rPr>
            <b/>
            <sz val="8"/>
            <color indexed="81"/>
            <rFont val="Tahoma"/>
            <family val="2"/>
          </rPr>
          <t>Wall Street Prep, Inc.:</t>
        </r>
        <r>
          <rPr>
            <sz val="8"/>
            <color indexed="81"/>
            <rFont val="Tahoma"/>
            <family val="2"/>
          </rPr>
          <t xml:space="preserve">
MS Research 1/30/07.</t>
        </r>
      </text>
    </comment>
    <comment ref="I284" authorId="0" shapeId="0" xr:uid="{00000000-0006-0000-0400-000028000000}">
      <text>
        <r>
          <rPr>
            <b/>
            <sz val="8"/>
            <color indexed="81"/>
            <rFont val="Tahoma"/>
            <family val="2"/>
          </rPr>
          <t>Wall Street Prep, Inc.:</t>
        </r>
        <r>
          <rPr>
            <sz val="8"/>
            <color indexed="81"/>
            <rFont val="Tahoma"/>
            <family val="2"/>
          </rPr>
          <t xml:space="preserve">
MS Research 1/30/07.</t>
        </r>
      </text>
    </comment>
    <comment ref="J284" authorId="0" shapeId="0" xr:uid="{00000000-0006-0000-0400-000029000000}">
      <text>
        <r>
          <rPr>
            <b/>
            <sz val="8"/>
            <color indexed="81"/>
            <rFont val="Tahoma"/>
            <family val="2"/>
          </rPr>
          <t>Wall Street Prep, Inc.:</t>
        </r>
        <r>
          <rPr>
            <sz val="8"/>
            <color indexed="81"/>
            <rFont val="Tahoma"/>
            <family val="2"/>
          </rPr>
          <t xml:space="preserve">
MS Research 1/30/07.</t>
        </r>
      </text>
    </comment>
    <comment ref="K284" authorId="0" shapeId="0" xr:uid="{00000000-0006-0000-0400-00002A000000}">
      <text>
        <r>
          <rPr>
            <b/>
            <sz val="8"/>
            <color indexed="81"/>
            <rFont val="Tahoma"/>
            <family val="2"/>
          </rPr>
          <t>Wall Street Prep, Inc.:</t>
        </r>
        <r>
          <rPr>
            <sz val="8"/>
            <color indexed="81"/>
            <rFont val="Tahoma"/>
            <family val="2"/>
          </rPr>
          <t xml:space="preserve">
MS Research 1/30/07.</t>
        </r>
      </text>
    </comment>
    <comment ref="L284" authorId="0" shapeId="0" xr:uid="{00000000-0006-0000-0400-00002B000000}">
      <text>
        <r>
          <rPr>
            <b/>
            <sz val="8"/>
            <color indexed="81"/>
            <rFont val="Tahoma"/>
            <family val="2"/>
          </rPr>
          <t>Wall Street Prep, Inc.:</t>
        </r>
        <r>
          <rPr>
            <sz val="8"/>
            <color indexed="81"/>
            <rFont val="Tahoma"/>
            <family val="2"/>
          </rPr>
          <t xml:space="preserve">
MS Research 1/30/07.</t>
        </r>
      </text>
    </comment>
    <comment ref="M284" authorId="0" shapeId="0" xr:uid="{00000000-0006-0000-0400-00002C000000}">
      <text>
        <r>
          <rPr>
            <b/>
            <sz val="8"/>
            <color indexed="81"/>
            <rFont val="Tahoma"/>
            <family val="2"/>
          </rPr>
          <t>Wall Street Prep, Inc.:</t>
        </r>
        <r>
          <rPr>
            <sz val="8"/>
            <color indexed="81"/>
            <rFont val="Tahoma"/>
            <family val="2"/>
          </rPr>
          <t xml:space="preserve">
MS Research 1/30/07.</t>
        </r>
      </text>
    </comment>
    <comment ref="N284" authorId="0" shapeId="0" xr:uid="{00000000-0006-0000-0400-00002D000000}">
      <text>
        <r>
          <rPr>
            <b/>
            <sz val="8"/>
            <color indexed="81"/>
            <rFont val="Tahoma"/>
            <family val="2"/>
          </rPr>
          <t>Wall Street Prep, Inc.:</t>
        </r>
        <r>
          <rPr>
            <sz val="8"/>
            <color indexed="81"/>
            <rFont val="Tahoma"/>
            <family val="2"/>
          </rPr>
          <t xml:space="preserve">
MS Research 1/30/07.</t>
        </r>
      </text>
    </comment>
    <comment ref="O284" authorId="0" shapeId="0" xr:uid="{00000000-0006-0000-0400-00002E000000}">
      <text>
        <r>
          <rPr>
            <b/>
            <sz val="8"/>
            <color indexed="81"/>
            <rFont val="Tahoma"/>
            <family val="2"/>
          </rPr>
          <t>Wall Street Prep, Inc.:</t>
        </r>
        <r>
          <rPr>
            <sz val="8"/>
            <color indexed="81"/>
            <rFont val="Tahoma"/>
            <family val="2"/>
          </rPr>
          <t xml:space="preserve">
MS Research 1/30/07.</t>
        </r>
      </text>
    </comment>
    <comment ref="G289" authorId="0" shapeId="0" xr:uid="{00000000-0006-0000-0400-00002F000000}">
      <text>
        <r>
          <rPr>
            <b/>
            <sz val="8"/>
            <color indexed="81"/>
            <rFont val="Tahoma"/>
            <family val="2"/>
          </rPr>
          <t>Wall Street Prep, Inc.:</t>
        </r>
        <r>
          <rPr>
            <sz val="8"/>
            <color indexed="81"/>
            <rFont val="Tahoma"/>
            <family val="2"/>
          </rPr>
          <t xml:space="preserve">
MS Research 1/30/07.</t>
        </r>
      </text>
    </comment>
    <comment ref="H289" authorId="0" shapeId="0" xr:uid="{00000000-0006-0000-0400-000030000000}">
      <text>
        <r>
          <rPr>
            <b/>
            <sz val="8"/>
            <color indexed="81"/>
            <rFont val="Tahoma"/>
            <family val="2"/>
          </rPr>
          <t>Wall Street Prep, Inc.:</t>
        </r>
        <r>
          <rPr>
            <sz val="8"/>
            <color indexed="81"/>
            <rFont val="Tahoma"/>
            <family val="2"/>
          </rPr>
          <t xml:space="preserve">
MS Research 1/30/07.</t>
        </r>
      </text>
    </comment>
    <comment ref="I289" authorId="0" shapeId="0" xr:uid="{00000000-0006-0000-0400-000031000000}">
      <text>
        <r>
          <rPr>
            <b/>
            <sz val="8"/>
            <color indexed="81"/>
            <rFont val="Tahoma"/>
            <family val="2"/>
          </rPr>
          <t>Wall Street Prep, Inc.:</t>
        </r>
        <r>
          <rPr>
            <sz val="8"/>
            <color indexed="81"/>
            <rFont val="Tahoma"/>
            <family val="2"/>
          </rPr>
          <t xml:space="preserve">
MS Research 1/30/07.</t>
        </r>
      </text>
    </comment>
    <comment ref="J289" authorId="0" shapeId="0" xr:uid="{00000000-0006-0000-0400-000032000000}">
      <text>
        <r>
          <rPr>
            <b/>
            <sz val="8"/>
            <color indexed="81"/>
            <rFont val="Tahoma"/>
            <family val="2"/>
          </rPr>
          <t>Wall Street Prep, Inc.:</t>
        </r>
        <r>
          <rPr>
            <sz val="8"/>
            <color indexed="81"/>
            <rFont val="Tahoma"/>
            <family val="2"/>
          </rPr>
          <t xml:space="preserve">
MS Research 1/30/07.</t>
        </r>
      </text>
    </comment>
    <comment ref="K289" authorId="0" shapeId="0" xr:uid="{00000000-0006-0000-0400-000033000000}">
      <text>
        <r>
          <rPr>
            <b/>
            <sz val="8"/>
            <color indexed="81"/>
            <rFont val="Tahoma"/>
            <family val="2"/>
          </rPr>
          <t>Wall Street Prep, Inc.:</t>
        </r>
        <r>
          <rPr>
            <sz val="8"/>
            <color indexed="81"/>
            <rFont val="Tahoma"/>
            <family val="2"/>
          </rPr>
          <t xml:space="preserve">
MS Research 1/30/07.</t>
        </r>
      </text>
    </comment>
    <comment ref="L289" authorId="0" shapeId="0" xr:uid="{00000000-0006-0000-0400-000034000000}">
      <text>
        <r>
          <rPr>
            <b/>
            <sz val="8"/>
            <color indexed="81"/>
            <rFont val="Tahoma"/>
            <family val="2"/>
          </rPr>
          <t>Wall Street Prep, Inc.:</t>
        </r>
        <r>
          <rPr>
            <sz val="8"/>
            <color indexed="81"/>
            <rFont val="Tahoma"/>
            <family val="2"/>
          </rPr>
          <t xml:space="preserve">
MS Research 1/30/07.</t>
        </r>
      </text>
    </comment>
    <comment ref="M289" authorId="0" shapeId="0" xr:uid="{00000000-0006-0000-0400-000035000000}">
      <text>
        <r>
          <rPr>
            <b/>
            <sz val="8"/>
            <color indexed="81"/>
            <rFont val="Tahoma"/>
            <family val="2"/>
          </rPr>
          <t>Wall Street Prep, Inc.:</t>
        </r>
        <r>
          <rPr>
            <sz val="8"/>
            <color indexed="81"/>
            <rFont val="Tahoma"/>
            <family val="2"/>
          </rPr>
          <t xml:space="preserve">
MS Research 1/30/07.</t>
        </r>
      </text>
    </comment>
    <comment ref="N289" authorId="0" shapeId="0" xr:uid="{00000000-0006-0000-0400-000036000000}">
      <text>
        <r>
          <rPr>
            <b/>
            <sz val="8"/>
            <color indexed="81"/>
            <rFont val="Tahoma"/>
            <family val="2"/>
          </rPr>
          <t>Wall Street Prep, Inc.:</t>
        </r>
        <r>
          <rPr>
            <sz val="8"/>
            <color indexed="81"/>
            <rFont val="Tahoma"/>
            <family val="2"/>
          </rPr>
          <t xml:space="preserve">
MS Research 1/30/07.</t>
        </r>
      </text>
    </comment>
    <comment ref="O289" authorId="0" shapeId="0" xr:uid="{00000000-0006-0000-0400-000037000000}">
      <text>
        <r>
          <rPr>
            <b/>
            <sz val="8"/>
            <color indexed="81"/>
            <rFont val="Tahoma"/>
            <family val="2"/>
          </rPr>
          <t>Wall Street Prep, Inc.:</t>
        </r>
        <r>
          <rPr>
            <sz val="8"/>
            <color indexed="81"/>
            <rFont val="Tahoma"/>
            <family val="2"/>
          </rPr>
          <t xml:space="preserve">
MS Research 1/30/07.</t>
        </r>
      </text>
    </comment>
    <comment ref="G294" authorId="0" shapeId="0" xr:uid="{00000000-0006-0000-0400-000038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H294" authorId="0" shapeId="0" xr:uid="{00000000-0006-0000-0400-000039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I294" authorId="0" shapeId="0" xr:uid="{00000000-0006-0000-0400-00003A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J294" authorId="0" shapeId="0" xr:uid="{00000000-0006-0000-0400-00003B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K294" authorId="0" shapeId="0" xr:uid="{00000000-0006-0000-0400-00003C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L294" authorId="0" shapeId="0" xr:uid="{00000000-0006-0000-0400-00003D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M294" authorId="0" shapeId="0" xr:uid="{00000000-0006-0000-0400-00003E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N294" authorId="0" shapeId="0" xr:uid="{00000000-0006-0000-0400-00003F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O294" authorId="0" shapeId="0" xr:uid="{00000000-0006-0000-0400-000040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G304" authorId="2" shapeId="0" xr:uid="{00000000-0006-0000-0400-000041000000}">
      <text>
        <r>
          <rPr>
            <b/>
            <sz val="8"/>
            <color indexed="81"/>
            <rFont val="Tahoma"/>
            <family val="2"/>
          </rPr>
          <t>Wall Street Prep, LLC:</t>
        </r>
        <r>
          <rPr>
            <sz val="8"/>
            <color indexed="81"/>
            <rFont val="Tahoma"/>
            <family val="2"/>
          </rPr>
          <t xml:space="preserve">
5% of sales per CL 2006 10K p. 21</t>
        </r>
      </text>
    </comment>
    <comment ref="H304" authorId="2" shapeId="0" xr:uid="{00000000-0006-0000-0400-000042000000}">
      <text>
        <r>
          <rPr>
            <b/>
            <sz val="8"/>
            <color indexed="81"/>
            <rFont val="Tahoma"/>
            <family val="2"/>
          </rPr>
          <t>Wall Street Prep, LLC:</t>
        </r>
        <r>
          <rPr>
            <sz val="8"/>
            <color indexed="81"/>
            <rFont val="Tahoma"/>
            <family val="2"/>
          </rPr>
          <t xml:space="preserve">
5% of sales per CL 2006 10K p. 21</t>
        </r>
      </text>
    </comment>
    <comment ref="I304" authorId="2" shapeId="0" xr:uid="{00000000-0006-0000-0400-000043000000}">
      <text>
        <r>
          <rPr>
            <b/>
            <sz val="8"/>
            <color indexed="81"/>
            <rFont val="Tahoma"/>
            <family val="2"/>
          </rPr>
          <t>Wall Street Prep, LLC:</t>
        </r>
        <r>
          <rPr>
            <sz val="8"/>
            <color indexed="81"/>
            <rFont val="Tahoma"/>
            <family val="2"/>
          </rPr>
          <t xml:space="preserve">
5% of sales per CL 2006 10K p. 21</t>
        </r>
      </text>
    </comment>
    <comment ref="J304" authorId="2" shapeId="0" xr:uid="{00000000-0006-0000-0400-000044000000}">
      <text>
        <r>
          <rPr>
            <b/>
            <sz val="8"/>
            <color indexed="81"/>
            <rFont val="Tahoma"/>
            <family val="2"/>
          </rPr>
          <t>Wall Street Prep, LLC:</t>
        </r>
        <r>
          <rPr>
            <sz val="8"/>
            <color indexed="81"/>
            <rFont val="Tahoma"/>
            <family val="2"/>
          </rPr>
          <t xml:space="preserve">
5% of sales per CL 2006 10K p. 21</t>
        </r>
      </text>
    </comment>
    <comment ref="K304" authorId="2" shapeId="0" xr:uid="{00000000-0006-0000-0400-000045000000}">
      <text>
        <r>
          <rPr>
            <b/>
            <sz val="8"/>
            <color indexed="81"/>
            <rFont val="Tahoma"/>
            <family val="2"/>
          </rPr>
          <t>Wall Street Prep, LLC:</t>
        </r>
        <r>
          <rPr>
            <sz val="8"/>
            <color indexed="81"/>
            <rFont val="Tahoma"/>
            <family val="2"/>
          </rPr>
          <t xml:space="preserve">
5% of sales per CL 2006 10K p. 21</t>
        </r>
      </text>
    </comment>
    <comment ref="L304" authorId="2" shapeId="0" xr:uid="{00000000-0006-0000-0400-000046000000}">
      <text>
        <r>
          <rPr>
            <b/>
            <sz val="8"/>
            <color indexed="81"/>
            <rFont val="Tahoma"/>
            <family val="2"/>
          </rPr>
          <t>Wall Street Prep, LLC:</t>
        </r>
        <r>
          <rPr>
            <sz val="8"/>
            <color indexed="81"/>
            <rFont val="Tahoma"/>
            <family val="2"/>
          </rPr>
          <t xml:space="preserve">
5% of sales per CL 2006 10K p. 21</t>
        </r>
      </text>
    </comment>
    <comment ref="M304" authorId="2" shapeId="0" xr:uid="{00000000-0006-0000-0400-000047000000}">
      <text>
        <r>
          <rPr>
            <b/>
            <sz val="8"/>
            <color indexed="81"/>
            <rFont val="Tahoma"/>
            <family val="2"/>
          </rPr>
          <t>Wall Street Prep, LLC:</t>
        </r>
        <r>
          <rPr>
            <sz val="8"/>
            <color indexed="81"/>
            <rFont val="Tahoma"/>
            <family val="2"/>
          </rPr>
          <t xml:space="preserve">
5% of sales per CL 2006 10K p. 21</t>
        </r>
      </text>
    </comment>
    <comment ref="N304" authorId="2" shapeId="0" xr:uid="{00000000-0006-0000-0400-000048000000}">
      <text>
        <r>
          <rPr>
            <b/>
            <sz val="8"/>
            <color indexed="81"/>
            <rFont val="Tahoma"/>
            <family val="2"/>
          </rPr>
          <t>Wall Street Prep, LLC:</t>
        </r>
        <r>
          <rPr>
            <sz val="8"/>
            <color indexed="81"/>
            <rFont val="Tahoma"/>
            <family val="2"/>
          </rPr>
          <t xml:space="preserve">
5% of sales per CL 2006 10K p. 21</t>
        </r>
      </text>
    </comment>
    <comment ref="O304" authorId="2" shapeId="0" xr:uid="{00000000-0006-0000-0400-000049000000}">
      <text>
        <r>
          <rPr>
            <b/>
            <sz val="8"/>
            <color indexed="81"/>
            <rFont val="Tahoma"/>
            <family val="2"/>
          </rPr>
          <t>Wall Street Prep, LLC:</t>
        </r>
        <r>
          <rPr>
            <sz val="8"/>
            <color indexed="81"/>
            <rFont val="Tahoma"/>
            <family val="2"/>
          </rPr>
          <t xml:space="preserve">
5% of sales per CL 2006 10K p. 21</t>
        </r>
      </text>
    </comment>
    <comment ref="G309" authorId="2" shapeId="0" xr:uid="{00000000-0006-0000-0400-00004A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H309" authorId="2" shapeId="0" xr:uid="{00000000-0006-0000-0400-00004B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I309" authorId="2" shapeId="0" xr:uid="{00000000-0006-0000-0400-00004C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J309" authorId="2" shapeId="0" xr:uid="{00000000-0006-0000-0400-00004D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K309" authorId="2" shapeId="0" xr:uid="{00000000-0006-0000-0400-00004E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L309" authorId="2" shapeId="0" xr:uid="{00000000-0006-0000-0400-00004F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M309" authorId="2" shapeId="0" xr:uid="{00000000-0006-0000-0400-000050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N309" authorId="2" shapeId="0" xr:uid="{00000000-0006-0000-0400-000051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O309" authorId="2" shapeId="0" xr:uid="{00000000-0006-0000-0400-000052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G314" authorId="2" shapeId="0" xr:uid="{00000000-0006-0000-0400-000053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H314" authorId="2" shapeId="0" xr:uid="{00000000-0006-0000-0400-000054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I314" authorId="2" shapeId="0" xr:uid="{00000000-0006-0000-0400-000055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J314" authorId="2" shapeId="0" xr:uid="{00000000-0006-0000-0400-000056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K314" authorId="2" shapeId="0" xr:uid="{00000000-0006-0000-0400-000057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L314" authorId="2" shapeId="0" xr:uid="{00000000-0006-0000-0400-000058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M314" authorId="2" shapeId="0" xr:uid="{00000000-0006-0000-0400-000059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N314" authorId="2" shapeId="0" xr:uid="{00000000-0006-0000-0400-00005A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O314" authorId="2" shapeId="0" xr:uid="{00000000-0006-0000-0400-00005B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List>
</comments>
</file>

<file path=xl/sharedStrings.xml><?xml version="1.0" encoding="utf-8"?>
<sst xmlns="http://schemas.openxmlformats.org/spreadsheetml/2006/main" count="502" uniqueCount="343">
  <si>
    <t xml:space="preserve"> </t>
  </si>
  <si>
    <t>All figures in millions, except per share data</t>
  </si>
  <si>
    <t>Scenario selected:</t>
  </si>
  <si>
    <t>General assumptions</t>
  </si>
  <si>
    <t>Nonrecurring items</t>
  </si>
  <si>
    <t>Select scenario</t>
  </si>
  <si>
    <t>2</t>
  </si>
  <si>
    <t>Company Name</t>
  </si>
  <si>
    <t>Colgate</t>
  </si>
  <si>
    <t>Pre-tax</t>
  </si>
  <si>
    <t>Best case</t>
  </si>
  <si>
    <t>Latest Fiscal year end (mm/dd/yy)</t>
  </si>
  <si>
    <t>Nonrecurring expense/(income) in COGS</t>
  </si>
  <si>
    <t>Base case</t>
  </si>
  <si>
    <t>Current share price</t>
  </si>
  <si>
    <t>Nonrecurring expense/(income) in SG&amp;A and Other</t>
  </si>
  <si>
    <t>Weak case</t>
  </si>
  <si>
    <t>Current date</t>
  </si>
  <si>
    <t>Nonrecurring expense/(income) in nonoperating (income)/loss</t>
  </si>
  <si>
    <t>After-tax - LEAVE BLANK IF NO AFTER-TAX DATA PROVIDED BY CO. EXPLICITLY</t>
  </si>
  <si>
    <t>Firstcall Consensus EPS estimates</t>
  </si>
  <si>
    <t>Nonrecurring items in COGS</t>
  </si>
  <si>
    <t>Nonrecurring items in SG&amp;A</t>
  </si>
  <si>
    <t>Nonrecurring items in nonoperating (income)/loss</t>
  </si>
  <si>
    <t>Total nonrecurring charges per share</t>
  </si>
  <si>
    <t>Expected EPS growth rate</t>
  </si>
  <si>
    <t>Circularity breaker</t>
  </si>
  <si>
    <t>Circular reference breaker</t>
  </si>
  <si>
    <t>Off=1, On=0</t>
  </si>
  <si>
    <t>Income Statement</t>
  </si>
  <si>
    <t>Actual</t>
  </si>
  <si>
    <t>Projected Annual Forecast</t>
  </si>
  <si>
    <t>Total Revenues</t>
  </si>
  <si>
    <t>Cost of goods sold - REPORTED</t>
  </si>
  <si>
    <t>Cost of goods sold - PRO FORMA</t>
  </si>
  <si>
    <t>SG&amp;A and Other - REPORTED</t>
  </si>
  <si>
    <t>SG&amp;A and Other - PRO FORMA</t>
  </si>
  <si>
    <t>Operating profit - EBIT</t>
  </si>
  <si>
    <t>Interest expense</t>
  </si>
  <si>
    <t>Nonoperating income / (loss) - REPORTED</t>
  </si>
  <si>
    <t>Nonoperating income / (loss) - PRO FORMA</t>
  </si>
  <si>
    <t>Pretax income - EBT</t>
  </si>
  <si>
    <t>Taxes - REPORTED</t>
  </si>
  <si>
    <t>Taxes - PRO FORMA</t>
  </si>
  <si>
    <t>Equity in income of affiliates, after tax (enter as +)</t>
  </si>
  <si>
    <t>Minority interest expense, after tax (enter as - )</t>
  </si>
  <si>
    <t>Net Income</t>
  </si>
  <si>
    <t>Common dividends</t>
  </si>
  <si>
    <t>Pro Forma EBITDA Reconciliation</t>
  </si>
  <si>
    <t xml:space="preserve">EBIT </t>
  </si>
  <si>
    <t>Depreciation &amp; amortization</t>
  </si>
  <si>
    <t>EBITDA</t>
  </si>
  <si>
    <t>Pro Forma Basic EPS Reconcilliation</t>
  </si>
  <si>
    <t>Preferred dividends</t>
  </si>
  <si>
    <t>Net income for basic EPS</t>
  </si>
  <si>
    <t>Basic shares outstanding</t>
  </si>
  <si>
    <t>Basic EPS</t>
  </si>
  <si>
    <t>Pro Forma Diluted EPS Reconciliation</t>
  </si>
  <si>
    <t>Adjustment to net income for diluted EPS calc.</t>
  </si>
  <si>
    <t>Net income for diluted EPS</t>
  </si>
  <si>
    <t>Stock options, restricted stock, and converts</t>
  </si>
  <si>
    <t>Diluted shares outstanding</t>
  </si>
  <si>
    <t>Diluted EPS</t>
  </si>
  <si>
    <t>Firstcall consensus EPS</t>
  </si>
  <si>
    <t>Model variance from consensus</t>
  </si>
  <si>
    <t>Income statement assumptions</t>
  </si>
  <si>
    <t>Revenue growth (%)</t>
  </si>
  <si>
    <t>Gross profit margin (%)</t>
  </si>
  <si>
    <t>SG&amp;A and Other margin</t>
  </si>
  <si>
    <t>EBIT margin (%)</t>
  </si>
  <si>
    <t>Effective tax rate (%)</t>
  </si>
  <si>
    <t>D&amp;A growth (%)</t>
  </si>
  <si>
    <t>Income in equity affiliates growth (%)</t>
  </si>
  <si>
    <t>Minority interest growth (%)</t>
  </si>
  <si>
    <t>Dividend payout ratio</t>
  </si>
  <si>
    <t>Select a case (1=best, 2=base, 3=weak)</t>
  </si>
  <si>
    <t>Balance Sheet</t>
  </si>
  <si>
    <t>Cash and equivalents (inc. investment securities)</t>
  </si>
  <si>
    <t>Accounts receivable</t>
  </si>
  <si>
    <t>Inventories</t>
  </si>
  <si>
    <t>Deferred income taxes</t>
  </si>
  <si>
    <t>Prepaid expenses</t>
  </si>
  <si>
    <t>Other current assets</t>
  </si>
  <si>
    <t>Equity in affiliates</t>
  </si>
  <si>
    <t>PP&amp;E</t>
  </si>
  <si>
    <t>Goodwill</t>
  </si>
  <si>
    <t>Intangibles</t>
  </si>
  <si>
    <t>Other non-current assets</t>
  </si>
  <si>
    <t>Total Assets</t>
  </si>
  <si>
    <t>Accounts payable</t>
  </si>
  <si>
    <t>Accrued expenses</t>
  </si>
  <si>
    <t>Taxes payable</t>
  </si>
  <si>
    <t>Other current liabilities (non-debt)</t>
  </si>
  <si>
    <t>Current portion of long-term debt</t>
  </si>
  <si>
    <t>Short term debt (Revolving credit facility)</t>
  </si>
  <si>
    <t>Long term debt</t>
  </si>
  <si>
    <t>Convertible debt</t>
  </si>
  <si>
    <t>Other non-current liabilities</t>
  </si>
  <si>
    <t>Total Liabilities</t>
  </si>
  <si>
    <t>Minority interest</t>
  </si>
  <si>
    <t>Convertible Preferred Stock</t>
  </si>
  <si>
    <t>Common Stock and APIC</t>
  </si>
  <si>
    <t>Treasury stock (contra account)</t>
  </si>
  <si>
    <t>Comprehensive (accumulated) loss</t>
  </si>
  <si>
    <t>Other equity account</t>
  </si>
  <si>
    <t>Retained earnings</t>
  </si>
  <si>
    <t>Total Shareholders' Equity</t>
  </si>
  <si>
    <t>Total Liabilities + Shareholders' Equity</t>
  </si>
  <si>
    <t>Balance check</t>
  </si>
  <si>
    <t>Supporting Schedules</t>
  </si>
  <si>
    <t>Working Capital</t>
  </si>
  <si>
    <t>1. Grow with revenues (default)</t>
  </si>
  <si>
    <t>2. Override i: Days of revenues (Avg. collection period)</t>
  </si>
  <si>
    <t>3. Overide ii: Absolute projection</t>
  </si>
  <si>
    <t>1. Grow with COGS (default)</t>
  </si>
  <si>
    <t>2. Override i: Inventory Days</t>
  </si>
  <si>
    <t>1. Grow with SG&amp;A (default)</t>
  </si>
  <si>
    <t>2. Overide: Absolute projection</t>
  </si>
  <si>
    <t>1. Straight-line (default)</t>
  </si>
  <si>
    <t>2. Override i. Payables Payment Period</t>
  </si>
  <si>
    <t>1. Grow with taxes (default)</t>
  </si>
  <si>
    <t>Intangible assets</t>
  </si>
  <si>
    <t>Purchase of intangible assets</t>
  </si>
  <si>
    <t>Amortization (enter as -)</t>
  </si>
  <si>
    <t>Capital expenditures</t>
  </si>
  <si>
    <t>Recurring asset sales (enter as -)</t>
  </si>
  <si>
    <t>Depreciation</t>
  </si>
  <si>
    <t>Diluted Shares outstanding</t>
  </si>
  <si>
    <t>Treasury share $ repurchases</t>
  </si>
  <si>
    <t>Value of shares issued</t>
  </si>
  <si>
    <t>Expected average share price</t>
  </si>
  <si>
    <t>Consensus EPS growth</t>
  </si>
  <si>
    <t>Shares repurchased</t>
  </si>
  <si>
    <t>Shares issued</t>
  </si>
  <si>
    <t>End of period basic shares outstanding</t>
  </si>
  <si>
    <t>Weighted average basic shares outstanding</t>
  </si>
  <si>
    <t>Investments in affiliates (Equity method)</t>
  </si>
  <si>
    <t>Equity in income of affiliates</t>
  </si>
  <si>
    <t>Dividends (enter as -)</t>
  </si>
  <si>
    <t>Equity in affiliates (from balance sheet)</t>
  </si>
  <si>
    <t>Minority interest (Consolidation method)</t>
  </si>
  <si>
    <t>Minority interest expense</t>
  </si>
  <si>
    <t>Minority interest (from balance sheet)</t>
  </si>
  <si>
    <t>Cash Flow Statement</t>
  </si>
  <si>
    <t xml:space="preserve">Changes in working capital </t>
  </si>
  <si>
    <t>Other current liabilities</t>
  </si>
  <si>
    <t>Deferred tax liabilities</t>
  </si>
  <si>
    <t>Equity income in affiliates</t>
  </si>
  <si>
    <t>Dividends received from affiliates</t>
  </si>
  <si>
    <t>Cash from operations</t>
  </si>
  <si>
    <t>Purchase of fixed assets (capital expenditures)</t>
  </si>
  <si>
    <t>Proceeds from sale of fixed assets</t>
  </si>
  <si>
    <t>Purchases of intangible assets</t>
  </si>
  <si>
    <t>Purchases/Proceeds from other long-term assets</t>
  </si>
  <si>
    <t>Cash from investing</t>
  </si>
  <si>
    <t>Convertible preferred stock</t>
  </si>
  <si>
    <t>Common stock and APIC</t>
  </si>
  <si>
    <t>Treasury stock repurchases</t>
  </si>
  <si>
    <t>Comprehensive accumulated loss</t>
  </si>
  <si>
    <t>Common and preferred dividends</t>
  </si>
  <si>
    <t>Dividends to minority interests</t>
  </si>
  <si>
    <t>Increases / (decreases) in debt</t>
  </si>
  <si>
    <t>Cash from financing</t>
  </si>
  <si>
    <t>Total increase/decrease of cash</t>
  </si>
  <si>
    <t>Debt</t>
  </si>
  <si>
    <t>Current portion of LTD</t>
  </si>
  <si>
    <t>Reclassification of LTD to CP of LTD</t>
  </si>
  <si>
    <t>Discretionary (paydown)/borrowing of long term debt</t>
  </si>
  <si>
    <t>Discretionary (paydown)/borrowing of convertible debt</t>
  </si>
  <si>
    <t>Calculation of short term debt</t>
  </si>
  <si>
    <t>Cash @ beginning of the year (end of last year)</t>
  </si>
  <si>
    <t>Plus: Free cash flows prior to debt during year</t>
  </si>
  <si>
    <t>% of sales</t>
  </si>
  <si>
    <t>Less: Minimum cash balance</t>
  </si>
  <si>
    <t>Total cash available / (debt required) for short term debt paydown</t>
  </si>
  <si>
    <t>Short term debt</t>
  </si>
  <si>
    <t>Total debt</t>
  </si>
  <si>
    <t>Average interest rate</t>
  </si>
  <si>
    <t>Ratio analysis</t>
  </si>
  <si>
    <t>Capital Structure</t>
  </si>
  <si>
    <t>Market Debt / Equity</t>
  </si>
  <si>
    <t>Financial Risk Ratios</t>
  </si>
  <si>
    <t>EBITDA / Total Interest</t>
  </si>
  <si>
    <t>(EBITDA - Capex) / Total Interest</t>
  </si>
  <si>
    <t>Total Debt / EBITDA</t>
  </si>
  <si>
    <t>Total Debt / Total Capitalization (Bk. Equity)</t>
  </si>
  <si>
    <t>Net Debt / EBITDA</t>
  </si>
  <si>
    <t>Interest Coverage (EBIT/Interest expense)</t>
  </si>
  <si>
    <t xml:space="preserve">Internal Liquidity </t>
  </si>
  <si>
    <t>Current Ratio (Curr. Assets / Curr. Liab.)</t>
  </si>
  <si>
    <t>Cash Ratio (Cash / Current Liab.)</t>
  </si>
  <si>
    <t>Operating Efficiency</t>
  </si>
  <si>
    <t>Return on Capital (ROIC)</t>
  </si>
  <si>
    <t>Dupont Analysis</t>
  </si>
  <si>
    <t>Operating Profit Margin</t>
  </si>
  <si>
    <t>Asset Turnover (Sales/ Assets)</t>
  </si>
  <si>
    <t>Interest (inc. interest income)/ Sales</t>
  </si>
  <si>
    <t>Equity multiplier (Assets / Equity)</t>
  </si>
  <si>
    <t>Tax Retention Rate</t>
  </si>
  <si>
    <t>ROE</t>
  </si>
  <si>
    <t>Operating scenarios - sensitivity analysis</t>
  </si>
  <si>
    <t>Strong case</t>
  </si>
  <si>
    <t>Gross Profit margin (%)</t>
  </si>
  <si>
    <t>SG&amp;A and Other margin (%)</t>
  </si>
  <si>
    <t>Taxes</t>
  </si>
  <si>
    <t>1. Straight line (default)</t>
  </si>
  <si>
    <t>2. Override i. Use marginal tax rate</t>
  </si>
  <si>
    <t>Capex as a % of revenues</t>
  </si>
  <si>
    <t>Data tables</t>
  </si>
  <si>
    <t>Display 2007 EPS based on various revenue growth assumptions (column) and gross profit margin assumptions (row)</t>
  </si>
  <si>
    <t>2007 gross profit margin</t>
  </si>
  <si>
    <t>2007 Revenue  growth range</t>
  </si>
  <si>
    <t>Year</t>
  </si>
  <si>
    <t>Period</t>
  </si>
  <si>
    <t>Cash and equivalents</t>
  </si>
  <si>
    <t>Total Liabilities + Equity</t>
  </si>
  <si>
    <t>Pro Forma EBITDA</t>
  </si>
  <si>
    <t>Supplemental cash flow statement information</t>
  </si>
  <si>
    <t>Interest</t>
  </si>
  <si>
    <t>Current Market Info</t>
  </si>
  <si>
    <t>Add: Acquisition of intangibles</t>
  </si>
  <si>
    <t>Sub: Amortization</t>
  </si>
  <si>
    <t>Ending Intangibles</t>
  </si>
  <si>
    <t>Beginning PP&amp;E</t>
  </si>
  <si>
    <t>Add: Capital expenditures</t>
  </si>
  <si>
    <t>Sub: Depreciation</t>
  </si>
  <si>
    <t>Ending PP&amp;E</t>
  </si>
  <si>
    <t>Other long-term assets</t>
  </si>
  <si>
    <t>Debt Schedule</t>
  </si>
  <si>
    <t>Less: Mandatory Principal Repayments</t>
  </si>
  <si>
    <t>Total cash available for debt paydown / (debt required)</t>
  </si>
  <si>
    <t>Revolving Credit Facility</t>
  </si>
  <si>
    <t>Beginning Balance</t>
  </si>
  <si>
    <t>Mandatory Amortization (enter as -)</t>
  </si>
  <si>
    <t>Ending Balance</t>
  </si>
  <si>
    <t>Long Term Debt</t>
  </si>
  <si>
    <t>Total Interest</t>
  </si>
  <si>
    <t>Total Debt</t>
  </si>
  <si>
    <t>Capital Expenditures</t>
  </si>
  <si>
    <t>Circuit Breaker</t>
  </si>
  <si>
    <t>1= On</t>
  </si>
  <si>
    <t>2= Off</t>
  </si>
  <si>
    <t>Short Term Debt (Revolver)</t>
  </si>
  <si>
    <t>Beginning Intangibles</t>
  </si>
  <si>
    <t>High</t>
  </si>
  <si>
    <t>Low</t>
  </si>
  <si>
    <t>Median</t>
  </si>
  <si>
    <t>Mean</t>
  </si>
  <si>
    <t>Diff</t>
  </si>
  <si>
    <t>Weight</t>
  </si>
  <si>
    <t>Weighted</t>
  </si>
  <si>
    <t>Used</t>
  </si>
  <si>
    <t>LBO</t>
  </si>
  <si>
    <t>DCF</t>
  </si>
  <si>
    <t>Public Market</t>
  </si>
  <si>
    <t>Transaction Comps</t>
  </si>
  <si>
    <t>Public Comps</t>
  </si>
  <si>
    <t>$ in millions</t>
  </si>
  <si>
    <t>Project Test Valuation Output</t>
  </si>
  <si>
    <t>TestCo</t>
  </si>
  <si>
    <t>Index:</t>
  </si>
  <si>
    <t>Assumptions</t>
  </si>
  <si>
    <t>Stiland</t>
  </si>
  <si>
    <t>Inflation</t>
  </si>
  <si>
    <t>TAX Assumptions</t>
  </si>
  <si>
    <t>IRAP</t>
  </si>
  <si>
    <t>NWC Assumptions</t>
  </si>
  <si>
    <t>Inventory</t>
  </si>
  <si>
    <t>Equity Assumptions</t>
  </si>
  <si>
    <t>Distribution to reserve</t>
  </si>
  <si>
    <t>Days Sales Outstanding</t>
  </si>
  <si>
    <t>Days Payables Outstanding</t>
  </si>
  <si>
    <t>VAT</t>
  </si>
  <si>
    <t>Days VAT Payment (dd)</t>
  </si>
  <si>
    <t>Days VAT Refunding (dd)</t>
  </si>
  <si>
    <t>Financials</t>
  </si>
  <si>
    <t>Conversion Rate</t>
  </si>
  <si>
    <t>Revenues per Conversion</t>
  </si>
  <si>
    <t>Revenues per Click</t>
  </si>
  <si>
    <t>Revenues per Account</t>
  </si>
  <si>
    <t>Cost Assumptions</t>
  </si>
  <si>
    <t>Office Consumables</t>
  </si>
  <si>
    <t>Office Rent</t>
  </si>
  <si>
    <t>Marketing Expenses</t>
  </si>
  <si>
    <t>Legal Expenses</t>
  </si>
  <si>
    <t>SEO Expenses</t>
  </si>
  <si>
    <t>Hardware and Furniture</t>
  </si>
  <si>
    <t>Revenue Assumptions</t>
  </si>
  <si>
    <t>% Returned Orders</t>
  </si>
  <si>
    <t>Commission Fee on Order</t>
  </si>
  <si>
    <t>Transactions</t>
  </si>
  <si>
    <t>Accounts</t>
  </si>
  <si>
    <t>Office Expenses</t>
  </si>
  <si>
    <t>Advertising</t>
  </si>
  <si>
    <t>Professional Services</t>
  </si>
  <si>
    <t>Personnel and Outsourcing</t>
  </si>
  <si>
    <t>Corporate Tax</t>
  </si>
  <si>
    <t>N/A</t>
  </si>
  <si>
    <t xml:space="preserve">Capital Injection </t>
  </si>
  <si>
    <t xml:space="preserve">External Funds </t>
  </si>
  <si>
    <t>Business Trips</t>
  </si>
  <si>
    <t>Capex</t>
  </si>
  <si>
    <t>Debt Assumptions</t>
  </si>
  <si>
    <t>Interest on Revolving Credit Facility</t>
  </si>
  <si>
    <t>Interest on Debt</t>
  </si>
  <si>
    <t>Minimum Cash Balance over Revenues</t>
  </si>
  <si>
    <t>Utility Bills</t>
  </si>
  <si>
    <t>Operating Expenses</t>
  </si>
  <si>
    <t>Growth # Orders (yearly)</t>
  </si>
  <si>
    <t>Growth of Online Advertising (yearly)</t>
  </si>
  <si>
    <t>Yearly Growth of Paid Accounts (yearly)</t>
  </si>
  <si>
    <t>Professional Services (yearly)</t>
  </si>
  <si>
    <t>Office Expenses (yearly)</t>
  </si>
  <si>
    <t>ICT Assistance</t>
  </si>
  <si>
    <t>Sales Assistance</t>
  </si>
  <si>
    <t>Total</t>
  </si>
  <si>
    <t>input</t>
  </si>
  <si>
    <t>Average Amount of Order</t>
  </si>
  <si>
    <t>Secretarial</t>
  </si>
  <si>
    <t xml:space="preserve"># Orders per year </t>
  </si>
  <si>
    <t xml:space="preserve"># Click per year </t>
  </si>
  <si>
    <t xml:space="preserve"># Paid Accounts </t>
  </si>
  <si>
    <t>Values in €</t>
  </si>
  <si>
    <t>EBIT - Operating profit</t>
  </si>
  <si>
    <t>Depreciation and Amortization</t>
  </si>
  <si>
    <t>Amortization / Depreciation Rate</t>
  </si>
  <si>
    <t>Internet Site (2019)</t>
  </si>
  <si>
    <t>Mobile App (2020)</t>
  </si>
  <si>
    <t>Total(€) - Base Year</t>
  </si>
  <si>
    <t>Mandatory Debt Repayment</t>
  </si>
  <si>
    <t>Mandatory Revolving Facility Repayment</t>
  </si>
  <si>
    <t>Equity + Funding Injection</t>
  </si>
  <si>
    <t>Equity</t>
  </si>
  <si>
    <t>Net Profit (Loss)</t>
  </si>
  <si>
    <t>External Funding</t>
  </si>
  <si>
    <t>New Funding</t>
  </si>
  <si>
    <t xml:space="preserve">Retained Earnings / (Carried Forward Loss) </t>
  </si>
  <si>
    <t>Missing</t>
  </si>
  <si>
    <t>Tax Credit</t>
  </si>
  <si>
    <t>Automatic Selection Revolving / Debt</t>
  </si>
  <si>
    <t>New Finance</t>
  </si>
  <si>
    <t>IRAP (Italy only)</t>
  </si>
  <si>
    <t>VAT (Negligible - only shor term cash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</si>
</sst>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5">
    <numFmt numFmtId="164" formatCode="&quot;$&quot;#,##0.00_);\(&quot;$&quot;#,##0.00\)"/>
    <numFmt numFmtId="165" formatCode="&quot;$&quot;#,##0.00_);[Red]\(&quot;$&quot;#,##0.00\)"/>
    <numFmt numFmtId="166" formatCode="_(&quot;$&quot;* #,##0.00_);_(&quot;$&quot;* \(#,##0.00\);_(&quot;$&quot;* &quot;-&quot;??_);_(@_)"/>
    <numFmt numFmtId="167" formatCode="0.0\x"/>
    <numFmt numFmtId="168" formatCode="#,##0.0"/>
    <numFmt numFmtId="169" formatCode="#,##0.0_);\(#,##0.0\)"/>
    <numFmt numFmtId="170" formatCode="[$-409]h:mm:ss\ AM/PM"/>
    <numFmt numFmtId="171" formatCode="0.0%"/>
    <numFmt numFmtId="172" formatCode="m/d/yy;@"/>
    <numFmt numFmtId="173" formatCode="#,##0.0%_);\(#,##0.0%\)"/>
    <numFmt numFmtId="174" formatCode="mm/dd/yy;@"/>
    <numFmt numFmtId="175" formatCode="0.0"/>
    <numFmt numFmtId="176" formatCode="0.0\x;&quot;NM&quot;"/>
    <numFmt numFmtId="177" formatCode="0.00_);\(0.00\)"/>
    <numFmt numFmtId="178" formatCode="#,##0.000_);[Red]\(#,##0.000\)"/>
    <numFmt numFmtId="179" formatCode="&quot;$&quot;#,##0.00"/>
    <numFmt numFmtId="180" formatCode="[&gt;1]&quot;10Q: &quot;0&quot; qtrs&quot;;&quot;10Q: &quot;0&quot; qtr&quot;"/>
    <numFmt numFmtId="181" formatCode="&quot;$&quot;#,##0.00_);[Red]\(&quot;$&quot;#,##0.00\);&quot;--  &quot;;_(@_)"/>
    <numFmt numFmtId="182" formatCode="mmm\-dd\-yy"/>
    <numFmt numFmtId="183" formatCode="mmm\-dd\-yyyy"/>
    <numFmt numFmtId="184" formatCode="mmm\-d\-yyyy"/>
    <numFmt numFmtId="185" formatCode="mmm\-yyyy"/>
    <numFmt numFmtId="186" formatCode="#,##0.0_);[Red]\(#,##0.0\);&quot;--  &quot;"/>
    <numFmt numFmtId="187" formatCode="#,##0.0_);[Red]\(#,##0.0\)"/>
    <numFmt numFmtId="188" formatCode="#,##0.00&quot;x&quot;_);[Red]\(#,##0.00&quot;x&quot;\)"/>
    <numFmt numFmtId="189" formatCode="#,##0.0%_);[Red]\(#,##0.0%\)"/>
    <numFmt numFmtId="190" formatCode="#,##0.00%_);[Red]\(#,##0.00%\)"/>
    <numFmt numFmtId="191" formatCode="0.00\x"/>
    <numFmt numFmtId="192" formatCode="0.0&quot; years&quot;"/>
    <numFmt numFmtId="193" formatCode="yyyy"/>
    <numFmt numFmtId="194" formatCode="&quot;$&quot;#,##0_);\(&quot;$&quot;#,##0\);&quot;$&quot;&quot;-&quot;?"/>
    <numFmt numFmtId="195" formatCode="#,##0%_);\(#,##0%\)"/>
    <numFmt numFmtId="196" formatCode="#,##0_);\(#,##0\);&quot;-&quot;?"/>
    <numFmt numFmtId="197" formatCode="#,##0.0\x_);\(#,##0.0\x\);&quot;-&quot;?"/>
    <numFmt numFmtId="198" formatCode="_(#,##0\ \b\p_);_(\(#,##0\ \b\p\);&quot;-&quot;?;_(@_)"/>
    <numFmt numFmtId="199" formatCode="#,##0.0_);\(#,##0.0\);&quot;-&quot;?"/>
    <numFmt numFmtId="200" formatCode="#,##0.00_);\(#,##0.00\);&quot;-&quot;?"/>
    <numFmt numFmtId="201" formatCode="&quot;$&quot;#,##0.0_);\(&quot;$&quot;#,##0.0\);&quot;$&quot;&quot;-&quot;?"/>
    <numFmt numFmtId="202" formatCode="&quot;$&quot;#,##0.00_);\(&quot;$&quot;#,##0.00\);&quot;$&quot;&quot;-&quot;?"/>
    <numFmt numFmtId="203" formatCode="#,##0.00%_);\(#,##0.00%\)"/>
    <numFmt numFmtId="204" formatCode="#,##0.00\x_);\(#,##0.00\x\);&quot;-&quot;?"/>
    <numFmt numFmtId="205" formatCode="[$-F800]dddd\,\ mmmm\ dd\,\ yyyy"/>
    <numFmt numFmtId="206" formatCode="[$-409]d\-mmm\-yyyy;@"/>
    <numFmt numFmtId="207" formatCode="dd/mm/yy;@"/>
    <numFmt numFmtId="208" formatCode="#,##0_);\(#,##0\)"/>
  </numFmts>
  <fonts count="57" x14ac:knownFonts="1">
    <font>
      <sz val="10"/>
      <name val="Arial"/>
    </font>
    <font>
      <sz val="8"/>
      <name val="Arial"/>
      <family val="2"/>
    </font>
    <font>
      <sz val="8"/>
      <name val="Arial"/>
      <family val="2"/>
    </font>
    <font>
      <b/>
      <sz val="10"/>
      <color indexed="9"/>
      <name val="Arial"/>
      <family val="2"/>
    </font>
    <font>
      <sz val="10"/>
      <name val="Arial"/>
      <family val="2"/>
    </font>
    <font>
      <sz val="10"/>
      <name val="Arial"/>
      <family val="2"/>
    </font>
    <font>
      <sz val="14"/>
      <name val="Arial"/>
      <family val="2"/>
    </font>
    <font>
      <sz val="14"/>
      <name val="Arial Black"/>
      <family val="2"/>
    </font>
    <font>
      <sz val="10"/>
      <color indexed="12"/>
      <name val="Arial"/>
      <family val="2"/>
    </font>
    <font>
      <i/>
      <sz val="10"/>
      <color indexed="12"/>
      <name val="Arial"/>
      <family val="2"/>
    </font>
    <font>
      <sz val="10"/>
      <color indexed="9"/>
      <name val="Arial"/>
      <family val="2"/>
    </font>
    <font>
      <u/>
      <sz val="10"/>
      <name val="Arial"/>
      <family val="2"/>
    </font>
    <font>
      <b/>
      <sz val="10"/>
      <name val="Arial"/>
      <family val="2"/>
    </font>
    <font>
      <b/>
      <sz val="8"/>
      <name val="Arial"/>
      <family val="2"/>
    </font>
    <font>
      <i/>
      <sz val="10"/>
      <name val="Arial"/>
      <family val="2"/>
    </font>
    <font>
      <i/>
      <sz val="10"/>
      <color indexed="9"/>
      <name val="Arial"/>
      <family val="2"/>
    </font>
    <font>
      <u/>
      <sz val="8"/>
      <name val="Arial"/>
      <family val="2"/>
    </font>
    <font>
      <sz val="10"/>
      <color indexed="8"/>
      <name val="Arial"/>
      <family val="2"/>
    </font>
    <font>
      <b/>
      <sz val="8"/>
      <color indexed="81"/>
      <name val="Tahoma"/>
      <family val="2"/>
    </font>
    <font>
      <sz val="8"/>
      <color indexed="81"/>
      <name val="Tahoma"/>
      <family val="2"/>
    </font>
    <font>
      <b/>
      <sz val="12"/>
      <color indexed="81"/>
      <name val="Tahoma"/>
      <family val="2"/>
    </font>
    <font>
      <sz val="12"/>
      <color indexed="81"/>
      <name val="Tahoma"/>
      <family val="2"/>
    </font>
    <font>
      <sz val="14"/>
      <color indexed="81"/>
      <name val="Tahoma"/>
      <family val="2"/>
    </font>
    <font>
      <b/>
      <sz val="14"/>
      <color indexed="81"/>
      <name val="Tahoma"/>
      <family val="2"/>
    </font>
    <font>
      <sz val="8"/>
      <color indexed="12"/>
      <name val="Arial"/>
      <family val="2"/>
    </font>
    <font>
      <i/>
      <sz val="8"/>
      <name val="Arial"/>
      <family val="2"/>
    </font>
    <font>
      <sz val="8"/>
      <color indexed="10"/>
      <name val="Arial"/>
      <family val="2"/>
    </font>
    <font>
      <sz val="10"/>
      <name val="Arial Narrow"/>
      <family val="2"/>
    </font>
    <font>
      <sz val="10"/>
      <name val="Times New Roman"/>
      <family val="1"/>
    </font>
    <font>
      <b/>
      <sz val="20"/>
      <name val="Times New Roman"/>
      <family val="1"/>
    </font>
    <font>
      <b/>
      <sz val="16"/>
      <name val="Times New Roman"/>
      <family val="1"/>
    </font>
    <font>
      <i/>
      <sz val="10"/>
      <name val="Times New Roman"/>
      <family val="1"/>
    </font>
    <font>
      <b/>
      <sz val="10"/>
      <name val="Times New Roman"/>
      <family val="1"/>
    </font>
    <font>
      <sz val="9"/>
      <color indexed="12"/>
      <name val="Trebuchet MS"/>
      <family val="2"/>
    </font>
    <font>
      <sz val="9"/>
      <name val="Trebuchet MS"/>
      <family val="2"/>
    </font>
    <font>
      <sz val="10"/>
      <color indexed="12"/>
      <name val="Times New Roman"/>
      <family val="1"/>
    </font>
    <font>
      <sz val="10"/>
      <name val="Trebuchet MS"/>
      <family val="2"/>
    </font>
    <font>
      <sz val="10"/>
      <color indexed="62"/>
      <name val="Arial"/>
      <family val="2"/>
    </font>
    <font>
      <b/>
      <sz val="10"/>
      <color indexed="62"/>
      <name val="Arial"/>
      <family val="2"/>
    </font>
    <font>
      <sz val="20"/>
      <color indexed="62"/>
      <name val="Arial"/>
      <family val="2"/>
    </font>
    <font>
      <sz val="8"/>
      <name val="Arial"/>
      <family val="2"/>
    </font>
    <font>
      <sz val="10"/>
      <name val="Arial"/>
    </font>
    <font>
      <sz val="10"/>
      <color theme="1"/>
      <name val="Arial"/>
      <family val="2"/>
    </font>
    <font>
      <u/>
      <sz val="10"/>
      <color theme="10"/>
      <name val="Arial"/>
    </font>
    <font>
      <sz val="9"/>
      <color theme="1"/>
      <name val="Arial"/>
      <family val="2"/>
    </font>
    <font>
      <b/>
      <u/>
      <sz val="16"/>
      <color theme="1"/>
      <name val="Calibri"/>
      <family val="2"/>
      <scheme val="minor"/>
    </font>
    <font>
      <i/>
      <u/>
      <sz val="12"/>
      <color theme="10"/>
      <name val="Calibri"/>
      <family val="2"/>
      <scheme val="minor"/>
    </font>
    <font>
      <i/>
      <sz val="12"/>
      <color theme="1"/>
      <name val="Calibri"/>
      <family val="2"/>
      <scheme val="minor"/>
    </font>
    <font>
      <sz val="20"/>
      <color theme="1"/>
      <name val="Arial"/>
      <family val="2"/>
    </font>
    <font>
      <b/>
      <sz val="10"/>
      <color theme="1"/>
      <name val="Arial"/>
      <family val="2"/>
    </font>
    <font>
      <sz val="20"/>
      <name val="Arial"/>
      <family val="2"/>
    </font>
    <font>
      <b/>
      <sz val="20"/>
      <name val="Arial"/>
      <family val="2"/>
    </font>
    <font>
      <b/>
      <sz val="20"/>
      <color theme="1"/>
      <name val="Arial"/>
      <family val="2"/>
    </font>
    <font>
      <i/>
      <sz val="10"/>
      <color rgb="FFFF0000"/>
      <name val="Arial"/>
      <family val="2"/>
    </font>
    <font>
      <b/>
      <sz val="10"/>
      <color theme="0" tint="-0.499984740745262"/>
      <name val="Arial"/>
      <family val="2"/>
    </font>
    <font>
      <sz val="10"/>
      <color theme="0" tint="-0.499984740745262"/>
      <name val="Arial"/>
      <family val="2"/>
    </font>
    <font>
      <sz val="10"/>
      <color theme="0" tint="-0.499984740745262"/>
      <name val="Arial Narrow"/>
      <family val="2"/>
    </font>
  </fonts>
  <fills count="12">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indexed="12"/>
        <bgColor indexed="64"/>
      </patternFill>
    </fill>
    <fill>
      <patternFill patternType="solid">
        <fgColor indexed="55"/>
        <bgColor indexed="64"/>
      </patternFill>
    </fill>
    <fill>
      <patternFill patternType="solid">
        <fgColor indexed="47"/>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s>
  <borders count="22">
    <border>
      <left/>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dotted">
        <color indexed="64"/>
      </left>
      <right style="dotted">
        <color indexed="64"/>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22"/>
      </left>
      <right style="thin">
        <color indexed="22"/>
      </right>
      <top style="thin">
        <color indexed="22"/>
      </top>
      <bottom/>
      <diagonal/>
    </border>
    <border>
      <left style="thin">
        <color indexed="22"/>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180" fontId="13" fillId="0" borderId="0" applyFill="0" applyBorder="0" applyAlignment="0" applyProtection="0">
      <alignment horizontal="right"/>
    </xf>
    <xf numFmtId="198" fontId="34" fillId="0" borderId="0" applyFont="0" applyFill="0" applyBorder="0" applyAlignment="0" applyProtection="0">
      <alignment horizontal="right"/>
    </xf>
    <xf numFmtId="168" fontId="34" fillId="2" borderId="0" applyFont="0" applyFill="0" applyBorder="0" applyAlignment="0" applyProtection="0"/>
    <xf numFmtId="199" fontId="34" fillId="0" borderId="0" applyFont="0" applyFill="0" applyBorder="0" applyAlignment="0" applyProtection="0"/>
    <xf numFmtId="200" fontId="34" fillId="0" borderId="0" applyFont="0" applyFill="0" applyBorder="0" applyAlignment="0" applyProtection="0">
      <alignment horizontal="left" indent="1"/>
    </xf>
    <xf numFmtId="181" fontId="1" fillId="0" borderId="1" applyFont="0" applyFill="0" applyBorder="0" applyAlignment="0" applyProtection="0"/>
    <xf numFmtId="170" fontId="34" fillId="0" borderId="0" applyFont="0" applyFill="0" applyBorder="0" applyAlignment="0" applyProtection="0"/>
    <xf numFmtId="201" fontId="34" fillId="0" borderId="0" applyFont="0" applyFill="0" applyBorder="0" applyAlignment="0" applyProtection="0"/>
    <xf numFmtId="202" fontId="34" fillId="2" borderId="0" applyFont="0" applyFill="0" applyBorder="0" applyAlignment="0" applyProtection="0"/>
    <xf numFmtId="166" fontId="5" fillId="0" borderId="0" applyFont="0" applyFill="0" applyBorder="0" applyAlignment="0" applyProtection="0"/>
    <xf numFmtId="15" fontId="36" fillId="0" borderId="0" applyFont="0" applyFill="0" applyBorder="0" applyAlignment="0" applyProtection="0"/>
    <xf numFmtId="174" fontId="35" fillId="0" borderId="0" applyFont="0" applyFill="0" applyBorder="0" applyAlignment="0" applyProtection="0">
      <alignment horizontal="left"/>
    </xf>
    <xf numFmtId="17" fontId="33" fillId="0" borderId="0" applyFont="0" applyFill="0" applyBorder="0" applyAlignment="0" applyProtection="0">
      <alignment horizontal="right"/>
    </xf>
    <xf numFmtId="182" fontId="13" fillId="0" borderId="0" applyFont="0" applyFill="0" applyBorder="0" applyAlignment="0" applyProtection="0"/>
    <xf numFmtId="183" fontId="1" fillId="0" borderId="0" applyFont="0" applyFill="0" applyBorder="0" applyAlignment="0" applyProtection="0"/>
    <xf numFmtId="184" fontId="24" fillId="3" borderId="2" applyFont="0" applyFill="0" applyBorder="0" applyAlignment="0" applyProtection="0"/>
    <xf numFmtId="185" fontId="13" fillId="0" borderId="3" applyFont="0" applyFill="0" applyBorder="0" applyAlignment="0" applyProtection="0"/>
    <xf numFmtId="14" fontId="13" fillId="0" borderId="3" applyFont="0" applyFill="0" applyBorder="0" applyAlignment="0" applyProtection="0"/>
    <xf numFmtId="186" fontId="1" fillId="0" borderId="0" applyFont="0" applyFill="0" applyBorder="0" applyAlignment="0" applyProtection="0">
      <alignment horizontal="right"/>
    </xf>
    <xf numFmtId="37" fontId="24" fillId="4" borderId="0" applyFont="0" applyFill="0" applyBorder="0" applyAlignment="0" applyProtection="0"/>
    <xf numFmtId="187" fontId="5" fillId="0" borderId="0" applyFont="0" applyFill="0" applyBorder="0" applyAlignment="0"/>
    <xf numFmtId="178" fontId="1" fillId="0" borderId="0" applyFont="0" applyFill="0" applyBorder="0" applyAlignment="0"/>
    <xf numFmtId="170" fontId="1" fillId="0" borderId="0" applyFont="0" applyFill="0" applyBorder="0" applyAlignment="0"/>
    <xf numFmtId="0" fontId="5" fillId="0" borderId="0"/>
    <xf numFmtId="0" fontId="4" fillId="0" borderId="0"/>
    <xf numFmtId="0" fontId="28" fillId="0" borderId="0"/>
    <xf numFmtId="0" fontId="4" fillId="0" borderId="0"/>
    <xf numFmtId="188" fontId="1" fillId="0" borderId="0" applyFont="0" applyFill="0" applyBorder="0" applyAlignment="0" applyProtection="0"/>
    <xf numFmtId="179" fontId="28" fillId="0" borderId="0" applyFont="0" applyFill="0" applyBorder="0" applyAlignment="0" applyProtection="0"/>
    <xf numFmtId="173" fontId="31" fillId="0" borderId="0" applyFont="0" applyFill="0" applyBorder="0" applyAlignment="0" applyProtection="0">
      <alignment horizontal="right"/>
    </xf>
    <xf numFmtId="203" fontId="28" fillId="0" borderId="0" applyFont="0" applyFill="0" applyBorder="0" applyAlignment="0" applyProtection="0">
      <alignment horizontal="right"/>
    </xf>
    <xf numFmtId="189" fontId="25" fillId="3" borderId="4" applyFill="0" applyBorder="0" applyAlignment="0" applyProtection="0">
      <alignment horizontal="right"/>
      <protection locked="0"/>
    </xf>
    <xf numFmtId="190" fontId="25" fillId="5" borderId="0" applyFill="0" applyBorder="0" applyAlignment="0" applyProtection="0">
      <protection hidden="1"/>
    </xf>
    <xf numFmtId="9" fontId="5" fillId="0" borderId="0" applyFont="0" applyFill="0" applyBorder="0" applyAlignment="0" applyProtection="0"/>
    <xf numFmtId="187" fontId="26" fillId="0" borderId="0" applyNumberFormat="0" applyFill="0" applyBorder="0" applyAlignment="0" applyProtection="0">
      <alignment horizontal="left"/>
    </xf>
    <xf numFmtId="191" fontId="1" fillId="0" borderId="0" applyFont="0" applyFill="0" applyBorder="0" applyAlignment="0" applyProtection="0">
      <alignment horizontal="right"/>
    </xf>
    <xf numFmtId="175" fontId="34" fillId="0" borderId="0" applyFont="0" applyFill="0" applyBorder="0" applyAlignment="0" applyProtection="0"/>
    <xf numFmtId="204" fontId="34" fillId="0" borderId="0" applyFont="0" applyFill="0" applyBorder="0" applyAlignment="0" applyProtection="0">
      <alignment horizontal="right"/>
    </xf>
    <xf numFmtId="192" fontId="1" fillId="0" borderId="0" applyFont="0" applyFill="0" applyBorder="0" applyAlignment="0"/>
    <xf numFmtId="9" fontId="41" fillId="0" borderId="0" applyFont="0" applyFill="0" applyBorder="0" applyAlignment="0" applyProtection="0"/>
    <xf numFmtId="0" fontId="43" fillId="0" borderId="0" applyNumberFormat="0" applyFill="0" applyBorder="0" applyAlignment="0" applyProtection="0"/>
  </cellStyleXfs>
  <cellXfs count="304">
    <xf numFmtId="0" fontId="0" fillId="0" borderId="0" xfId="0"/>
    <xf numFmtId="164" fontId="0" fillId="0" borderId="0" xfId="0" applyNumberFormat="1"/>
    <xf numFmtId="0" fontId="3" fillId="6" borderId="5" xfId="0" applyFont="1" applyFill="1" applyBorder="1"/>
    <xf numFmtId="0" fontId="0" fillId="0" borderId="0" xfId="0" applyFill="1" applyBorder="1"/>
    <xf numFmtId="0" fontId="5" fillId="0" borderId="0" xfId="0" applyFont="1" applyFill="1"/>
    <xf numFmtId="0" fontId="0" fillId="0" borderId="0" xfId="0" applyFill="1"/>
    <xf numFmtId="0" fontId="0" fillId="0" borderId="6" xfId="0" applyFill="1" applyBorder="1"/>
    <xf numFmtId="0" fontId="6" fillId="0" borderId="0" xfId="0" applyFont="1" applyFill="1" applyBorder="1"/>
    <xf numFmtId="0" fontId="7" fillId="0" borderId="7" xfId="0" applyFont="1" applyFill="1" applyBorder="1"/>
    <xf numFmtId="0" fontId="6" fillId="0" borderId="7" xfId="0" applyFont="1" applyFill="1" applyBorder="1" applyAlignment="1">
      <alignment horizontal="left"/>
    </xf>
    <xf numFmtId="0" fontId="6" fillId="0" borderId="7" xfId="0" applyFont="1" applyFill="1" applyBorder="1"/>
    <xf numFmtId="0" fontId="6" fillId="0" borderId="0" xfId="0" applyFont="1" applyFill="1"/>
    <xf numFmtId="169" fontId="8" fillId="4" borderId="0" xfId="0" applyNumberFormat="1" applyFont="1" applyFill="1" applyBorder="1"/>
    <xf numFmtId="169" fontId="9" fillId="4" borderId="0" xfId="0" applyNumberFormat="1" applyFont="1" applyFill="1" applyBorder="1"/>
    <xf numFmtId="169" fontId="9" fillId="4" borderId="0" xfId="0" applyNumberFormat="1" applyFont="1" applyFill="1" applyBorder="1" applyAlignment="1">
      <alignment horizontal="center"/>
    </xf>
    <xf numFmtId="171" fontId="5" fillId="0" borderId="0" xfId="0" applyNumberFormat="1" applyFont="1" applyFill="1" applyBorder="1" applyAlignment="1">
      <alignment horizontal="center"/>
    </xf>
    <xf numFmtId="0" fontId="5" fillId="0" borderId="0" xfId="0" applyFont="1" applyFill="1" applyBorder="1"/>
    <xf numFmtId="169" fontId="3" fillId="6" borderId="5" xfId="0" applyNumberFormat="1" applyFont="1" applyFill="1" applyBorder="1" applyAlignment="1">
      <alignment horizontal="right"/>
    </xf>
    <xf numFmtId="0" fontId="3" fillId="6" borderId="8" xfId="0" applyFont="1" applyFill="1" applyBorder="1"/>
    <xf numFmtId="0" fontId="10" fillId="6" borderId="9" xfId="0" applyFont="1" applyFill="1" applyBorder="1"/>
    <xf numFmtId="37" fontId="8" fillId="4" borderId="0" xfId="0" applyNumberFormat="1" applyFont="1" applyFill="1" applyBorder="1" applyAlignment="1">
      <alignment horizontal="right"/>
    </xf>
    <xf numFmtId="0" fontId="5" fillId="0" borderId="0" xfId="0" applyFont="1" applyFill="1" applyBorder="1" applyAlignment="1">
      <alignment horizontal="left"/>
    </xf>
    <xf numFmtId="171" fontId="8" fillId="4" borderId="0" xfId="0" applyNumberFormat="1" applyFont="1" applyFill="1" applyBorder="1" applyAlignment="1">
      <alignment horizontal="right"/>
    </xf>
    <xf numFmtId="0" fontId="11" fillId="0" borderId="0" xfId="0" applyFont="1" applyFill="1" applyBorder="1"/>
    <xf numFmtId="0" fontId="12" fillId="0" borderId="0" xfId="0" applyFont="1" applyFill="1" applyBorder="1"/>
    <xf numFmtId="1" fontId="11" fillId="0" borderId="0" xfId="0" applyNumberFormat="1" applyFont="1" applyFill="1" applyBorder="1"/>
    <xf numFmtId="164" fontId="5" fillId="0" borderId="0" xfId="0" applyNumberFormat="1" applyFont="1" applyFill="1" applyBorder="1"/>
    <xf numFmtId="172" fontId="8" fillId="4" borderId="0" xfId="18" applyNumberFormat="1" applyFont="1" applyFill="1" applyBorder="1" applyAlignment="1">
      <alignment horizontal="right"/>
    </xf>
    <xf numFmtId="169" fontId="8" fillId="4" borderId="0" xfId="0" applyNumberFormat="1" applyFont="1" applyFill="1" applyBorder="1" applyAlignment="1">
      <alignment horizontal="right"/>
    </xf>
    <xf numFmtId="164" fontId="8" fillId="4" borderId="0" xfId="18" applyNumberFormat="1" applyFont="1" applyFill="1" applyBorder="1" applyAlignment="1">
      <alignment horizontal="right"/>
    </xf>
    <xf numFmtId="0" fontId="0" fillId="7" borderId="0" xfId="0" applyFill="1"/>
    <xf numFmtId="169" fontId="8" fillId="0" borderId="0" xfId="0" applyNumberFormat="1" applyFont="1" applyFill="1" applyBorder="1"/>
    <xf numFmtId="172" fontId="5" fillId="0" borderId="0" xfId="0" applyNumberFormat="1" applyFont="1" applyFill="1" applyBorder="1" applyAlignment="1">
      <alignment horizontal="left"/>
    </xf>
    <xf numFmtId="164" fontId="8" fillId="4" borderId="0" xfId="0" applyNumberFormat="1" applyFont="1" applyFill="1" applyBorder="1"/>
    <xf numFmtId="10" fontId="8" fillId="4" borderId="0" xfId="0" applyNumberFormat="1" applyFont="1" applyFill="1" applyBorder="1"/>
    <xf numFmtId="1" fontId="8" fillId="4" borderId="0" xfId="0" applyNumberFormat="1" applyFont="1" applyFill="1" applyBorder="1"/>
    <xf numFmtId="169" fontId="5" fillId="0" borderId="0" xfId="0" applyNumberFormat="1" applyFont="1" applyFill="1" applyBorder="1" applyAlignment="1">
      <alignment horizontal="right"/>
    </xf>
    <xf numFmtId="0" fontId="3" fillId="6" borderId="7" xfId="0" applyFont="1" applyFill="1" applyBorder="1"/>
    <xf numFmtId="171" fontId="10" fillId="6" borderId="7" xfId="0" applyNumberFormat="1" applyFont="1" applyFill="1" applyBorder="1" applyAlignment="1">
      <alignment horizontal="center"/>
    </xf>
    <xf numFmtId="0" fontId="10" fillId="6" borderId="7" xfId="0" applyFont="1" applyFill="1" applyBorder="1"/>
    <xf numFmtId="0" fontId="5" fillId="0" borderId="3" xfId="0" applyFont="1" applyFill="1" applyBorder="1" applyAlignment="1">
      <alignment horizontal="centerContinuous"/>
    </xf>
    <xf numFmtId="0" fontId="12" fillId="8" borderId="10" xfId="0" applyFont="1" applyFill="1" applyBorder="1" applyAlignment="1">
      <alignment horizontal="centerContinuous"/>
    </xf>
    <xf numFmtId="0" fontId="0" fillId="8" borderId="3" xfId="0" applyFill="1" applyBorder="1" applyAlignment="1">
      <alignment horizontal="centerContinuous"/>
    </xf>
    <xf numFmtId="1" fontId="12" fillId="0" borderId="0" xfId="0" applyNumberFormat="1" applyFont="1" applyFill="1" applyAlignment="1">
      <alignment horizontal="right"/>
    </xf>
    <xf numFmtId="1" fontId="0" fillId="0" borderId="0" xfId="0" applyNumberFormat="1" applyFill="1" applyBorder="1"/>
    <xf numFmtId="0" fontId="5" fillId="0" borderId="3" xfId="0" applyFont="1" applyFill="1" applyBorder="1"/>
    <xf numFmtId="172" fontId="5" fillId="0" borderId="3" xfId="0" applyNumberFormat="1" applyFont="1" applyFill="1" applyBorder="1"/>
    <xf numFmtId="169" fontId="8" fillId="4" borderId="0" xfId="0" applyNumberFormat="1" applyFont="1" applyFill="1"/>
    <xf numFmtId="169" fontId="0" fillId="0" borderId="0" xfId="0" applyNumberFormat="1" applyFill="1" applyBorder="1"/>
    <xf numFmtId="0" fontId="5" fillId="0" borderId="0" xfId="0" applyFont="1" applyAlignment="1">
      <alignment horizontal="left" indent="1"/>
    </xf>
    <xf numFmtId="169" fontId="5" fillId="0" borderId="0" xfId="0" applyNumberFormat="1" applyFont="1" applyFill="1" applyBorder="1"/>
    <xf numFmtId="0" fontId="5" fillId="0" borderId="0" xfId="0" applyFont="1" applyFill="1" applyAlignment="1">
      <alignment horizontal="left" indent="1"/>
    </xf>
    <xf numFmtId="169" fontId="8" fillId="4" borderId="0" xfId="0" applyNumberFormat="1" applyFont="1" applyFill="1" applyAlignment="1">
      <alignment horizontal="right"/>
    </xf>
    <xf numFmtId="0" fontId="5" fillId="0" borderId="0" xfId="0" applyFont="1" applyFill="1" applyBorder="1" applyAlignment="1">
      <alignment horizontal="left" indent="1"/>
    </xf>
    <xf numFmtId="169" fontId="12" fillId="0" borderId="0" xfId="0" applyNumberFormat="1" applyFont="1" applyFill="1" applyBorder="1" applyAlignment="1">
      <alignment horizontal="right"/>
    </xf>
    <xf numFmtId="0" fontId="12" fillId="7" borderId="0" xfId="0" applyFont="1" applyFill="1"/>
    <xf numFmtId="169" fontId="12" fillId="0" borderId="0" xfId="0" applyNumberFormat="1" applyFont="1" applyFill="1" applyBorder="1"/>
    <xf numFmtId="169" fontId="8" fillId="4" borderId="0" xfId="34" applyNumberFormat="1" applyFont="1" applyFill="1" applyBorder="1" applyAlignment="1">
      <alignment horizontal="right"/>
    </xf>
    <xf numFmtId="0" fontId="14" fillId="0" borderId="0" xfId="0" applyFont="1" applyFill="1" applyBorder="1" applyAlignment="1">
      <alignment horizontal="left" indent="1"/>
    </xf>
    <xf numFmtId="0" fontId="12" fillId="0" borderId="3" xfId="0" applyFont="1" applyFill="1" applyBorder="1"/>
    <xf numFmtId="0" fontId="0" fillId="0" borderId="3" xfId="0" applyFill="1" applyBorder="1"/>
    <xf numFmtId="0" fontId="14" fillId="0" borderId="0" xfId="0" applyFont="1" applyFill="1" applyBorder="1"/>
    <xf numFmtId="0" fontId="14" fillId="7" borderId="0" xfId="0" applyFont="1" applyFill="1"/>
    <xf numFmtId="169" fontId="12" fillId="0" borderId="3" xfId="0" applyNumberFormat="1" applyFont="1" applyFill="1" applyBorder="1" applyAlignment="1">
      <alignment horizontal="right"/>
    </xf>
    <xf numFmtId="169" fontId="5" fillId="0" borderId="0" xfId="34" applyNumberFormat="1" applyFont="1" applyFill="1" applyBorder="1" applyAlignment="1">
      <alignment horizontal="right"/>
    </xf>
    <xf numFmtId="164" fontId="12" fillId="0" borderId="0" xfId="0" applyNumberFormat="1" applyFont="1" applyFill="1" applyBorder="1"/>
    <xf numFmtId="164" fontId="12" fillId="0" borderId="3" xfId="0" applyNumberFormat="1" applyFont="1" applyFill="1" applyBorder="1"/>
    <xf numFmtId="169" fontId="5" fillId="0" borderId="3" xfId="0" applyNumberFormat="1" applyFont="1" applyFill="1" applyBorder="1"/>
    <xf numFmtId="164" fontId="0" fillId="0" borderId="0" xfId="0" applyNumberFormat="1" applyFill="1" applyBorder="1"/>
    <xf numFmtId="164" fontId="14" fillId="0" borderId="0" xfId="0" applyNumberFormat="1" applyFont="1" applyFill="1" applyBorder="1"/>
    <xf numFmtId="172" fontId="10" fillId="6" borderId="7" xfId="0" applyNumberFormat="1" applyFont="1" applyFill="1" applyBorder="1" applyAlignment="1">
      <alignment horizontal="right"/>
    </xf>
    <xf numFmtId="173" fontId="5" fillId="0" borderId="0" xfId="34" applyNumberFormat="1" applyFont="1" applyFill="1" applyBorder="1" applyAlignment="1">
      <alignment horizontal="right"/>
    </xf>
    <xf numFmtId="173" fontId="5" fillId="0" borderId="0" xfId="34" applyNumberFormat="1" applyFont="1" applyFill="1" applyBorder="1"/>
    <xf numFmtId="171" fontId="0" fillId="0" borderId="0" xfId="0" applyNumberFormat="1" applyFill="1" applyBorder="1"/>
    <xf numFmtId="173" fontId="0" fillId="0" borderId="0" xfId="0" applyNumberFormat="1" applyFill="1" applyBorder="1"/>
    <xf numFmtId="0" fontId="3" fillId="6" borderId="7" xfId="0" applyFont="1" applyFill="1" applyBorder="1" applyAlignment="1">
      <alignment horizontal="left"/>
    </xf>
    <xf numFmtId="169" fontId="3" fillId="6" borderId="7" xfId="0" applyNumberFormat="1" applyFont="1" applyFill="1" applyBorder="1"/>
    <xf numFmtId="169" fontId="15" fillId="6" borderId="7" xfId="0" applyNumberFormat="1" applyFont="1" applyFill="1" applyBorder="1"/>
    <xf numFmtId="0" fontId="5" fillId="0" borderId="3" xfId="0" applyFont="1" applyFill="1" applyBorder="1" applyAlignment="1">
      <alignment horizontal="left"/>
    </xf>
    <xf numFmtId="174" fontId="12" fillId="0" borderId="3" xfId="0" applyNumberFormat="1" applyFont="1" applyFill="1" applyBorder="1"/>
    <xf numFmtId="0" fontId="12" fillId="0" borderId="0" xfId="0" applyFont="1" applyFill="1" applyBorder="1" applyAlignment="1">
      <alignment horizontal="left"/>
    </xf>
    <xf numFmtId="169" fontId="8" fillId="4" borderId="3" xfId="0" applyNumberFormat="1" applyFont="1" applyFill="1" applyBorder="1" applyAlignment="1">
      <alignment horizontal="right"/>
    </xf>
    <xf numFmtId="0" fontId="14" fillId="0" borderId="0" xfId="0" applyFont="1" applyFill="1"/>
    <xf numFmtId="0" fontId="12" fillId="0" borderId="0" xfId="0" applyFont="1" applyFill="1"/>
    <xf numFmtId="172" fontId="12" fillId="0" borderId="0" xfId="0" applyNumberFormat="1" applyFont="1" applyFill="1" applyAlignment="1">
      <alignment horizontal="right"/>
    </xf>
    <xf numFmtId="1" fontId="12" fillId="0" borderId="3" xfId="0" applyNumberFormat="1" applyFont="1" applyFill="1" applyBorder="1" applyAlignment="1">
      <alignment horizontal="right"/>
    </xf>
    <xf numFmtId="1" fontId="12" fillId="0" borderId="0" xfId="0" applyNumberFormat="1" applyFont="1" applyFill="1" applyBorder="1" applyAlignment="1">
      <alignment horizontal="right"/>
    </xf>
    <xf numFmtId="171" fontId="5" fillId="0" borderId="0" xfId="0" applyNumberFormat="1" applyFont="1" applyFill="1" applyBorder="1" applyAlignment="1">
      <alignment horizontal="right"/>
    </xf>
    <xf numFmtId="169" fontId="14" fillId="0" borderId="0" xfId="0" applyNumberFormat="1" applyFont="1" applyFill="1" applyAlignment="1">
      <alignment horizontal="right"/>
    </xf>
    <xf numFmtId="175" fontId="8" fillId="4" borderId="0" xfId="0" applyNumberFormat="1" applyFont="1" applyFill="1" applyAlignment="1">
      <alignment horizontal="right"/>
    </xf>
    <xf numFmtId="0" fontId="5" fillId="0" borderId="3" xfId="0" applyFont="1" applyFill="1" applyBorder="1" applyAlignment="1">
      <alignment horizontal="left" indent="1"/>
    </xf>
    <xf numFmtId="175" fontId="8" fillId="4" borderId="3" xfId="0" applyNumberFormat="1" applyFont="1" applyFill="1" applyBorder="1" applyAlignment="1">
      <alignment horizontal="right"/>
    </xf>
    <xf numFmtId="169" fontId="5" fillId="0" borderId="0" xfId="0" applyNumberFormat="1" applyFont="1" applyFill="1" applyAlignment="1">
      <alignment horizontal="right"/>
    </xf>
    <xf numFmtId="169" fontId="14" fillId="0" borderId="0" xfId="0" applyNumberFormat="1" applyFont="1" applyFill="1" applyBorder="1"/>
    <xf numFmtId="0" fontId="12" fillId="0" borderId="3" xfId="0" applyFont="1" applyBorder="1"/>
    <xf numFmtId="0" fontId="5" fillId="0" borderId="3" xfId="0" applyFont="1" applyBorder="1"/>
    <xf numFmtId="0" fontId="5" fillId="0" borderId="0" xfId="0" applyFont="1" applyBorder="1"/>
    <xf numFmtId="169" fontId="0" fillId="0" borderId="3" xfId="0" applyNumberFormat="1" applyBorder="1"/>
    <xf numFmtId="169" fontId="8" fillId="4" borderId="3" xfId="0" applyNumberFormat="1" applyFont="1" applyFill="1" applyBorder="1"/>
    <xf numFmtId="169" fontId="0" fillId="0" borderId="0" xfId="0" applyNumberFormat="1"/>
    <xf numFmtId="169" fontId="0" fillId="0" borderId="0" xfId="0" applyNumberFormat="1" applyBorder="1"/>
    <xf numFmtId="0" fontId="5" fillId="0" borderId="0" xfId="0" applyFont="1"/>
    <xf numFmtId="164" fontId="8" fillId="4" borderId="0" xfId="0" applyNumberFormat="1" applyFont="1" applyFill="1"/>
    <xf numFmtId="171" fontId="5" fillId="0" borderId="0" xfId="34" applyNumberFormat="1" applyFont="1" applyFill="1"/>
    <xf numFmtId="169" fontId="0" fillId="0" borderId="3" xfId="0" applyNumberFormat="1" applyFill="1" applyBorder="1"/>
    <xf numFmtId="169" fontId="12" fillId="0" borderId="3" xfId="0" applyNumberFormat="1" applyFont="1" applyBorder="1"/>
    <xf numFmtId="169" fontId="10" fillId="6" borderId="7" xfId="0" applyNumberFormat="1" applyFont="1" applyFill="1" applyBorder="1"/>
    <xf numFmtId="169" fontId="10" fillId="6" borderId="0" xfId="0" applyNumberFormat="1" applyFont="1" applyFill="1" applyBorder="1"/>
    <xf numFmtId="0" fontId="3" fillId="0" borderId="0" xfId="0" applyFont="1" applyFill="1" applyBorder="1"/>
    <xf numFmtId="169" fontId="10" fillId="0" borderId="0" xfId="0" applyNumberFormat="1" applyFont="1" applyFill="1" applyBorder="1"/>
    <xf numFmtId="172" fontId="12" fillId="0" borderId="3" xfId="0" applyNumberFormat="1" applyFont="1" applyFill="1" applyBorder="1" applyAlignment="1">
      <alignment horizontal="right"/>
    </xf>
    <xf numFmtId="0" fontId="5" fillId="0" borderId="0" xfId="0" applyFont="1" applyFill="1" applyAlignment="1">
      <alignment horizontal="right"/>
    </xf>
    <xf numFmtId="0" fontId="12" fillId="0" borderId="0" xfId="0" applyFont="1"/>
    <xf numFmtId="169" fontId="16" fillId="0" borderId="0" xfId="0" applyNumberFormat="1" applyFont="1" applyAlignment="1">
      <alignment horizontal="center"/>
    </xf>
    <xf numFmtId="0" fontId="0" fillId="0" borderId="0" xfId="0" applyBorder="1"/>
    <xf numFmtId="171" fontId="8" fillId="4" borderId="11" xfId="34" applyNumberFormat="1" applyFont="1" applyFill="1" applyBorder="1" applyAlignment="1">
      <alignment horizontal="center"/>
    </xf>
    <xf numFmtId="169" fontId="0" fillId="0" borderId="12" xfId="0" applyNumberFormat="1" applyBorder="1"/>
    <xf numFmtId="0" fontId="5" fillId="0" borderId="13" xfId="0" applyFont="1" applyBorder="1"/>
    <xf numFmtId="169" fontId="5" fillId="0" borderId="13" xfId="0" applyNumberFormat="1" applyFont="1" applyBorder="1"/>
    <xf numFmtId="0" fontId="12" fillId="0" borderId="13" xfId="0" applyFont="1" applyFill="1" applyBorder="1"/>
    <xf numFmtId="169" fontId="12" fillId="0" borderId="13" xfId="0" applyNumberFormat="1" applyFont="1" applyFill="1" applyBorder="1"/>
    <xf numFmtId="171" fontId="8" fillId="4" borderId="0" xfId="0" applyNumberFormat="1" applyFont="1" applyFill="1" applyBorder="1"/>
    <xf numFmtId="0" fontId="3" fillId="6" borderId="0" xfId="0" applyFont="1" applyFill="1" applyBorder="1" applyAlignment="1">
      <alignment horizontal="left"/>
    </xf>
    <xf numFmtId="169" fontId="3" fillId="6" borderId="0" xfId="0" applyNumberFormat="1" applyFont="1" applyFill="1" applyBorder="1"/>
    <xf numFmtId="169" fontId="15" fillId="6" borderId="0" xfId="0" applyNumberFormat="1" applyFont="1" applyFill="1" applyBorder="1"/>
    <xf numFmtId="172" fontId="12" fillId="0" borderId="3" xfId="0" applyNumberFormat="1" applyFont="1" applyFill="1" applyBorder="1"/>
    <xf numFmtId="0" fontId="12" fillId="0" borderId="3" xfId="0" applyFont="1" applyFill="1" applyBorder="1" applyAlignment="1">
      <alignment horizontal="left"/>
    </xf>
    <xf numFmtId="167" fontId="0" fillId="0" borderId="0" xfId="0" applyNumberFormat="1" applyFill="1" applyBorder="1"/>
    <xf numFmtId="176" fontId="0" fillId="0" borderId="0" xfId="0" applyNumberFormat="1" applyFill="1" applyBorder="1"/>
    <xf numFmtId="9" fontId="5" fillId="0" borderId="3" xfId="34" applyFont="1" applyFill="1" applyBorder="1"/>
    <xf numFmtId="0" fontId="0" fillId="0" borderId="3" xfId="0" applyFill="1" applyBorder="1" applyAlignment="1">
      <alignment horizontal="centerContinuous"/>
    </xf>
    <xf numFmtId="177" fontId="0" fillId="0" borderId="0" xfId="0" applyNumberFormat="1" applyFill="1" applyBorder="1"/>
    <xf numFmtId="0" fontId="17" fillId="0" borderId="0" xfId="0" applyFont="1" applyAlignment="1">
      <alignment horizontal="right" readingOrder="1"/>
    </xf>
    <xf numFmtId="0" fontId="29" fillId="0" borderId="0" xfId="26" applyFont="1" applyFill="1" applyBorder="1"/>
    <xf numFmtId="0" fontId="28" fillId="0" borderId="0" xfId="26"/>
    <xf numFmtId="0" fontId="30" fillId="0" borderId="0" xfId="26" applyFont="1" applyFill="1" applyBorder="1"/>
    <xf numFmtId="0" fontId="31" fillId="0" borderId="0" xfId="26" applyFont="1"/>
    <xf numFmtId="0" fontId="32" fillId="0" borderId="0" xfId="26" applyFont="1" applyAlignment="1">
      <alignment horizontal="right"/>
    </xf>
    <xf numFmtId="0" fontId="31" fillId="0" borderId="3" xfId="26" applyFont="1" applyBorder="1"/>
    <xf numFmtId="17" fontId="32" fillId="0" borderId="3" xfId="13" applyFont="1" applyBorder="1" applyAlignment="1">
      <alignment horizontal="right"/>
    </xf>
    <xf numFmtId="194" fontId="28" fillId="0" borderId="0" xfId="7" applyNumberFormat="1" applyFont="1" applyBorder="1" applyAlignment="1">
      <alignment horizontal="right"/>
    </xf>
    <xf numFmtId="0" fontId="32" fillId="0" borderId="3" xfId="26" applyFont="1" applyBorder="1" applyAlignment="1">
      <alignment horizontal="right"/>
    </xf>
    <xf numFmtId="195" fontId="35" fillId="0" borderId="0" xfId="29" applyNumberFormat="1" applyFont="1"/>
    <xf numFmtId="196" fontId="0" fillId="0" borderId="0" xfId="3" applyNumberFormat="1" applyFont="1" applyFill="1"/>
    <xf numFmtId="196" fontId="35" fillId="0" borderId="0" xfId="3" applyNumberFormat="1" applyFont="1" applyFill="1"/>
    <xf numFmtId="195" fontId="35" fillId="0" borderId="3" xfId="29" applyNumberFormat="1" applyFont="1" applyBorder="1"/>
    <xf numFmtId="195" fontId="0" fillId="0" borderId="0" xfId="29" applyNumberFormat="1" applyFont="1"/>
    <xf numFmtId="0" fontId="32" fillId="5" borderId="13" xfId="26" applyFont="1" applyFill="1" applyBorder="1"/>
    <xf numFmtId="194" fontId="0" fillId="5" borderId="13" xfId="7" applyNumberFormat="1" applyFont="1" applyFill="1" applyBorder="1"/>
    <xf numFmtId="0" fontId="32" fillId="5" borderId="0" xfId="26" applyFont="1" applyFill="1" applyBorder="1"/>
    <xf numFmtId="196" fontId="0" fillId="5" borderId="0" xfId="3" applyNumberFormat="1" applyFont="1" applyFill="1" applyBorder="1"/>
    <xf numFmtId="0" fontId="32" fillId="5" borderId="3" xfId="26" applyFont="1" applyFill="1" applyBorder="1"/>
    <xf numFmtId="196" fontId="35" fillId="5" borderId="3" xfId="3" applyNumberFormat="1" applyFont="1" applyFill="1" applyBorder="1"/>
    <xf numFmtId="196" fontId="0" fillId="5" borderId="3" xfId="3" applyNumberFormat="1" applyFont="1" applyFill="1" applyBorder="1"/>
    <xf numFmtId="197" fontId="0" fillId="0" borderId="0" xfId="37" applyNumberFormat="1" applyFont="1"/>
    <xf numFmtId="165" fontId="35" fillId="0" borderId="0" xfId="3" applyNumberFormat="1" applyFont="1" applyFill="1"/>
    <xf numFmtId="165" fontId="0" fillId="0" borderId="0" xfId="3" applyNumberFormat="1" applyFont="1" applyFill="1"/>
    <xf numFmtId="0" fontId="0" fillId="9" borderId="0" xfId="0" applyFill="1" applyAlignment="1">
      <alignment vertical="center"/>
    </xf>
    <xf numFmtId="0" fontId="44" fillId="9" borderId="0" xfId="0" applyFont="1" applyFill="1"/>
    <xf numFmtId="0" fontId="0" fillId="9" borderId="0" xfId="0" applyFill="1"/>
    <xf numFmtId="0" fontId="45" fillId="9" borderId="0" xfId="0" applyFont="1" applyFill="1" applyAlignment="1">
      <alignment vertical="center"/>
    </xf>
    <xf numFmtId="0" fontId="46" fillId="9" borderId="0" xfId="41" applyFont="1" applyFill="1" applyAlignment="1">
      <alignment horizontal="left" vertical="center" indent="1"/>
    </xf>
    <xf numFmtId="205" fontId="47" fillId="9" borderId="0" xfId="0" applyNumberFormat="1" applyFont="1" applyFill="1" applyAlignment="1">
      <alignment horizontal="left" vertical="center"/>
    </xf>
    <xf numFmtId="0" fontId="48" fillId="9" borderId="0" xfId="0" applyFont="1" applyFill="1"/>
    <xf numFmtId="0" fontId="42" fillId="9" borderId="0" xfId="0" applyFont="1" applyFill="1"/>
    <xf numFmtId="0" fontId="42" fillId="9" borderId="0" xfId="0" applyFont="1" applyFill="1" applyAlignment="1">
      <alignment horizontal="left" indent="1"/>
    </xf>
    <xf numFmtId="0" fontId="49" fillId="9" borderId="0" xfId="0" applyFont="1" applyFill="1"/>
    <xf numFmtId="0" fontId="5" fillId="9" borderId="0" xfId="0" applyFont="1" applyFill="1" applyBorder="1"/>
    <xf numFmtId="0" fontId="42" fillId="9" borderId="0" xfId="0" applyFont="1" applyFill="1" applyAlignment="1">
      <alignment horizontal="left"/>
    </xf>
    <xf numFmtId="0" fontId="5" fillId="9" borderId="0" xfId="0" applyFont="1" applyFill="1" applyBorder="1" applyAlignment="1">
      <alignment horizontal="left"/>
    </xf>
    <xf numFmtId="0" fontId="50" fillId="10" borderId="0" xfId="0" applyFont="1" applyFill="1"/>
    <xf numFmtId="0" fontId="48" fillId="10" borderId="0" xfId="0" applyFont="1" applyFill="1"/>
    <xf numFmtId="0" fontId="39" fillId="9" borderId="7" xfId="0" applyFont="1" applyFill="1" applyBorder="1"/>
    <xf numFmtId="0" fontId="0" fillId="9" borderId="7" xfId="0" applyFill="1" applyBorder="1"/>
    <xf numFmtId="0" fontId="8" fillId="9" borderId="4" xfId="18" applyNumberFormat="1" applyFont="1" applyFill="1" applyBorder="1" applyAlignment="1">
      <alignment horizontal="center"/>
    </xf>
    <xf numFmtId="0" fontId="5" fillId="9" borderId="0" xfId="0" applyFont="1" applyFill="1"/>
    <xf numFmtId="206" fontId="8" fillId="9" borderId="0" xfId="18" applyNumberFormat="1" applyFont="1" applyFill="1" applyBorder="1" applyAlignment="1">
      <alignment horizontal="right"/>
    </xf>
    <xf numFmtId="169" fontId="8" fillId="9" borderId="0" xfId="18" applyNumberFormat="1" applyFont="1" applyFill="1" applyBorder="1" applyAlignment="1">
      <alignment horizontal="right"/>
    </xf>
    <xf numFmtId="0" fontId="5" fillId="9" borderId="16" xfId="0" applyFont="1" applyFill="1" applyBorder="1" applyAlignment="1">
      <alignment horizontal="centerContinuous"/>
    </xf>
    <xf numFmtId="0" fontId="12" fillId="9" borderId="10" xfId="0" applyFont="1" applyFill="1" applyBorder="1" applyAlignment="1">
      <alignment horizontal="centerContinuous"/>
    </xf>
    <xf numFmtId="0" fontId="0" fillId="9" borderId="3" xfId="0" applyFill="1" applyBorder="1" applyAlignment="1">
      <alignment horizontal="centerContinuous"/>
    </xf>
    <xf numFmtId="0" fontId="12" fillId="9" borderId="0" xfId="24" applyFont="1" applyFill="1" applyBorder="1"/>
    <xf numFmtId="193" fontId="12" fillId="9" borderId="8" xfId="0" applyNumberFormat="1" applyFont="1" applyFill="1" applyBorder="1" applyAlignment="1">
      <alignment horizontal="right"/>
    </xf>
    <xf numFmtId="193" fontId="12" fillId="9" borderId="13" xfId="0" applyNumberFormat="1" applyFont="1" applyFill="1" applyBorder="1" applyAlignment="1">
      <alignment horizontal="right"/>
    </xf>
    <xf numFmtId="0" fontId="12" fillId="9" borderId="3" xfId="24" applyFont="1" applyFill="1" applyBorder="1"/>
    <xf numFmtId="169" fontId="0" fillId="9" borderId="0" xfId="0" applyNumberFormat="1" applyFill="1" applyBorder="1"/>
    <xf numFmtId="9" fontId="37" fillId="9" borderId="0" xfId="0" applyNumberFormat="1" applyFont="1" applyFill="1"/>
    <xf numFmtId="0" fontId="5" fillId="9" borderId="0" xfId="0" applyFont="1" applyFill="1" applyAlignment="1">
      <alignment horizontal="left"/>
    </xf>
    <xf numFmtId="0" fontId="12" fillId="9" borderId="0" xfId="0" applyFont="1" applyFill="1" applyBorder="1"/>
    <xf numFmtId="0" fontId="0" fillId="9" borderId="14" xfId="0" applyFill="1" applyBorder="1"/>
    <xf numFmtId="0" fontId="12" fillId="9" borderId="3" xfId="0" applyFont="1" applyFill="1" applyBorder="1"/>
    <xf numFmtId="0" fontId="0" fillId="9" borderId="17" xfId="0" applyFill="1" applyBorder="1"/>
    <xf numFmtId="0" fontId="0" fillId="9" borderId="3" xfId="0" applyFill="1" applyBorder="1"/>
    <xf numFmtId="0" fontId="5" fillId="9" borderId="3" xfId="0" applyFont="1" applyFill="1" applyBorder="1" applyAlignment="1">
      <alignment horizontal="left"/>
    </xf>
    <xf numFmtId="0" fontId="12" fillId="9" borderId="0" xfId="0" applyFont="1" applyFill="1" applyBorder="1" applyAlignment="1">
      <alignment horizontal="left"/>
    </xf>
    <xf numFmtId="0" fontId="5" fillId="9" borderId="0" xfId="0" applyFont="1" applyFill="1" applyBorder="1" applyAlignment="1">
      <alignment horizontal="left" indent="1"/>
    </xf>
    <xf numFmtId="0" fontId="14" fillId="9" borderId="0" xfId="0" applyFont="1" applyFill="1"/>
    <xf numFmtId="0" fontId="12" fillId="9" borderId="0" xfId="0" applyFont="1" applyFill="1"/>
    <xf numFmtId="169" fontId="0" fillId="9" borderId="0" xfId="0" applyNumberFormat="1" applyFill="1"/>
    <xf numFmtId="174" fontId="12" fillId="9" borderId="3" xfId="0" applyNumberFormat="1" applyFont="1" applyFill="1" applyBorder="1"/>
    <xf numFmtId="169" fontId="14" fillId="9" borderId="0" xfId="0" applyNumberFormat="1" applyFont="1" applyFill="1" applyBorder="1"/>
    <xf numFmtId="1" fontId="12" fillId="9" borderId="0" xfId="0" applyNumberFormat="1" applyFont="1" applyFill="1" applyAlignment="1">
      <alignment horizontal="right"/>
    </xf>
    <xf numFmtId="0" fontId="5" fillId="9" borderId="3" xfId="0" applyFont="1" applyFill="1" applyBorder="1"/>
    <xf numFmtId="0" fontId="0" fillId="9" borderId="0" xfId="0" applyFill="1" applyBorder="1"/>
    <xf numFmtId="0" fontId="3" fillId="9" borderId="0" xfId="0" applyFont="1" applyFill="1" applyBorder="1"/>
    <xf numFmtId="169" fontId="12" fillId="9" borderId="3" xfId="0" applyNumberFormat="1" applyFont="1" applyFill="1" applyBorder="1"/>
    <xf numFmtId="169" fontId="16" fillId="9" borderId="0" xfId="0" applyNumberFormat="1" applyFont="1" applyFill="1" applyBorder="1" applyAlignment="1">
      <alignment horizontal="center"/>
    </xf>
    <xf numFmtId="0" fontId="12" fillId="9" borderId="8" xfId="0" applyFont="1" applyFill="1" applyBorder="1"/>
    <xf numFmtId="0" fontId="27" fillId="9" borderId="18" xfId="0" applyFont="1" applyFill="1" applyBorder="1"/>
    <xf numFmtId="0" fontId="27" fillId="9" borderId="15" xfId="0" applyFont="1" applyFill="1" applyBorder="1"/>
    <xf numFmtId="0" fontId="5" fillId="9" borderId="8" xfId="0" applyFont="1" applyFill="1" applyBorder="1"/>
    <xf numFmtId="0" fontId="5" fillId="9" borderId="15" xfId="0" applyFont="1" applyFill="1" applyBorder="1"/>
    <xf numFmtId="0" fontId="37" fillId="9" borderId="0" xfId="0" applyFont="1" applyFill="1"/>
    <xf numFmtId="0" fontId="42" fillId="9" borderId="0" xfId="0" applyFont="1" applyFill="1" applyAlignment="1"/>
    <xf numFmtId="207" fontId="42" fillId="9" borderId="0" xfId="0" applyNumberFormat="1" applyFont="1" applyFill="1" applyAlignment="1"/>
    <xf numFmtId="0" fontId="50" fillId="10" borderId="0" xfId="0" applyFont="1" applyFill="1" applyAlignment="1"/>
    <xf numFmtId="10" fontId="42" fillId="9" borderId="0" xfId="0" applyNumberFormat="1" applyFont="1" applyFill="1" applyAlignment="1"/>
    <xf numFmtId="10" fontId="42" fillId="9" borderId="20" xfId="0" applyNumberFormat="1" applyFont="1" applyFill="1" applyBorder="1" applyAlignment="1"/>
    <xf numFmtId="10" fontId="42" fillId="9" borderId="21" xfId="0" applyNumberFormat="1" applyFont="1" applyFill="1" applyBorder="1" applyAlignment="1"/>
    <xf numFmtId="0" fontId="42" fillId="9" borderId="21" xfId="0" applyFont="1" applyFill="1" applyBorder="1" applyAlignment="1"/>
    <xf numFmtId="0" fontId="48" fillId="10" borderId="0" xfId="0" applyFont="1" applyFill="1" applyAlignment="1"/>
    <xf numFmtId="0" fontId="4" fillId="9" borderId="0" xfId="0" applyFont="1" applyFill="1"/>
    <xf numFmtId="0" fontId="4" fillId="9" borderId="0" xfId="0" applyFont="1" applyFill="1" applyBorder="1" applyAlignment="1">
      <alignment horizontal="left" indent="1"/>
    </xf>
    <xf numFmtId="0" fontId="4" fillId="9" borderId="0" xfId="0" applyFont="1" applyFill="1" applyAlignment="1">
      <alignment horizontal="left" indent="1"/>
    </xf>
    <xf numFmtId="9" fontId="42" fillId="9" borderId="21" xfId="0" applyNumberFormat="1" applyFont="1" applyFill="1" applyBorder="1" applyAlignment="1"/>
    <xf numFmtId="15" fontId="49" fillId="9" borderId="0" xfId="0" applyNumberFormat="1" applyFont="1" applyFill="1" applyAlignment="1">
      <alignment horizontal="left"/>
    </xf>
    <xf numFmtId="0" fontId="49" fillId="9" borderId="0" xfId="0" applyFont="1" applyFill="1" applyAlignment="1">
      <alignment horizontal="left"/>
    </xf>
    <xf numFmtId="0" fontId="51" fillId="10" borderId="0" xfId="0" applyFont="1" applyFill="1" applyAlignment="1">
      <alignment horizontal="left"/>
    </xf>
    <xf numFmtId="0" fontId="52" fillId="10" borderId="0" xfId="0" applyFont="1" applyFill="1" applyAlignment="1">
      <alignment horizontal="left"/>
    </xf>
    <xf numFmtId="10" fontId="42" fillId="9" borderId="20" xfId="40" applyNumberFormat="1" applyFont="1" applyFill="1" applyBorder="1" applyAlignment="1">
      <alignment horizontal="right"/>
    </xf>
    <xf numFmtId="0" fontId="42" fillId="9" borderId="21" xfId="0" applyFont="1" applyFill="1" applyBorder="1" applyAlignment="1">
      <alignment horizontal="right"/>
    </xf>
    <xf numFmtId="0" fontId="42" fillId="9" borderId="2" xfId="0" applyFont="1" applyFill="1" applyBorder="1" applyAlignment="1">
      <alignment horizontal="right"/>
    </xf>
    <xf numFmtId="9" fontId="42" fillId="9" borderId="20" xfId="0" applyNumberFormat="1" applyFont="1" applyFill="1" applyBorder="1" applyAlignment="1"/>
    <xf numFmtId="3" fontId="42" fillId="9" borderId="21" xfId="0" applyNumberFormat="1" applyFont="1" applyFill="1" applyBorder="1" applyAlignment="1"/>
    <xf numFmtId="0" fontId="43" fillId="9" borderId="0" xfId="41" applyFill="1" applyAlignment="1">
      <alignment horizontal="left" vertical="center" indent="1"/>
    </xf>
    <xf numFmtId="3" fontId="42" fillId="9" borderId="20" xfId="0" applyNumberFormat="1" applyFont="1" applyFill="1" applyBorder="1" applyAlignment="1">
      <alignment horizontal="right"/>
    </xf>
    <xf numFmtId="3" fontId="42" fillId="9" borderId="21" xfId="0" applyNumberFormat="1" applyFont="1" applyFill="1" applyBorder="1" applyAlignment="1">
      <alignment horizontal="right"/>
    </xf>
    <xf numFmtId="193" fontId="12" fillId="9" borderId="4" xfId="0" applyNumberFormat="1" applyFont="1" applyFill="1" applyBorder="1" applyAlignment="1">
      <alignment horizontal="right"/>
    </xf>
    <xf numFmtId="0" fontId="42" fillId="9" borderId="3" xfId="0" applyFont="1" applyFill="1" applyBorder="1" applyAlignment="1">
      <alignment horizontal="left" indent="1"/>
    </xf>
    <xf numFmtId="3" fontId="42" fillId="9" borderId="0" xfId="40" applyNumberFormat="1" applyFont="1" applyFill="1" applyBorder="1" applyAlignment="1"/>
    <xf numFmtId="0" fontId="49" fillId="9" borderId="13" xfId="0" applyFont="1" applyFill="1" applyBorder="1"/>
    <xf numFmtId="3" fontId="42" fillId="9" borderId="21" xfId="40" applyNumberFormat="1" applyFont="1" applyFill="1" applyBorder="1" applyAlignment="1"/>
    <xf numFmtId="3" fontId="49" fillId="9" borderId="21" xfId="0" applyNumberFormat="1" applyFont="1" applyFill="1" applyBorder="1" applyAlignment="1"/>
    <xf numFmtId="3" fontId="49" fillId="9" borderId="2" xfId="0" applyNumberFormat="1" applyFont="1" applyFill="1" applyBorder="1" applyAlignment="1"/>
    <xf numFmtId="3" fontId="49" fillId="9" borderId="2" xfId="40" applyNumberFormat="1" applyFont="1" applyFill="1" applyBorder="1" applyAlignment="1"/>
    <xf numFmtId="0" fontId="12" fillId="9" borderId="0" xfId="0" applyFont="1" applyFill="1" applyAlignment="1">
      <alignment horizontal="left"/>
    </xf>
    <xf numFmtId="9" fontId="38" fillId="9" borderId="0" xfId="0" applyNumberFormat="1" applyFont="1" applyFill="1"/>
    <xf numFmtId="208" fontId="12" fillId="9" borderId="14" xfId="0" applyNumberFormat="1" applyFont="1" applyFill="1" applyBorder="1"/>
    <xf numFmtId="208" fontId="12" fillId="9" borderId="0" xfId="0" applyNumberFormat="1" applyFont="1" applyFill="1" applyBorder="1"/>
    <xf numFmtId="208" fontId="5" fillId="9" borderId="14" xfId="0" applyNumberFormat="1" applyFont="1" applyFill="1" applyBorder="1"/>
    <xf numFmtId="208" fontId="0" fillId="9" borderId="0" xfId="0" applyNumberFormat="1" applyFill="1" applyBorder="1"/>
    <xf numFmtId="208" fontId="12" fillId="9" borderId="14" xfId="0" applyNumberFormat="1" applyFont="1" applyFill="1" applyBorder="1" applyAlignment="1">
      <alignment horizontal="right"/>
    </xf>
    <xf numFmtId="208" fontId="12" fillId="9" borderId="0" xfId="0" applyNumberFormat="1" applyFont="1" applyFill="1" applyBorder="1" applyAlignment="1">
      <alignment horizontal="right"/>
    </xf>
    <xf numFmtId="208" fontId="12" fillId="9" borderId="18" xfId="0" applyNumberFormat="1" applyFont="1" applyFill="1" applyBorder="1"/>
    <xf numFmtId="0" fontId="12" fillId="9" borderId="0" xfId="0" applyFont="1" applyFill="1" applyAlignment="1"/>
    <xf numFmtId="3" fontId="0" fillId="9" borderId="0" xfId="0" applyNumberFormat="1" applyFill="1"/>
    <xf numFmtId="208" fontId="5" fillId="9" borderId="0" xfId="0" applyNumberFormat="1" applyFont="1" applyFill="1" applyBorder="1"/>
    <xf numFmtId="208" fontId="5" fillId="9" borderId="18" xfId="0" applyNumberFormat="1" applyFont="1" applyFill="1" applyBorder="1"/>
    <xf numFmtId="0" fontId="0" fillId="9" borderId="0" xfId="0" applyFill="1" applyAlignment="1">
      <alignment horizontal="center"/>
    </xf>
    <xf numFmtId="0" fontId="5" fillId="9" borderId="17" xfId="0" applyFont="1" applyFill="1" applyBorder="1" applyAlignment="1">
      <alignment horizontal="right"/>
    </xf>
    <xf numFmtId="0" fontId="5" fillId="9" borderId="19" xfId="24" applyNumberFormat="1" applyFont="1" applyFill="1" applyBorder="1" applyAlignment="1">
      <alignment horizontal="right"/>
    </xf>
    <xf numFmtId="0" fontId="5" fillId="9" borderId="5" xfId="24" applyNumberFormat="1" applyFont="1" applyFill="1" applyBorder="1" applyAlignment="1">
      <alignment horizontal="right"/>
    </xf>
    <xf numFmtId="208" fontId="5" fillId="9" borderId="3" xfId="0" applyNumberFormat="1" applyFont="1" applyFill="1" applyBorder="1"/>
    <xf numFmtId="208" fontId="4" fillId="9" borderId="0" xfId="0" applyNumberFormat="1" applyFont="1" applyFill="1" applyAlignment="1">
      <alignment horizontal="right"/>
    </xf>
    <xf numFmtId="208" fontId="5" fillId="9" borderId="0" xfId="0" applyNumberFormat="1" applyFont="1" applyFill="1" applyBorder="1" applyAlignment="1">
      <alignment horizontal="right"/>
    </xf>
    <xf numFmtId="208" fontId="5" fillId="9" borderId="18" xfId="0" applyNumberFormat="1" applyFont="1" applyFill="1" applyBorder="1" applyAlignment="1">
      <alignment horizontal="right"/>
    </xf>
    <xf numFmtId="208" fontId="0" fillId="11" borderId="0" xfId="0" applyNumberFormat="1" applyFill="1" applyBorder="1"/>
    <xf numFmtId="0" fontId="4" fillId="9" borderId="3" xfId="0" applyFont="1" applyFill="1" applyBorder="1"/>
    <xf numFmtId="3" fontId="4" fillId="9" borderId="0" xfId="0" applyNumberFormat="1" applyFont="1" applyFill="1" applyBorder="1"/>
    <xf numFmtId="3" fontId="4" fillId="9" borderId="0" xfId="0" applyNumberFormat="1" applyFont="1" applyFill="1"/>
    <xf numFmtId="3" fontId="4" fillId="9" borderId="3" xfId="0" applyNumberFormat="1" applyFont="1" applyFill="1" applyBorder="1"/>
    <xf numFmtId="171" fontId="42" fillId="9" borderId="20" xfId="0" applyNumberFormat="1" applyFont="1" applyFill="1" applyBorder="1" applyAlignment="1"/>
    <xf numFmtId="9" fontId="37" fillId="9" borderId="0" xfId="0" applyNumberFormat="1" applyFont="1" applyFill="1" applyBorder="1"/>
    <xf numFmtId="0" fontId="4" fillId="9" borderId="0" xfId="0" applyFont="1" applyFill="1" applyAlignment="1">
      <alignment horizontal="left"/>
    </xf>
    <xf numFmtId="9" fontId="42" fillId="9" borderId="21" xfId="0" applyNumberFormat="1" applyFont="1" applyFill="1" applyBorder="1" applyAlignment="1">
      <alignment horizontal="right"/>
    </xf>
    <xf numFmtId="208" fontId="0" fillId="9" borderId="13" xfId="0" applyNumberFormat="1" applyFill="1" applyBorder="1"/>
    <xf numFmtId="208" fontId="0" fillId="9" borderId="3" xfId="0" applyNumberFormat="1" applyFill="1" applyBorder="1"/>
    <xf numFmtId="171" fontId="8" fillId="9" borderId="0" xfId="34" applyNumberFormat="1" applyFont="1" applyFill="1" applyBorder="1" applyAlignment="1">
      <alignment horizontal="center"/>
    </xf>
    <xf numFmtId="0" fontId="0" fillId="11" borderId="0" xfId="0" applyFill="1" applyBorder="1"/>
    <xf numFmtId="208" fontId="5" fillId="9" borderId="13" xfId="0" applyNumberFormat="1" applyFont="1" applyFill="1" applyBorder="1"/>
    <xf numFmtId="208" fontId="4" fillId="9" borderId="0" xfId="0" applyNumberFormat="1" applyFont="1" applyFill="1" applyBorder="1"/>
    <xf numFmtId="208" fontId="0" fillId="9" borderId="14" xfId="0" applyNumberFormat="1" applyFill="1" applyBorder="1"/>
    <xf numFmtId="208" fontId="0" fillId="9" borderId="18" xfId="0" applyNumberFormat="1" applyFill="1" applyBorder="1"/>
    <xf numFmtId="208" fontId="5" fillId="0" borderId="0" xfId="0" applyNumberFormat="1" applyFont="1" applyFill="1" applyBorder="1" applyAlignment="1">
      <alignment horizontal="right"/>
    </xf>
    <xf numFmtId="0" fontId="4" fillId="9" borderId="0" xfId="0" applyFont="1" applyFill="1" applyBorder="1" applyAlignment="1">
      <alignment horizontal="left"/>
    </xf>
    <xf numFmtId="208" fontId="53" fillId="9" borderId="0" xfId="0" applyNumberFormat="1" applyFont="1" applyFill="1" applyBorder="1"/>
    <xf numFmtId="3" fontId="0" fillId="9" borderId="0" xfId="0" applyNumberFormat="1" applyFill="1" applyBorder="1"/>
    <xf numFmtId="0" fontId="5" fillId="9" borderId="13" xfId="0" applyFont="1" applyFill="1" applyBorder="1" applyAlignment="1">
      <alignment horizontal="left" indent="1"/>
    </xf>
    <xf numFmtId="208" fontId="4" fillId="9" borderId="13" xfId="0" applyNumberFormat="1" applyFont="1" applyFill="1" applyBorder="1"/>
    <xf numFmtId="0" fontId="49" fillId="9" borderId="0" xfId="0" applyFont="1" applyFill="1" applyAlignment="1">
      <alignment horizontal="right"/>
    </xf>
    <xf numFmtId="0" fontId="54" fillId="9" borderId="8" xfId="0" applyFont="1" applyFill="1" applyBorder="1"/>
    <xf numFmtId="208" fontId="55" fillId="9" borderId="13" xfId="0" applyNumberFormat="1" applyFont="1" applyFill="1" applyBorder="1"/>
    <xf numFmtId="0" fontId="56" fillId="9" borderId="18" xfId="0" applyFont="1" applyFill="1" applyBorder="1"/>
    <xf numFmtId="208" fontId="55" fillId="9" borderId="0" xfId="0" applyNumberFormat="1" applyFont="1" applyFill="1" applyBorder="1"/>
    <xf numFmtId="0" fontId="56" fillId="9" borderId="15" xfId="0" applyFont="1" applyFill="1" applyBorder="1"/>
    <xf numFmtId="208" fontId="55" fillId="9" borderId="3" xfId="0" applyNumberFormat="1" applyFont="1" applyFill="1" applyBorder="1"/>
    <xf numFmtId="0" fontId="55" fillId="9" borderId="0" xfId="0" applyFont="1" applyFill="1" applyAlignment="1">
      <alignment horizontal="left" indent="1"/>
    </xf>
    <xf numFmtId="0" fontId="55" fillId="9" borderId="0" xfId="0" applyFont="1" applyFill="1"/>
    <xf numFmtId="0" fontId="55" fillId="9" borderId="2" xfId="0" applyFont="1" applyFill="1" applyBorder="1" applyAlignment="1">
      <alignment horizontal="right"/>
    </xf>
    <xf numFmtId="15" fontId="54" fillId="9" borderId="0" xfId="0" applyNumberFormat="1" applyFont="1" applyFill="1" applyAlignment="1">
      <alignment horizontal="left"/>
    </xf>
    <xf numFmtId="171" fontId="55" fillId="9" borderId="21" xfId="0" applyNumberFormat="1" applyFont="1" applyFill="1" applyBorder="1" applyAlignment="1"/>
    <xf numFmtId="9" fontId="55" fillId="9" borderId="2" xfId="0" applyNumberFormat="1" applyFont="1" applyFill="1" applyBorder="1" applyAlignment="1"/>
    <xf numFmtId="0" fontId="55" fillId="9" borderId="21" xfId="0" applyFont="1" applyFill="1" applyBorder="1" applyAlignment="1"/>
    <xf numFmtId="0" fontId="55" fillId="9" borderId="2" xfId="0" applyFont="1" applyFill="1" applyBorder="1" applyAlignment="1"/>
  </cellXfs>
  <cellStyles count="42">
    <cellStyle name="10Q" xfId="1" xr:uid="{00000000-0005-0000-0000-000000000000}"/>
    <cellStyle name="bp" xfId="2" xr:uid="{00000000-0005-0000-0000-000001000000}"/>
    <cellStyle name="Comma (0)" xfId="3" xr:uid="{00000000-0005-0000-0000-000002000000}"/>
    <cellStyle name="Comma (1)" xfId="4" xr:uid="{00000000-0005-0000-0000-000003000000}"/>
    <cellStyle name="Comma (2)" xfId="5" xr:uid="{00000000-0005-0000-0000-000004000000}"/>
    <cellStyle name="Currency--" xfId="6" xr:uid="{00000000-0005-0000-0000-000005000000}"/>
    <cellStyle name="Currency (0)" xfId="7" xr:uid="{00000000-0005-0000-0000-000006000000}"/>
    <cellStyle name="Currency (1)" xfId="8" xr:uid="{00000000-0005-0000-0000-000007000000}"/>
    <cellStyle name="Currency (2)" xfId="9" xr:uid="{00000000-0005-0000-0000-000008000000}"/>
    <cellStyle name="Currency 2" xfId="10" xr:uid="{00000000-0005-0000-0000-000009000000}"/>
    <cellStyle name="Date (dd-mmm-yy)" xfId="11" xr:uid="{00000000-0005-0000-0000-00000A000000}"/>
    <cellStyle name="Date (mm-dd-yy)" xfId="12" xr:uid="{00000000-0005-0000-0000-00000B000000}"/>
    <cellStyle name="Date (mmm-yy)" xfId="13" xr:uid="{00000000-0005-0000-0000-00000C000000}"/>
    <cellStyle name="Date [mm-dd-yy]" xfId="14" xr:uid="{00000000-0005-0000-0000-00000D000000}"/>
    <cellStyle name="Date [mm-dd-yyyy]" xfId="15" xr:uid="{00000000-0005-0000-0000-00000E000000}"/>
    <cellStyle name="Date [mm-d-yyyy]" xfId="16" xr:uid="{00000000-0005-0000-0000-00000F000000}"/>
    <cellStyle name="Date [mmm-yyyy]" xfId="17" xr:uid="{00000000-0005-0000-0000-000010000000}"/>
    <cellStyle name="Hyperlink" xfId="41" builtinId="8"/>
    <cellStyle name="m/d/yy" xfId="18" xr:uid="{00000000-0005-0000-0000-000011000000}"/>
    <cellStyle name="Normal" xfId="0" builtinId="0"/>
    <cellStyle name="Normal--" xfId="19" xr:uid="{00000000-0005-0000-0000-000013000000}"/>
    <cellStyle name="Normal [0]" xfId="20" xr:uid="{00000000-0005-0000-0000-000014000000}"/>
    <cellStyle name="Normal [1]" xfId="21" xr:uid="{00000000-0005-0000-0000-000015000000}"/>
    <cellStyle name="Normal [3]" xfId="22" xr:uid="{00000000-0005-0000-0000-000016000000}"/>
    <cellStyle name="Normal [3] 2" xfId="23" xr:uid="{00000000-0005-0000-0000-000017000000}"/>
    <cellStyle name="Normal 2" xfId="24" xr:uid="{00000000-0005-0000-0000-000018000000}"/>
    <cellStyle name="Normal 2 2" xfId="25" xr:uid="{00000000-0005-0000-0000-000019000000}"/>
    <cellStyle name="Normal 3" xfId="26" xr:uid="{00000000-0005-0000-0000-00001A000000}"/>
    <cellStyle name="Normal 4" xfId="27" xr:uid="{00000000-0005-0000-0000-00001B000000}"/>
    <cellStyle name="Normalx" xfId="28" xr:uid="{00000000-0005-0000-0000-00001C000000}"/>
    <cellStyle name="Percent" xfId="40" builtinId="5"/>
    <cellStyle name="Percent (0)" xfId="29" xr:uid="{00000000-0005-0000-0000-00001D000000}"/>
    <cellStyle name="Percent (1)" xfId="30" xr:uid="{00000000-0005-0000-0000-00001E000000}"/>
    <cellStyle name="Percent (2)" xfId="31" xr:uid="{00000000-0005-0000-0000-00001F000000}"/>
    <cellStyle name="Percent [1]" xfId="32" xr:uid="{00000000-0005-0000-0000-000020000000}"/>
    <cellStyle name="Percent [2]" xfId="33" xr:uid="{00000000-0005-0000-0000-000021000000}"/>
    <cellStyle name="Percent 2" xfId="34" xr:uid="{00000000-0005-0000-0000-000022000000}"/>
    <cellStyle name="Red font" xfId="35" xr:uid="{00000000-0005-0000-0000-000023000000}"/>
    <cellStyle name="Times" xfId="36" xr:uid="{00000000-0005-0000-0000-000024000000}"/>
    <cellStyle name="x (1)" xfId="37" xr:uid="{00000000-0005-0000-0000-000025000000}"/>
    <cellStyle name="x (2)" xfId="38" xr:uid="{00000000-0005-0000-0000-000026000000}"/>
    <cellStyle name="Years" xfId="39" xr:uid="{00000000-0005-0000-0000-00002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572474377745248"/>
          <c:y val="3.9106198588892555E-2"/>
          <c:w val="0.72767203513909273"/>
          <c:h val="0.8575430690564293"/>
        </c:manualLayout>
      </c:layout>
      <c:barChart>
        <c:barDir val="col"/>
        <c:grouping val="clustered"/>
        <c:varyColors val="0"/>
        <c:ser>
          <c:idx val="0"/>
          <c:order val="0"/>
          <c:invertIfNegative val="0"/>
          <c:cat>
            <c:strRef>
              <c:f>Val_out!$C$12:$C$15</c:f>
              <c:strCache>
                <c:ptCount val="4"/>
                <c:pt idx="0">
                  <c:v>Public Market</c:v>
                </c:pt>
                <c:pt idx="1">
                  <c:v>DCF</c:v>
                </c:pt>
                <c:pt idx="2">
                  <c:v>LBO</c:v>
                </c:pt>
                <c:pt idx="3">
                  <c:v>Public Comps</c:v>
                </c:pt>
              </c:strCache>
            </c:strRef>
          </c:cat>
          <c:val>
            <c:numRef>
              <c:f>Val_out!$D$12:$D$15</c:f>
              <c:numCache>
                <c:formatCode>#,##0_);\(#,##0\);"-"?</c:formatCode>
                <c:ptCount val="4"/>
                <c:pt idx="0" formatCode="&quot;$&quot;#,##0.00_);[Red]\(&quot;$&quot;#,##0.00\)">
                  <c:v>40</c:v>
                </c:pt>
                <c:pt idx="1">
                  <c:v>54335.731719777235</c:v>
                </c:pt>
                <c:pt idx="2">
                  <c:v>35985.45909728657</c:v>
                </c:pt>
                <c:pt idx="3" formatCode="&quot;$&quot;#,##0.00_);[Red]\(&quot;$&quot;#,##0.00\)">
                  <c:v>40</c:v>
                </c:pt>
              </c:numCache>
            </c:numRef>
          </c:val>
          <c:extLst>
            <c:ext xmlns:c16="http://schemas.microsoft.com/office/drawing/2014/chart" uri="{C3380CC4-5D6E-409C-BE32-E72D297353CC}">
              <c16:uniqueId val="{00000000-84CD-46BB-96EE-FB763DF0D91D}"/>
            </c:ext>
          </c:extLst>
        </c:ser>
        <c:ser>
          <c:idx val="1"/>
          <c:order val="1"/>
          <c:spPr>
            <a:solidFill>
              <a:srgbClr val="006600"/>
            </a:solidFill>
            <a:ln w="25400">
              <a:noFill/>
            </a:ln>
          </c:spPr>
          <c:invertIfNegative val="0"/>
          <c:cat>
            <c:strRef>
              <c:f>Val_out!$C$12:$C$15</c:f>
              <c:strCache>
                <c:ptCount val="4"/>
                <c:pt idx="0">
                  <c:v>Public Market</c:v>
                </c:pt>
                <c:pt idx="1">
                  <c:v>DCF</c:v>
                </c:pt>
                <c:pt idx="2">
                  <c:v>LBO</c:v>
                </c:pt>
                <c:pt idx="3">
                  <c:v>Public Comps</c:v>
                </c:pt>
              </c:strCache>
            </c:strRef>
          </c:cat>
          <c:val>
            <c:numRef>
              <c:f>Val_out!$E$12:$E$15</c:f>
              <c:numCache>
                <c:formatCode>#,##0_);\(#,##0\);"-"?</c:formatCode>
                <c:ptCount val="4"/>
                <c:pt idx="0" formatCode="&quot;$&quot;#,##0.00_);[Red]\(&quot;$&quot;#,##0.00\)">
                  <c:v>12</c:v>
                </c:pt>
                <c:pt idx="1">
                  <c:v>8978.3350435772736</c:v>
                </c:pt>
                <c:pt idx="2">
                  <c:v>7996.7686882859052</c:v>
                </c:pt>
                <c:pt idx="3" formatCode="&quot;$&quot;#,##0.00_);[Red]\(&quot;$&quot;#,##0.00\)">
                  <c:v>12</c:v>
                </c:pt>
              </c:numCache>
            </c:numRef>
          </c:val>
          <c:extLst>
            <c:ext xmlns:c16="http://schemas.microsoft.com/office/drawing/2014/chart" uri="{C3380CC4-5D6E-409C-BE32-E72D297353CC}">
              <c16:uniqueId val="{00000001-84CD-46BB-96EE-FB763DF0D91D}"/>
            </c:ext>
          </c:extLst>
        </c:ser>
        <c:dLbls>
          <c:showLegendKey val="0"/>
          <c:showVal val="0"/>
          <c:showCatName val="0"/>
          <c:showSerName val="0"/>
          <c:showPercent val="0"/>
          <c:showBubbleSize val="0"/>
        </c:dLbls>
        <c:gapWidth val="150"/>
        <c:axId val="408135224"/>
        <c:axId val="1"/>
      </c:barChart>
      <c:catAx>
        <c:axId val="4081352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60000"/>
          <c:min val="30000"/>
        </c:scaling>
        <c:delete val="0"/>
        <c:axPos val="l"/>
        <c:majorGridlines>
          <c:spPr>
            <a:ln w="3175">
              <a:solidFill>
                <a:srgbClr val="000000"/>
              </a:solidFill>
              <a:prstDash val="solid"/>
            </a:ln>
          </c:spPr>
        </c:majorGridlines>
        <c:numFmt formatCode="&quot;$&quot;#,##0.00_);[Red]\(&quot;$&quot;#,##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0813522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232833</xdr:colOff>
      <xdr:row>0</xdr:row>
      <xdr:rowOff>169333</xdr:rowOff>
    </xdr:from>
    <xdr:to>
      <xdr:col>0</xdr:col>
      <xdr:colOff>232833</xdr:colOff>
      <xdr:row>8</xdr:row>
      <xdr:rowOff>40216</xdr:rowOff>
    </xdr:to>
    <xdr:pic>
      <xdr:nvPicPr>
        <xdr:cNvPr id="4" name="image2.jp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rcRect/>
        <a:stretch>
          <a:fillRect/>
        </a:stretch>
      </xdr:blipFill>
      <xdr:spPr>
        <a:xfrm>
          <a:off x="232833" y="169333"/>
          <a:ext cx="1393826" cy="1261533"/>
        </a:xfrm>
        <a:prstGeom prst="rect">
          <a:avLst/>
        </a:prstGeom>
        <a:ln/>
      </xdr:spPr>
    </xdr:pic>
    <xdr:clientData/>
  </xdr:twoCellAnchor>
  <xdr:twoCellAnchor editAs="oneCell">
    <xdr:from>
      <xdr:col>0</xdr:col>
      <xdr:colOff>21168</xdr:colOff>
      <xdr:row>8</xdr:row>
      <xdr:rowOff>21165</xdr:rowOff>
    </xdr:from>
    <xdr:to>
      <xdr:col>0</xdr:col>
      <xdr:colOff>21168</xdr:colOff>
      <xdr:row>12</xdr:row>
      <xdr:rowOff>24341</xdr:rowOff>
    </xdr:to>
    <xdr:pic>
      <xdr:nvPicPr>
        <xdr:cNvPr id="5" name="image3.jpg">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2"/>
        <a:srcRect l="21000" t="34980" r="20000" b="33647"/>
        <a:stretch/>
      </xdr:blipFill>
      <xdr:spPr>
        <a:xfrm>
          <a:off x="21168" y="1621365"/>
          <a:ext cx="1872192" cy="727076"/>
        </a:xfrm>
        <a:prstGeom prst="rect">
          <a:avLst/>
        </a:prstGeom>
        <a:ln/>
      </xdr:spPr>
    </xdr:pic>
    <xdr:clientData/>
  </xdr:twoCellAnchor>
  <xdr:twoCellAnchor editAs="oneCell">
    <xdr:from>
      <xdr:col>0</xdr:col>
      <xdr:colOff>287865</xdr:colOff>
      <xdr:row>0</xdr:row>
      <xdr:rowOff>152400</xdr:rowOff>
    </xdr:from>
    <xdr:to>
      <xdr:col>2</xdr:col>
      <xdr:colOff>244474</xdr:colOff>
      <xdr:row>8</xdr:row>
      <xdr:rowOff>13758</xdr:rowOff>
    </xdr:to>
    <xdr:pic>
      <xdr:nvPicPr>
        <xdr:cNvPr id="6" name="image2.jp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rcRect/>
        <a:stretch>
          <a:fillRect/>
        </a:stretch>
      </xdr:blipFill>
      <xdr:spPr>
        <a:xfrm>
          <a:off x="287865" y="152400"/>
          <a:ext cx="1394884" cy="1261533"/>
        </a:xfrm>
        <a:prstGeom prst="rect">
          <a:avLst/>
        </a:prstGeom>
        <a:ln/>
      </xdr:spPr>
    </xdr:pic>
    <xdr:clientData/>
  </xdr:twoCellAnchor>
  <xdr:twoCellAnchor editAs="oneCell">
    <xdr:from>
      <xdr:col>0</xdr:col>
      <xdr:colOff>76200</xdr:colOff>
      <xdr:row>8</xdr:row>
      <xdr:rowOff>98424</xdr:rowOff>
    </xdr:from>
    <xdr:to>
      <xdr:col>2</xdr:col>
      <xdr:colOff>511175</xdr:colOff>
      <xdr:row>12</xdr:row>
      <xdr:rowOff>104775</xdr:rowOff>
    </xdr:to>
    <xdr:pic>
      <xdr:nvPicPr>
        <xdr:cNvPr id="7" name="image3.jpg">
          <a:extLst>
            <a:ext uri="{FF2B5EF4-FFF2-40B4-BE49-F238E27FC236}">
              <a16:creationId xmlns:a16="http://schemas.microsoft.com/office/drawing/2014/main" id="{00000000-0008-0000-0000-000007000000}"/>
            </a:ext>
          </a:extLst>
        </xdr:cNvPr>
        <xdr:cNvPicPr/>
      </xdr:nvPicPr>
      <xdr:blipFill rotWithShape="1">
        <a:blip xmlns:r="http://schemas.openxmlformats.org/officeDocument/2006/relationships" r:embed="rId2"/>
        <a:srcRect l="21000" t="34980" r="20000" b="33647"/>
        <a:stretch/>
      </xdr:blipFill>
      <xdr:spPr>
        <a:xfrm>
          <a:off x="76200" y="1498599"/>
          <a:ext cx="1873250" cy="730251"/>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28575</xdr:colOff>
      <xdr:row>6</xdr:row>
      <xdr:rowOff>9525</xdr:rowOff>
    </xdr:from>
    <xdr:to>
      <xdr:col>21</xdr:col>
      <xdr:colOff>133350</xdr:colOff>
      <xdr:row>27</xdr:row>
      <xdr:rowOff>19050</xdr:rowOff>
    </xdr:to>
    <xdr:graphicFrame macro="">
      <xdr:nvGraphicFramePr>
        <xdr:cNvPr id="9378" name="Chart 3">
          <a:extLst>
            <a:ext uri="{FF2B5EF4-FFF2-40B4-BE49-F238E27FC236}">
              <a16:creationId xmlns:a16="http://schemas.microsoft.com/office/drawing/2014/main" id="{00000000-0008-0000-0300-0000A2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xdr:row>
      <xdr:rowOff>38100</xdr:rowOff>
    </xdr:from>
    <xdr:to>
      <xdr:col>12</xdr:col>
      <xdr:colOff>393700</xdr:colOff>
      <xdr:row>5</xdr:row>
      <xdr:rowOff>12700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051300" y="368300"/>
          <a:ext cx="3340100" cy="723900"/>
        </a:xfrm>
        <a:prstGeom prst="rect">
          <a:avLst/>
        </a:prstGeom>
        <a:solidFill>
          <a:srgbClr val="FFC000"/>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2800"/>
            <a:t>NOT FINISHED!!!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514350</xdr:colOff>
      <xdr:row>323</xdr:row>
      <xdr:rowOff>152400</xdr:rowOff>
    </xdr:from>
    <xdr:to>
      <xdr:col>2</xdr:col>
      <xdr:colOff>542925</xdr:colOff>
      <xdr:row>325</xdr:row>
      <xdr:rowOff>38100</xdr:rowOff>
    </xdr:to>
    <xdr:sp macro="" textlink="">
      <xdr:nvSpPr>
        <xdr:cNvPr id="3669" name="Text Box 70">
          <a:extLst>
            <a:ext uri="{FF2B5EF4-FFF2-40B4-BE49-F238E27FC236}">
              <a16:creationId xmlns:a16="http://schemas.microsoft.com/office/drawing/2014/main" id="{00000000-0008-0000-0400-0000550E0000}"/>
            </a:ext>
          </a:extLst>
        </xdr:cNvPr>
        <xdr:cNvSpPr txBox="1">
          <a:spLocks noChangeArrowheads="1"/>
        </xdr:cNvSpPr>
      </xdr:nvSpPr>
      <xdr:spPr bwMode="auto">
        <a:xfrm>
          <a:off x="704850" y="52568475"/>
          <a:ext cx="285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15</xdr:col>
          <xdr:colOff>247650</xdr:colOff>
          <xdr:row>6</xdr:row>
          <xdr:rowOff>76200</xdr:rowOff>
        </xdr:from>
        <xdr:to>
          <xdr:col>15</xdr:col>
          <xdr:colOff>619125</xdr:colOff>
          <xdr:row>8</xdr:row>
          <xdr:rowOff>76200</xdr:rowOff>
        </xdr:to>
        <xdr:sp macro="" textlink="">
          <xdr:nvSpPr>
            <xdr:cNvPr id="3073" name="ComboBox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Matan%20Feldman/My%20Documents/Wall%20Street%20Prep/Models/AccretionOne/AccretionOne/AccretionOn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Wall%20Street%20Prep/My%20Documents/Wall%20Street%20Prep/Stand%20alone%20Model%20Templates/Financial%20Statement%20Models%20with%20Valuation/Empty%20template%20wDCF%20LBO%20PG%20wLTM%20New%20New%20New%20w_AccDi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jmilligan/My%20Documents/Jesse%20Models/Financial%20Model%20LBO-Recap-DCF%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Jesse%20Milligan/My%20Documents/Wall%20Street%20Prep/WSP%20Training/DCF/dcfmodel%20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artnersAnalysis"/>
      <sheetName val="EarningsImpactAnalysis"/>
      <sheetName val="EBITDAImpactAnalysis"/>
      <sheetName val="Standard1"/>
      <sheetName val="Standard2"/>
      <sheetName val="CapitalSensitivity"/>
      <sheetName val="PriceSensitivity"/>
      <sheetName val="Scenarios"/>
      <sheetName val="DataArray"/>
      <sheetName val="DownloadMapping"/>
      <sheetName val="DownloadMappingDSWV"/>
    </sheetNames>
    <sheetDataSet>
      <sheetData sheetId="0"/>
      <sheetData sheetId="1">
        <row r="194">
          <cell r="F194">
            <v>0</v>
          </cell>
        </row>
      </sheetData>
      <sheetData sheetId="2"/>
      <sheetData sheetId="3"/>
      <sheetData sheetId="4"/>
      <sheetData sheetId="5"/>
      <sheetData sheetId="6"/>
      <sheetData sheetId="7"/>
      <sheetData sheetId="8"/>
      <sheetData sheetId="9">
        <row r="7">
          <cell r="D7" t="str">
            <v>Purchase</v>
          </cell>
          <cell r="E7" t="b">
            <v>0</v>
          </cell>
        </row>
        <row r="30">
          <cell r="D30">
            <v>0</v>
          </cell>
        </row>
        <row r="31">
          <cell r="D31">
            <v>0</v>
          </cell>
        </row>
        <row r="32">
          <cell r="D32">
            <v>0</v>
          </cell>
        </row>
        <row r="55">
          <cell r="E55">
            <v>0</v>
          </cell>
        </row>
        <row r="80">
          <cell r="E80">
            <v>0</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 M&amp;A"/>
      <sheetName val="Intro"/>
      <sheetName val="Ratio Analysis"/>
      <sheetName val="IS"/>
      <sheetName val="BS"/>
      <sheetName val="CF"/>
      <sheetName val="WC"/>
      <sheetName val="PPE"/>
      <sheetName val="GW and Int'ls"/>
      <sheetName val="Def. Taxes"/>
      <sheetName val="Inv in Affiliates"/>
      <sheetName val="Other BS Items"/>
      <sheetName val="SE"/>
      <sheetName val="Shares Out."/>
      <sheetName val="Debt &amp; Interest"/>
      <sheetName val="Valuation SharesOut"/>
      <sheetName val="Valuation DCF"/>
      <sheetName val="Valuation LBO"/>
      <sheetName val="Valuation LTM"/>
      <sheetName val="Valuation Optimal WACC"/>
      <sheetName val="Notes"/>
      <sheetName val="DCF Notes"/>
    </sheetNames>
    <sheetDataSet>
      <sheetData sheetId="0" refreshError="1"/>
      <sheetData sheetId="1" refreshError="1"/>
      <sheetData sheetId="2" refreshError="1"/>
      <sheetData sheetId="3" refreshError="1">
        <row r="14">
          <cell r="I14">
            <v>0.2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7">
          <cell r="E7">
            <v>0.74794520547945198</v>
          </cell>
        </row>
        <row r="8">
          <cell r="E8">
            <v>10</v>
          </cell>
        </row>
        <row r="11">
          <cell r="E11">
            <v>1</v>
          </cell>
        </row>
        <row r="50">
          <cell r="F50">
            <v>2</v>
          </cell>
        </row>
      </sheetData>
      <sheetData sheetId="17" refreshError="1">
        <row r="8">
          <cell r="G8">
            <v>1</v>
          </cell>
        </row>
        <row r="12">
          <cell r="M12">
            <v>2</v>
          </cell>
        </row>
        <row r="13">
          <cell r="M13">
            <v>4.5</v>
          </cell>
        </row>
        <row r="20">
          <cell r="M20">
            <v>25808.574373378986</v>
          </cell>
        </row>
        <row r="21">
          <cell r="M21">
            <v>25808.574373378986</v>
          </cell>
        </row>
        <row r="22">
          <cell r="M22">
            <v>12904.287186689486</v>
          </cell>
        </row>
        <row r="24">
          <cell r="M24">
            <v>0.05</v>
          </cell>
        </row>
        <row r="25">
          <cell r="M25">
            <v>7.0000000000000007E-2</v>
          </cell>
        </row>
        <row r="26">
          <cell r="M26">
            <v>0.05</v>
          </cell>
        </row>
        <row r="32">
          <cell r="M32">
            <v>258.08574373378985</v>
          </cell>
        </row>
        <row r="33">
          <cell r="M33">
            <v>258.08574373378985</v>
          </cell>
        </row>
        <row r="34">
          <cell r="M34">
            <v>193.56430780034228</v>
          </cell>
        </row>
        <row r="36">
          <cell r="M36">
            <v>8</v>
          </cell>
        </row>
        <row r="37">
          <cell r="M37">
            <v>8</v>
          </cell>
        </row>
        <row r="38">
          <cell r="M38">
            <v>8</v>
          </cell>
        </row>
        <row r="43">
          <cell r="M43">
            <v>2010</v>
          </cell>
        </row>
        <row r="45">
          <cell r="M45">
            <v>0.25</v>
          </cell>
        </row>
        <row r="158">
          <cell r="D158">
            <v>34908.394285594404</v>
          </cell>
        </row>
      </sheetData>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sump"/>
      <sheetName val="IS"/>
      <sheetName val="BS"/>
      <sheetName val="CFS"/>
      <sheetName val="Summary"/>
      <sheetName val="Analytics"/>
      <sheetName val="DealSheet"/>
      <sheetName val="BorrBase"/>
      <sheetName val="OpenBS"/>
      <sheetName val="DebtPay"/>
      <sheetName val="NewCoAdj"/>
      <sheetName val="IS_New"/>
      <sheetName val="BS_New"/>
      <sheetName val="CFS_New"/>
      <sheetName val="Returns"/>
      <sheetName val="DCF"/>
      <sheetName val="LBO_out"/>
      <sheetName val="DCF_out"/>
      <sheetName val="Val_out"/>
    </sheetNames>
    <sheetDataSet>
      <sheetData sheetId="0" refreshError="1"/>
      <sheetData sheetId="1">
        <row r="10">
          <cell r="D10" t="str">
            <v>Project Test</v>
          </cell>
        </row>
        <row r="11">
          <cell r="D11" t="str">
            <v>LBO</v>
          </cell>
        </row>
        <row r="21">
          <cell r="D21">
            <v>1</v>
          </cell>
        </row>
        <row r="28">
          <cell r="D28" t="str">
            <v>Estimated</v>
          </cell>
        </row>
        <row r="29">
          <cell r="D29" t="str">
            <v>Estimated</v>
          </cell>
          <cell r="H29" t="str">
            <v>Estimated</v>
          </cell>
          <cell r="I29" t="str">
            <v>Estimated</v>
          </cell>
          <cell r="J29" t="str">
            <v>TTM=FYE</v>
          </cell>
        </row>
        <row r="30">
          <cell r="D30" t="str">
            <v>TTM=FYE</v>
          </cell>
        </row>
      </sheetData>
      <sheetData sheetId="2">
        <row r="1">
          <cell r="A1" t="str">
            <v>TestCo</v>
          </cell>
        </row>
        <row r="2">
          <cell r="A2" t="str">
            <v>Base Case</v>
          </cell>
        </row>
      </sheetData>
      <sheetData sheetId="3" refreshError="1"/>
      <sheetData sheetId="4" refreshError="1"/>
      <sheetData sheetId="5" refreshError="1"/>
      <sheetData sheetId="6">
        <row r="3">
          <cell r="A3" t="str">
            <v>$ in thousands</v>
          </cell>
        </row>
        <row r="36">
          <cell r="E36" t="str">
            <v>Hist</v>
          </cell>
          <cell r="F36" t="str">
            <v>TTM</v>
          </cell>
          <cell r="G36" t="str">
            <v>Proj</v>
          </cell>
        </row>
        <row r="37">
          <cell r="E37">
            <v>39082</v>
          </cell>
          <cell r="F37">
            <v>39263</v>
          </cell>
          <cell r="G37">
            <v>39447</v>
          </cell>
        </row>
        <row r="39">
          <cell r="E39">
            <v>12000</v>
          </cell>
          <cell r="F39">
            <v>12000</v>
          </cell>
          <cell r="G39">
            <v>12649.090909090908</v>
          </cell>
        </row>
      </sheetData>
      <sheetData sheetId="7" refreshError="1"/>
      <sheetData sheetId="8">
        <row r="1">
          <cell r="A1" t="str">
            <v>NewCo</v>
          </cell>
        </row>
        <row r="6">
          <cell r="E6">
            <v>1</v>
          </cell>
        </row>
        <row r="13">
          <cell r="D13" t="str">
            <v>Libor</v>
          </cell>
          <cell r="E13">
            <v>0.02</v>
          </cell>
        </row>
        <row r="14">
          <cell r="D14" t="str">
            <v>Prime</v>
          </cell>
          <cell r="E14">
            <v>0.04</v>
          </cell>
        </row>
        <row r="15">
          <cell r="D15" t="str">
            <v>Flat 0%</v>
          </cell>
          <cell r="E15">
            <v>0</v>
          </cell>
        </row>
        <row r="16">
          <cell r="D16" t="str">
            <v>Flat 1%</v>
          </cell>
          <cell r="E16">
            <v>0.01</v>
          </cell>
        </row>
        <row r="17">
          <cell r="D17" t="str">
            <v>Flat 2%</v>
          </cell>
          <cell r="E17">
            <v>0.02</v>
          </cell>
        </row>
        <row r="18">
          <cell r="D18" t="str">
            <v>Other benchmark</v>
          </cell>
          <cell r="E18">
            <v>0</v>
          </cell>
        </row>
      </sheetData>
      <sheetData sheetId="9" refreshError="1"/>
      <sheetData sheetId="10" refreshError="1"/>
      <sheetData sheetId="11">
        <row r="12">
          <cell r="C12" t="str">
            <v>Libor</v>
          </cell>
          <cell r="K12">
            <v>0.02</v>
          </cell>
          <cell r="L12">
            <v>2.1000000000000001E-2</v>
          </cell>
          <cell r="M12">
            <v>2.2000000000000002E-2</v>
          </cell>
          <cell r="N12">
            <v>2.3000000000000003E-2</v>
          </cell>
          <cell r="O12">
            <v>2.4000000000000004E-2</v>
          </cell>
          <cell r="P12">
            <v>2.5000000000000005E-2</v>
          </cell>
          <cell r="Q12">
            <v>2.6000000000000006E-2</v>
          </cell>
          <cell r="R12">
            <v>2.7000000000000007E-2</v>
          </cell>
        </row>
        <row r="13">
          <cell r="C13" t="str">
            <v>Prime</v>
          </cell>
          <cell r="K13">
            <v>0.04</v>
          </cell>
          <cell r="L13">
            <v>4.1000000000000002E-2</v>
          </cell>
          <cell r="M13">
            <v>4.2000000000000003E-2</v>
          </cell>
          <cell r="N13">
            <v>4.3000000000000003E-2</v>
          </cell>
          <cell r="O13">
            <v>4.4000000000000004E-2</v>
          </cell>
          <cell r="P13">
            <v>4.5000000000000005E-2</v>
          </cell>
          <cell r="Q13">
            <v>4.6000000000000006E-2</v>
          </cell>
          <cell r="R13">
            <v>4.7000000000000007E-2</v>
          </cell>
        </row>
        <row r="14">
          <cell r="C14" t="str">
            <v>Flat 0%</v>
          </cell>
          <cell r="K14">
            <v>0</v>
          </cell>
          <cell r="L14">
            <v>0</v>
          </cell>
          <cell r="M14">
            <v>0</v>
          </cell>
          <cell r="N14">
            <v>0</v>
          </cell>
          <cell r="O14">
            <v>0</v>
          </cell>
          <cell r="P14">
            <v>0</v>
          </cell>
          <cell r="Q14">
            <v>0</v>
          </cell>
          <cell r="R14">
            <v>0</v>
          </cell>
        </row>
        <row r="15">
          <cell r="C15" t="str">
            <v>Flat 1%</v>
          </cell>
          <cell r="K15">
            <v>0.01</v>
          </cell>
          <cell r="L15">
            <v>0</v>
          </cell>
          <cell r="M15">
            <v>0</v>
          </cell>
          <cell r="N15">
            <v>0</v>
          </cell>
          <cell r="O15">
            <v>0</v>
          </cell>
          <cell r="P15">
            <v>0</v>
          </cell>
          <cell r="Q15">
            <v>0</v>
          </cell>
          <cell r="R15">
            <v>0</v>
          </cell>
        </row>
        <row r="16">
          <cell r="C16" t="str">
            <v>Flat 2%</v>
          </cell>
          <cell r="K16">
            <v>0.02</v>
          </cell>
          <cell r="L16">
            <v>0</v>
          </cell>
          <cell r="M16">
            <v>0</v>
          </cell>
          <cell r="N16">
            <v>0</v>
          </cell>
          <cell r="O16">
            <v>0</v>
          </cell>
          <cell r="P16">
            <v>0</v>
          </cell>
          <cell r="Q16">
            <v>0</v>
          </cell>
          <cell r="R16">
            <v>0</v>
          </cell>
        </row>
        <row r="17">
          <cell r="C17" t="str">
            <v>Other benchmark</v>
          </cell>
          <cell r="K17">
            <v>0</v>
          </cell>
          <cell r="L17">
            <v>0</v>
          </cell>
          <cell r="M17">
            <v>0</v>
          </cell>
          <cell r="N17">
            <v>0</v>
          </cell>
          <cell r="O17">
            <v>0</v>
          </cell>
          <cell r="P17">
            <v>0</v>
          </cell>
          <cell r="Q17">
            <v>0</v>
          </cell>
          <cell r="R17">
            <v>0</v>
          </cell>
        </row>
      </sheetData>
      <sheetData sheetId="12" refreshError="1"/>
      <sheetData sheetId="13" refreshError="1"/>
      <sheetData sheetId="14" refreshError="1"/>
      <sheetData sheetId="15" refreshError="1"/>
      <sheetData sheetId="16" refreshError="1"/>
      <sheetData sheetId="17" refreshError="1"/>
      <sheetData sheetId="18"/>
      <sheetData sheetId="19">
        <row r="31">
          <cell r="I31">
            <v>63314.066763354509</v>
          </cell>
        </row>
        <row r="33">
          <cell r="G33">
            <v>54335.731719777235</v>
          </cell>
        </row>
      </sheetData>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finmodeling"/>
      <sheetName val="DCF"/>
      <sheetName val="DCF_empty"/>
      <sheetName val="pv calcs"/>
      <sheetName val="beta illustration"/>
      <sheetName val="Sheet1"/>
    </sheetNames>
    <sheetDataSet>
      <sheetData sheetId="0"/>
      <sheetData sheetId="1"/>
      <sheetData sheetId="2">
        <row r="127">
          <cell r="H127">
            <v>0.06</v>
          </cell>
          <cell r="I127">
            <v>0.30499999999999999</v>
          </cell>
        </row>
        <row r="128">
          <cell r="H128">
            <v>0.10423840162112138</v>
          </cell>
        </row>
        <row r="141">
          <cell r="I141">
            <v>0.97553719065478384</v>
          </cell>
        </row>
        <row r="142">
          <cell r="I142">
            <v>1.0804250781996465</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image" Target="../media/image3.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8E36-D9FB-4EEA-97FE-65EFAB5E4C75}">
  <dimension ref="B1:H16"/>
  <sheetViews>
    <sheetView workbookViewId="0">
      <selection activeCell="D10" sqref="D10"/>
    </sheetView>
  </sheetViews>
  <sheetFormatPr defaultColWidth="0" defaultRowHeight="15" customHeight="1" zeroHeight="1" x14ac:dyDescent="0.2"/>
  <cols>
    <col min="1" max="1" width="5.7109375" style="157" customWidth="1"/>
    <col min="2" max="7" width="15.85546875" style="157" customWidth="1"/>
    <col min="8" max="8" width="15.85546875" style="157" hidden="1" customWidth="1"/>
    <col min="9" max="16384" width="0" style="157" hidden="1"/>
  </cols>
  <sheetData>
    <row r="1" spans="2:4" ht="12.75" x14ac:dyDescent="0.2"/>
    <row r="2" spans="2:4" ht="12.75" x14ac:dyDescent="0.2">
      <c r="B2" s="158"/>
    </row>
    <row r="3" spans="2:4" ht="12.75" x14ac:dyDescent="0.2">
      <c r="B3" s="159"/>
    </row>
    <row r="4" spans="2:4" ht="12.75" x14ac:dyDescent="0.2"/>
    <row r="5" spans="2:4" ht="12.75" x14ac:dyDescent="0.2"/>
    <row r="6" spans="2:4" ht="12.75" x14ac:dyDescent="0.2"/>
    <row r="7" spans="2:4" ht="12.75" x14ac:dyDescent="0.2"/>
    <row r="8" spans="2:4" ht="21" x14ac:dyDescent="0.2">
      <c r="D8" s="160" t="s">
        <v>260</v>
      </c>
    </row>
    <row r="9" spans="2:4" ht="12.75" x14ac:dyDescent="0.2">
      <c r="D9" s="234" t="s">
        <v>261</v>
      </c>
    </row>
    <row r="10" spans="2:4" ht="12.75" x14ac:dyDescent="0.2">
      <c r="D10" s="234" t="s">
        <v>275</v>
      </c>
    </row>
    <row r="11" spans="2:4" ht="15.75" x14ac:dyDescent="0.2">
      <c r="D11" s="161"/>
    </row>
    <row r="12" spans="2:4" ht="15.75" x14ac:dyDescent="0.2">
      <c r="D12" s="161"/>
    </row>
    <row r="13" spans="2:4" ht="12.75" x14ac:dyDescent="0.2"/>
    <row r="14" spans="2:4" ht="12.75" x14ac:dyDescent="0.2"/>
    <row r="15" spans="2:4" ht="15.75" x14ac:dyDescent="0.2">
      <c r="B15" s="162">
        <v>43567</v>
      </c>
    </row>
    <row r="16" spans="2:4" ht="12.75" x14ac:dyDescent="0.2"/>
  </sheetData>
  <hyperlinks>
    <hyperlink ref="D9" location="Assumptions!A1" display="Assumptions" xr:uid="{6AC0C9D8-7500-4DF4-B111-D2DB2B71316B}"/>
    <hyperlink ref="D10" location="Financials!A1" display="Financials" xr:uid="{56D01758-F97E-4714-885B-B821132554FB}"/>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9AA4-F6A1-4F3B-8655-4826C2C971D6}">
  <dimension ref="A1:H84"/>
  <sheetViews>
    <sheetView topLeftCell="A64" workbookViewId="0">
      <selection activeCell="H55" sqref="H55"/>
    </sheetView>
  </sheetViews>
  <sheetFormatPr defaultRowHeight="12.75" x14ac:dyDescent="0.2"/>
  <cols>
    <col min="1" max="1" width="9.140625" style="164"/>
    <col min="2" max="2" width="25.140625" style="164" bestFit="1" customWidth="1"/>
    <col min="3" max="3" width="13.140625" style="164" customWidth="1"/>
    <col min="4" max="4" width="9.7109375" style="168" customWidth="1"/>
    <col min="5" max="5" width="10.85546875" style="226" bestFit="1" customWidth="1"/>
    <col min="6" max="6" width="17.85546875" style="164" customWidth="1"/>
    <col min="7" max="7" width="16" style="164" bestFit="1" customWidth="1"/>
    <col min="8" max="8" width="32.140625" style="164" bestFit="1" customWidth="1"/>
    <col min="9" max="16384" width="9.140625" style="164"/>
  </cols>
  <sheetData>
    <row r="1" spans="1:8" x14ac:dyDescent="0.2">
      <c r="D1" s="213"/>
    </row>
    <row r="2" spans="1:8" x14ac:dyDescent="0.2">
      <c r="B2" s="165"/>
      <c r="D2" s="214"/>
    </row>
    <row r="3" spans="1:8" ht="24.75" customHeight="1" x14ac:dyDescent="0.4">
      <c r="A3" s="170"/>
      <c r="B3" s="170" t="s">
        <v>287</v>
      </c>
      <c r="C3" s="170"/>
      <c r="D3" s="215"/>
      <c r="E3" s="227"/>
      <c r="F3" s="163"/>
      <c r="G3" s="163"/>
    </row>
    <row r="4" spans="1:8" x14ac:dyDescent="0.2">
      <c r="D4" s="216"/>
    </row>
    <row r="5" spans="1:8" x14ac:dyDescent="0.2">
      <c r="B5" s="166" t="s">
        <v>290</v>
      </c>
      <c r="D5" s="217"/>
      <c r="G5" s="289" t="s">
        <v>337</v>
      </c>
      <c r="H5" s="164" t="s">
        <v>341</v>
      </c>
    </row>
    <row r="6" spans="1:8" x14ac:dyDescent="0.2">
      <c r="B6" s="165" t="s">
        <v>319</v>
      </c>
      <c r="C6" s="167"/>
      <c r="D6" s="219">
        <v>60</v>
      </c>
      <c r="E6" s="225" t="s">
        <v>316</v>
      </c>
      <c r="H6" s="164" t="s">
        <v>338</v>
      </c>
    </row>
    <row r="7" spans="1:8" x14ac:dyDescent="0.2">
      <c r="B7" s="165" t="s">
        <v>308</v>
      </c>
      <c r="C7" s="167"/>
      <c r="D7" s="224">
        <v>1.2</v>
      </c>
      <c r="E7" s="225" t="s">
        <v>316</v>
      </c>
      <c r="H7" s="164" t="s">
        <v>342</v>
      </c>
    </row>
    <row r="8" spans="1:8" x14ac:dyDescent="0.2">
      <c r="B8" s="165" t="s">
        <v>317</v>
      </c>
      <c r="C8" s="167"/>
      <c r="D8" s="219">
        <v>500</v>
      </c>
      <c r="E8" s="225" t="s">
        <v>316</v>
      </c>
      <c r="H8" s="164" t="s">
        <v>339</v>
      </c>
    </row>
    <row r="9" spans="1:8" x14ac:dyDescent="0.2">
      <c r="B9" s="165" t="s">
        <v>289</v>
      </c>
      <c r="D9" s="224">
        <v>0.15</v>
      </c>
      <c r="E9" s="225" t="s">
        <v>316</v>
      </c>
    </row>
    <row r="10" spans="1:8" x14ac:dyDescent="0.2">
      <c r="B10" s="238" t="s">
        <v>288</v>
      </c>
      <c r="D10" s="224">
        <v>0.05</v>
      </c>
      <c r="E10" s="225" t="s">
        <v>316</v>
      </c>
    </row>
    <row r="11" spans="1:8" x14ac:dyDescent="0.2">
      <c r="B11" s="166" t="s">
        <v>328</v>
      </c>
      <c r="D11" s="242">
        <f>(D6*D8*D9)*(1-D10)</f>
        <v>4275</v>
      </c>
    </row>
    <row r="12" spans="1:8" x14ac:dyDescent="0.2">
      <c r="D12" s="219"/>
    </row>
    <row r="13" spans="1:8" x14ac:dyDescent="0.2">
      <c r="B13" s="166" t="s">
        <v>293</v>
      </c>
      <c r="D13" s="219"/>
    </row>
    <row r="14" spans="1:8" x14ac:dyDescent="0.2">
      <c r="B14" s="165" t="s">
        <v>320</v>
      </c>
      <c r="D14" s="219">
        <v>2000</v>
      </c>
      <c r="E14" s="225" t="s">
        <v>316</v>
      </c>
    </row>
    <row r="15" spans="1:8" x14ac:dyDescent="0.2">
      <c r="B15" s="165" t="s">
        <v>309</v>
      </c>
      <c r="D15" s="224">
        <v>0.5</v>
      </c>
      <c r="E15" s="225" t="s">
        <v>316</v>
      </c>
    </row>
    <row r="16" spans="1:8" x14ac:dyDescent="0.2">
      <c r="B16" s="165" t="s">
        <v>278</v>
      </c>
      <c r="D16" s="219">
        <v>0.1</v>
      </c>
      <c r="E16" s="225" t="s">
        <v>316</v>
      </c>
    </row>
    <row r="17" spans="1:7" x14ac:dyDescent="0.2">
      <c r="B17" s="165" t="s">
        <v>276</v>
      </c>
      <c r="D17" s="224">
        <v>0.1</v>
      </c>
      <c r="E17" s="225" t="s">
        <v>316</v>
      </c>
    </row>
    <row r="18" spans="1:7" x14ac:dyDescent="0.2">
      <c r="B18" s="238" t="s">
        <v>277</v>
      </c>
      <c r="D18" s="219">
        <v>0.3</v>
      </c>
      <c r="E18" s="225" t="s">
        <v>316</v>
      </c>
    </row>
    <row r="19" spans="1:7" x14ac:dyDescent="0.2">
      <c r="B19" s="166" t="s">
        <v>328</v>
      </c>
      <c r="D19" s="242">
        <f>(D14*D16)+(D14*D17*D18)</f>
        <v>260</v>
      </c>
    </row>
    <row r="20" spans="1:7" x14ac:dyDescent="0.2">
      <c r="D20" s="219"/>
    </row>
    <row r="21" spans="1:7" x14ac:dyDescent="0.2">
      <c r="B21" s="166" t="s">
        <v>291</v>
      </c>
      <c r="D21" s="219"/>
    </row>
    <row r="22" spans="1:7" x14ac:dyDescent="0.2">
      <c r="B22" s="165" t="s">
        <v>321</v>
      </c>
      <c r="D22" s="219">
        <v>20</v>
      </c>
      <c r="E22" s="226" t="s">
        <v>316</v>
      </c>
    </row>
    <row r="23" spans="1:7" x14ac:dyDescent="0.2">
      <c r="B23" s="165" t="s">
        <v>310</v>
      </c>
      <c r="D23" s="224">
        <v>0.5</v>
      </c>
      <c r="E23" s="226" t="s">
        <v>316</v>
      </c>
    </row>
    <row r="24" spans="1:7" x14ac:dyDescent="0.2">
      <c r="B24" s="238" t="s">
        <v>279</v>
      </c>
      <c r="D24" s="219">
        <v>150</v>
      </c>
      <c r="E24" s="226" t="s">
        <v>316</v>
      </c>
    </row>
    <row r="25" spans="1:7" x14ac:dyDescent="0.2">
      <c r="B25" s="166" t="s">
        <v>328</v>
      </c>
      <c r="D25" s="243">
        <f>D22*D23*D24</f>
        <v>1500</v>
      </c>
    </row>
    <row r="26" spans="1:7" x14ac:dyDescent="0.2">
      <c r="D26" s="213"/>
    </row>
    <row r="27" spans="1:7" ht="26.25" x14ac:dyDescent="0.4">
      <c r="A27" s="171"/>
      <c r="B27" s="171" t="s">
        <v>280</v>
      </c>
      <c r="C27" s="171"/>
      <c r="D27" s="220"/>
      <c r="E27" s="228"/>
    </row>
    <row r="28" spans="1:7" x14ac:dyDescent="0.2">
      <c r="D28" s="213"/>
    </row>
    <row r="29" spans="1:7" ht="18" customHeight="1" x14ac:dyDescent="0.35">
      <c r="B29" s="166" t="s">
        <v>263</v>
      </c>
      <c r="D29" s="232">
        <v>0.02</v>
      </c>
      <c r="E29" s="225" t="s">
        <v>316</v>
      </c>
      <c r="F29" s="163"/>
      <c r="G29" s="163"/>
    </row>
    <row r="30" spans="1:7" x14ac:dyDescent="0.2">
      <c r="D30" s="233"/>
    </row>
    <row r="31" spans="1:7" x14ac:dyDescent="0.2">
      <c r="B31" s="166" t="s">
        <v>301</v>
      </c>
      <c r="D31" s="233"/>
    </row>
    <row r="32" spans="1:7" x14ac:dyDescent="0.2">
      <c r="B32" s="165" t="s">
        <v>326</v>
      </c>
      <c r="D32" s="233">
        <v>6250</v>
      </c>
      <c r="E32" s="225" t="s">
        <v>316</v>
      </c>
    </row>
    <row r="33" spans="2:5" x14ac:dyDescent="0.2">
      <c r="B33" s="165" t="s">
        <v>327</v>
      </c>
      <c r="D33" s="233">
        <v>12000</v>
      </c>
      <c r="E33" s="225" t="s">
        <v>316</v>
      </c>
    </row>
    <row r="34" spans="2:5" x14ac:dyDescent="0.2">
      <c r="B34" s="165" t="s">
        <v>286</v>
      </c>
      <c r="D34" s="233">
        <v>2000</v>
      </c>
      <c r="E34" s="225" t="s">
        <v>316</v>
      </c>
    </row>
    <row r="35" spans="2:5" x14ac:dyDescent="0.2">
      <c r="B35" s="240" t="s">
        <v>315</v>
      </c>
      <c r="D35" s="242">
        <f>SUM(D32:D34)</f>
        <v>20250</v>
      </c>
      <c r="E35" s="225"/>
    </row>
    <row r="36" spans="2:5" x14ac:dyDescent="0.2">
      <c r="B36" s="165"/>
      <c r="D36" s="233"/>
      <c r="E36" s="225"/>
    </row>
    <row r="37" spans="2:5" x14ac:dyDescent="0.2">
      <c r="B37" s="166" t="s">
        <v>311</v>
      </c>
      <c r="D37" s="233"/>
    </row>
    <row r="38" spans="2:5" x14ac:dyDescent="0.2">
      <c r="B38" s="165" t="s">
        <v>283</v>
      </c>
      <c r="D38" s="233">
        <v>5000</v>
      </c>
      <c r="E38" s="225" t="s">
        <v>316</v>
      </c>
    </row>
    <row r="39" spans="2:5" x14ac:dyDescent="0.2">
      <c r="B39" s="165" t="s">
        <v>284</v>
      </c>
      <c r="D39" s="233">
        <v>2000</v>
      </c>
      <c r="E39" s="225" t="s">
        <v>316</v>
      </c>
    </row>
    <row r="40" spans="2:5" x14ac:dyDescent="0.2">
      <c r="B40" s="165" t="s">
        <v>285</v>
      </c>
      <c r="D40" s="233">
        <v>12000</v>
      </c>
      <c r="E40" s="225" t="s">
        <v>316</v>
      </c>
    </row>
    <row r="41" spans="2:5" x14ac:dyDescent="0.2">
      <c r="B41" s="165" t="s">
        <v>300</v>
      </c>
      <c r="D41" s="233">
        <v>5000</v>
      </c>
      <c r="E41" s="225" t="s">
        <v>316</v>
      </c>
    </row>
    <row r="42" spans="2:5" x14ac:dyDescent="0.2">
      <c r="B42" s="166" t="s">
        <v>328</v>
      </c>
      <c r="D42" s="242">
        <f>SUM(D38:D41)</f>
        <v>24000</v>
      </c>
    </row>
    <row r="43" spans="2:5" x14ac:dyDescent="0.2">
      <c r="D43" s="233"/>
    </row>
    <row r="44" spans="2:5" x14ac:dyDescent="0.2">
      <c r="B44" s="166" t="s">
        <v>312</v>
      </c>
      <c r="D44" s="233"/>
    </row>
    <row r="45" spans="2:5" x14ac:dyDescent="0.2">
      <c r="B45" s="165" t="s">
        <v>282</v>
      </c>
      <c r="D45" s="233">
        <v>3600</v>
      </c>
      <c r="E45" s="225" t="s">
        <v>316</v>
      </c>
    </row>
    <row r="46" spans="2:5" x14ac:dyDescent="0.2">
      <c r="B46" s="165" t="s">
        <v>281</v>
      </c>
      <c r="D46" s="233">
        <v>200</v>
      </c>
      <c r="E46" s="225" t="s">
        <v>316</v>
      </c>
    </row>
    <row r="47" spans="2:5" x14ac:dyDescent="0.2">
      <c r="B47" s="165" t="s">
        <v>306</v>
      </c>
      <c r="D47" s="233">
        <v>1500</v>
      </c>
      <c r="E47" s="225" t="s">
        <v>316</v>
      </c>
    </row>
    <row r="48" spans="2:5" x14ac:dyDescent="0.2">
      <c r="B48" s="166" t="s">
        <v>328</v>
      </c>
      <c r="D48" s="242">
        <f>SUM(D45:D47)</f>
        <v>5300</v>
      </c>
    </row>
    <row r="49" spans="1:7" x14ac:dyDescent="0.2">
      <c r="D49" s="233"/>
    </row>
    <row r="50" spans="1:7" x14ac:dyDescent="0.2">
      <c r="B50" s="166" t="s">
        <v>295</v>
      </c>
      <c r="D50" s="233"/>
    </row>
    <row r="51" spans="1:7" ht="14.25" customHeight="1" x14ac:dyDescent="0.2">
      <c r="B51" s="165" t="s">
        <v>318</v>
      </c>
      <c r="D51" s="233">
        <v>10000</v>
      </c>
      <c r="E51" s="225" t="s">
        <v>316</v>
      </c>
    </row>
    <row r="52" spans="1:7" x14ac:dyDescent="0.2">
      <c r="B52" s="165" t="s">
        <v>313</v>
      </c>
      <c r="C52" s="167"/>
      <c r="D52" s="233">
        <v>10000</v>
      </c>
      <c r="E52" s="225" t="s">
        <v>316</v>
      </c>
    </row>
    <row r="53" spans="1:7" x14ac:dyDescent="0.2">
      <c r="B53" s="165" t="s">
        <v>314</v>
      </c>
      <c r="D53" s="241">
        <v>5000</v>
      </c>
      <c r="E53" s="225" t="s">
        <v>316</v>
      </c>
    </row>
    <row r="54" spans="1:7" x14ac:dyDescent="0.2">
      <c r="B54" s="166" t="s">
        <v>328</v>
      </c>
      <c r="D54" s="244">
        <f>SUM(D51:D53)</f>
        <v>25000</v>
      </c>
    </row>
    <row r="55" spans="1:7" x14ac:dyDescent="0.2">
      <c r="B55" s="165"/>
      <c r="D55" s="239"/>
    </row>
    <row r="56" spans="1:7" x14ac:dyDescent="0.2">
      <c r="D56" s="213"/>
    </row>
    <row r="57" spans="1:7" ht="26.25" x14ac:dyDescent="0.4">
      <c r="A57" s="171"/>
      <c r="B57" s="171" t="s">
        <v>264</v>
      </c>
      <c r="C57" s="171"/>
      <c r="D57" s="220"/>
      <c r="E57" s="228"/>
    </row>
    <row r="58" spans="1:7" x14ac:dyDescent="0.2">
      <c r="B58" s="166"/>
      <c r="D58" s="213"/>
    </row>
    <row r="59" spans="1:7" ht="15.75" customHeight="1" x14ac:dyDescent="0.35">
      <c r="B59" s="165" t="s">
        <v>296</v>
      </c>
      <c r="D59" s="217">
        <v>0.27500000000000002</v>
      </c>
      <c r="E59" s="225" t="s">
        <v>316</v>
      </c>
      <c r="F59" s="163"/>
      <c r="G59" s="163"/>
    </row>
    <row r="60" spans="1:7" ht="13.5" customHeight="1" x14ac:dyDescent="0.2">
      <c r="B60" s="165" t="s">
        <v>265</v>
      </c>
      <c r="D60" s="218">
        <v>2.6800000000000001E-2</v>
      </c>
      <c r="E60" s="225" t="s">
        <v>316</v>
      </c>
    </row>
    <row r="61" spans="1:7" x14ac:dyDescent="0.2">
      <c r="B61" s="165" t="s">
        <v>272</v>
      </c>
      <c r="D61" s="224">
        <v>0.22</v>
      </c>
      <c r="E61" s="225" t="s">
        <v>316</v>
      </c>
    </row>
    <row r="62" spans="1:7" x14ac:dyDescent="0.2">
      <c r="B62" s="165" t="s">
        <v>325</v>
      </c>
      <c r="D62" s="224">
        <v>0.1</v>
      </c>
      <c r="E62" s="225" t="s">
        <v>316</v>
      </c>
    </row>
    <row r="63" spans="1:7" x14ac:dyDescent="0.2">
      <c r="B63" s="296" t="s">
        <v>273</v>
      </c>
      <c r="C63" s="297"/>
      <c r="D63" s="302">
        <v>60</v>
      </c>
      <c r="E63" s="225"/>
    </row>
    <row r="64" spans="1:7" x14ac:dyDescent="0.2">
      <c r="B64" s="296" t="s">
        <v>274</v>
      </c>
      <c r="C64" s="297"/>
      <c r="D64" s="303">
        <v>60</v>
      </c>
      <c r="E64" s="225"/>
    </row>
    <row r="65" spans="1:7" x14ac:dyDescent="0.2">
      <c r="D65" s="213"/>
    </row>
    <row r="66" spans="1:7" ht="26.25" x14ac:dyDescent="0.4">
      <c r="A66" s="171"/>
      <c r="B66" s="171" t="s">
        <v>266</v>
      </c>
      <c r="C66" s="171"/>
      <c r="D66" s="220"/>
      <c r="E66" s="228"/>
    </row>
    <row r="67" spans="1:7" x14ac:dyDescent="0.2">
      <c r="B67" s="166"/>
      <c r="D67" s="213"/>
    </row>
    <row r="68" spans="1:7" ht="15.75" customHeight="1" x14ac:dyDescent="0.35">
      <c r="B68" s="165" t="s">
        <v>267</v>
      </c>
      <c r="C68" s="165"/>
      <c r="D68" s="229" t="s">
        <v>297</v>
      </c>
      <c r="E68" s="225" t="s">
        <v>316</v>
      </c>
      <c r="F68" s="163"/>
      <c r="G68" s="163"/>
    </row>
    <row r="69" spans="1:7" x14ac:dyDescent="0.2">
      <c r="B69" s="165" t="s">
        <v>270</v>
      </c>
      <c r="C69" s="165"/>
      <c r="D69" s="230">
        <v>30</v>
      </c>
      <c r="E69" s="225" t="s">
        <v>316</v>
      </c>
    </row>
    <row r="70" spans="1:7" x14ac:dyDescent="0.2">
      <c r="B70" s="165" t="s">
        <v>271</v>
      </c>
      <c r="C70" s="165"/>
      <c r="D70" s="231">
        <v>60</v>
      </c>
      <c r="E70" s="225" t="s">
        <v>316</v>
      </c>
    </row>
    <row r="71" spans="1:7" x14ac:dyDescent="0.2">
      <c r="D71" s="213"/>
    </row>
    <row r="72" spans="1:7" ht="26.25" x14ac:dyDescent="0.4">
      <c r="A72" s="171"/>
      <c r="B72" s="171" t="s">
        <v>268</v>
      </c>
      <c r="C72" s="171"/>
      <c r="D72" s="220"/>
      <c r="E72" s="228"/>
    </row>
    <row r="73" spans="1:7" ht="13.5" customHeight="1" x14ac:dyDescent="0.2">
      <c r="D73" s="213"/>
    </row>
    <row r="74" spans="1:7" ht="16.5" customHeight="1" x14ac:dyDescent="0.35">
      <c r="B74" s="165" t="s">
        <v>298</v>
      </c>
      <c r="C74" s="165"/>
      <c r="D74" s="235">
        <v>10000</v>
      </c>
      <c r="E74" s="225" t="s">
        <v>316</v>
      </c>
      <c r="F74" s="163"/>
      <c r="G74" s="163"/>
    </row>
    <row r="75" spans="1:7" x14ac:dyDescent="0.2">
      <c r="B75" s="165" t="s">
        <v>299</v>
      </c>
      <c r="C75" s="165"/>
      <c r="D75" s="236">
        <v>15000</v>
      </c>
      <c r="E75" s="225" t="s">
        <v>316</v>
      </c>
    </row>
    <row r="76" spans="1:7" x14ac:dyDescent="0.2">
      <c r="B76" s="296" t="s">
        <v>269</v>
      </c>
      <c r="C76" s="296"/>
      <c r="D76" s="301">
        <v>1</v>
      </c>
      <c r="E76" s="299" t="s">
        <v>316</v>
      </c>
    </row>
    <row r="77" spans="1:7" x14ac:dyDescent="0.2">
      <c r="D77" s="213"/>
    </row>
    <row r="78" spans="1:7" ht="26.25" x14ac:dyDescent="0.4">
      <c r="A78" s="171"/>
      <c r="B78" s="171" t="s">
        <v>302</v>
      </c>
      <c r="C78" s="171"/>
      <c r="D78" s="220"/>
      <c r="E78" s="228"/>
    </row>
    <row r="79" spans="1:7" x14ac:dyDescent="0.2">
      <c r="D79" s="213"/>
    </row>
    <row r="80" spans="1:7" x14ac:dyDescent="0.2">
      <c r="B80" s="165" t="s">
        <v>303</v>
      </c>
      <c r="D80" s="271">
        <v>5.5E-2</v>
      </c>
      <c r="E80" s="225" t="s">
        <v>316</v>
      </c>
    </row>
    <row r="81" spans="2:5" x14ac:dyDescent="0.2">
      <c r="B81" s="296" t="s">
        <v>304</v>
      </c>
      <c r="C81" s="297"/>
      <c r="D81" s="300">
        <v>4.4999999999999998E-2</v>
      </c>
      <c r="E81" s="299" t="s">
        <v>316</v>
      </c>
    </row>
    <row r="82" spans="2:5" x14ac:dyDescent="0.2">
      <c r="B82" s="165" t="s">
        <v>305</v>
      </c>
      <c r="D82" s="274">
        <v>0.05</v>
      </c>
      <c r="E82" s="225" t="s">
        <v>316</v>
      </c>
    </row>
    <row r="83" spans="2:5" x14ac:dyDescent="0.2">
      <c r="B83" s="165" t="s">
        <v>330</v>
      </c>
      <c r="D83" s="230">
        <v>1000</v>
      </c>
      <c r="E83" s="225" t="s">
        <v>316</v>
      </c>
    </row>
    <row r="84" spans="2:5" x14ac:dyDescent="0.2">
      <c r="B84" s="296" t="s">
        <v>329</v>
      </c>
      <c r="C84" s="297"/>
      <c r="D84" s="298">
        <v>1000</v>
      </c>
      <c r="E84" s="299" t="s">
        <v>316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M155"/>
  <sheetViews>
    <sheetView tabSelected="1" workbookViewId="0">
      <selection activeCell="K14" sqref="K14"/>
    </sheetView>
  </sheetViews>
  <sheetFormatPr defaultRowHeight="12.75" x14ac:dyDescent="0.2"/>
  <cols>
    <col min="1" max="2" width="1.7109375" style="159" customWidth="1"/>
    <col min="3" max="3" width="45.85546875" style="159" customWidth="1"/>
    <col min="4" max="4" width="11.28515625" style="159" customWidth="1"/>
    <col min="5" max="6" width="12.140625" style="159" customWidth="1"/>
    <col min="7" max="7" width="10.85546875" style="159" customWidth="1"/>
    <col min="8" max="8" width="12.42578125" style="159" customWidth="1"/>
    <col min="9" max="9" width="10.140625" style="159" customWidth="1"/>
    <col min="10" max="16384" width="9.140625" style="159"/>
  </cols>
  <sheetData>
    <row r="1" spans="3:12" ht="26.25" thickBot="1" x14ac:dyDescent="0.4">
      <c r="C1" s="172" t="s">
        <v>262</v>
      </c>
      <c r="D1" s="173"/>
      <c r="E1" s="173"/>
      <c r="F1" s="173"/>
      <c r="G1" s="173"/>
      <c r="H1" s="173"/>
      <c r="I1" s="173"/>
      <c r="J1" s="173"/>
      <c r="K1" s="173"/>
      <c r="L1" s="173"/>
    </row>
    <row r="3" spans="3:12" ht="13.5" thickBot="1" x14ac:dyDescent="0.25">
      <c r="C3" s="37" t="s">
        <v>219</v>
      </c>
      <c r="D3" s="38"/>
      <c r="E3" s="39"/>
      <c r="F3" s="39"/>
      <c r="G3" s="39"/>
      <c r="H3" s="39"/>
      <c r="I3" s="39"/>
      <c r="K3" s="37" t="s">
        <v>239</v>
      </c>
      <c r="L3" s="37"/>
    </row>
    <row r="4" spans="3:12" x14ac:dyDescent="0.2">
      <c r="C4" s="167" t="s">
        <v>17</v>
      </c>
      <c r="D4" s="176">
        <f>Cover!B15</f>
        <v>43567</v>
      </c>
      <c r="K4" s="174">
        <v>1</v>
      </c>
      <c r="L4" s="175" t="s">
        <v>240</v>
      </c>
    </row>
    <row r="5" spans="3:12" x14ac:dyDescent="0.2">
      <c r="C5" s="221"/>
      <c r="D5" s="177"/>
      <c r="L5" s="175" t="s">
        <v>241</v>
      </c>
    </row>
    <row r="6" spans="3:12" x14ac:dyDescent="0.2">
      <c r="I6" s="197" t="s">
        <v>322</v>
      </c>
    </row>
    <row r="7" spans="3:12" ht="13.5" thickBot="1" x14ac:dyDescent="0.25">
      <c r="C7" s="37" t="s">
        <v>29</v>
      </c>
      <c r="D7" s="38"/>
      <c r="E7" s="39"/>
      <c r="F7" s="39"/>
      <c r="G7" s="39"/>
      <c r="H7" s="39"/>
      <c r="I7" s="39"/>
    </row>
    <row r="8" spans="3:12" x14ac:dyDescent="0.2">
      <c r="C8" s="167"/>
      <c r="D8" s="178"/>
      <c r="E8" s="179" t="s">
        <v>31</v>
      </c>
      <c r="F8" s="180"/>
      <c r="G8" s="180"/>
      <c r="H8" s="180"/>
      <c r="I8" s="180"/>
      <c r="K8"/>
    </row>
    <row r="9" spans="3:12" x14ac:dyDescent="0.2">
      <c r="C9" s="181" t="s">
        <v>212</v>
      </c>
      <c r="D9" s="237">
        <v>44196</v>
      </c>
      <c r="E9" s="182">
        <f>DATE(YEAR(D9)+1,MONTH(D9),DAY(D9))</f>
        <v>44561</v>
      </c>
      <c r="F9" s="183">
        <f>DATE(YEAR(E9)+1,MONTH(E9),DAY(E9))</f>
        <v>44926</v>
      </c>
      <c r="G9" s="183">
        <f>DATE(YEAR(F9)+1,MONTH(F9),DAY(F9))</f>
        <v>45291</v>
      </c>
      <c r="H9" s="183">
        <f>DATE(YEAR(G9)+1,MONTH(G9),DAY(G9))</f>
        <v>45657</v>
      </c>
      <c r="I9" s="183">
        <f>DATE(YEAR(H9)+1,MONTH(H9),DAY(H9))</f>
        <v>46022</v>
      </c>
    </row>
    <row r="10" spans="3:12" x14ac:dyDescent="0.2">
      <c r="C10" s="184" t="s">
        <v>213</v>
      </c>
      <c r="D10" s="259">
        <v>1</v>
      </c>
      <c r="E10" s="260">
        <v>2</v>
      </c>
      <c r="F10" s="261">
        <f>E10+1</f>
        <v>3</v>
      </c>
      <c r="G10" s="261">
        <f>F10+1</f>
        <v>4</v>
      </c>
      <c r="H10" s="261">
        <f>G10+1</f>
        <v>5</v>
      </c>
      <c r="I10" s="261">
        <f>H10+1</f>
        <v>6</v>
      </c>
    </row>
    <row r="11" spans="3:12" x14ac:dyDescent="0.2">
      <c r="C11" s="188" t="s">
        <v>32</v>
      </c>
      <c r="D11" s="247">
        <f>SUM(D12:D14)</f>
        <v>6035</v>
      </c>
      <c r="E11" s="248">
        <f>SUM(E12:E14)</f>
        <v>12045</v>
      </c>
      <c r="F11" s="248">
        <f t="shared" ref="F11:I11" si="0">SUM(F12:F14)</f>
        <v>24651</v>
      </c>
      <c r="G11" s="248">
        <f t="shared" si="0"/>
        <v>51460.200000000004</v>
      </c>
      <c r="H11" s="248">
        <f t="shared" si="0"/>
        <v>109054.44000000002</v>
      </c>
      <c r="I11" s="248">
        <f t="shared" si="0"/>
        <v>233682.76800000007</v>
      </c>
    </row>
    <row r="12" spans="3:12" x14ac:dyDescent="0.2">
      <c r="C12" s="222" t="s">
        <v>290</v>
      </c>
      <c r="D12" s="249">
        <f>Assumptions!D11</f>
        <v>4275</v>
      </c>
      <c r="E12" s="250">
        <f>D12*(1+Assumptions!$D$7)</f>
        <v>9405</v>
      </c>
      <c r="F12" s="250">
        <f>E12*(1+Assumptions!$D$7)</f>
        <v>20691</v>
      </c>
      <c r="G12" s="250">
        <f>F12*(1+Assumptions!$D$7)</f>
        <v>45520.200000000004</v>
      </c>
      <c r="H12" s="250">
        <f>G12*(1+Assumptions!$D$7)</f>
        <v>100144.44000000002</v>
      </c>
      <c r="I12" s="250">
        <f>H12*(1+Assumptions!$D$7)</f>
        <v>220317.76800000007</v>
      </c>
    </row>
    <row r="13" spans="3:12" x14ac:dyDescent="0.2">
      <c r="C13" s="222" t="s">
        <v>293</v>
      </c>
      <c r="D13" s="249">
        <f>Assumptions!D19</f>
        <v>260</v>
      </c>
      <c r="E13" s="250">
        <f>D13*(1+Assumptions!$D$15)</f>
        <v>390</v>
      </c>
      <c r="F13" s="250">
        <f>E13*(1+Assumptions!$D$15)</f>
        <v>585</v>
      </c>
      <c r="G13" s="250">
        <f>F13*(1+Assumptions!$D$15)</f>
        <v>877.5</v>
      </c>
      <c r="H13" s="250">
        <f>G13*(1+Assumptions!$D$15)</f>
        <v>1316.25</v>
      </c>
      <c r="I13" s="250">
        <f>H13*(1+Assumptions!$D$15)</f>
        <v>1974.375</v>
      </c>
    </row>
    <row r="14" spans="3:12" x14ac:dyDescent="0.2">
      <c r="C14" s="222" t="s">
        <v>291</v>
      </c>
      <c r="D14" s="249">
        <f>Assumptions!D25</f>
        <v>1500</v>
      </c>
      <c r="E14" s="250">
        <f>Financials!D14*(1+Assumptions!$D$23)</f>
        <v>2250</v>
      </c>
      <c r="F14" s="250">
        <f>Financials!E14*(1+Assumptions!$D$23)</f>
        <v>3375</v>
      </c>
      <c r="G14" s="250">
        <f>Financials!F14*(1+Assumptions!$D$23)</f>
        <v>5062.5</v>
      </c>
      <c r="H14" s="250">
        <f>Financials!G14*(1+Assumptions!$D$23)</f>
        <v>7593.75</v>
      </c>
      <c r="I14" s="250">
        <f>Financials!H14*(1+Assumptions!$D$23)</f>
        <v>11390.625</v>
      </c>
      <c r="L14" s="258"/>
    </row>
    <row r="15" spans="3:12" s="197" customFormat="1" x14ac:dyDescent="0.2">
      <c r="C15" s="245" t="s">
        <v>307</v>
      </c>
      <c r="D15" s="247">
        <f>SUM(D16:D18)</f>
        <v>54300</v>
      </c>
      <c r="E15" s="248">
        <f>SUM(E16:E18)</f>
        <v>55386</v>
      </c>
      <c r="F15" s="248">
        <f t="shared" ref="F15:I15" si="1">SUM(F16:F18)</f>
        <v>56493.72</v>
      </c>
      <c r="G15" s="248">
        <f t="shared" si="1"/>
        <v>57623.594400000002</v>
      </c>
      <c r="H15" s="248">
        <f t="shared" si="1"/>
        <v>58776.066288000002</v>
      </c>
      <c r="I15" s="248">
        <f t="shared" si="1"/>
        <v>59951.587613760006</v>
      </c>
      <c r="J15" s="246"/>
    </row>
    <row r="16" spans="3:12" x14ac:dyDescent="0.2">
      <c r="C16" s="223" t="s">
        <v>294</v>
      </c>
      <c r="D16" s="249">
        <f>Assumptions!D42</f>
        <v>24000</v>
      </c>
      <c r="E16" s="250">
        <f>D16*(1+Assumptions!$D$29)</f>
        <v>24480</v>
      </c>
      <c r="F16" s="250">
        <f>E16*(1+Assumptions!$D$29)</f>
        <v>24969.600000000002</v>
      </c>
      <c r="G16" s="250">
        <f>F16*(1+Assumptions!$D$29)</f>
        <v>25468.992000000002</v>
      </c>
      <c r="H16" s="250">
        <f>G16*(1+Assumptions!$D$29)</f>
        <v>25978.371840000003</v>
      </c>
      <c r="I16" s="250">
        <f>H16*(1+Assumptions!$D$29)</f>
        <v>26497.939276800003</v>
      </c>
      <c r="J16" s="186"/>
      <c r="K16" s="175"/>
    </row>
    <row r="17" spans="3:11" x14ac:dyDescent="0.2">
      <c r="C17" s="223" t="s">
        <v>292</v>
      </c>
      <c r="D17" s="249">
        <f>Assumptions!D48</f>
        <v>5300</v>
      </c>
      <c r="E17" s="250">
        <f>D17*(1+Assumptions!$D$29)</f>
        <v>5406</v>
      </c>
      <c r="F17" s="250">
        <f>E17*(1+Assumptions!$D$29)</f>
        <v>5514.12</v>
      </c>
      <c r="G17" s="250">
        <f>F17*(1+Assumptions!$D$29)</f>
        <v>5624.4023999999999</v>
      </c>
      <c r="H17" s="250">
        <f>G17*(1+Assumptions!$D$29)</f>
        <v>5736.8904480000001</v>
      </c>
      <c r="I17" s="250">
        <f>H17*(1+Assumptions!$D$29)</f>
        <v>5851.6282569599998</v>
      </c>
      <c r="J17" s="186"/>
      <c r="K17" s="175"/>
    </row>
    <row r="18" spans="3:11" x14ac:dyDescent="0.2">
      <c r="C18" s="223" t="s">
        <v>295</v>
      </c>
      <c r="D18" s="249">
        <f>Assumptions!D54</f>
        <v>25000</v>
      </c>
      <c r="E18" s="250">
        <f>D18*(1+Assumptions!$D$29)</f>
        <v>25500</v>
      </c>
      <c r="F18" s="250">
        <f>E18*(1+Assumptions!$D$29)</f>
        <v>26010</v>
      </c>
      <c r="G18" s="250">
        <f>F18*(1+Assumptions!$D$29)</f>
        <v>26530.2</v>
      </c>
      <c r="H18" s="250">
        <f>G18*(1+Assumptions!$D$29)</f>
        <v>27060.804</v>
      </c>
      <c r="I18" s="250">
        <f>H18*(1+Assumptions!$D$29)</f>
        <v>27602.020080000002</v>
      </c>
      <c r="J18" s="186"/>
      <c r="K18" s="175"/>
    </row>
    <row r="19" spans="3:11" x14ac:dyDescent="0.2">
      <c r="C19" s="254" t="s">
        <v>51</v>
      </c>
      <c r="D19" s="256">
        <f>D11-D15</f>
        <v>-48265</v>
      </c>
      <c r="E19" s="257">
        <f t="shared" ref="E19:I19" si="2">E11-E15</f>
        <v>-43341</v>
      </c>
      <c r="F19" s="256">
        <f t="shared" si="2"/>
        <v>-31842.720000000001</v>
      </c>
      <c r="G19" s="256">
        <f t="shared" si="2"/>
        <v>-6163.3943999999974</v>
      </c>
      <c r="H19" s="256">
        <f t="shared" si="2"/>
        <v>50278.373712000015</v>
      </c>
      <c r="I19" s="256">
        <f t="shared" si="2"/>
        <v>173731.18038624007</v>
      </c>
      <c r="J19" s="186"/>
      <c r="K19" s="175"/>
    </row>
    <row r="20" spans="3:11" x14ac:dyDescent="0.2">
      <c r="C20" s="223" t="s">
        <v>324</v>
      </c>
      <c r="D20" s="256">
        <f>D70+D76</f>
        <v>825</v>
      </c>
      <c r="E20" s="257">
        <f t="shared" ref="E20:I20" si="3">E70+E76</f>
        <v>2025</v>
      </c>
      <c r="F20" s="256">
        <f t="shared" si="3"/>
        <v>2025</v>
      </c>
      <c r="G20" s="256">
        <f t="shared" si="3"/>
        <v>2025</v>
      </c>
      <c r="H20" s="256">
        <f t="shared" si="3"/>
        <v>2025</v>
      </c>
      <c r="I20" s="256">
        <f t="shared" si="3"/>
        <v>2025</v>
      </c>
      <c r="J20" s="186"/>
      <c r="K20" s="175"/>
    </row>
    <row r="21" spans="3:11" x14ac:dyDescent="0.2">
      <c r="C21" s="188" t="s">
        <v>323</v>
      </c>
      <c r="D21" s="248">
        <f>D19-D20</f>
        <v>-49090</v>
      </c>
      <c r="E21" s="253">
        <f t="shared" ref="E21:I21" si="4">E19-E20</f>
        <v>-45366</v>
      </c>
      <c r="F21" s="248">
        <f t="shared" si="4"/>
        <v>-33867.72</v>
      </c>
      <c r="G21" s="248">
        <f t="shared" si="4"/>
        <v>-8188.3943999999974</v>
      </c>
      <c r="H21" s="248">
        <f t="shared" si="4"/>
        <v>48253.373712000015</v>
      </c>
      <c r="I21" s="248">
        <f t="shared" si="4"/>
        <v>171706.18038624007</v>
      </c>
      <c r="J21" s="186"/>
      <c r="K21" s="175"/>
    </row>
    <row r="22" spans="3:11" x14ac:dyDescent="0.2">
      <c r="C22" s="187" t="s">
        <v>38</v>
      </c>
      <c r="D22" s="283">
        <f ca="1">D131</f>
        <v>1361.133597883598</v>
      </c>
      <c r="E22" s="250">
        <f t="shared" ref="E22:I22" ca="1" si="5">E131</f>
        <v>4697.1068369283557</v>
      </c>
      <c r="F22" s="250">
        <f t="shared" ca="1" si="5"/>
        <v>6910.1523403025294</v>
      </c>
      <c r="G22" s="250">
        <f t="shared" ca="1" si="5"/>
        <v>7866.4987338419178</v>
      </c>
      <c r="H22" s="250">
        <f t="shared" ca="1" si="5"/>
        <v>7811.4987338419223</v>
      </c>
      <c r="I22" s="250">
        <f t="shared" ca="1" si="5"/>
        <v>7756.498733841996</v>
      </c>
      <c r="J22" s="272"/>
      <c r="K22" s="221"/>
    </row>
    <row r="23" spans="3:11" x14ac:dyDescent="0.2">
      <c r="C23" s="188" t="s">
        <v>41</v>
      </c>
      <c r="D23" s="251">
        <f t="shared" ref="D23:I23" ca="1" si="6">D21-D22</f>
        <v>-50451.1335978836</v>
      </c>
      <c r="E23" s="252">
        <f t="shared" ca="1" si="6"/>
        <v>-50063.106836928353</v>
      </c>
      <c r="F23" s="252">
        <f t="shared" ca="1" si="6"/>
        <v>-40777.872340302529</v>
      </c>
      <c r="G23" s="252">
        <f t="shared" ca="1" si="6"/>
        <v>-16054.893133841915</v>
      </c>
      <c r="H23" s="252">
        <f t="shared" ca="1" si="6"/>
        <v>40441.874978158092</v>
      </c>
      <c r="I23" s="252">
        <f t="shared" ca="1" si="6"/>
        <v>163949.68165239808</v>
      </c>
      <c r="J23" s="186"/>
      <c r="K23" s="175"/>
    </row>
    <row r="24" spans="3:11" x14ac:dyDescent="0.2">
      <c r="C24" s="273" t="s">
        <v>296</v>
      </c>
      <c r="D24" s="264">
        <f ca="1">IF(D23&lt;=0,0,D23*Assumptions!$D$59)</f>
        <v>0</v>
      </c>
      <c r="E24" s="265">
        <f ca="1">IF(E23&lt;=0,0,E23*Assumptions!$D$59)</f>
        <v>0</v>
      </c>
      <c r="F24" s="264">
        <f ca="1">IF(F23&lt;=0,0,F23*Assumptions!$D$59)</f>
        <v>0</v>
      </c>
      <c r="G24" s="264">
        <f ca="1">IF(G23&lt;=0,0,G23*Assumptions!$D$59)</f>
        <v>0</v>
      </c>
      <c r="H24" s="264">
        <f ca="1">IF(H23&lt;=0,0,H23*Assumptions!$D$59)</f>
        <v>11121.515618993477</v>
      </c>
      <c r="I24" s="264">
        <f ca="1">IF(I23&lt;=0,0,I23*Assumptions!$D$59)</f>
        <v>45086.162454409474</v>
      </c>
      <c r="J24" s="186"/>
    </row>
    <row r="25" spans="3:11" x14ac:dyDescent="0.2">
      <c r="C25" s="188" t="s">
        <v>46</v>
      </c>
      <c r="D25" s="247">
        <f t="shared" ref="D25:I25" ca="1" si="7">D23-D24</f>
        <v>-50451.1335978836</v>
      </c>
      <c r="E25" s="253">
        <f t="shared" ca="1" si="7"/>
        <v>-50063.106836928353</v>
      </c>
      <c r="F25" s="248">
        <f t="shared" ca="1" si="7"/>
        <v>-40777.872340302529</v>
      </c>
      <c r="G25" s="248">
        <f t="shared" ca="1" si="7"/>
        <v>-16054.893133841915</v>
      </c>
      <c r="H25" s="248">
        <f t="shared" ca="1" si="7"/>
        <v>29320.359359164613</v>
      </c>
      <c r="I25" s="248">
        <f t="shared" ca="1" si="7"/>
        <v>118863.51919798861</v>
      </c>
      <c r="J25" s="186"/>
      <c r="K25" s="175"/>
    </row>
    <row r="26" spans="3:11" x14ac:dyDescent="0.2">
      <c r="D26" s="189"/>
    </row>
    <row r="27" spans="3:11" x14ac:dyDescent="0.2">
      <c r="C27" s="190" t="s">
        <v>216</v>
      </c>
      <c r="D27" s="191"/>
      <c r="E27" s="192"/>
      <c r="F27" s="192"/>
      <c r="G27" s="192"/>
      <c r="H27" s="192"/>
      <c r="I27" s="192"/>
    </row>
    <row r="28" spans="3:11" x14ac:dyDescent="0.2">
      <c r="C28" s="167" t="s">
        <v>49</v>
      </c>
      <c r="D28" s="281">
        <f t="shared" ref="D28:I28" si="8">D21</f>
        <v>-49090</v>
      </c>
      <c r="E28" s="250">
        <f t="shared" si="8"/>
        <v>-45366</v>
      </c>
      <c r="F28" s="250">
        <f t="shared" si="8"/>
        <v>-33867.72</v>
      </c>
      <c r="G28" s="250">
        <f t="shared" si="8"/>
        <v>-8188.3943999999974</v>
      </c>
      <c r="H28" s="250">
        <f t="shared" si="8"/>
        <v>48253.373712000015</v>
      </c>
      <c r="I28" s="250">
        <f t="shared" si="8"/>
        <v>171706.18038624007</v>
      </c>
    </row>
    <row r="29" spans="3:11" x14ac:dyDescent="0.2">
      <c r="C29" s="169" t="s">
        <v>50</v>
      </c>
      <c r="D29" s="250">
        <f>D20</f>
        <v>825</v>
      </c>
      <c r="E29" s="282">
        <f t="shared" ref="E29:I29" si="9">E20</f>
        <v>2025</v>
      </c>
      <c r="F29" s="250">
        <f t="shared" si="9"/>
        <v>2025</v>
      </c>
      <c r="G29" s="250">
        <f t="shared" si="9"/>
        <v>2025</v>
      </c>
      <c r="H29" s="250">
        <f t="shared" si="9"/>
        <v>2025</v>
      </c>
      <c r="I29" s="250">
        <f t="shared" si="9"/>
        <v>2025</v>
      </c>
    </row>
    <row r="30" spans="3:11" x14ac:dyDescent="0.2">
      <c r="C30" s="188" t="s">
        <v>51</v>
      </c>
      <c r="D30" s="247">
        <f>SUM(D28:D29)</f>
        <v>-48265</v>
      </c>
      <c r="E30" s="248">
        <f t="shared" ref="E30:I30" si="10">SUM(E28:E29)</f>
        <v>-43341</v>
      </c>
      <c r="F30" s="248">
        <f t="shared" si="10"/>
        <v>-31842.720000000001</v>
      </c>
      <c r="G30" s="248">
        <f t="shared" si="10"/>
        <v>-6163.3943999999974</v>
      </c>
      <c r="H30" s="248">
        <f t="shared" si="10"/>
        <v>50278.373712000015</v>
      </c>
      <c r="I30" s="248">
        <f t="shared" si="10"/>
        <v>173731.18038624007</v>
      </c>
    </row>
    <row r="31" spans="3:11" x14ac:dyDescent="0.2">
      <c r="D31" s="189"/>
    </row>
    <row r="32" spans="3:11" ht="13.5" thickBot="1" x14ac:dyDescent="0.25">
      <c r="C32" s="75" t="s">
        <v>217</v>
      </c>
      <c r="D32" s="76"/>
      <c r="E32" s="77"/>
      <c r="F32" s="77"/>
      <c r="G32" s="76"/>
      <c r="H32" s="76"/>
      <c r="I32" s="76"/>
    </row>
    <row r="33" spans="3:11" x14ac:dyDescent="0.2">
      <c r="C33" s="175" t="s">
        <v>124</v>
      </c>
      <c r="D33" s="255">
        <f>Assumptions!D32+Assumptions!D34</f>
        <v>8250</v>
      </c>
      <c r="E33" s="286">
        <f>Assumptions!D33</f>
        <v>12000</v>
      </c>
      <c r="F33" s="286">
        <v>0</v>
      </c>
      <c r="G33" s="286">
        <v>0</v>
      </c>
      <c r="H33" s="286">
        <v>0</v>
      </c>
      <c r="I33" s="286">
        <v>0</v>
      </c>
      <c r="K33"/>
    </row>
    <row r="35" spans="3:11" ht="13.5" thickBot="1" x14ac:dyDescent="0.25">
      <c r="C35" s="75" t="s">
        <v>76</v>
      </c>
      <c r="D35" s="76"/>
      <c r="E35" s="77"/>
      <c r="F35" s="77"/>
      <c r="G35" s="76"/>
      <c r="H35" s="76"/>
      <c r="I35" s="76"/>
    </row>
    <row r="36" spans="3:11" x14ac:dyDescent="0.2">
      <c r="C36" s="193"/>
      <c r="D36" s="79">
        <f t="shared" ref="D36:I36" si="11">D$9</f>
        <v>44196</v>
      </c>
      <c r="E36" s="199">
        <f t="shared" si="11"/>
        <v>44561</v>
      </c>
      <c r="F36" s="199">
        <f t="shared" si="11"/>
        <v>44926</v>
      </c>
      <c r="G36" s="199">
        <f t="shared" si="11"/>
        <v>45291</v>
      </c>
      <c r="H36" s="199">
        <f t="shared" si="11"/>
        <v>45657</v>
      </c>
      <c r="I36" s="199">
        <f t="shared" si="11"/>
        <v>46022</v>
      </c>
      <c r="K36"/>
    </row>
    <row r="37" spans="3:11" x14ac:dyDescent="0.2">
      <c r="C37" s="169" t="s">
        <v>214</v>
      </c>
      <c r="D37" s="263">
        <f ca="1">MAX(-D112,D114)</f>
        <v>301.75</v>
      </c>
      <c r="E37" s="263">
        <f t="shared" ref="E37:I37" ca="1" si="12">MAX(-E112,E114)</f>
        <v>602.25</v>
      </c>
      <c r="F37" s="263">
        <f t="shared" ca="1" si="12"/>
        <v>1232.5500000000002</v>
      </c>
      <c r="G37" s="263">
        <f t="shared" ca="1" si="12"/>
        <v>2573.0100000000002</v>
      </c>
      <c r="H37" s="263">
        <f t="shared" ca="1" si="12"/>
        <v>28374.04364212347</v>
      </c>
      <c r="I37" s="263">
        <f t="shared" ca="1" si="12"/>
        <v>138212.37500324915</v>
      </c>
    </row>
    <row r="38" spans="3:11" x14ac:dyDescent="0.2">
      <c r="C38" s="169" t="s">
        <v>78</v>
      </c>
      <c r="D38" s="263">
        <f>D11*Assumptions!$D$69/365</f>
        <v>496.02739726027397</v>
      </c>
      <c r="E38" s="263">
        <f>E11*Assumptions!$D$69/365</f>
        <v>990</v>
      </c>
      <c r="F38" s="263">
        <f>F11*Assumptions!$D$69/365</f>
        <v>2026.1095890410959</v>
      </c>
      <c r="G38" s="263">
        <f>G11*Assumptions!$D$69/365</f>
        <v>4229.6054794520551</v>
      </c>
      <c r="H38" s="263">
        <f>H11*Assumptions!$D$69/365</f>
        <v>8963.3786301369873</v>
      </c>
      <c r="I38" s="263">
        <f>I11*Assumptions!$D$69/365</f>
        <v>19206.802849315074</v>
      </c>
    </row>
    <row r="39" spans="3:11" x14ac:dyDescent="0.2">
      <c r="C39" s="169" t="s">
        <v>79</v>
      </c>
      <c r="D39" s="263">
        <v>0</v>
      </c>
      <c r="E39" s="263">
        <f>D39</f>
        <v>0</v>
      </c>
      <c r="F39" s="263">
        <f t="shared" ref="F39:I39" si="13">E39</f>
        <v>0</v>
      </c>
      <c r="G39" s="263">
        <f t="shared" si="13"/>
        <v>0</v>
      </c>
      <c r="H39" s="263">
        <f t="shared" si="13"/>
        <v>0</v>
      </c>
      <c r="I39" s="263">
        <f t="shared" si="13"/>
        <v>0</v>
      </c>
      <c r="J39" s="186"/>
    </row>
    <row r="40" spans="3:11" x14ac:dyDescent="0.2">
      <c r="C40" s="169" t="s">
        <v>81</v>
      </c>
      <c r="D40" s="263">
        <v>0</v>
      </c>
      <c r="E40" s="256">
        <f>D40</f>
        <v>0</v>
      </c>
      <c r="F40" s="256">
        <f t="shared" ref="F40:I41" si="14">E40</f>
        <v>0</v>
      </c>
      <c r="G40" s="256">
        <f t="shared" si="14"/>
        <v>0</v>
      </c>
      <c r="H40" s="256">
        <f t="shared" si="14"/>
        <v>0</v>
      </c>
      <c r="I40" s="256">
        <f t="shared" si="14"/>
        <v>0</v>
      </c>
      <c r="J40" s="186"/>
    </row>
    <row r="41" spans="3:11" x14ac:dyDescent="0.2">
      <c r="C41" s="169" t="s">
        <v>82</v>
      </c>
      <c r="D41" s="263">
        <v>0</v>
      </c>
      <c r="E41" s="256">
        <f>D41</f>
        <v>0</v>
      </c>
      <c r="F41" s="256">
        <f t="shared" si="14"/>
        <v>0</v>
      </c>
      <c r="G41" s="256">
        <f t="shared" si="14"/>
        <v>0</v>
      </c>
      <c r="H41" s="256">
        <f t="shared" si="14"/>
        <v>0</v>
      </c>
      <c r="I41" s="256">
        <f t="shared" si="14"/>
        <v>0</v>
      </c>
      <c r="J41" s="186"/>
    </row>
    <row r="42" spans="3:11" x14ac:dyDescent="0.2">
      <c r="C42" s="169" t="s">
        <v>84</v>
      </c>
      <c r="D42" s="263">
        <f>D77</f>
        <v>1800</v>
      </c>
      <c r="E42" s="263">
        <f t="shared" ref="E42:I42" si="15">E77</f>
        <v>1600</v>
      </c>
      <c r="F42" s="263">
        <f t="shared" si="15"/>
        <v>1400</v>
      </c>
      <c r="G42" s="263">
        <f t="shared" si="15"/>
        <v>1200</v>
      </c>
      <c r="H42" s="263">
        <f t="shared" si="15"/>
        <v>1000</v>
      </c>
      <c r="I42" s="263">
        <f t="shared" si="15"/>
        <v>800</v>
      </c>
      <c r="J42" s="186"/>
    </row>
    <row r="43" spans="3:11" x14ac:dyDescent="0.2">
      <c r="C43" s="169" t="s">
        <v>85</v>
      </c>
      <c r="D43" s="263">
        <v>0</v>
      </c>
      <c r="E43" s="256">
        <f>D43</f>
        <v>0</v>
      </c>
      <c r="F43" s="256">
        <f t="shared" ref="F43" si="16">E43</f>
        <v>0</v>
      </c>
      <c r="G43" s="256">
        <f t="shared" ref="G43" si="17">F43</f>
        <v>0</v>
      </c>
      <c r="H43" s="256">
        <f t="shared" ref="H43" si="18">G43</f>
        <v>0</v>
      </c>
      <c r="I43" s="256">
        <f t="shared" ref="I43" si="19">H43</f>
        <v>0</v>
      </c>
      <c r="J43" s="186"/>
    </row>
    <row r="44" spans="3:11" x14ac:dyDescent="0.2">
      <c r="C44" s="169" t="s">
        <v>86</v>
      </c>
      <c r="D44" s="263">
        <f>D71</f>
        <v>5625</v>
      </c>
      <c r="E44" s="263">
        <f t="shared" ref="E44:I44" si="20">E71</f>
        <v>15800</v>
      </c>
      <c r="F44" s="263">
        <f t="shared" si="20"/>
        <v>13975</v>
      </c>
      <c r="G44" s="263">
        <f t="shared" si="20"/>
        <v>12150</v>
      </c>
      <c r="H44" s="263">
        <f t="shared" si="20"/>
        <v>10325</v>
      </c>
      <c r="I44" s="263">
        <f t="shared" si="20"/>
        <v>8500</v>
      </c>
      <c r="J44" s="186"/>
    </row>
    <row r="45" spans="3:11" x14ac:dyDescent="0.2">
      <c r="C45" s="169" t="s">
        <v>87</v>
      </c>
      <c r="D45" s="263">
        <v>0</v>
      </c>
      <c r="E45" s="256">
        <f>D45</f>
        <v>0</v>
      </c>
      <c r="F45" s="256">
        <f t="shared" ref="F45" si="21">E45</f>
        <v>0</v>
      </c>
      <c r="G45" s="256">
        <f t="shared" ref="G45" si="22">F45</f>
        <v>0</v>
      </c>
      <c r="H45" s="256">
        <f t="shared" ref="H45" si="23">G45</f>
        <v>0</v>
      </c>
      <c r="I45" s="256">
        <f t="shared" ref="I45" si="24">H45</f>
        <v>0</v>
      </c>
      <c r="J45" s="186"/>
    </row>
    <row r="46" spans="3:11" x14ac:dyDescent="0.2">
      <c r="C46" s="194" t="s">
        <v>88</v>
      </c>
      <c r="D46" s="248">
        <f t="shared" ref="D46:I46" ca="1" si="25">SUM(D37:D45)</f>
        <v>8222.7773972602736</v>
      </c>
      <c r="E46" s="248">
        <f t="shared" ca="1" si="25"/>
        <v>18992.25</v>
      </c>
      <c r="F46" s="248">
        <f t="shared" ca="1" si="25"/>
        <v>18633.659589041097</v>
      </c>
      <c r="G46" s="248">
        <f t="shared" ca="1" si="25"/>
        <v>20152.615479452055</v>
      </c>
      <c r="H46" s="248">
        <f t="shared" ca="1" si="25"/>
        <v>48662.422272260461</v>
      </c>
      <c r="I46" s="248">
        <f t="shared" ca="1" si="25"/>
        <v>166719.17785256423</v>
      </c>
      <c r="J46" s="186"/>
    </row>
    <row r="47" spans="3:11" x14ac:dyDescent="0.2">
      <c r="C47" s="194"/>
      <c r="D47" s="248"/>
      <c r="E47" s="248"/>
      <c r="F47" s="248"/>
      <c r="G47" s="248"/>
      <c r="H47" s="248"/>
      <c r="I47" s="248"/>
      <c r="J47" s="212"/>
    </row>
    <row r="48" spans="3:11" x14ac:dyDescent="0.2">
      <c r="C48" s="169" t="s">
        <v>89</v>
      </c>
      <c r="D48" s="263">
        <f>D15*Assumptions!$D$70/365</f>
        <v>8926.0273972602736</v>
      </c>
      <c r="E48" s="263">
        <f>E15*Assumptions!$D$70/365</f>
        <v>9104.5479452054788</v>
      </c>
      <c r="F48" s="263">
        <f>F15*Assumptions!$D$70/365</f>
        <v>9286.6389041095899</v>
      </c>
      <c r="G48" s="263">
        <f>G15*Assumptions!$D$70/365</f>
        <v>9472.3716821917806</v>
      </c>
      <c r="H48" s="263">
        <f>H15*Assumptions!$D$70/365</f>
        <v>9661.8191158356167</v>
      </c>
      <c r="I48" s="263">
        <f>I15*Assumptions!$D$70/365</f>
        <v>9855.0554981523292</v>
      </c>
      <c r="J48" s="212"/>
    </row>
    <row r="49" spans="3:11" x14ac:dyDescent="0.2">
      <c r="C49" s="169" t="s">
        <v>90</v>
      </c>
      <c r="D49" s="263">
        <v>0</v>
      </c>
      <c r="E49" s="256">
        <f>D49</f>
        <v>0</v>
      </c>
      <c r="F49" s="256">
        <f t="shared" ref="F49:I50" si="26">E49</f>
        <v>0</v>
      </c>
      <c r="G49" s="256">
        <f t="shared" si="26"/>
        <v>0</v>
      </c>
      <c r="H49" s="256">
        <f t="shared" si="26"/>
        <v>0</v>
      </c>
      <c r="I49" s="256">
        <f t="shared" si="26"/>
        <v>0</v>
      </c>
      <c r="J49" s="186"/>
    </row>
    <row r="50" spans="3:11" x14ac:dyDescent="0.2">
      <c r="C50" s="169" t="s">
        <v>145</v>
      </c>
      <c r="D50" s="263">
        <v>0</v>
      </c>
      <c r="E50" s="256">
        <f>D50</f>
        <v>0</v>
      </c>
      <c r="F50" s="256">
        <f t="shared" si="26"/>
        <v>0</v>
      </c>
      <c r="G50" s="256">
        <f t="shared" si="26"/>
        <v>0</v>
      </c>
      <c r="H50" s="256">
        <f t="shared" si="26"/>
        <v>0</v>
      </c>
      <c r="I50" s="256">
        <f t="shared" si="26"/>
        <v>0</v>
      </c>
      <c r="J50" s="186"/>
    </row>
    <row r="51" spans="3:11" x14ac:dyDescent="0.2">
      <c r="C51" s="169" t="s">
        <v>242</v>
      </c>
      <c r="D51" s="263">
        <f ca="1">D120</f>
        <v>24747.8835978836</v>
      </c>
      <c r="E51" s="263">
        <f t="shared" ref="E51:I51" ca="1" si="27">E120</f>
        <v>85401.942489606474</v>
      </c>
      <c r="F51" s="263">
        <f t="shared" ca="1" si="27"/>
        <v>125639.133460046</v>
      </c>
      <c r="G51" s="263">
        <f t="shared" ca="1" si="27"/>
        <v>143027.24970621668</v>
      </c>
      <c r="H51" s="263">
        <f t="shared" ca="1" si="27"/>
        <v>142027.24970621677</v>
      </c>
      <c r="I51" s="263">
        <f t="shared" ca="1" si="27"/>
        <v>141027.24970621811</v>
      </c>
      <c r="J51" s="186"/>
    </row>
    <row r="52" spans="3:11" x14ac:dyDescent="0.2">
      <c r="C52" s="169" t="s">
        <v>95</v>
      </c>
      <c r="D52" s="263">
        <f>E127</f>
        <v>0</v>
      </c>
      <c r="E52" s="263">
        <f t="shared" ref="E52:I52" si="28">F127</f>
        <v>0</v>
      </c>
      <c r="F52" s="263">
        <f t="shared" si="28"/>
        <v>0</v>
      </c>
      <c r="G52" s="263">
        <f t="shared" si="28"/>
        <v>0</v>
      </c>
      <c r="H52" s="263">
        <f t="shared" si="28"/>
        <v>0</v>
      </c>
      <c r="I52" s="263">
        <f t="shared" si="28"/>
        <v>0</v>
      </c>
      <c r="J52" s="186"/>
      <c r="K52" s="198"/>
    </row>
    <row r="53" spans="3:11" x14ac:dyDescent="0.2">
      <c r="C53" s="169" t="s">
        <v>80</v>
      </c>
      <c r="D53" s="263">
        <v>0</v>
      </c>
      <c r="E53" s="256">
        <f t="shared" ref="E53:E54" si="29">D53</f>
        <v>0</v>
      </c>
      <c r="F53" s="256">
        <f t="shared" ref="F53:I54" si="30">E53</f>
        <v>0</v>
      </c>
      <c r="G53" s="256">
        <f t="shared" si="30"/>
        <v>0</v>
      </c>
      <c r="H53" s="256">
        <f t="shared" si="30"/>
        <v>0</v>
      </c>
      <c r="I53" s="256">
        <f t="shared" si="30"/>
        <v>0</v>
      </c>
      <c r="J53" s="186"/>
      <c r="K53" s="198"/>
    </row>
    <row r="54" spans="3:11" x14ac:dyDescent="0.2">
      <c r="C54" s="193" t="s">
        <v>97</v>
      </c>
      <c r="D54" s="263">
        <v>0</v>
      </c>
      <c r="E54" s="256">
        <f t="shared" si="29"/>
        <v>0</v>
      </c>
      <c r="F54" s="256">
        <f t="shared" si="30"/>
        <v>0</v>
      </c>
      <c r="G54" s="256">
        <f t="shared" si="30"/>
        <v>0</v>
      </c>
      <c r="H54" s="256">
        <f t="shared" si="30"/>
        <v>0</v>
      </c>
      <c r="I54" s="256">
        <f t="shared" si="30"/>
        <v>0</v>
      </c>
      <c r="J54" s="186"/>
      <c r="K54" s="198"/>
    </row>
    <row r="55" spans="3:11" x14ac:dyDescent="0.2">
      <c r="C55" s="195" t="s">
        <v>98</v>
      </c>
      <c r="D55" s="279">
        <f t="shared" ref="D55:I55" ca="1" si="31">SUM(D48:D54)</f>
        <v>33673.910995143873</v>
      </c>
      <c r="E55" s="279">
        <f t="shared" ca="1" si="31"/>
        <v>94506.490434811945</v>
      </c>
      <c r="F55" s="279">
        <f t="shared" ca="1" si="31"/>
        <v>134925.77236415559</v>
      </c>
      <c r="G55" s="279">
        <f t="shared" ca="1" si="31"/>
        <v>152499.62138840847</v>
      </c>
      <c r="H55" s="279">
        <f t="shared" ca="1" si="31"/>
        <v>151689.06882205239</v>
      </c>
      <c r="I55" s="279">
        <f t="shared" ca="1" si="31"/>
        <v>150882.30520437044</v>
      </c>
      <c r="J55" s="186"/>
    </row>
    <row r="56" spans="3:11" x14ac:dyDescent="0.2">
      <c r="C56" s="194"/>
      <c r="D56" s="248"/>
      <c r="E56" s="248"/>
      <c r="F56" s="248"/>
      <c r="G56" s="248"/>
      <c r="H56" s="248"/>
      <c r="I56" s="248"/>
    </row>
    <row r="57" spans="3:11" x14ac:dyDescent="0.2">
      <c r="C57" s="284" t="s">
        <v>333</v>
      </c>
      <c r="D57" s="280">
        <f ca="1">D25</f>
        <v>-50451.1335978836</v>
      </c>
      <c r="E57" s="280">
        <f t="shared" ref="E57:I57" ca="1" si="32">E25</f>
        <v>-50063.106836928353</v>
      </c>
      <c r="F57" s="280">
        <f t="shared" ca="1" si="32"/>
        <v>-40777.872340302529</v>
      </c>
      <c r="G57" s="280">
        <f t="shared" ca="1" si="32"/>
        <v>-16054.893133841915</v>
      </c>
      <c r="H57" s="280">
        <f t="shared" ca="1" si="32"/>
        <v>29320.359359164613</v>
      </c>
      <c r="I57" s="280">
        <f t="shared" ca="1" si="32"/>
        <v>118863.51919798861</v>
      </c>
    </row>
    <row r="58" spans="3:11" x14ac:dyDescent="0.2">
      <c r="C58" s="284" t="s">
        <v>336</v>
      </c>
      <c r="D58" s="280">
        <v>0</v>
      </c>
      <c r="E58" s="280">
        <f ca="1">D57</f>
        <v>-50451.1335978836</v>
      </c>
      <c r="F58" s="280">
        <f ca="1">E57+E58</f>
        <v>-100514.24043481195</v>
      </c>
      <c r="G58" s="280">
        <f ca="1">F57+F58</f>
        <v>-141292.11277511448</v>
      </c>
      <c r="H58" s="280">
        <f t="shared" ref="H58:I58" ca="1" si="33">G57+G58</f>
        <v>-157347.0059089564</v>
      </c>
      <c r="I58" s="280">
        <f t="shared" ca="1" si="33"/>
        <v>-128026.6465497918</v>
      </c>
    </row>
    <row r="59" spans="3:11" x14ac:dyDescent="0.2">
      <c r="C59" s="284" t="s">
        <v>334</v>
      </c>
      <c r="D59" s="280">
        <f>Assumptions!$D$75</f>
        <v>15000</v>
      </c>
      <c r="E59" s="280">
        <f>Assumptions!$D$75</f>
        <v>15000</v>
      </c>
      <c r="F59" s="280">
        <f>Assumptions!$D$75</f>
        <v>15000</v>
      </c>
      <c r="G59" s="280">
        <f>Assumptions!$D$75</f>
        <v>15000</v>
      </c>
      <c r="H59" s="280">
        <f>Assumptions!$D$75</f>
        <v>15000</v>
      </c>
      <c r="I59" s="280">
        <f>Assumptions!$D$75</f>
        <v>15000</v>
      </c>
    </row>
    <row r="60" spans="3:11" x14ac:dyDescent="0.2">
      <c r="C60" s="284" t="s">
        <v>332</v>
      </c>
      <c r="D60" s="280">
        <f>Assumptions!$D$74</f>
        <v>10000</v>
      </c>
      <c r="E60" s="280">
        <f>Assumptions!$D$74</f>
        <v>10000</v>
      </c>
      <c r="F60" s="280">
        <f>Assumptions!$D$74</f>
        <v>10000</v>
      </c>
      <c r="G60" s="280">
        <f>Assumptions!$D$74</f>
        <v>10000</v>
      </c>
      <c r="H60" s="280">
        <f>Assumptions!$D$74</f>
        <v>10000</v>
      </c>
      <c r="I60" s="280">
        <f>Assumptions!$D$74</f>
        <v>10000</v>
      </c>
    </row>
    <row r="61" spans="3:11" x14ac:dyDescent="0.2">
      <c r="C61" s="287" t="s">
        <v>106</v>
      </c>
      <c r="D61" s="288">
        <f ca="1">SUM(D57:D60)</f>
        <v>-25451.1335978836</v>
      </c>
      <c r="E61" s="288">
        <f ca="1">SUM(E57:E60)</f>
        <v>-75514.240434811945</v>
      </c>
      <c r="F61" s="288">
        <f ca="1">SUM(F57:F60)</f>
        <v>-116292.11277511448</v>
      </c>
      <c r="G61" s="288">
        <f ca="1">SUM(G57:G60)</f>
        <v>-132347.0059089564</v>
      </c>
      <c r="H61" s="288">
        <f ca="1">SUM(H57:H60)</f>
        <v>-103026.6465497918</v>
      </c>
      <c r="I61" s="288">
        <f ca="1">SUM(I57:I60)</f>
        <v>15836.872648196819</v>
      </c>
    </row>
    <row r="62" spans="3:11" x14ac:dyDescent="0.2">
      <c r="C62" s="196"/>
      <c r="D62" s="248"/>
      <c r="E62" s="248"/>
      <c r="F62" s="248"/>
      <c r="G62" s="248"/>
      <c r="H62" s="248"/>
      <c r="I62" s="248"/>
    </row>
    <row r="63" spans="3:11" x14ac:dyDescent="0.2">
      <c r="C63" s="197" t="s">
        <v>215</v>
      </c>
      <c r="D63" s="248">
        <f ca="1">D55+D61</f>
        <v>8222.7773972602736</v>
      </c>
      <c r="E63" s="248">
        <f ca="1">E55+E61</f>
        <v>18992.25</v>
      </c>
      <c r="F63" s="248">
        <f ca="1">F55+F61</f>
        <v>18633.659589041112</v>
      </c>
      <c r="G63" s="248">
        <f ca="1">G55+G61</f>
        <v>20152.61547945207</v>
      </c>
      <c r="H63" s="248">
        <f ca="1">H55+H61</f>
        <v>48662.422272260592</v>
      </c>
      <c r="I63" s="248">
        <f ca="1">I55+I61</f>
        <v>166719.17785256726</v>
      </c>
    </row>
    <row r="64" spans="3:11" x14ac:dyDescent="0.2">
      <c r="C64" s="196" t="s">
        <v>108</v>
      </c>
      <c r="D64" s="285">
        <f ca="1">D46-D63</f>
        <v>0</v>
      </c>
      <c r="E64" s="285">
        <f ca="1">E46-E63</f>
        <v>0</v>
      </c>
      <c r="F64" s="285">
        <f ca="1">F46-F63</f>
        <v>0</v>
      </c>
      <c r="G64" s="285">
        <f ca="1">G46-G63</f>
        <v>0</v>
      </c>
      <c r="H64" s="285">
        <f ca="1">H46-H63</f>
        <v>-1.3096723705530167E-10</v>
      </c>
      <c r="I64" s="285">
        <f ca="1">I46-I63</f>
        <v>-3.0267983675003052E-9</v>
      </c>
    </row>
    <row r="65" spans="3:13" x14ac:dyDescent="0.2">
      <c r="C65" s="196"/>
      <c r="D65" s="200"/>
      <c r="E65" s="200"/>
      <c r="F65" s="200"/>
      <c r="G65" s="200"/>
      <c r="H65" s="200"/>
      <c r="I65" s="200"/>
    </row>
    <row r="66" spans="3:13" x14ac:dyDescent="0.2">
      <c r="C66" s="167"/>
      <c r="D66" s="201"/>
      <c r="E66" s="201"/>
      <c r="F66" s="201"/>
      <c r="G66" s="201"/>
      <c r="H66" s="201"/>
      <c r="I66" s="201"/>
      <c r="J66" s="201"/>
      <c r="K66" s="201"/>
      <c r="L66" s="201"/>
      <c r="M66" s="201"/>
    </row>
    <row r="67" spans="3:13" x14ac:dyDescent="0.2">
      <c r="C67" s="190" t="s">
        <v>121</v>
      </c>
      <c r="D67" s="267"/>
      <c r="E67" s="267"/>
      <c r="F67" s="267"/>
      <c r="G67" s="267"/>
      <c r="H67" s="267"/>
      <c r="I67" s="267"/>
      <c r="J67" s="201"/>
      <c r="K67" s="201"/>
      <c r="L67" s="201"/>
      <c r="M67" s="201"/>
    </row>
    <row r="68" spans="3:13" x14ac:dyDescent="0.2">
      <c r="C68" s="167" t="s">
        <v>243</v>
      </c>
      <c r="D68" s="268"/>
      <c r="E68" s="268">
        <f>D71</f>
        <v>5625</v>
      </c>
      <c r="F68" s="268">
        <f>E71</f>
        <v>15800</v>
      </c>
      <c r="G68" s="268">
        <f>F71</f>
        <v>13975</v>
      </c>
      <c r="H68" s="268">
        <f>G71</f>
        <v>12150</v>
      </c>
      <c r="I68" s="268">
        <f>H71</f>
        <v>10325</v>
      </c>
      <c r="L68" s="221"/>
    </row>
    <row r="69" spans="3:13" x14ac:dyDescent="0.2">
      <c r="C69" s="167" t="s">
        <v>220</v>
      </c>
      <c r="D69" s="269">
        <f>Assumptions!D32</f>
        <v>6250</v>
      </c>
      <c r="E69" s="269">
        <f>Assumptions!D33</f>
        <v>12000</v>
      </c>
      <c r="F69" s="269">
        <v>0</v>
      </c>
      <c r="G69" s="269">
        <f t="shared" ref="G69:I69" si="34">F69</f>
        <v>0</v>
      </c>
      <c r="H69" s="269">
        <f t="shared" si="34"/>
        <v>0</v>
      </c>
      <c r="I69" s="269">
        <f t="shared" si="34"/>
        <v>0</v>
      </c>
    </row>
    <row r="70" spans="3:13" x14ac:dyDescent="0.2">
      <c r="C70" s="175" t="s">
        <v>221</v>
      </c>
      <c r="D70" s="270">
        <f>D69*Assumptions!$D$62</f>
        <v>625</v>
      </c>
      <c r="E70" s="270">
        <f>(D69+E69)*Assumptions!$D$62</f>
        <v>1825</v>
      </c>
      <c r="F70" s="270">
        <f>SUM(D69:F69)*Assumptions!$D$62</f>
        <v>1825</v>
      </c>
      <c r="G70" s="270">
        <f>SUM(D69:G69)*Assumptions!$D$62</f>
        <v>1825</v>
      </c>
      <c r="H70" s="270">
        <f>SUM(D69:H69)*Assumptions!$D$62</f>
        <v>1825</v>
      </c>
      <c r="I70" s="270">
        <f>SUM(D69:I69)*Assumptions!$D$62</f>
        <v>1825</v>
      </c>
    </row>
    <row r="71" spans="3:13" x14ac:dyDescent="0.2">
      <c r="C71" s="175" t="s">
        <v>222</v>
      </c>
      <c r="D71" s="269">
        <f>D69-D70</f>
        <v>5625</v>
      </c>
      <c r="E71" s="269">
        <f>E68+E69-E70</f>
        <v>15800</v>
      </c>
      <c r="F71" s="269">
        <f t="shared" ref="F71:I71" si="35">F68+F69-F70</f>
        <v>13975</v>
      </c>
      <c r="G71" s="269">
        <f t="shared" si="35"/>
        <v>12150</v>
      </c>
      <c r="H71" s="269">
        <f t="shared" si="35"/>
        <v>10325</v>
      </c>
      <c r="I71" s="269">
        <f t="shared" si="35"/>
        <v>8500</v>
      </c>
    </row>
    <row r="72" spans="3:13" x14ac:dyDescent="0.2">
      <c r="C72" s="167"/>
      <c r="D72" s="203"/>
      <c r="E72" s="203"/>
      <c r="F72" s="203"/>
      <c r="G72" s="203"/>
      <c r="H72" s="203"/>
      <c r="I72" s="203"/>
    </row>
    <row r="73" spans="3:13" x14ac:dyDescent="0.2">
      <c r="C73" s="190" t="s">
        <v>84</v>
      </c>
      <c r="D73" s="202"/>
      <c r="E73" s="202"/>
      <c r="F73" s="202"/>
      <c r="G73" s="202"/>
      <c r="H73" s="202"/>
      <c r="I73" s="202"/>
    </row>
    <row r="74" spans="3:13" x14ac:dyDescent="0.2">
      <c r="C74" s="175" t="s">
        <v>223</v>
      </c>
      <c r="D74" s="268"/>
      <c r="E74" s="268">
        <f>D77</f>
        <v>1800</v>
      </c>
      <c r="F74" s="268">
        <f>E77</f>
        <v>1600</v>
      </c>
      <c r="G74" s="268">
        <f>F77</f>
        <v>1400</v>
      </c>
      <c r="H74" s="268">
        <f>G77</f>
        <v>1200</v>
      </c>
      <c r="I74" s="268">
        <f>H77</f>
        <v>1000</v>
      </c>
    </row>
    <row r="75" spans="3:13" x14ac:dyDescent="0.2">
      <c r="C75" s="175" t="s">
        <v>224</v>
      </c>
      <c r="D75" s="269">
        <v>2000</v>
      </c>
      <c r="E75" s="269">
        <v>0</v>
      </c>
      <c r="F75" s="269">
        <v>0</v>
      </c>
      <c r="G75" s="269">
        <f t="shared" ref="G75" si="36">F75</f>
        <v>0</v>
      </c>
      <c r="H75" s="269">
        <f t="shared" ref="H75" si="37">G75</f>
        <v>0</v>
      </c>
      <c r="I75" s="269">
        <f t="shared" ref="I75" si="38">H75</f>
        <v>0</v>
      </c>
    </row>
    <row r="76" spans="3:13" x14ac:dyDescent="0.2">
      <c r="C76" s="175" t="s">
        <v>225</v>
      </c>
      <c r="D76" s="270">
        <f>D75*Assumptions!$D$62</f>
        <v>200</v>
      </c>
      <c r="E76" s="270">
        <f>(D75+E75)*Assumptions!$D$62</f>
        <v>200</v>
      </c>
      <c r="F76" s="270">
        <f>SUM(D75:F75)*Assumptions!$D$62</f>
        <v>200</v>
      </c>
      <c r="G76" s="270">
        <f>SUM(D75:G75)*Assumptions!$D$62</f>
        <v>200</v>
      </c>
      <c r="H76" s="270">
        <f>SUM(D75:H75)*Assumptions!$D$62</f>
        <v>200</v>
      </c>
      <c r="I76" s="270">
        <f>SUM(D75:I75)*Assumptions!$D$62</f>
        <v>200</v>
      </c>
    </row>
    <row r="77" spans="3:13" x14ac:dyDescent="0.2">
      <c r="C77" s="175" t="s">
        <v>226</v>
      </c>
      <c r="D77" s="269">
        <f>D75-D76</f>
        <v>1800</v>
      </c>
      <c r="E77" s="269">
        <f>E74+E75-E76</f>
        <v>1600</v>
      </c>
      <c r="F77" s="269">
        <f t="shared" ref="F77" si="39">F74+F75-F76</f>
        <v>1400</v>
      </c>
      <c r="G77" s="269">
        <f t="shared" ref="G77" si="40">G74+G75-G76</f>
        <v>1200</v>
      </c>
      <c r="H77" s="269">
        <f t="shared" ref="H77" si="41">H74+H75-H76</f>
        <v>1000</v>
      </c>
      <c r="I77" s="269">
        <f t="shared" ref="I77" si="42">I74+I75-I76</f>
        <v>800</v>
      </c>
    </row>
    <row r="78" spans="3:13" x14ac:dyDescent="0.2">
      <c r="C78" s="167"/>
      <c r="D78" s="203"/>
      <c r="E78" s="203"/>
      <c r="F78" s="203"/>
      <c r="G78" s="203"/>
      <c r="H78" s="203"/>
      <c r="I78" s="203"/>
    </row>
    <row r="79" spans="3:13" x14ac:dyDescent="0.2">
      <c r="C79" s="198"/>
      <c r="D79" s="198"/>
      <c r="E79" s="198"/>
      <c r="F79" s="198"/>
      <c r="G79" s="198"/>
      <c r="H79" s="198"/>
      <c r="I79" s="198"/>
    </row>
    <row r="80" spans="3:13" ht="13.5" thickBot="1" x14ac:dyDescent="0.25">
      <c r="C80" s="37" t="s">
        <v>143</v>
      </c>
      <c r="D80" s="106"/>
      <c r="E80" s="106"/>
      <c r="F80" s="106"/>
      <c r="G80" s="106"/>
      <c r="H80" s="106"/>
      <c r="I80" s="106"/>
    </row>
    <row r="81" spans="3:9" x14ac:dyDescent="0.2">
      <c r="C81" s="204"/>
      <c r="D81" s="199">
        <f t="shared" ref="D81:I81" si="43">D$9</f>
        <v>44196</v>
      </c>
      <c r="E81" s="199">
        <f t="shared" si="43"/>
        <v>44561</v>
      </c>
      <c r="F81" s="199">
        <f t="shared" si="43"/>
        <v>44926</v>
      </c>
      <c r="G81" s="199">
        <f t="shared" si="43"/>
        <v>45291</v>
      </c>
      <c r="H81" s="199">
        <f t="shared" si="43"/>
        <v>45657</v>
      </c>
      <c r="I81" s="199">
        <f t="shared" si="43"/>
        <v>46022</v>
      </c>
    </row>
    <row r="82" spans="3:9" x14ac:dyDescent="0.2">
      <c r="C82" s="167" t="s">
        <v>46</v>
      </c>
      <c r="D82" s="256">
        <f ca="1">D25</f>
        <v>-50451.1335978836</v>
      </c>
      <c r="E82" s="256">
        <f ca="1">E25</f>
        <v>-50063.106836928353</v>
      </c>
      <c r="F82" s="256">
        <f ca="1">F25</f>
        <v>-40777.872340302529</v>
      </c>
      <c r="G82" s="256">
        <f ca="1">G25</f>
        <v>-16054.893133841915</v>
      </c>
      <c r="H82" s="256">
        <f ca="1">H25</f>
        <v>29320.359359164613</v>
      </c>
      <c r="I82" s="256">
        <f ca="1">I25</f>
        <v>118863.51919798861</v>
      </c>
    </row>
    <row r="83" spans="3:9" x14ac:dyDescent="0.2">
      <c r="C83" s="167" t="s">
        <v>50</v>
      </c>
      <c r="D83" s="256">
        <f>D29</f>
        <v>825</v>
      </c>
      <c r="E83" s="256">
        <f>E29</f>
        <v>2025</v>
      </c>
      <c r="F83" s="256">
        <f>F29</f>
        <v>2025</v>
      </c>
      <c r="G83" s="256">
        <f>G29</f>
        <v>2025</v>
      </c>
      <c r="H83" s="256">
        <f>H29</f>
        <v>2025</v>
      </c>
      <c r="I83" s="256">
        <f>I29</f>
        <v>2025</v>
      </c>
    </row>
    <row r="84" spans="3:9" x14ac:dyDescent="0.2">
      <c r="C84" s="167" t="s">
        <v>144</v>
      </c>
      <c r="D84" s="256"/>
      <c r="E84" s="256"/>
      <c r="F84" s="256"/>
      <c r="G84" s="256"/>
      <c r="H84" s="256"/>
      <c r="I84" s="256"/>
    </row>
    <row r="85" spans="3:9" x14ac:dyDescent="0.2">
      <c r="C85" s="195" t="s">
        <v>78</v>
      </c>
      <c r="D85" s="256">
        <f>0-D38</f>
        <v>-496.02739726027397</v>
      </c>
      <c r="E85" s="256">
        <f>D38-E38</f>
        <v>-493.97260273972603</v>
      </c>
      <c r="F85" s="256">
        <f>E38-F38</f>
        <v>-1036.1095890410959</v>
      </c>
      <c r="G85" s="256">
        <f>F38-G38</f>
        <v>-2203.495890410959</v>
      </c>
      <c r="H85" s="256">
        <f>G38-H38</f>
        <v>-4733.7731506849323</v>
      </c>
      <c r="I85" s="256">
        <f>H38-I38</f>
        <v>-10243.424219178087</v>
      </c>
    </row>
    <row r="86" spans="3:9" x14ac:dyDescent="0.2">
      <c r="C86" s="195" t="s">
        <v>79</v>
      </c>
      <c r="D86" s="256">
        <f>0-D39</f>
        <v>0</v>
      </c>
      <c r="E86" s="256">
        <f>D39-E39</f>
        <v>0</v>
      </c>
      <c r="F86" s="256">
        <f>E39-F39</f>
        <v>0</v>
      </c>
      <c r="G86" s="256">
        <f>F39-G39</f>
        <v>0</v>
      </c>
      <c r="H86" s="256">
        <f>G39-H39</f>
        <v>0</v>
      </c>
      <c r="I86" s="256">
        <f>H39-I39</f>
        <v>0</v>
      </c>
    </row>
    <row r="87" spans="3:9" x14ac:dyDescent="0.2">
      <c r="C87" s="195" t="s">
        <v>81</v>
      </c>
      <c r="D87" s="256">
        <f>0-D40</f>
        <v>0</v>
      </c>
      <c r="E87" s="256">
        <f>D40-E40</f>
        <v>0</v>
      </c>
      <c r="F87" s="256">
        <f>E40-F40</f>
        <v>0</v>
      </c>
      <c r="G87" s="256">
        <f>F40-G40</f>
        <v>0</v>
      </c>
      <c r="H87" s="256">
        <f>G40-H40</f>
        <v>0</v>
      </c>
      <c r="I87" s="256">
        <f>H40-I40</f>
        <v>0</v>
      </c>
    </row>
    <row r="88" spans="3:9" x14ac:dyDescent="0.2">
      <c r="C88" s="195" t="s">
        <v>82</v>
      </c>
      <c r="D88" s="256">
        <f>0-D41</f>
        <v>0</v>
      </c>
      <c r="E88" s="256">
        <f>D41-E41</f>
        <v>0</v>
      </c>
      <c r="F88" s="256">
        <f>E41-F41</f>
        <v>0</v>
      </c>
      <c r="G88" s="256">
        <f>F41-G41</f>
        <v>0</v>
      </c>
      <c r="H88" s="256">
        <f>G41-H41</f>
        <v>0</v>
      </c>
      <c r="I88" s="256">
        <f>H41-I41</f>
        <v>0</v>
      </c>
    </row>
    <row r="89" spans="3:9" x14ac:dyDescent="0.2">
      <c r="C89" s="195" t="s">
        <v>89</v>
      </c>
      <c r="D89" s="256">
        <f>D48-0</f>
        <v>8926.0273972602736</v>
      </c>
      <c r="E89" s="256">
        <f>E48-D48</f>
        <v>178.52054794520518</v>
      </c>
      <c r="F89" s="256">
        <f>F48-E48</f>
        <v>182.09095890411118</v>
      </c>
      <c r="G89" s="256">
        <f>G48-F48</f>
        <v>185.73277808219063</v>
      </c>
      <c r="H89" s="256">
        <f>H48-G48</f>
        <v>189.44743364383612</v>
      </c>
      <c r="I89" s="256">
        <f>I48-H48</f>
        <v>193.23638231671248</v>
      </c>
    </row>
    <row r="90" spans="3:9" x14ac:dyDescent="0.2">
      <c r="C90" s="195" t="s">
        <v>90</v>
      </c>
      <c r="D90" s="256">
        <f>D49-0</f>
        <v>0</v>
      </c>
      <c r="E90" s="256">
        <f>E49-D49</f>
        <v>0</v>
      </c>
      <c r="F90" s="256">
        <f>F49-E49</f>
        <v>0</v>
      </c>
      <c r="G90" s="256">
        <f>G49-F49</f>
        <v>0</v>
      </c>
      <c r="H90" s="256">
        <f>H49-G49</f>
        <v>0</v>
      </c>
      <c r="I90" s="256">
        <f>I49-H49</f>
        <v>0</v>
      </c>
    </row>
    <row r="91" spans="3:9" x14ac:dyDescent="0.2">
      <c r="C91" s="195" t="s">
        <v>145</v>
      </c>
      <c r="D91" s="256">
        <f>D50-0</f>
        <v>0</v>
      </c>
      <c r="E91" s="256">
        <f>E50-D50</f>
        <v>0</v>
      </c>
      <c r="F91" s="256">
        <f>F50-E50</f>
        <v>0</v>
      </c>
      <c r="G91" s="256">
        <f>G50-F50</f>
        <v>0</v>
      </c>
      <c r="H91" s="256">
        <f>H50-G50</f>
        <v>0</v>
      </c>
      <c r="I91" s="256">
        <f>I50-H50</f>
        <v>0</v>
      </c>
    </row>
    <row r="92" spans="3:9" x14ac:dyDescent="0.2">
      <c r="C92" s="169" t="s">
        <v>146</v>
      </c>
      <c r="D92" s="256">
        <f>D53-0</f>
        <v>0</v>
      </c>
      <c r="E92" s="256">
        <f>E53-D53</f>
        <v>0</v>
      </c>
      <c r="F92" s="256">
        <f>F53-E53</f>
        <v>0</v>
      </c>
      <c r="G92" s="256">
        <f>G53-F53</f>
        <v>0</v>
      </c>
      <c r="H92" s="256">
        <f>H53-G53</f>
        <v>0</v>
      </c>
      <c r="I92" s="256">
        <f>I53-H53</f>
        <v>0</v>
      </c>
    </row>
    <row r="93" spans="3:9" x14ac:dyDescent="0.2">
      <c r="C93" s="193" t="str">
        <f>C54</f>
        <v>Other non-current liabilities</v>
      </c>
      <c r="D93" s="262">
        <f>D54-0</f>
        <v>0</v>
      </c>
      <c r="E93" s="262">
        <f>E54-D54</f>
        <v>0</v>
      </c>
      <c r="F93" s="262">
        <f>F54-E54</f>
        <v>0</v>
      </c>
      <c r="G93" s="262">
        <f>G54-F54</f>
        <v>0</v>
      </c>
      <c r="H93" s="262">
        <f>H54-G54</f>
        <v>0</v>
      </c>
      <c r="I93" s="262">
        <f>I54-H54</f>
        <v>0</v>
      </c>
    </row>
    <row r="94" spans="3:9" x14ac:dyDescent="0.2">
      <c r="C94" s="195" t="s">
        <v>149</v>
      </c>
      <c r="D94" s="256">
        <f t="shared" ref="D94:I94" ca="1" si="44">SUM(D82:D93)</f>
        <v>-41196.1335978836</v>
      </c>
      <c r="E94" s="256">
        <f t="shared" ca="1" si="44"/>
        <v>-48353.558891722874</v>
      </c>
      <c r="F94" s="256">
        <f t="shared" ca="1" si="44"/>
        <v>-39606.890970439512</v>
      </c>
      <c r="G94" s="256">
        <f t="shared" ca="1" si="44"/>
        <v>-16047.656246170684</v>
      </c>
      <c r="H94" s="256">
        <f t="shared" ca="1" si="44"/>
        <v>26801.033642123519</v>
      </c>
      <c r="I94" s="256">
        <f t="shared" ca="1" si="44"/>
        <v>110838.33136112723</v>
      </c>
    </row>
    <row r="95" spans="3:9" x14ac:dyDescent="0.2">
      <c r="C95" s="195"/>
      <c r="D95" s="256"/>
      <c r="E95" s="256"/>
      <c r="F95" s="256"/>
      <c r="G95" s="256"/>
      <c r="H95" s="256"/>
      <c r="I95" s="256"/>
    </row>
    <row r="96" spans="3:9" x14ac:dyDescent="0.2">
      <c r="C96" s="167" t="s">
        <v>238</v>
      </c>
      <c r="D96" s="256">
        <f t="shared" ref="D96:I96" si="45">-D75</f>
        <v>-2000</v>
      </c>
      <c r="E96" s="256">
        <f t="shared" si="45"/>
        <v>0</v>
      </c>
      <c r="F96" s="256">
        <f t="shared" si="45"/>
        <v>0</v>
      </c>
      <c r="G96" s="256">
        <f t="shared" si="45"/>
        <v>0</v>
      </c>
      <c r="H96" s="256">
        <f t="shared" si="45"/>
        <v>0</v>
      </c>
      <c r="I96" s="256">
        <f t="shared" si="45"/>
        <v>0</v>
      </c>
    </row>
    <row r="97" spans="3:13" x14ac:dyDescent="0.2">
      <c r="C97" s="167" t="s">
        <v>122</v>
      </c>
      <c r="D97" s="256">
        <f t="shared" ref="D97:I97" si="46">-D69</f>
        <v>-6250</v>
      </c>
      <c r="E97" s="256">
        <f t="shared" si="46"/>
        <v>-12000</v>
      </c>
      <c r="F97" s="256">
        <f t="shared" si="46"/>
        <v>0</v>
      </c>
      <c r="G97" s="256">
        <f t="shared" si="46"/>
        <v>0</v>
      </c>
      <c r="H97" s="256">
        <f t="shared" si="46"/>
        <v>0</v>
      </c>
      <c r="I97" s="256">
        <f t="shared" si="46"/>
        <v>0</v>
      </c>
    </row>
    <row r="98" spans="3:13" x14ac:dyDescent="0.2">
      <c r="C98" s="202" t="s">
        <v>227</v>
      </c>
      <c r="D98" s="262">
        <f>0-D45</f>
        <v>0</v>
      </c>
      <c r="E98" s="262">
        <f>D45-E45</f>
        <v>0</v>
      </c>
      <c r="F98" s="262">
        <f>E45-F45</f>
        <v>0</v>
      </c>
      <c r="G98" s="262">
        <f>F45-G45</f>
        <v>0</v>
      </c>
      <c r="H98" s="262">
        <f>G45-H45</f>
        <v>0</v>
      </c>
      <c r="I98" s="262">
        <f>H45-I45</f>
        <v>0</v>
      </c>
    </row>
    <row r="99" spans="3:13" x14ac:dyDescent="0.2">
      <c r="C99" s="195" t="s">
        <v>154</v>
      </c>
      <c r="D99" s="256">
        <f t="shared" ref="D99:I99" si="47">SUM(D96:D98)</f>
        <v>-8250</v>
      </c>
      <c r="E99" s="256">
        <f t="shared" si="47"/>
        <v>-12000</v>
      </c>
      <c r="F99" s="256">
        <f t="shared" si="47"/>
        <v>0</v>
      </c>
      <c r="G99" s="256">
        <f t="shared" si="47"/>
        <v>0</v>
      </c>
      <c r="H99" s="256">
        <f t="shared" si="47"/>
        <v>0</v>
      </c>
      <c r="I99" s="256">
        <f t="shared" si="47"/>
        <v>0</v>
      </c>
    </row>
    <row r="100" spans="3:13" x14ac:dyDescent="0.2">
      <c r="C100" s="169"/>
      <c r="D100" s="256"/>
      <c r="E100" s="256"/>
      <c r="F100" s="256"/>
      <c r="G100" s="256"/>
      <c r="H100" s="256"/>
      <c r="I100" s="256"/>
    </row>
    <row r="101" spans="3:13" s="197" customFormat="1" x14ac:dyDescent="0.2">
      <c r="C101" s="193" t="s">
        <v>161</v>
      </c>
      <c r="D101" s="262">
        <f ca="1">D132</f>
        <v>24747.8835978836</v>
      </c>
      <c r="E101" s="262">
        <f ca="1">SUM(E51:E52)-SUM(D51:D52)</f>
        <v>60654.058891722874</v>
      </c>
      <c r="F101" s="262">
        <f ca="1">SUM(F51:F52)-SUM(E51:E52)</f>
        <v>40237.190970439522</v>
      </c>
      <c r="G101" s="262">
        <f ca="1">SUM(G51:G52)-SUM(F51:F52)</f>
        <v>17388.116246170684</v>
      </c>
      <c r="H101" s="262">
        <f ca="1">SUM(H51:H52)-SUM(G51:G52)</f>
        <v>-999.99999999991269</v>
      </c>
      <c r="I101" s="262">
        <f ca="1">SUM(I51:I52)-SUM(H51:H52)</f>
        <v>-999.99999999866122</v>
      </c>
      <c r="J101" s="159"/>
      <c r="K101" s="159"/>
      <c r="L101" s="159"/>
      <c r="M101" s="159"/>
    </row>
    <row r="102" spans="3:13" x14ac:dyDescent="0.2">
      <c r="C102" s="195" t="s">
        <v>162</v>
      </c>
      <c r="D102" s="256">
        <f t="shared" ref="D102:I102" ca="1" si="48">D101</f>
        <v>24747.8835978836</v>
      </c>
      <c r="E102" s="256">
        <f t="shared" ca="1" si="48"/>
        <v>60654.058891722874</v>
      </c>
      <c r="F102" s="256">
        <f t="shared" ca="1" si="48"/>
        <v>40237.190970439522</v>
      </c>
      <c r="G102" s="256">
        <f t="shared" ca="1" si="48"/>
        <v>17388.116246170684</v>
      </c>
      <c r="H102" s="256">
        <f t="shared" ca="1" si="48"/>
        <v>-999.99999999991269</v>
      </c>
      <c r="I102" s="256">
        <f t="shared" ca="1" si="48"/>
        <v>-999.99999999866122</v>
      </c>
    </row>
    <row r="103" spans="3:13" x14ac:dyDescent="0.2">
      <c r="C103" s="195"/>
      <c r="D103" s="256"/>
      <c r="E103" s="256"/>
      <c r="F103" s="256"/>
      <c r="G103" s="256"/>
      <c r="H103" s="256"/>
      <c r="I103" s="256"/>
    </row>
    <row r="104" spans="3:13" x14ac:dyDescent="0.2">
      <c r="C104" s="169" t="s">
        <v>163</v>
      </c>
      <c r="D104" s="256">
        <f t="shared" ref="D104:I104" ca="1" si="49">D94+D99+D102</f>
        <v>-24698.25</v>
      </c>
      <c r="E104" s="256">
        <f t="shared" ca="1" si="49"/>
        <v>300.5</v>
      </c>
      <c r="F104" s="256">
        <f t="shared" ca="1" si="49"/>
        <v>630.30000000001019</v>
      </c>
      <c r="G104" s="256">
        <f t="shared" ca="1" si="49"/>
        <v>1340.4600000000009</v>
      </c>
      <c r="H104" s="256">
        <f t="shared" ca="1" si="49"/>
        <v>25801.033642123606</v>
      </c>
      <c r="I104" s="256">
        <f t="shared" ca="1" si="49"/>
        <v>109838.33136112857</v>
      </c>
    </row>
    <row r="105" spans="3:13" x14ac:dyDescent="0.2">
      <c r="C105" s="167"/>
      <c r="D105" s="203"/>
      <c r="E105" s="203"/>
      <c r="F105" s="203"/>
      <c r="G105" s="203"/>
      <c r="H105" s="203"/>
      <c r="I105" s="203"/>
    </row>
    <row r="106" spans="3:13" x14ac:dyDescent="0.2">
      <c r="C106" s="167"/>
      <c r="D106" s="203"/>
      <c r="E106" s="203"/>
      <c r="F106" s="203"/>
      <c r="G106" s="203"/>
      <c r="H106" s="203"/>
      <c r="I106" s="203"/>
    </row>
    <row r="107" spans="3:13" ht="13.5" thickBot="1" x14ac:dyDescent="0.25">
      <c r="C107" s="75" t="s">
        <v>228</v>
      </c>
      <c r="D107" s="76"/>
      <c r="E107" s="77"/>
      <c r="F107" s="77"/>
      <c r="G107" s="76"/>
      <c r="H107" s="76"/>
      <c r="I107" s="76"/>
    </row>
    <row r="108" spans="3:13" x14ac:dyDescent="0.2">
      <c r="C108" s="167"/>
      <c r="D108" s="199">
        <f t="shared" ref="D108:I108" si="50">D$9</f>
        <v>44196</v>
      </c>
      <c r="E108" s="199">
        <f t="shared" si="50"/>
        <v>44561</v>
      </c>
      <c r="F108" s="199">
        <f t="shared" si="50"/>
        <v>44926</v>
      </c>
      <c r="G108" s="199">
        <f t="shared" si="50"/>
        <v>45291</v>
      </c>
      <c r="H108" s="199">
        <f t="shared" si="50"/>
        <v>45657</v>
      </c>
      <c r="I108" s="199">
        <f t="shared" si="50"/>
        <v>46022</v>
      </c>
    </row>
    <row r="109" spans="3:13" s="203" customFormat="1" x14ac:dyDescent="0.2">
      <c r="C109" s="190" t="s">
        <v>164</v>
      </c>
      <c r="D109" s="205"/>
      <c r="E109" s="205"/>
      <c r="F109" s="205"/>
      <c r="G109" s="205"/>
      <c r="H109" s="205"/>
      <c r="I109" s="205"/>
    </row>
    <row r="110" spans="3:13" s="203" customFormat="1" x14ac:dyDescent="0.2">
      <c r="C110" s="167" t="s">
        <v>170</v>
      </c>
      <c r="D110" s="266">
        <f>Assumptions!$D$74+Assumptions!D75</f>
        <v>25000</v>
      </c>
      <c r="E110" s="250">
        <f ca="1">D37</f>
        <v>301.75</v>
      </c>
      <c r="F110" s="250">
        <f ca="1">E37</f>
        <v>602.25</v>
      </c>
      <c r="G110" s="250">
        <f ca="1">F37</f>
        <v>1232.5500000000002</v>
      </c>
      <c r="H110" s="250">
        <f ca="1">G37</f>
        <v>2573.0100000000002</v>
      </c>
      <c r="I110" s="250">
        <f ca="1">H37</f>
        <v>28374.04364212347</v>
      </c>
      <c r="K110" s="278"/>
      <c r="L110" s="203" t="s">
        <v>331</v>
      </c>
    </row>
    <row r="111" spans="3:13" s="203" customFormat="1" x14ac:dyDescent="0.2">
      <c r="C111" s="167" t="s">
        <v>171</v>
      </c>
      <c r="D111" s="250">
        <f t="shared" ref="D111:I111" ca="1" si="51">D94+D99</f>
        <v>-49446.1335978836</v>
      </c>
      <c r="E111" s="250">
        <f t="shared" ca="1" si="51"/>
        <v>-60353.558891722874</v>
      </c>
      <c r="F111" s="250">
        <f t="shared" ca="1" si="51"/>
        <v>-39606.890970439512</v>
      </c>
      <c r="G111" s="250">
        <f t="shared" ca="1" si="51"/>
        <v>-16047.656246170684</v>
      </c>
      <c r="H111" s="250">
        <f t="shared" ca="1" si="51"/>
        <v>26801.033642123519</v>
      </c>
      <c r="I111" s="250">
        <f t="shared" ca="1" si="51"/>
        <v>110838.33136112723</v>
      </c>
      <c r="K111" s="206"/>
    </row>
    <row r="112" spans="3:13" s="203" customFormat="1" x14ac:dyDescent="0.2">
      <c r="C112" s="167" t="s">
        <v>173</v>
      </c>
      <c r="D112" s="250">
        <f ca="1">IF((D110+D111)&lt;0,Assumptions!$D$82*-D11,0)</f>
        <v>-301.75</v>
      </c>
      <c r="E112" s="250">
        <f ca="1">IF((E110+E111)&lt;0,Assumptions!$D$82*-E11,0)</f>
        <v>-602.25</v>
      </c>
      <c r="F112" s="250">
        <f ca="1">IF((F110+F111)&lt;0,Assumptions!$D$82*-F11,0)</f>
        <v>-1232.5500000000002</v>
      </c>
      <c r="G112" s="250">
        <f ca="1">IF((G110+G111)&lt;0,Assumptions!$D$82*-G11,0)</f>
        <v>-2573.0100000000002</v>
      </c>
      <c r="H112" s="250">
        <f ca="1">IF((H110+H111)&lt;0,Assumptions!$D$82*-H11,0)</f>
        <v>0</v>
      </c>
      <c r="I112" s="250">
        <f ca="1">IF((I110+I111)&lt;0,Assumptions!$D$82*-I11,0)</f>
        <v>0</v>
      </c>
      <c r="K112" s="277"/>
    </row>
    <row r="113" spans="3:11" s="203" customFormat="1" x14ac:dyDescent="0.2">
      <c r="C113" s="167" t="s">
        <v>229</v>
      </c>
      <c r="D113" s="250">
        <f ca="1">IF(D120&gt;0,-(Assumptions!$D$83),0)</f>
        <v>-1000</v>
      </c>
      <c r="E113" s="250">
        <f ca="1">IF(E120&gt;0,-(Assumptions!$D$83),0)</f>
        <v>-1000</v>
      </c>
      <c r="F113" s="250">
        <f ca="1">IF(F120&gt;0,-(Assumptions!$D$83),0)</f>
        <v>-1000</v>
      </c>
      <c r="G113" s="250">
        <f ca="1">IF(G120&gt;0,-(Assumptions!$D$83),0)</f>
        <v>-1000</v>
      </c>
      <c r="H113" s="250">
        <f ca="1">IF(H120&gt;0,-(Assumptions!$D$83),0)</f>
        <v>-1000</v>
      </c>
      <c r="I113" s="250">
        <f ca="1">IF(I120&gt;0,-(Assumptions!$D$83),0)</f>
        <v>-1000</v>
      </c>
    </row>
    <row r="114" spans="3:11" s="203" customFormat="1" x14ac:dyDescent="0.2">
      <c r="C114" s="167" t="s">
        <v>230</v>
      </c>
      <c r="D114" s="250">
        <f t="shared" ref="D114:I114" ca="1" si="52">SUM(D110:D113)</f>
        <v>-25747.8835978836</v>
      </c>
      <c r="E114" s="250">
        <f t="shared" ca="1" si="52"/>
        <v>-61654.058891722874</v>
      </c>
      <c r="F114" s="250">
        <f t="shared" ca="1" si="52"/>
        <v>-41237.190970439515</v>
      </c>
      <c r="G114" s="250">
        <f t="shared" ca="1" si="52"/>
        <v>-18388.116246170684</v>
      </c>
      <c r="H114" s="250">
        <f t="shared" ca="1" si="52"/>
        <v>28374.043642123521</v>
      </c>
      <c r="I114" s="250">
        <f t="shared" ca="1" si="52"/>
        <v>138212.37500325069</v>
      </c>
    </row>
    <row r="115" spans="3:11" s="203" customFormat="1" x14ac:dyDescent="0.2">
      <c r="C115" s="167"/>
      <c r="D115" s="250"/>
      <c r="E115" s="250"/>
      <c r="F115" s="250"/>
      <c r="G115" s="250"/>
      <c r="H115" s="250"/>
      <c r="I115" s="250"/>
    </row>
    <row r="116" spans="3:11" s="203" customFormat="1" x14ac:dyDescent="0.2">
      <c r="C116" s="207" t="s">
        <v>231</v>
      </c>
      <c r="D116" s="275"/>
      <c r="E116" s="275"/>
      <c r="F116" s="275"/>
      <c r="G116" s="275"/>
      <c r="H116" s="275"/>
      <c r="I116" s="275"/>
    </row>
    <row r="117" spans="3:11" s="203" customFormat="1" x14ac:dyDescent="0.2">
      <c r="C117" s="208" t="s">
        <v>232</v>
      </c>
      <c r="E117" s="250">
        <f ca="1">D120</f>
        <v>24747.8835978836</v>
      </c>
      <c r="F117" s="250">
        <f ca="1">E120</f>
        <v>85401.942489606474</v>
      </c>
      <c r="G117" s="250">
        <f ca="1">F120</f>
        <v>125639.133460046</v>
      </c>
      <c r="H117" s="250">
        <f ca="1">G120</f>
        <v>143027.24970621668</v>
      </c>
      <c r="I117" s="250">
        <f ca="1">H120</f>
        <v>142027.24970621677</v>
      </c>
    </row>
    <row r="118" spans="3:11" s="203" customFormat="1" x14ac:dyDescent="0.2">
      <c r="C118" s="208" t="s">
        <v>340</v>
      </c>
      <c r="D118" s="250">
        <f ca="1">IF(D25&lt;0,-D114,0)</f>
        <v>25747.8835978836</v>
      </c>
      <c r="E118" s="250">
        <f ca="1">IF(E25&lt;0,-E114,0)</f>
        <v>61654.058891722874</v>
      </c>
      <c r="F118" s="250">
        <f ca="1">IF(F25&lt;0,-F114,0)</f>
        <v>41237.190970439515</v>
      </c>
      <c r="G118" s="250">
        <f ca="1">IF(G25&lt;0,-G114,0)</f>
        <v>18388.116246170684</v>
      </c>
      <c r="H118" s="250">
        <f ca="1">IF(H25&lt;0,-H114,0)</f>
        <v>0</v>
      </c>
      <c r="I118" s="250">
        <f ca="1">IF(I25&lt;0,-I114,0)</f>
        <v>0</v>
      </c>
    </row>
    <row r="119" spans="3:11" s="203" customFormat="1" x14ac:dyDescent="0.2">
      <c r="C119" s="208" t="s">
        <v>233</v>
      </c>
      <c r="D119" s="250">
        <f>Assumptions!$D$83</f>
        <v>1000</v>
      </c>
      <c r="E119" s="250">
        <f>Assumptions!$D$83</f>
        <v>1000</v>
      </c>
      <c r="F119" s="250">
        <f>Assumptions!$D$83</f>
        <v>1000</v>
      </c>
      <c r="G119" s="250">
        <f>Assumptions!$D$83</f>
        <v>1000</v>
      </c>
      <c r="H119" s="250">
        <f>Assumptions!$D$83</f>
        <v>1000</v>
      </c>
      <c r="I119" s="250">
        <f>Assumptions!$D$83</f>
        <v>1000</v>
      </c>
    </row>
    <row r="120" spans="3:11" s="203" customFormat="1" x14ac:dyDescent="0.2">
      <c r="C120" s="208" t="s">
        <v>234</v>
      </c>
      <c r="D120" s="250">
        <f ca="1">IF(D118-D119&gt;0,D118-D119,0)</f>
        <v>24747.8835978836</v>
      </c>
      <c r="E120" s="250">
        <f ca="1">IF(E117+E118-E119&gt;0,E117+E118-E119,0)</f>
        <v>85401.942489606474</v>
      </c>
      <c r="F120" s="250">
        <f t="shared" ref="F120:I120" ca="1" si="53">IF(F117+F118-F119&gt;0,F117+F118-F119,0)</f>
        <v>125639.133460046</v>
      </c>
      <c r="G120" s="250">
        <f t="shared" ca="1" si="53"/>
        <v>143027.24970621668</v>
      </c>
      <c r="H120" s="250">
        <f t="shared" ca="1" si="53"/>
        <v>142027.24970621668</v>
      </c>
      <c r="I120" s="250">
        <f t="shared" ca="1" si="53"/>
        <v>141027.24970621677</v>
      </c>
      <c r="K120" s="185"/>
    </row>
    <row r="121" spans="3:11" s="203" customFormat="1" x14ac:dyDescent="0.2">
      <c r="C121" s="209" t="s">
        <v>218</v>
      </c>
      <c r="D121" s="276">
        <f ca="1">IF($K$4=1,Assumptions!$D$80*D120,0)</f>
        <v>1361.133597883598</v>
      </c>
      <c r="E121" s="276">
        <f ca="1">IF($K$4=1,Assumptions!$D$80*E120,0)</f>
        <v>4697.1068369283557</v>
      </c>
      <c r="F121" s="276">
        <f ca="1">IF($K$4=1,Assumptions!$D$80*F120,0)</f>
        <v>6910.1523403025294</v>
      </c>
      <c r="G121" s="276">
        <f ca="1">IF($K$4=1,Assumptions!$D$80*G120,0)</f>
        <v>7866.4987338419178</v>
      </c>
      <c r="H121" s="276">
        <f ca="1">IF($K$4=1,Assumptions!$D$80*H120,0)</f>
        <v>7811.4987338419178</v>
      </c>
      <c r="I121" s="276">
        <f ca="1">IF($K$4=1,Assumptions!$D$80*I120,0)</f>
        <v>7756.4987338419223</v>
      </c>
      <c r="K121" s="277"/>
    </row>
    <row r="122" spans="3:11" s="203" customFormat="1" x14ac:dyDescent="0.2">
      <c r="D122" s="250"/>
      <c r="E122" s="250"/>
      <c r="F122" s="250"/>
      <c r="G122" s="250"/>
      <c r="H122" s="250"/>
      <c r="I122" s="250"/>
    </row>
    <row r="123" spans="3:11" s="203" customFormat="1" x14ac:dyDescent="0.2">
      <c r="C123" s="290" t="s">
        <v>235</v>
      </c>
      <c r="D123" s="291"/>
      <c r="E123" s="291"/>
      <c r="F123" s="291"/>
      <c r="G123" s="291"/>
      <c r="H123" s="291"/>
      <c r="I123" s="291"/>
    </row>
    <row r="124" spans="3:11" s="203" customFormat="1" x14ac:dyDescent="0.2">
      <c r="C124" s="292" t="s">
        <v>232</v>
      </c>
      <c r="D124" s="293"/>
      <c r="E124" s="293">
        <f>K127</f>
        <v>0</v>
      </c>
      <c r="F124" s="293">
        <f>E127</f>
        <v>0</v>
      </c>
      <c r="G124" s="293">
        <f>F127</f>
        <v>0</v>
      </c>
      <c r="H124" s="293">
        <f>G127</f>
        <v>0</v>
      </c>
      <c r="I124" s="293">
        <f>H127</f>
        <v>0</v>
      </c>
    </row>
    <row r="125" spans="3:11" s="203" customFormat="1" x14ac:dyDescent="0.2">
      <c r="C125" s="292" t="s">
        <v>335</v>
      </c>
      <c r="D125" s="293">
        <v>0</v>
      </c>
      <c r="E125" s="293">
        <v>0</v>
      </c>
      <c r="F125" s="293">
        <v>0</v>
      </c>
      <c r="G125" s="293">
        <v>0</v>
      </c>
      <c r="H125" s="293">
        <v>0</v>
      </c>
      <c r="I125" s="293">
        <v>0</v>
      </c>
    </row>
    <row r="126" spans="3:11" s="203" customFormat="1" ht="15" customHeight="1" x14ac:dyDescent="0.2">
      <c r="C126" s="292" t="s">
        <v>233</v>
      </c>
      <c r="D126" s="293">
        <f>Assumptions!$D$84</f>
        <v>1000</v>
      </c>
      <c r="E126" s="293">
        <f>Assumptions!$D$84</f>
        <v>1000</v>
      </c>
      <c r="F126" s="293">
        <f>Assumptions!$D$84</f>
        <v>1000</v>
      </c>
      <c r="G126" s="293">
        <f>Assumptions!$D$84</f>
        <v>1000</v>
      </c>
      <c r="H126" s="293">
        <f>Assumptions!$D$84</f>
        <v>1000</v>
      </c>
      <c r="I126" s="293">
        <f>Assumptions!$D$84</f>
        <v>1000</v>
      </c>
    </row>
    <row r="127" spans="3:11" s="203" customFormat="1" ht="13.5" customHeight="1" x14ac:dyDescent="0.2">
      <c r="C127" s="292" t="s">
        <v>234</v>
      </c>
      <c r="D127" s="293">
        <f>IF(D124-D126&gt;0,D124-D126,0)</f>
        <v>0</v>
      </c>
      <c r="E127" s="293">
        <f t="shared" ref="E127:I127" si="54">IF(E124-E126&gt;0,E124-E126,0)</f>
        <v>0</v>
      </c>
      <c r="F127" s="293">
        <f t="shared" si="54"/>
        <v>0</v>
      </c>
      <c r="G127" s="293">
        <f t="shared" si="54"/>
        <v>0</v>
      </c>
      <c r="H127" s="293">
        <f t="shared" si="54"/>
        <v>0</v>
      </c>
      <c r="I127" s="293">
        <f t="shared" si="54"/>
        <v>0</v>
      </c>
      <c r="K127" s="185"/>
    </row>
    <row r="128" spans="3:11" s="203" customFormat="1" ht="13.5" customHeight="1" x14ac:dyDescent="0.2">
      <c r="C128" s="294" t="s">
        <v>218</v>
      </c>
      <c r="D128" s="295">
        <f>IF($K$4=1,Assumptions!$D$81*D127,0)</f>
        <v>0</v>
      </c>
      <c r="E128" s="295">
        <f>IF($K$4=1,Assumptions!$D$81*E127,0)</f>
        <v>0</v>
      </c>
      <c r="F128" s="295">
        <f>IF($K$4=1,Assumptions!$D$81*F127,0)</f>
        <v>0</v>
      </c>
      <c r="G128" s="295">
        <f>IF($K$4=1,Assumptions!$D$81*G127,0)</f>
        <v>0</v>
      </c>
      <c r="H128" s="295">
        <f>IF($K$4=1,Assumptions!$D$81*H127,0)</f>
        <v>0</v>
      </c>
      <c r="I128" s="295">
        <f>IF($K$4=1,Assumptions!$D$81*I127,0)</f>
        <v>0</v>
      </c>
      <c r="K128" s="277"/>
    </row>
    <row r="129" spans="3:9" s="203" customFormat="1" ht="13.5" customHeight="1" x14ac:dyDescent="0.2">
      <c r="C129" s="167"/>
      <c r="D129" s="250"/>
      <c r="E129" s="250"/>
      <c r="F129" s="250"/>
      <c r="G129" s="250"/>
      <c r="H129" s="250"/>
      <c r="I129" s="250"/>
    </row>
    <row r="130" spans="3:9" s="203" customFormat="1" ht="13.5" customHeight="1" x14ac:dyDescent="0.2">
      <c r="C130" s="167"/>
      <c r="D130" s="250"/>
      <c r="E130" s="250"/>
      <c r="F130" s="250"/>
      <c r="G130" s="250"/>
      <c r="H130" s="250"/>
      <c r="I130" s="250"/>
    </row>
    <row r="131" spans="3:9" s="203" customFormat="1" x14ac:dyDescent="0.2">
      <c r="C131" s="210" t="s">
        <v>236</v>
      </c>
      <c r="D131" s="275">
        <f ca="1">D121+D128</f>
        <v>1361.133597883598</v>
      </c>
      <c r="E131" s="275">
        <f t="shared" ref="E131:I131" ca="1" si="55">E121+E128</f>
        <v>4697.1068369283557</v>
      </c>
      <c r="F131" s="275">
        <f t="shared" ca="1" si="55"/>
        <v>6910.1523403025294</v>
      </c>
      <c r="G131" s="275">
        <f t="shared" ca="1" si="55"/>
        <v>7866.4987338419178</v>
      </c>
      <c r="H131" s="275">
        <f t="shared" ca="1" si="55"/>
        <v>7811.4987338419178</v>
      </c>
      <c r="I131" s="275">
        <f t="shared" ca="1" si="55"/>
        <v>7756.4987338419223</v>
      </c>
    </row>
    <row r="132" spans="3:9" s="203" customFormat="1" x14ac:dyDescent="0.2">
      <c r="C132" s="211" t="s">
        <v>237</v>
      </c>
      <c r="D132" s="276">
        <f ca="1">D120+D127</f>
        <v>24747.8835978836</v>
      </c>
      <c r="E132" s="276">
        <f t="shared" ref="E132:I132" ca="1" si="56">E120+E127</f>
        <v>85401.942489606474</v>
      </c>
      <c r="F132" s="276">
        <f t="shared" ca="1" si="56"/>
        <v>125639.133460046</v>
      </c>
      <c r="G132" s="276">
        <f t="shared" ca="1" si="56"/>
        <v>143027.24970621668</v>
      </c>
      <c r="H132" s="276">
        <f t="shared" ca="1" si="56"/>
        <v>142027.24970621668</v>
      </c>
      <c r="I132" s="276">
        <f t="shared" ca="1" si="56"/>
        <v>141027.24970621677</v>
      </c>
    </row>
    <row r="133" spans="3:9" s="203" customFormat="1" x14ac:dyDescent="0.2">
      <c r="C133" s="196"/>
      <c r="D133" s="200"/>
      <c r="E133" s="200"/>
      <c r="F133" s="200"/>
      <c r="G133" s="200"/>
      <c r="H133" s="200"/>
      <c r="I133" s="200"/>
    </row>
    <row r="134" spans="3:9" s="203" customFormat="1" x14ac:dyDescent="0.2"/>
    <row r="155" spans="13:13" x14ac:dyDescent="0.2">
      <c r="M155" s="197"/>
    </row>
  </sheetData>
  <phoneticPr fontId="2" type="noConversion"/>
  <pageMargins left="0.75" right="0.75" top="1" bottom="1" header="0.5" footer="0.5"/>
  <pageSetup orientation="portrait" horizontalDpi="4294967294" r:id="rId1"/>
  <headerFooter alignWithMargins="0"/>
  <ignoredErrors>
    <ignoredError sqref="D23:I24 D22:I22 E42:I42 E44:I4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zoomScale="75" workbookViewId="0">
      <selection activeCell="C34" sqref="C34"/>
    </sheetView>
  </sheetViews>
  <sheetFormatPr defaultRowHeight="12.75" x14ac:dyDescent="0.2"/>
  <cols>
    <col min="1" max="2" width="2.42578125" style="134" customWidth="1"/>
    <col min="3" max="3" width="27.7109375" style="134" bestFit="1" customWidth="1"/>
    <col min="4" max="6" width="9.7109375" style="134" bestFit="1" customWidth="1"/>
    <col min="7" max="7" width="3.28515625" style="134" customWidth="1"/>
    <col min="8" max="8" width="9.140625" style="134"/>
    <col min="9" max="9" width="3.28515625" style="134" customWidth="1"/>
    <col min="10" max="16384" width="9.140625" style="134"/>
  </cols>
  <sheetData>
    <row r="1" spans="1:8" ht="25.5" x14ac:dyDescent="0.35">
      <c r="A1" s="133" t="s">
        <v>258</v>
      </c>
    </row>
    <row r="2" spans="1:8" ht="20.25" x14ac:dyDescent="0.3">
      <c r="A2" s="135" t="s">
        <v>259</v>
      </c>
    </row>
    <row r="3" spans="1:8" x14ac:dyDescent="0.2">
      <c r="A3" s="136" t="s">
        <v>257</v>
      </c>
    </row>
    <row r="6" spans="1:8" x14ac:dyDescent="0.2">
      <c r="D6" s="137" t="str">
        <f>[3]Summary!E36</f>
        <v>Hist</v>
      </c>
      <c r="E6" s="137" t="str">
        <f>[3]Summary!F36</f>
        <v>TTM</v>
      </c>
      <c r="F6" s="137" t="str">
        <f>[3]Summary!G36</f>
        <v>Proj</v>
      </c>
    </row>
    <row r="7" spans="1:8" x14ac:dyDescent="0.2">
      <c r="C7" s="138" t="str">
        <f>[3]Summary!A3</f>
        <v>$ in thousands</v>
      </c>
      <c r="D7" s="139">
        <f>[3]Summary!E37</f>
        <v>39082</v>
      </c>
      <c r="E7" s="139">
        <f>[3]Summary!F37</f>
        <v>39263</v>
      </c>
      <c r="F7" s="139">
        <f>[3]Summary!G37</f>
        <v>39447</v>
      </c>
    </row>
    <row r="8" spans="1:8" x14ac:dyDescent="0.2">
      <c r="C8" s="134" t="s">
        <v>51</v>
      </c>
      <c r="D8" s="140">
        <f>[3]Summary!E39</f>
        <v>12000</v>
      </c>
      <c r="E8" s="140">
        <f>[3]Summary!F39</f>
        <v>12000</v>
      </c>
      <c r="F8" s="140">
        <f>[3]Summary!G39</f>
        <v>12649.090909090908</v>
      </c>
    </row>
    <row r="11" spans="1:8" x14ac:dyDescent="0.2">
      <c r="C11" s="138" t="str">
        <f>A3</f>
        <v>$ in millions</v>
      </c>
      <c r="D11" s="141" t="s">
        <v>245</v>
      </c>
      <c r="E11" s="141" t="s">
        <v>248</v>
      </c>
      <c r="F11" s="141" t="s">
        <v>244</v>
      </c>
      <c r="H11" s="141" t="s">
        <v>249</v>
      </c>
    </row>
    <row r="12" spans="1:8" x14ac:dyDescent="0.2">
      <c r="C12" s="134" t="s">
        <v>254</v>
      </c>
      <c r="D12" s="155">
        <v>40</v>
      </c>
      <c r="E12" s="156">
        <f>F12-D12</f>
        <v>12</v>
      </c>
      <c r="F12" s="155">
        <v>52</v>
      </c>
      <c r="H12" s="142">
        <v>0.5</v>
      </c>
    </row>
    <row r="13" spans="1:8" x14ac:dyDescent="0.2">
      <c r="C13" s="134" t="s">
        <v>253</v>
      </c>
      <c r="D13" s="143">
        <f>[3]DCF_out!G33</f>
        <v>54335.731719777235</v>
      </c>
      <c r="E13" s="143">
        <f>F13-D13</f>
        <v>8978.3350435772736</v>
      </c>
      <c r="F13" s="143">
        <f>[3]DCF_out!I31</f>
        <v>63314.066763354509</v>
      </c>
      <c r="H13" s="142">
        <v>0.3</v>
      </c>
    </row>
    <row r="14" spans="1:8" x14ac:dyDescent="0.2">
      <c r="C14" s="134" t="s">
        <v>252</v>
      </c>
      <c r="D14" s="144">
        <v>35985.45909728657</v>
      </c>
      <c r="E14" s="143">
        <f>F14-D14</f>
        <v>7996.7686882859052</v>
      </c>
      <c r="F14" s="144">
        <v>43982.227785572475</v>
      </c>
      <c r="H14" s="142">
        <v>0.1</v>
      </c>
    </row>
    <row r="15" spans="1:8" x14ac:dyDescent="0.2">
      <c r="C15" s="134" t="s">
        <v>256</v>
      </c>
      <c r="D15" s="155">
        <v>40</v>
      </c>
      <c r="E15" s="156">
        <f>F15-D15</f>
        <v>12</v>
      </c>
      <c r="F15" s="155">
        <v>52</v>
      </c>
      <c r="H15" s="145">
        <v>0.1</v>
      </c>
    </row>
    <row r="16" spans="1:8" x14ac:dyDescent="0.2">
      <c r="C16" s="134" t="s">
        <v>255</v>
      </c>
      <c r="D16" s="144"/>
      <c r="E16" s="143"/>
      <c r="F16" s="144"/>
      <c r="H16" s="146">
        <f>SUM(H12:H15)</f>
        <v>1</v>
      </c>
    </row>
    <row r="18" spans="3:6" x14ac:dyDescent="0.2">
      <c r="C18" s="147" t="s">
        <v>246</v>
      </c>
      <c r="D18" s="148">
        <f>MEDIAN(D12:D15)</f>
        <v>18012.729548643285</v>
      </c>
      <c r="E18" s="148"/>
      <c r="F18" s="148">
        <f>MEDIAN(F12:F15)</f>
        <v>22017.113892786238</v>
      </c>
    </row>
    <row r="19" spans="3:6" x14ac:dyDescent="0.2">
      <c r="C19" s="149" t="s">
        <v>247</v>
      </c>
      <c r="D19" s="150">
        <f>AVERAGE(D12:D15)</f>
        <v>22600.297704265951</v>
      </c>
      <c r="E19" s="150"/>
      <c r="F19" s="150">
        <f>AVERAGE(F12:F15)</f>
        <v>26850.073637231748</v>
      </c>
    </row>
    <row r="20" spans="3:6" x14ac:dyDescent="0.2">
      <c r="C20" s="149" t="s">
        <v>250</v>
      </c>
      <c r="D20" s="150">
        <f>SUMPRODUCT(D12:D15,$H12:$H15)</f>
        <v>19923.265425661826</v>
      </c>
      <c r="E20" s="150"/>
      <c r="F20" s="150">
        <f>SUMPRODUCT(F12:F15,$H12:$H15)</f>
        <v>23423.642807563599</v>
      </c>
    </row>
    <row r="21" spans="3:6" x14ac:dyDescent="0.2">
      <c r="C21" s="151" t="s">
        <v>251</v>
      </c>
      <c r="D21" s="152">
        <v>36000</v>
      </c>
      <c r="E21" s="153">
        <f>F21-D21</f>
        <v>15000</v>
      </c>
      <c r="F21" s="152">
        <v>51000</v>
      </c>
    </row>
    <row r="23" spans="3:6" x14ac:dyDescent="0.2">
      <c r="C23" s="134" t="str">
        <f>YEAR(E7)&amp;" "&amp;C8&amp;" multiple"</f>
        <v>2007 EBITDA multiple</v>
      </c>
      <c r="D23" s="154">
        <f>D21/$E$8</f>
        <v>3</v>
      </c>
      <c r="E23" s="154"/>
      <c r="F23" s="154">
        <f>F21/$E$8</f>
        <v>4.25</v>
      </c>
    </row>
    <row r="24" spans="3:6" x14ac:dyDescent="0.2">
      <c r="C24" s="134" t="str">
        <f>YEAR(F7)&amp;"E "&amp;C8&amp;" multiple"</f>
        <v>2007E EBITDA multiple</v>
      </c>
      <c r="D24" s="154">
        <f>D21/$F$8</f>
        <v>2.8460543337645539</v>
      </c>
      <c r="E24" s="154"/>
      <c r="F24" s="154">
        <f>F21/$F$8</f>
        <v>4.0319103061664512</v>
      </c>
    </row>
  </sheetData>
  <phoneticPr fontId="40"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pageSetUpPr fitToPage="1"/>
  </sheetPr>
  <dimension ref="A1:IV328"/>
  <sheetViews>
    <sheetView topLeftCell="A221" zoomScale="80" zoomScaleNormal="80" workbookViewId="0">
      <selection activeCell="C34" sqref="C34"/>
    </sheetView>
  </sheetViews>
  <sheetFormatPr defaultRowHeight="12.75" x14ac:dyDescent="0.2"/>
  <cols>
    <col min="1" max="1" width="1.28515625" style="3" customWidth="1"/>
    <col min="2" max="2" width="1.5703125" style="3" customWidth="1"/>
    <col min="3" max="3" width="32.28515625" style="16" customWidth="1"/>
    <col min="4" max="4" width="13.42578125" style="3" customWidth="1"/>
    <col min="5" max="6" width="14.140625" style="3" bestFit="1" customWidth="1"/>
    <col min="7" max="8" width="12" style="3" bestFit="1" customWidth="1"/>
    <col min="9" max="10" width="12.85546875" style="3" bestFit="1" customWidth="1"/>
    <col min="11" max="11" width="12.28515625" style="3" bestFit="1" customWidth="1"/>
    <col min="12" max="12" width="12.85546875" style="3" bestFit="1" customWidth="1"/>
    <col min="13" max="13" width="12.5703125" style="3" bestFit="1" customWidth="1"/>
    <col min="14" max="15" width="12.85546875" style="3" bestFit="1" customWidth="1"/>
    <col min="16" max="16" width="13.5703125" style="3" bestFit="1" customWidth="1"/>
    <col min="17" max="17" width="9.85546875" style="3" bestFit="1" customWidth="1"/>
    <col min="18" max="16384" width="9.140625" style="3"/>
  </cols>
  <sheetData>
    <row r="1" spans="1:256" s="5" customFormat="1" ht="4.5" customHeight="1" x14ac:dyDescent="0.2">
      <c r="A1" s="3"/>
      <c r="B1" s="3"/>
      <c r="C1" s="4"/>
      <c r="H1" s="5" t="s">
        <v>0</v>
      </c>
      <c r="I1" s="6"/>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r="2" spans="1:256" s="11" customFormat="1" ht="23.25" thickBot="1" x14ac:dyDescent="0.5">
      <c r="A2" s="7"/>
      <c r="B2" s="7"/>
      <c r="C2" s="8" t="str">
        <f>"Financial Statement Model for "&amp;D7</f>
        <v>Financial Statement Model for Colgate</v>
      </c>
      <c r="D2" s="8"/>
      <c r="E2" s="8"/>
      <c r="F2" s="8"/>
      <c r="G2" s="8"/>
      <c r="H2" s="9"/>
      <c r="I2" s="10"/>
      <c r="J2" s="10"/>
      <c r="K2" s="10"/>
      <c r="L2" s="10"/>
      <c r="M2" s="10"/>
      <c r="N2" s="10"/>
      <c r="O2" s="10"/>
      <c r="P2" s="10"/>
      <c r="Q2" s="7"/>
      <c r="R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3"/>
      <c r="IL2" s="3"/>
      <c r="IM2" s="3"/>
      <c r="IN2" s="3"/>
      <c r="IO2" s="3"/>
      <c r="IP2" s="3"/>
      <c r="IQ2" s="3"/>
      <c r="IR2" s="3"/>
      <c r="IS2" s="3"/>
      <c r="IT2" s="3"/>
      <c r="IU2" s="3"/>
      <c r="IV2" s="3"/>
    </row>
    <row r="3" spans="1:256" s="5" customFormat="1" x14ac:dyDescent="0.2">
      <c r="A3" s="12"/>
      <c r="B3" s="3"/>
      <c r="C3" s="13" t="s">
        <v>1</v>
      </c>
      <c r="D3" s="14"/>
      <c r="E3" s="15"/>
      <c r="F3" s="15"/>
      <c r="G3" s="3"/>
      <c r="H3" s="3"/>
      <c r="I3" s="3"/>
      <c r="J3" s="3"/>
      <c r="K3" s="3"/>
      <c r="L3" s="3"/>
      <c r="M3" s="3"/>
      <c r="N3" s="3"/>
      <c r="O3" s="3"/>
      <c r="P3" s="3"/>
      <c r="Q3" s="3"/>
      <c r="R3" s="3"/>
      <c r="S3" s="16"/>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6" s="5" customFormat="1" x14ac:dyDescent="0.2">
      <c r="A4" s="3"/>
      <c r="B4" s="3"/>
      <c r="C4" s="16" t="s">
        <v>2</v>
      </c>
      <c r="D4" s="15" t="str">
        <f ca="1">OFFSET(O6,S6,0)</f>
        <v>Base case</v>
      </c>
      <c r="E4" s="15"/>
      <c r="F4" s="15"/>
      <c r="G4" s="3"/>
      <c r="H4" s="3"/>
      <c r="I4" s="3"/>
      <c r="J4" s="3"/>
      <c r="K4" s="3"/>
      <c r="L4" s="3"/>
      <c r="M4" s="3"/>
      <c r="N4" s="3"/>
      <c r="O4" s="3"/>
      <c r="P4" s="3"/>
      <c r="Q4" s="3"/>
      <c r="R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s="5" customFormat="1" x14ac:dyDescent="0.2">
      <c r="A5" s="3"/>
      <c r="B5" s="3"/>
      <c r="C5" s="16"/>
      <c r="D5" s="15"/>
      <c r="E5" s="15"/>
      <c r="F5" s="15"/>
      <c r="G5" s="3"/>
      <c r="H5" s="3"/>
      <c r="I5" s="3"/>
      <c r="J5" s="3"/>
      <c r="K5" s="3"/>
      <c r="L5" s="3"/>
      <c r="M5" s="3"/>
      <c r="N5" s="3"/>
      <c r="O5" s="3"/>
      <c r="P5" s="3"/>
      <c r="Q5" s="3"/>
      <c r="R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r="6" spans="1:256" s="5" customFormat="1" x14ac:dyDescent="0.2">
      <c r="A6" s="3"/>
      <c r="B6" s="3"/>
      <c r="C6" s="2" t="s">
        <v>3</v>
      </c>
      <c r="D6" s="2"/>
      <c r="E6" s="15"/>
      <c r="F6" s="2" t="s">
        <v>4</v>
      </c>
      <c r="G6" s="17"/>
      <c r="H6" s="17"/>
      <c r="I6" s="17"/>
      <c r="J6" s="17"/>
      <c r="K6" s="17"/>
      <c r="L6" s="17"/>
      <c r="M6" s="17"/>
      <c r="N6" s="3"/>
      <c r="O6" s="18" t="s">
        <v>5</v>
      </c>
      <c r="P6" s="19"/>
      <c r="Q6" s="3"/>
      <c r="R6" s="3"/>
      <c r="S6" s="20" t="s">
        <v>6</v>
      </c>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r="7" spans="1:256" s="5" customFormat="1" x14ac:dyDescent="0.2">
      <c r="A7" s="3"/>
      <c r="B7" s="3"/>
      <c r="C7" s="21" t="s">
        <v>7</v>
      </c>
      <c r="D7" s="22" t="s">
        <v>8</v>
      </c>
      <c r="E7" s="15"/>
      <c r="F7" s="23" t="s">
        <v>9</v>
      </c>
      <c r="G7" s="24"/>
      <c r="H7" s="24"/>
      <c r="I7" s="24"/>
      <c r="J7" s="24"/>
      <c r="K7" s="25">
        <f>D24</f>
        <v>2004</v>
      </c>
      <c r="L7" s="25">
        <f>E24</f>
        <v>2005</v>
      </c>
      <c r="M7" s="25">
        <f>F24</f>
        <v>2006</v>
      </c>
      <c r="N7" s="3">
        <v>1</v>
      </c>
      <c r="O7" s="26" t="s">
        <v>10</v>
      </c>
      <c r="P7" s="16"/>
      <c r="Q7" s="3"/>
      <c r="R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5" customFormat="1" x14ac:dyDescent="0.2">
      <c r="A8" s="3"/>
      <c r="B8" s="3"/>
      <c r="C8" s="21" t="s">
        <v>11</v>
      </c>
      <c r="D8" s="27">
        <v>39082</v>
      </c>
      <c r="E8" s="15"/>
      <c r="F8" s="16" t="s">
        <v>12</v>
      </c>
      <c r="G8" s="24"/>
      <c r="H8" s="24"/>
      <c r="I8" s="24"/>
      <c r="J8" s="24"/>
      <c r="K8" s="28">
        <v>3.4</v>
      </c>
      <c r="L8" s="28">
        <v>100.2</v>
      </c>
      <c r="M8" s="28">
        <v>196.2</v>
      </c>
      <c r="N8" s="3">
        <v>2</v>
      </c>
      <c r="O8" s="16" t="s">
        <v>13</v>
      </c>
      <c r="P8" s="16"/>
      <c r="Q8" s="3"/>
      <c r="R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30" customFormat="1" x14ac:dyDescent="0.2">
      <c r="A9" s="3"/>
      <c r="B9" s="3"/>
      <c r="C9" s="16" t="s">
        <v>14</v>
      </c>
      <c r="D9" s="29">
        <v>67.42</v>
      </c>
      <c r="E9" s="3"/>
      <c r="F9" s="16" t="s">
        <v>15</v>
      </c>
      <c r="G9" s="24"/>
      <c r="H9" s="24"/>
      <c r="I9" s="24"/>
      <c r="J9" s="24"/>
      <c r="K9" s="12">
        <f>65.3+47.9-8.5-26.7+2.8-42.3*(1.337)</f>
        <v>24.244899999999987</v>
      </c>
      <c r="L9" s="12">
        <f>1.8+80.8+55.3-2-147.9+34-42.9*(1.35)</f>
        <v>-35.915000000000028</v>
      </c>
      <c r="M9" s="12">
        <f>46.1+153.1+57.5-3.4-46.5</f>
        <v>206.79999999999998</v>
      </c>
      <c r="N9" s="3">
        <v>3</v>
      </c>
      <c r="O9" s="16" t="s">
        <v>16</v>
      </c>
      <c r="P9" s="16"/>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0" customFormat="1" x14ac:dyDescent="0.2">
      <c r="A10" s="3"/>
      <c r="B10" s="3"/>
      <c r="C10" s="16" t="s">
        <v>17</v>
      </c>
      <c r="D10" s="27">
        <v>39112</v>
      </c>
      <c r="E10" s="3"/>
      <c r="F10" s="16" t="s">
        <v>18</v>
      </c>
      <c r="G10" s="24"/>
      <c r="H10" s="24"/>
      <c r="I10" s="24"/>
      <c r="J10" s="24"/>
      <c r="K10" s="12"/>
      <c r="L10" s="12"/>
      <c r="M10" s="12"/>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r="11" spans="1:256" s="30" customFormat="1" x14ac:dyDescent="0.2">
      <c r="A11" s="3"/>
      <c r="B11" s="3"/>
      <c r="C11" s="16"/>
      <c r="D11" s="3"/>
      <c r="E11" s="3"/>
      <c r="F11" s="23" t="s">
        <v>19</v>
      </c>
      <c r="G11" s="24"/>
      <c r="H11" s="24"/>
      <c r="I11" s="24"/>
      <c r="J11" s="24"/>
      <c r="K11" s="31"/>
      <c r="L11" s="31"/>
      <c r="M11" s="31"/>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r="12" spans="1:256" s="30" customFormat="1" x14ac:dyDescent="0.2">
      <c r="A12" s="3"/>
      <c r="B12" s="3"/>
      <c r="C12" s="2" t="s">
        <v>20</v>
      </c>
      <c r="D12" s="2"/>
      <c r="E12" s="3"/>
      <c r="F12" s="16" t="s">
        <v>21</v>
      </c>
      <c r="G12" s="24"/>
      <c r="H12" s="24"/>
      <c r="I12" s="24"/>
      <c r="J12" s="24"/>
      <c r="K12" s="12">
        <v>2.2999999999999998</v>
      </c>
      <c r="L12" s="12">
        <v>79.5</v>
      </c>
      <c r="M12" s="12">
        <v>142.1</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r="13" spans="1:256" s="30" customFormat="1" x14ac:dyDescent="0.2">
      <c r="A13" s="3"/>
      <c r="B13" s="3"/>
      <c r="C13" s="32">
        <f>F25</f>
        <v>39082</v>
      </c>
      <c r="D13" s="33">
        <v>2.91</v>
      </c>
      <c r="E13" s="3"/>
      <c r="F13" s="16" t="s">
        <v>22</v>
      </c>
      <c r="G13" s="24"/>
      <c r="H13" s="24"/>
      <c r="I13" s="24"/>
      <c r="J13" s="24"/>
      <c r="K13" s="12">
        <f>45.6-42.3+(47.9-8.5-26.7+2.8)*(1-0.337)</f>
        <v>13.576500000000005</v>
      </c>
      <c r="L13" s="12">
        <f>65.6-42.9+(55.3-2-147.9+34)*(1-0.35)</f>
        <v>-16.690000000000012</v>
      </c>
      <c r="M13" s="12">
        <f>144.2-38.2+(57.5-3.4)*(1-0.324)</f>
        <v>142.57159999999999</v>
      </c>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r="14" spans="1:256" s="30" customFormat="1" x14ac:dyDescent="0.2">
      <c r="A14" s="3"/>
      <c r="B14" s="3"/>
      <c r="C14" s="32">
        <f>G25</f>
        <v>39447</v>
      </c>
      <c r="D14" s="33">
        <v>3.27</v>
      </c>
      <c r="E14" s="3"/>
      <c r="F14" s="16" t="s">
        <v>23</v>
      </c>
      <c r="G14" s="24"/>
      <c r="H14" s="24"/>
      <c r="I14" s="24"/>
      <c r="J14" s="24"/>
      <c r="K14" s="12"/>
      <c r="L14" s="12"/>
      <c r="M14" s="12"/>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r="15" spans="1:256" s="30" customFormat="1" x14ac:dyDescent="0.2">
      <c r="A15" s="3"/>
      <c r="B15" s="3"/>
      <c r="C15" s="32">
        <f>H25</f>
        <v>39813</v>
      </c>
      <c r="D15" s="33">
        <v>3.62</v>
      </c>
      <c r="E15" s="3"/>
      <c r="F15" s="16" t="s">
        <v>24</v>
      </c>
      <c r="G15" s="24"/>
      <c r="H15" s="24"/>
      <c r="I15" s="24"/>
      <c r="J15" s="24"/>
      <c r="K15" s="12"/>
      <c r="L15" s="12"/>
      <c r="M15" s="12"/>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s="30" customFormat="1" x14ac:dyDescent="0.2">
      <c r="A16" s="3"/>
      <c r="B16" s="3"/>
      <c r="C16" s="16" t="s">
        <v>25</v>
      </c>
      <c r="D16" s="34">
        <v>0.1</v>
      </c>
      <c r="E16" s="3"/>
      <c r="F16" s="23"/>
      <c r="G16" s="3"/>
      <c r="H16" s="3"/>
      <c r="I16" s="3"/>
      <c r="J16" s="3"/>
      <c r="K16" s="23"/>
      <c r="L16" s="23"/>
      <c r="M16" s="2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r="17" spans="1:256" s="30" customFormat="1" x14ac:dyDescent="0.2">
      <c r="A17" s="3"/>
      <c r="B17" s="3"/>
      <c r="C17" s="16"/>
      <c r="D17" s="3"/>
      <c r="E17" s="3"/>
      <c r="F17" s="23"/>
      <c r="G17" s="3"/>
      <c r="H17" s="3"/>
      <c r="I17" s="3"/>
      <c r="J17" s="3"/>
      <c r="K17" s="23"/>
      <c r="L17" s="23"/>
      <c r="M17" s="2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r="18" spans="1:256" s="30" customFormat="1" x14ac:dyDescent="0.2">
      <c r="A18" s="3"/>
      <c r="B18" s="3"/>
      <c r="C18" s="2" t="s">
        <v>26</v>
      </c>
      <c r="D18" s="2"/>
      <c r="E18" s="3"/>
      <c r="F18" s="23"/>
      <c r="G18" s="3"/>
      <c r="H18" s="3"/>
      <c r="I18" s="3"/>
      <c r="J18" s="3"/>
      <c r="K18" s="23"/>
      <c r="L18" s="23"/>
      <c r="M18" s="2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r="19" spans="1:256" s="30" customFormat="1" x14ac:dyDescent="0.2">
      <c r="A19" s="3"/>
      <c r="B19" s="3"/>
      <c r="C19" s="3" t="s">
        <v>27</v>
      </c>
      <c r="D19" s="3"/>
      <c r="E19" s="3"/>
      <c r="F19" s="23"/>
      <c r="G19" s="3"/>
      <c r="H19" s="3"/>
      <c r="I19" s="3"/>
      <c r="J19" s="3"/>
      <c r="K19" s="23"/>
      <c r="L19" s="23"/>
      <c r="M19" s="2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r="20" spans="1:256" s="30" customFormat="1" x14ac:dyDescent="0.2">
      <c r="A20" s="3"/>
      <c r="B20" s="3"/>
      <c r="C20" s="16" t="s">
        <v>28</v>
      </c>
      <c r="D20" s="35">
        <v>1</v>
      </c>
      <c r="E20" s="3"/>
      <c r="F20" s="23"/>
      <c r="G20" s="3"/>
      <c r="H20" s="3"/>
      <c r="I20" s="3"/>
      <c r="J20" s="3"/>
      <c r="K20" s="23"/>
      <c r="L20" s="23"/>
      <c r="M20" s="2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r="21" spans="1:256" s="30" customFormat="1" x14ac:dyDescent="0.2">
      <c r="A21" s="3"/>
      <c r="B21" s="3"/>
      <c r="C21" s="16"/>
      <c r="D21" s="3"/>
      <c r="E21" s="3"/>
      <c r="F21" s="16"/>
      <c r="G21" s="3"/>
      <c r="H21" s="3"/>
      <c r="I21" s="3"/>
      <c r="J21" s="3"/>
      <c r="K21" s="36"/>
      <c r="L21" s="36"/>
      <c r="M21" s="36"/>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s="30" customFormat="1" ht="13.5" thickBot="1" x14ac:dyDescent="0.25">
      <c r="A22" s="3"/>
      <c r="B22" s="3"/>
      <c r="C22" s="37" t="s">
        <v>29</v>
      </c>
      <c r="D22" s="38"/>
      <c r="E22" s="38"/>
      <c r="F22" s="38"/>
      <c r="G22" s="39"/>
      <c r="H22" s="39"/>
      <c r="I22" s="39"/>
      <c r="J22" s="39"/>
      <c r="K22" s="39"/>
      <c r="L22" s="39"/>
      <c r="M22" s="39"/>
      <c r="N22" s="39"/>
      <c r="O22" s="39"/>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3" spans="1:256" s="30" customFormat="1" x14ac:dyDescent="0.2">
      <c r="A23" s="3"/>
      <c r="B23" s="3"/>
      <c r="C23" s="16"/>
      <c r="D23" s="40" t="s">
        <v>30</v>
      </c>
      <c r="E23" s="40"/>
      <c r="F23" s="40"/>
      <c r="G23" s="41" t="s">
        <v>31</v>
      </c>
      <c r="H23" s="42"/>
      <c r="I23" s="42"/>
      <c r="J23" s="42"/>
      <c r="K23" s="42"/>
      <c r="L23" s="42"/>
      <c r="M23" s="42"/>
      <c r="N23" s="42"/>
      <c r="O23" s="42"/>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r="24" spans="1:256" s="30" customFormat="1" x14ac:dyDescent="0.2">
      <c r="A24" s="3"/>
      <c r="B24" s="3"/>
      <c r="C24" s="16"/>
      <c r="D24" s="43">
        <f>E24-1</f>
        <v>2004</v>
      </c>
      <c r="E24" s="43">
        <f>F24-1</f>
        <v>2005</v>
      </c>
      <c r="F24" s="43">
        <f>YEAR(D8)</f>
        <v>2006</v>
      </c>
      <c r="G24" s="43">
        <f t="shared" ref="G24:O24" si="0">F24+1</f>
        <v>2007</v>
      </c>
      <c r="H24" s="43">
        <f t="shared" si="0"/>
        <v>2008</v>
      </c>
      <c r="I24" s="43">
        <f t="shared" si="0"/>
        <v>2009</v>
      </c>
      <c r="J24" s="43">
        <f t="shared" si="0"/>
        <v>2010</v>
      </c>
      <c r="K24" s="43">
        <f t="shared" si="0"/>
        <v>2011</v>
      </c>
      <c r="L24" s="43">
        <f t="shared" si="0"/>
        <v>2012</v>
      </c>
      <c r="M24" s="43">
        <f t="shared" si="0"/>
        <v>2013</v>
      </c>
      <c r="N24" s="43">
        <f t="shared" si="0"/>
        <v>2014</v>
      </c>
      <c r="O24" s="43">
        <f t="shared" si="0"/>
        <v>2015</v>
      </c>
      <c r="P24" s="44"/>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r="25" spans="1:256" s="30" customFormat="1" x14ac:dyDescent="0.2">
      <c r="A25" s="3"/>
      <c r="B25" s="3"/>
      <c r="C25" s="45"/>
      <c r="D25" s="46">
        <f>DATE(YEAR(E25)-1,MONTH(E25),DAY(E25))</f>
        <v>38352</v>
      </c>
      <c r="E25" s="46">
        <f>DATE(YEAR(F25)-1,MONTH(F25),DAY(F25))</f>
        <v>38717</v>
      </c>
      <c r="F25" s="46">
        <f>D8</f>
        <v>39082</v>
      </c>
      <c r="G25" s="46">
        <f t="shared" ref="G25:O25" si="1">DATE(YEAR(F25)+1,MONTH(F25),DAY(F25))</f>
        <v>39447</v>
      </c>
      <c r="H25" s="46">
        <f t="shared" si="1"/>
        <v>39813</v>
      </c>
      <c r="I25" s="46">
        <f t="shared" si="1"/>
        <v>40178</v>
      </c>
      <c r="J25" s="46">
        <f t="shared" si="1"/>
        <v>40543</v>
      </c>
      <c r="K25" s="46">
        <f t="shared" si="1"/>
        <v>40908</v>
      </c>
      <c r="L25" s="46">
        <f t="shared" si="1"/>
        <v>41274</v>
      </c>
      <c r="M25" s="46">
        <f t="shared" si="1"/>
        <v>41639</v>
      </c>
      <c r="N25" s="46">
        <f t="shared" si="1"/>
        <v>42004</v>
      </c>
      <c r="O25" s="46">
        <f t="shared" si="1"/>
        <v>42369</v>
      </c>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r="26" spans="1:256" s="30" customFormat="1" x14ac:dyDescent="0.2">
      <c r="A26" s="3"/>
      <c r="B26" s="3"/>
      <c r="C26" s="16"/>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r="27" spans="1:256" s="30" customFormat="1" x14ac:dyDescent="0.2">
      <c r="A27" s="3"/>
      <c r="B27" s="3"/>
      <c r="C27" s="16" t="s">
        <v>32</v>
      </c>
      <c r="D27" s="47">
        <v>10584.2</v>
      </c>
      <c r="E27" s="47">
        <v>11396.9</v>
      </c>
      <c r="F27" s="47">
        <v>12237.7</v>
      </c>
      <c r="G27" s="48">
        <f t="shared" ref="G27:O27" ca="1" si="2">F27*(1+G65)</f>
        <v>13094.339000000002</v>
      </c>
      <c r="H27" s="48">
        <f t="shared" ca="1" si="2"/>
        <v>13879.999340000002</v>
      </c>
      <c r="I27" s="48">
        <f t="shared" ca="1" si="2"/>
        <v>14712.799300400004</v>
      </c>
      <c r="J27" s="48">
        <f t="shared" ca="1" si="2"/>
        <v>15595.567258424004</v>
      </c>
      <c r="K27" s="48">
        <f t="shared" ca="1" si="2"/>
        <v>16531.301293929446</v>
      </c>
      <c r="L27" s="48">
        <f t="shared" ca="1" si="2"/>
        <v>17523.179371565213</v>
      </c>
      <c r="M27" s="48">
        <f t="shared" ca="1" si="2"/>
        <v>18574.570133859128</v>
      </c>
      <c r="N27" s="48">
        <f t="shared" ca="1" si="2"/>
        <v>19689.044341890676</v>
      </c>
      <c r="O27" s="48">
        <f t="shared" ca="1" si="2"/>
        <v>20870.387002404117</v>
      </c>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r="28" spans="1:256" s="30" customFormat="1" x14ac:dyDescent="0.2">
      <c r="A28" s="3"/>
      <c r="B28" s="3"/>
      <c r="C28" s="49" t="s">
        <v>33</v>
      </c>
      <c r="D28" s="47">
        <v>4747.2</v>
      </c>
      <c r="E28" s="47">
        <v>5191.8999999999996</v>
      </c>
      <c r="F28" s="47">
        <v>5536.1</v>
      </c>
      <c r="G28" s="48"/>
      <c r="H28" s="48"/>
      <c r="I28" s="48"/>
      <c r="J28" s="48"/>
      <c r="K28" s="48"/>
      <c r="L28" s="48"/>
      <c r="M28" s="48"/>
      <c r="N28" s="48"/>
      <c r="O28" s="48"/>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r="29" spans="1:256" s="30" customFormat="1" x14ac:dyDescent="0.2">
      <c r="A29" s="3"/>
      <c r="B29" s="3"/>
      <c r="C29" s="49" t="s">
        <v>34</v>
      </c>
      <c r="D29" s="50">
        <f>D28-K8</f>
        <v>4743.8</v>
      </c>
      <c r="E29" s="50">
        <f>E28-L8</f>
        <v>5091.7</v>
      </c>
      <c r="F29" s="50">
        <f>F28-M8</f>
        <v>5339.9000000000005</v>
      </c>
      <c r="G29" s="48">
        <f t="shared" ref="G29:O29" ca="1" si="3">G27*(1-G66)</f>
        <v>5551.9997360000016</v>
      </c>
      <c r="H29" s="48">
        <f t="shared" ca="1" si="3"/>
        <v>5704.6797287400013</v>
      </c>
      <c r="I29" s="48">
        <f t="shared" ca="1" si="3"/>
        <v>5973.3965159624022</v>
      </c>
      <c r="J29" s="48">
        <f t="shared" ca="1" si="3"/>
        <v>6253.8224706280262</v>
      </c>
      <c r="K29" s="48">
        <f t="shared" ca="1" si="3"/>
        <v>6546.3953123960609</v>
      </c>
      <c r="L29" s="48">
        <f t="shared" ca="1" si="3"/>
        <v>6939.1790311398245</v>
      </c>
      <c r="M29" s="48">
        <f t="shared" ca="1" si="3"/>
        <v>7355.5297730082148</v>
      </c>
      <c r="N29" s="48">
        <f t="shared" ca="1" si="3"/>
        <v>7796.861559388708</v>
      </c>
      <c r="O29" s="48">
        <f t="shared" ca="1" si="3"/>
        <v>8264.6732529520305</v>
      </c>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r="30" spans="1:256" s="30" customFormat="1" x14ac:dyDescent="0.2">
      <c r="A30" s="3"/>
      <c r="B30" s="3"/>
      <c r="C30" s="49" t="s">
        <v>35</v>
      </c>
      <c r="D30" s="47">
        <f>3624.6+90.3</f>
        <v>3714.9</v>
      </c>
      <c r="E30" s="47">
        <f>3920.8+69.2</f>
        <v>3990</v>
      </c>
      <c r="F30" s="47">
        <f>4355.2+185.9</f>
        <v>4541.0999999999995</v>
      </c>
      <c r="G30" s="48"/>
      <c r="H30" s="48"/>
      <c r="I30" s="48"/>
      <c r="J30" s="48"/>
      <c r="K30" s="48"/>
      <c r="L30" s="48"/>
      <c r="M30" s="48"/>
      <c r="N30" s="48"/>
      <c r="O30" s="48"/>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r="31" spans="1:256" s="30" customFormat="1" x14ac:dyDescent="0.2">
      <c r="A31" s="3"/>
      <c r="B31" s="3"/>
      <c r="C31" s="49" t="s">
        <v>36</v>
      </c>
      <c r="D31" s="50">
        <f>D30-K9</f>
        <v>3690.6550999999999</v>
      </c>
      <c r="E31" s="50">
        <f>E30-L9</f>
        <v>4025.915</v>
      </c>
      <c r="F31" s="50">
        <f>F30-M9</f>
        <v>4334.2999999999993</v>
      </c>
      <c r="G31" s="48">
        <f t="shared" ref="G31:O31" ca="1" si="4">G27*G67</f>
        <v>4715.7595918883371</v>
      </c>
      <c r="H31" s="48">
        <f t="shared" ca="1" si="4"/>
        <v>5098.6603817209343</v>
      </c>
      <c r="I31" s="48">
        <f t="shared" ca="1" si="4"/>
        <v>5403.6936291257734</v>
      </c>
      <c r="J31" s="48">
        <f t="shared" ca="1" si="4"/>
        <v>5726.9823267720149</v>
      </c>
      <c r="K31" s="48">
        <f t="shared" ca="1" si="4"/>
        <v>6068.8851328118199</v>
      </c>
      <c r="L31" s="48">
        <f t="shared" ca="1" si="4"/>
        <v>6433.0182407805296</v>
      </c>
      <c r="M31" s="48">
        <f t="shared" ca="1" si="4"/>
        <v>6818.9993352273623</v>
      </c>
      <c r="N31" s="48">
        <f t="shared" ca="1" si="4"/>
        <v>7228.1392953410041</v>
      </c>
      <c r="O31" s="48">
        <f t="shared" ca="1" si="4"/>
        <v>7661.8276530614639</v>
      </c>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r="32" spans="1:256" s="30" customFormat="1" x14ac:dyDescent="0.2">
      <c r="A32" s="3"/>
      <c r="B32" s="3">
        <v>7</v>
      </c>
      <c r="C32" s="24" t="s">
        <v>37</v>
      </c>
      <c r="D32" s="48">
        <f t="shared" ref="D32:O32" si="5">D27-D29-D31</f>
        <v>2149.7449000000006</v>
      </c>
      <c r="E32" s="48">
        <f t="shared" si="5"/>
        <v>2279.2849999999999</v>
      </c>
      <c r="F32" s="48">
        <f t="shared" si="5"/>
        <v>2563.5000000000009</v>
      </c>
      <c r="G32" s="48">
        <f t="shared" ca="1" si="5"/>
        <v>2826.5796721116631</v>
      </c>
      <c r="H32" s="48">
        <f t="shared" ca="1" si="5"/>
        <v>3076.6592295390665</v>
      </c>
      <c r="I32" s="48">
        <f t="shared" ca="1" si="5"/>
        <v>3335.709155311828</v>
      </c>
      <c r="J32" s="48">
        <f t="shared" ca="1" si="5"/>
        <v>3614.7624610239636</v>
      </c>
      <c r="K32" s="48">
        <f t="shared" ca="1" si="5"/>
        <v>3916.0208487215659</v>
      </c>
      <c r="L32" s="48">
        <f t="shared" ca="1" si="5"/>
        <v>4150.982099644858</v>
      </c>
      <c r="M32" s="48">
        <f t="shared" ca="1" si="5"/>
        <v>4400.0410256235509</v>
      </c>
      <c r="N32" s="48">
        <f t="shared" ca="1" si="5"/>
        <v>4664.0434871609641</v>
      </c>
      <c r="O32" s="48">
        <f t="shared" ca="1" si="5"/>
        <v>4943.8860963906227</v>
      </c>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s="30" customFormat="1" x14ac:dyDescent="0.2">
      <c r="A33" s="3"/>
      <c r="B33" s="3"/>
      <c r="C33" s="51" t="s">
        <v>38</v>
      </c>
      <c r="D33" s="52">
        <v>119.7</v>
      </c>
      <c r="E33" s="52">
        <v>136</v>
      </c>
      <c r="F33" s="52">
        <v>158.69999999999999</v>
      </c>
      <c r="G33" s="48">
        <f t="shared" ref="G33:O33" ca="1" si="6">IF(circref=1,G249,0)</f>
        <v>158.80041967921559</v>
      </c>
      <c r="H33" s="48">
        <f t="shared" ca="1" si="6"/>
        <v>149.37943514642609</v>
      </c>
      <c r="I33" s="48">
        <f t="shared" ca="1" si="6"/>
        <v>141.49543633188523</v>
      </c>
      <c r="J33" s="48">
        <f t="shared" ca="1" si="6"/>
        <v>129.67782048634018</v>
      </c>
      <c r="K33" s="48">
        <f t="shared" ca="1" si="6"/>
        <v>113.48243642680332</v>
      </c>
      <c r="L33" s="48">
        <f t="shared" ca="1" si="6"/>
        <v>97.143786805137893</v>
      </c>
      <c r="M33" s="48">
        <f t="shared" ca="1" si="6"/>
        <v>90.049500000000009</v>
      </c>
      <c r="N33" s="48">
        <f t="shared" ca="1" si="6"/>
        <v>90.049500000000009</v>
      </c>
      <c r="O33" s="48">
        <f t="shared" ca="1" si="6"/>
        <v>90.049500000000009</v>
      </c>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4" spans="1:256" s="30" customFormat="1" x14ac:dyDescent="0.2">
      <c r="A34" s="3"/>
      <c r="B34" s="3"/>
      <c r="C34" s="53" t="s">
        <v>39</v>
      </c>
      <c r="D34" s="52">
        <v>0</v>
      </c>
      <c r="E34" s="52">
        <v>0</v>
      </c>
      <c r="F34" s="52">
        <v>0</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r="35" spans="1:256" s="30" customFormat="1" x14ac:dyDescent="0.2">
      <c r="A35" s="3"/>
      <c r="B35" s="3"/>
      <c r="C35" s="49" t="s">
        <v>40</v>
      </c>
      <c r="D35" s="50">
        <f>D34-K14</f>
        <v>0</v>
      </c>
      <c r="E35" s="50">
        <f>E34-L14</f>
        <v>0</v>
      </c>
      <c r="F35" s="50">
        <f>F34-M14</f>
        <v>0</v>
      </c>
      <c r="G35" s="50">
        <f t="shared" ref="G35:O35" si="7">F35</f>
        <v>0</v>
      </c>
      <c r="H35" s="50">
        <f t="shared" si="7"/>
        <v>0</v>
      </c>
      <c r="I35" s="50">
        <f t="shared" si="7"/>
        <v>0</v>
      </c>
      <c r="J35" s="50">
        <f t="shared" si="7"/>
        <v>0</v>
      </c>
      <c r="K35" s="50">
        <f t="shared" si="7"/>
        <v>0</v>
      </c>
      <c r="L35" s="50">
        <f t="shared" si="7"/>
        <v>0</v>
      </c>
      <c r="M35" s="50">
        <f t="shared" si="7"/>
        <v>0</v>
      </c>
      <c r="N35" s="50">
        <f t="shared" si="7"/>
        <v>0</v>
      </c>
      <c r="O35" s="50">
        <f t="shared" si="7"/>
        <v>0</v>
      </c>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r="36" spans="1:256" s="55" customFormat="1" x14ac:dyDescent="0.2">
      <c r="A36" s="24"/>
      <c r="B36" s="24"/>
      <c r="C36" s="24" t="s">
        <v>41</v>
      </c>
      <c r="D36" s="54">
        <f t="shared" ref="D36:O36" si="8">D32-D33+D35</f>
        <v>2030.0449000000006</v>
      </c>
      <c r="E36" s="54">
        <f t="shared" si="8"/>
        <v>2143.2849999999999</v>
      </c>
      <c r="F36" s="54">
        <f t="shared" si="8"/>
        <v>2404.8000000000011</v>
      </c>
      <c r="G36" s="54">
        <f t="shared" ca="1" si="8"/>
        <v>2667.7792524324473</v>
      </c>
      <c r="H36" s="54">
        <f t="shared" ca="1" si="8"/>
        <v>2927.2797943926403</v>
      </c>
      <c r="I36" s="54">
        <f t="shared" ca="1" si="8"/>
        <v>3194.2137189799428</v>
      </c>
      <c r="J36" s="54">
        <f t="shared" ca="1" si="8"/>
        <v>3485.0846405376233</v>
      </c>
      <c r="K36" s="54">
        <f t="shared" ca="1" si="8"/>
        <v>3802.5384122947626</v>
      </c>
      <c r="L36" s="54">
        <f t="shared" ca="1" si="8"/>
        <v>4053.8383128397199</v>
      </c>
      <c r="M36" s="54">
        <f t="shared" ca="1" si="8"/>
        <v>4309.9915256235508</v>
      </c>
      <c r="N36" s="54">
        <f t="shared" ca="1" si="8"/>
        <v>4573.993987160964</v>
      </c>
      <c r="O36" s="54">
        <f t="shared" ca="1" si="8"/>
        <v>4853.8365963906226</v>
      </c>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3"/>
      <c r="IL36" s="3"/>
      <c r="IM36" s="3"/>
      <c r="IN36" s="3"/>
      <c r="IO36" s="3"/>
      <c r="IP36" s="3"/>
      <c r="IQ36" s="3"/>
      <c r="IR36" s="3"/>
      <c r="IS36" s="3"/>
      <c r="IT36" s="3"/>
      <c r="IU36" s="3"/>
      <c r="IV36" s="3"/>
    </row>
    <row r="37" spans="1:256" s="30" customFormat="1" x14ac:dyDescent="0.2">
      <c r="A37" s="3"/>
      <c r="B37" s="3"/>
      <c r="C37" s="49" t="s">
        <v>42</v>
      </c>
      <c r="D37" s="52">
        <v>675.3</v>
      </c>
      <c r="E37" s="52">
        <v>727.6</v>
      </c>
      <c r="F37" s="52">
        <v>648.4</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30" customFormat="1" x14ac:dyDescent="0.2">
      <c r="A38" s="3"/>
      <c r="B38" s="3"/>
      <c r="C38" s="49" t="s">
        <v>43</v>
      </c>
      <c r="D38" s="36">
        <f>D37+SUM(K8:K10)-SUM(K12:K14)</f>
        <v>687.0684</v>
      </c>
      <c r="E38" s="36">
        <f>E37+SUM(L8:L10)-SUM(L12:L14)</f>
        <v>729.07500000000005</v>
      </c>
      <c r="F38" s="36">
        <f>F37+SUM(M8:M10)-SUM(M12:M14)</f>
        <v>766.72840000000008</v>
      </c>
      <c r="G38" s="48">
        <f t="shared" ref="G38:O38" ca="1" si="9">G36*G69</f>
        <v>850.57473293859186</v>
      </c>
      <c r="H38" s="48">
        <f t="shared" ca="1" si="9"/>
        <v>933.31193991475266</v>
      </c>
      <c r="I38" s="48">
        <f t="shared" ca="1" si="9"/>
        <v>1018.4191508697356</v>
      </c>
      <c r="J38" s="48">
        <f t="shared" ca="1" si="9"/>
        <v>1111.158254451092</v>
      </c>
      <c r="K38" s="48">
        <f t="shared" ca="1" si="9"/>
        <v>1212.3728346628836</v>
      </c>
      <c r="L38" s="48">
        <f t="shared" ca="1" si="9"/>
        <v>1292.4954106213809</v>
      </c>
      <c r="M38" s="48">
        <f t="shared" ca="1" si="9"/>
        <v>1374.1653802623516</v>
      </c>
      <c r="N38" s="48">
        <f t="shared" ca="1" si="9"/>
        <v>1458.3379455196045</v>
      </c>
      <c r="O38" s="48">
        <f t="shared" ca="1" si="9"/>
        <v>1547.5608646922931</v>
      </c>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r="39" spans="1:256" s="30" customFormat="1" x14ac:dyDescent="0.2">
      <c r="A39" s="3"/>
      <c r="B39" s="3"/>
      <c r="C39" s="53" t="s">
        <v>44</v>
      </c>
      <c r="D39" s="52">
        <f>8.5*(1-0.337)</f>
        <v>5.6355000000000004</v>
      </c>
      <c r="E39" s="52">
        <f>2*(1-0.35)</f>
        <v>1.3</v>
      </c>
      <c r="F39" s="52">
        <f>3.4*(1-0.324)</f>
        <v>2.2983999999999996</v>
      </c>
      <c r="G39" s="48">
        <f t="shared" ref="G39:O40" ca="1" si="10">F39*(1+G71)</f>
        <v>2.4822719999999996</v>
      </c>
      <c r="H39" s="48">
        <f t="shared" ca="1" si="10"/>
        <v>2.6684423999999995</v>
      </c>
      <c r="I39" s="48">
        <f t="shared" ca="1" si="10"/>
        <v>2.8552333679999995</v>
      </c>
      <c r="J39" s="48">
        <f t="shared" ca="1" si="10"/>
        <v>3.0408235369199992</v>
      </c>
      <c r="K39" s="48">
        <f t="shared" ca="1" si="10"/>
        <v>3.2232729491351995</v>
      </c>
      <c r="L39" s="48">
        <f t="shared" ca="1" si="10"/>
        <v>3.4166693260833116</v>
      </c>
      <c r="M39" s="48">
        <f t="shared" ca="1" si="10"/>
        <v>3.6216694856483107</v>
      </c>
      <c r="N39" s="48">
        <f t="shared" ca="1" si="10"/>
        <v>3.8389696547872094</v>
      </c>
      <c r="O39" s="48">
        <f t="shared" ca="1" si="10"/>
        <v>4.0693078340744426</v>
      </c>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r="40" spans="1:256" s="30" customFormat="1" x14ac:dyDescent="0.2">
      <c r="A40" s="3"/>
      <c r="B40" s="3"/>
      <c r="C40" s="53" t="s">
        <v>45</v>
      </c>
      <c r="D40" s="52">
        <f>-47.9*(1-0.337)</f>
        <v>-31.7577</v>
      </c>
      <c r="E40" s="52">
        <f>-55.3*(1-0.35)</f>
        <v>-35.945</v>
      </c>
      <c r="F40" s="52">
        <f>-57.5*(1-0.324)</f>
        <v>-38.869999999999997</v>
      </c>
      <c r="G40" s="48">
        <f t="shared" ca="1" si="10"/>
        <v>-41.979599999999998</v>
      </c>
      <c r="H40" s="48">
        <f t="shared" ca="1" si="10"/>
        <v>-45.128069999999994</v>
      </c>
      <c r="I40" s="48">
        <f t="shared" ca="1" si="10"/>
        <v>-48.287034899999995</v>
      </c>
      <c r="J40" s="48">
        <f t="shared" ca="1" si="10"/>
        <v>-51.425692168499992</v>
      </c>
      <c r="K40" s="48">
        <f t="shared" ca="1" si="10"/>
        <v>-54.511233698609992</v>
      </c>
      <c r="L40" s="48">
        <f t="shared" ca="1" si="10"/>
        <v>-57.781907720526597</v>
      </c>
      <c r="M40" s="48">
        <f t="shared" ca="1" si="10"/>
        <v>-61.248822183758193</v>
      </c>
      <c r="N40" s="48">
        <f t="shared" ca="1" si="10"/>
        <v>-64.923751514783689</v>
      </c>
      <c r="O40" s="48">
        <f t="shared" ca="1" si="10"/>
        <v>-68.819176605670719</v>
      </c>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r="41" spans="1:256" s="55" customFormat="1" x14ac:dyDescent="0.2">
      <c r="A41" s="24"/>
      <c r="B41" s="24"/>
      <c r="C41" s="24" t="s">
        <v>46</v>
      </c>
      <c r="D41" s="56">
        <f t="shared" ref="D41:O41" si="11">D36-D38+D39+D40</f>
        <v>1316.8543000000009</v>
      </c>
      <c r="E41" s="56">
        <f t="shared" si="11"/>
        <v>1379.5649999999998</v>
      </c>
      <c r="F41" s="56">
        <f t="shared" si="11"/>
        <v>1601.5000000000011</v>
      </c>
      <c r="G41" s="56">
        <f t="shared" ca="1" si="11"/>
        <v>1777.7071914938556</v>
      </c>
      <c r="H41" s="56">
        <f t="shared" ca="1" si="11"/>
        <v>1951.5082268778876</v>
      </c>
      <c r="I41" s="56">
        <f t="shared" ca="1" si="11"/>
        <v>2130.3627665782074</v>
      </c>
      <c r="J41" s="56">
        <f t="shared" ca="1" si="11"/>
        <v>2325.5415174549512</v>
      </c>
      <c r="K41" s="56">
        <f t="shared" ca="1" si="11"/>
        <v>2538.8776168824043</v>
      </c>
      <c r="L41" s="56">
        <f t="shared" ca="1" si="11"/>
        <v>2706.9776638238955</v>
      </c>
      <c r="M41" s="56">
        <f t="shared" ca="1" si="11"/>
        <v>2878.1989926630895</v>
      </c>
      <c r="N41" s="56">
        <f t="shared" ca="1" si="11"/>
        <v>3054.5712597813631</v>
      </c>
      <c r="O41" s="56">
        <f t="shared" ca="1" si="11"/>
        <v>3241.5258629267337</v>
      </c>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3"/>
      <c r="IL41" s="3"/>
      <c r="IM41" s="3"/>
      <c r="IN41" s="3"/>
      <c r="IO41" s="3"/>
      <c r="IP41" s="3"/>
      <c r="IQ41" s="3"/>
      <c r="IR41" s="3"/>
      <c r="IS41" s="3"/>
      <c r="IT41" s="3"/>
      <c r="IU41" s="3"/>
      <c r="IV41" s="3"/>
    </row>
    <row r="42" spans="1:256" s="30" customFormat="1" x14ac:dyDescent="0.2">
      <c r="A42" s="3"/>
      <c r="B42" s="3"/>
      <c r="C42" s="21" t="s">
        <v>47</v>
      </c>
      <c r="D42" s="57">
        <v>536.20000000000005</v>
      </c>
      <c r="E42" s="57">
        <v>607.20000000000005</v>
      </c>
      <c r="F42" s="57">
        <v>677.8</v>
      </c>
      <c r="G42" s="48">
        <f t="shared" ref="G42:O42" ca="1" si="12">G41*G73</f>
        <v>752.37585663099242</v>
      </c>
      <c r="H42" s="48">
        <f t="shared" ca="1" si="12"/>
        <v>825.93336008606377</v>
      </c>
      <c r="I42" s="48">
        <f t="shared" ca="1" si="12"/>
        <v>901.62964919557146</v>
      </c>
      <c r="J42" s="48">
        <f t="shared" ca="1" si="12"/>
        <v>984.23480520197597</v>
      </c>
      <c r="K42" s="48">
        <f t="shared" ca="1" si="12"/>
        <v>1074.5246635797016</v>
      </c>
      <c r="L42" s="48">
        <f t="shared" ca="1" si="12"/>
        <v>1145.6693478238119</v>
      </c>
      <c r="M42" s="48">
        <f t="shared" ca="1" si="12"/>
        <v>1218.1350466606559</v>
      </c>
      <c r="N42" s="48">
        <f t="shared" ca="1" si="12"/>
        <v>1292.7807679549212</v>
      </c>
      <c r="O42" s="48">
        <f t="shared" ca="1" si="12"/>
        <v>1371.9052325268424</v>
      </c>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r="43" spans="1:256" s="30" customFormat="1" x14ac:dyDescent="0.2">
      <c r="A43" s="3"/>
      <c r="B43" s="3"/>
      <c r="C43" s="58"/>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r="44" spans="1:256" x14ac:dyDescent="0.2">
      <c r="C44" s="59" t="s">
        <v>48</v>
      </c>
      <c r="D44" s="60"/>
      <c r="E44" s="60"/>
      <c r="F44" s="60"/>
      <c r="G44" s="60"/>
      <c r="H44" s="60"/>
      <c r="I44" s="60"/>
      <c r="J44" s="60"/>
      <c r="K44" s="60"/>
      <c r="L44" s="60"/>
      <c r="M44" s="60"/>
      <c r="N44" s="60"/>
      <c r="O44" s="60"/>
    </row>
    <row r="45" spans="1:256" x14ac:dyDescent="0.2">
      <c r="C45" s="16" t="s">
        <v>49</v>
      </c>
      <c r="D45" s="48">
        <f t="shared" ref="D45:O45" si="13">D32</f>
        <v>2149.7449000000006</v>
      </c>
      <c r="E45" s="48">
        <f t="shared" si="13"/>
        <v>2279.2849999999999</v>
      </c>
      <c r="F45" s="48">
        <f t="shared" si="13"/>
        <v>2563.5000000000009</v>
      </c>
      <c r="G45" s="48">
        <f t="shared" ca="1" si="13"/>
        <v>2826.5796721116631</v>
      </c>
      <c r="H45" s="48">
        <f t="shared" ca="1" si="13"/>
        <v>3076.6592295390665</v>
      </c>
      <c r="I45" s="48">
        <f t="shared" ca="1" si="13"/>
        <v>3335.709155311828</v>
      </c>
      <c r="J45" s="48">
        <f t="shared" ca="1" si="13"/>
        <v>3614.7624610239636</v>
      </c>
      <c r="K45" s="48">
        <f t="shared" ca="1" si="13"/>
        <v>3916.0208487215659</v>
      </c>
      <c r="L45" s="48">
        <f t="shared" ca="1" si="13"/>
        <v>4150.982099644858</v>
      </c>
      <c r="M45" s="48">
        <f t="shared" ca="1" si="13"/>
        <v>4400.0410256235509</v>
      </c>
      <c r="N45" s="48">
        <f t="shared" ca="1" si="13"/>
        <v>4664.0434871609641</v>
      </c>
      <c r="O45" s="48">
        <f t="shared" ca="1" si="13"/>
        <v>4943.8860963906227</v>
      </c>
    </row>
    <row r="46" spans="1:256" s="62" customFormat="1" x14ac:dyDescent="0.2">
      <c r="A46" s="61"/>
      <c r="B46" s="61"/>
      <c r="C46" s="21" t="s">
        <v>50</v>
      </c>
      <c r="D46" s="47">
        <v>327.8</v>
      </c>
      <c r="E46" s="47">
        <v>329.3</v>
      </c>
      <c r="F46" s="47">
        <v>328.7</v>
      </c>
      <c r="G46" s="48">
        <f t="shared" ref="G46:O46" ca="1" si="14">F46*(1+G70)</f>
        <v>351.709</v>
      </c>
      <c r="H46" s="48">
        <f t="shared" ca="1" si="14"/>
        <v>372.81154000000004</v>
      </c>
      <c r="I46" s="48">
        <f t="shared" ca="1" si="14"/>
        <v>395.18023240000008</v>
      </c>
      <c r="J46" s="48">
        <f t="shared" ca="1" si="14"/>
        <v>418.89104634400013</v>
      </c>
      <c r="K46" s="48">
        <f t="shared" ca="1" si="14"/>
        <v>444.02450912464013</v>
      </c>
      <c r="L46" s="48">
        <f t="shared" ca="1" si="14"/>
        <v>470.66597967211857</v>
      </c>
      <c r="M46" s="48">
        <f t="shared" ca="1" si="14"/>
        <v>498.9059384524457</v>
      </c>
      <c r="N46" s="48">
        <f t="shared" ca="1" si="14"/>
        <v>528.84029475959244</v>
      </c>
      <c r="O46" s="48">
        <f t="shared" ca="1" si="14"/>
        <v>560.57071244516806</v>
      </c>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c r="HG46" s="61"/>
      <c r="HH46" s="61"/>
      <c r="HI46" s="61"/>
      <c r="HJ46" s="61"/>
      <c r="HK46" s="61"/>
      <c r="HL46" s="61"/>
      <c r="HM46" s="61"/>
      <c r="HN46" s="61"/>
      <c r="HO46" s="61"/>
      <c r="HP46" s="61"/>
      <c r="HQ46" s="61"/>
      <c r="HR46" s="61"/>
      <c r="HS46" s="61"/>
      <c r="HT46" s="61"/>
      <c r="HU46" s="61"/>
      <c r="HV46" s="61"/>
      <c r="HW46" s="61"/>
      <c r="HX46" s="61"/>
      <c r="HY46" s="61"/>
      <c r="HZ46" s="61"/>
      <c r="IA46" s="61"/>
      <c r="IB46" s="61"/>
      <c r="IC46" s="61"/>
      <c r="ID46" s="61"/>
      <c r="IE46" s="61"/>
      <c r="IF46" s="61"/>
      <c r="IG46" s="61"/>
      <c r="IH46" s="61"/>
      <c r="II46" s="61"/>
      <c r="IJ46" s="61"/>
      <c r="IK46" s="3"/>
      <c r="IL46" s="3"/>
      <c r="IM46" s="3"/>
      <c r="IN46" s="3"/>
      <c r="IO46" s="3"/>
      <c r="IP46" s="3"/>
      <c r="IQ46" s="3"/>
      <c r="IR46" s="3"/>
      <c r="IS46" s="3"/>
      <c r="IT46" s="3"/>
      <c r="IU46" s="3"/>
      <c r="IV46" s="3"/>
    </row>
    <row r="47" spans="1:256" s="30" customFormat="1" x14ac:dyDescent="0.2">
      <c r="A47" s="3"/>
      <c r="B47" s="3"/>
      <c r="C47" s="24" t="s">
        <v>51</v>
      </c>
      <c r="D47" s="48">
        <f t="shared" ref="D47:O47" si="15">SUM(D45:D46)</f>
        <v>2477.5449000000008</v>
      </c>
      <c r="E47" s="48">
        <f t="shared" si="15"/>
        <v>2608.585</v>
      </c>
      <c r="F47" s="48">
        <f t="shared" si="15"/>
        <v>2892.2000000000007</v>
      </c>
      <c r="G47" s="48">
        <f t="shared" ca="1" si="15"/>
        <v>3178.2886721116629</v>
      </c>
      <c r="H47" s="48">
        <f t="shared" ca="1" si="15"/>
        <v>3449.4707695390666</v>
      </c>
      <c r="I47" s="48">
        <f t="shared" ca="1" si="15"/>
        <v>3730.889387711828</v>
      </c>
      <c r="J47" s="48">
        <f t="shared" ca="1" si="15"/>
        <v>4033.6535073679638</v>
      </c>
      <c r="K47" s="48">
        <f t="shared" ca="1" si="15"/>
        <v>4360.0453578462057</v>
      </c>
      <c r="L47" s="48">
        <f t="shared" ca="1" si="15"/>
        <v>4621.6480793169767</v>
      </c>
      <c r="M47" s="48">
        <f t="shared" ca="1" si="15"/>
        <v>4898.9469640759962</v>
      </c>
      <c r="N47" s="48">
        <f t="shared" ca="1" si="15"/>
        <v>5192.8837819205564</v>
      </c>
      <c r="O47" s="48">
        <f t="shared" ca="1" si="15"/>
        <v>5504.456808835791</v>
      </c>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row>
    <row r="49" spans="1:256" s="55" customFormat="1" x14ac:dyDescent="0.2">
      <c r="A49" s="24"/>
      <c r="B49" s="24"/>
      <c r="C49" s="59" t="s">
        <v>52</v>
      </c>
      <c r="D49" s="63"/>
      <c r="E49" s="63"/>
      <c r="F49" s="63"/>
      <c r="G49" s="63"/>
      <c r="H49" s="63"/>
      <c r="I49" s="63"/>
      <c r="J49" s="63"/>
      <c r="K49" s="63"/>
      <c r="L49" s="63"/>
      <c r="M49" s="63"/>
      <c r="N49" s="63"/>
      <c r="O49" s="63"/>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row>
    <row r="50" spans="1:256" s="55" customFormat="1" x14ac:dyDescent="0.2">
      <c r="A50" s="24"/>
      <c r="B50" s="24"/>
      <c r="C50" s="16" t="s">
        <v>53</v>
      </c>
      <c r="D50" s="28">
        <v>25.9</v>
      </c>
      <c r="E50" s="28">
        <v>28.2</v>
      </c>
      <c r="F50" s="28">
        <v>28.7</v>
      </c>
      <c r="G50" s="64">
        <f t="shared" ref="G50:O50" si="16">F50</f>
        <v>28.7</v>
      </c>
      <c r="H50" s="64">
        <f t="shared" si="16"/>
        <v>28.7</v>
      </c>
      <c r="I50" s="64">
        <f t="shared" si="16"/>
        <v>28.7</v>
      </c>
      <c r="J50" s="64">
        <f t="shared" si="16"/>
        <v>28.7</v>
      </c>
      <c r="K50" s="64">
        <f t="shared" si="16"/>
        <v>28.7</v>
      </c>
      <c r="L50" s="64">
        <f t="shared" si="16"/>
        <v>28.7</v>
      </c>
      <c r="M50" s="64">
        <f t="shared" si="16"/>
        <v>28.7</v>
      </c>
      <c r="N50" s="64">
        <f t="shared" si="16"/>
        <v>28.7</v>
      </c>
      <c r="O50" s="64">
        <f t="shared" si="16"/>
        <v>28.7</v>
      </c>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row>
    <row r="51" spans="1:256" s="55" customFormat="1" x14ac:dyDescent="0.2">
      <c r="A51" s="24"/>
      <c r="B51" s="24"/>
      <c r="C51" s="16" t="s">
        <v>54</v>
      </c>
      <c r="D51" s="54">
        <f t="shared" ref="D51:O51" si="17">D41-D50</f>
        <v>1290.9543000000008</v>
      </c>
      <c r="E51" s="54">
        <f t="shared" si="17"/>
        <v>1351.3649999999998</v>
      </c>
      <c r="F51" s="54">
        <f t="shared" si="17"/>
        <v>1572.8000000000011</v>
      </c>
      <c r="G51" s="54">
        <f t="shared" ca="1" si="17"/>
        <v>1749.0071914938555</v>
      </c>
      <c r="H51" s="54">
        <f t="shared" ca="1" si="17"/>
        <v>1922.8082268778876</v>
      </c>
      <c r="I51" s="54">
        <f t="shared" ca="1" si="17"/>
        <v>2101.6627665782075</v>
      </c>
      <c r="J51" s="54">
        <f t="shared" ca="1" si="17"/>
        <v>2296.8415174549514</v>
      </c>
      <c r="K51" s="54">
        <f t="shared" ca="1" si="17"/>
        <v>2510.1776168824044</v>
      </c>
      <c r="L51" s="54">
        <f t="shared" ca="1" si="17"/>
        <v>2678.2776638238956</v>
      </c>
      <c r="M51" s="54">
        <f t="shared" ca="1" si="17"/>
        <v>2849.4989926630897</v>
      </c>
      <c r="N51" s="54">
        <f t="shared" ca="1" si="17"/>
        <v>3025.8712597813633</v>
      </c>
      <c r="O51" s="54">
        <f t="shared" ca="1" si="17"/>
        <v>3212.8258629267339</v>
      </c>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row>
    <row r="52" spans="1:256" s="30" customFormat="1" x14ac:dyDescent="0.2">
      <c r="A52" s="3"/>
      <c r="B52" s="3"/>
      <c r="C52" s="16" t="s">
        <v>55</v>
      </c>
      <c r="D52" s="52">
        <v>530.9</v>
      </c>
      <c r="E52" s="52">
        <v>520.5</v>
      </c>
      <c r="F52" s="52">
        <v>515.20000000000005</v>
      </c>
      <c r="G52" s="36">
        <f t="shared" ref="G52:O52" si="18">G172</f>
        <v>508.69908438994656</v>
      </c>
      <c r="H52" s="36">
        <f t="shared" si="18"/>
        <v>499.72550535589448</v>
      </c>
      <c r="I52" s="36">
        <f t="shared" si="18"/>
        <v>491.59493836462451</v>
      </c>
      <c r="J52" s="36">
        <f t="shared" si="18"/>
        <v>484.20351382710635</v>
      </c>
      <c r="K52" s="36">
        <f t="shared" si="18"/>
        <v>477.48403697481706</v>
      </c>
      <c r="L52" s="36">
        <f t="shared" si="18"/>
        <v>471.37542165455409</v>
      </c>
      <c r="M52" s="36">
        <f t="shared" si="18"/>
        <v>465.82213499976967</v>
      </c>
      <c r="N52" s="36">
        <f t="shared" si="18"/>
        <v>460.77369258632922</v>
      </c>
      <c r="O52" s="36">
        <f t="shared" si="18"/>
        <v>456.1841994832015</v>
      </c>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row>
    <row r="53" spans="1:256" s="30" customFormat="1" x14ac:dyDescent="0.2">
      <c r="A53" s="3"/>
      <c r="B53" s="3"/>
      <c r="C53" s="24" t="s">
        <v>56</v>
      </c>
      <c r="D53" s="65">
        <f t="shared" ref="D53:O53" si="19">D51/D52</f>
        <v>2.431633640987005</v>
      </c>
      <c r="E53" s="65">
        <f t="shared" si="19"/>
        <v>2.596282420749279</v>
      </c>
      <c r="F53" s="65">
        <f t="shared" si="19"/>
        <v>3.0527950310559024</v>
      </c>
      <c r="G53" s="65">
        <f t="shared" ca="1" si="19"/>
        <v>3.4381960675068619</v>
      </c>
      <c r="H53" s="65">
        <f t="shared" ca="1" si="19"/>
        <v>3.8477288156595133</v>
      </c>
      <c r="I53" s="65">
        <f t="shared" ca="1" si="19"/>
        <v>4.2751920383268223</v>
      </c>
      <c r="J53" s="65">
        <f t="shared" ca="1" si="19"/>
        <v>4.743545744434809</v>
      </c>
      <c r="K53" s="65">
        <f t="shared" ca="1" si="19"/>
        <v>5.2570922219433136</v>
      </c>
      <c r="L53" s="65">
        <f t="shared" ca="1" si="19"/>
        <v>5.6818356256738873</v>
      </c>
      <c r="M53" s="65">
        <f t="shared" ca="1" si="19"/>
        <v>6.117139522930783</v>
      </c>
      <c r="N53" s="65">
        <f t="shared" ca="1" si="19"/>
        <v>6.5669358048570556</v>
      </c>
      <c r="O53" s="65">
        <f t="shared" ca="1" si="19"/>
        <v>7.0428258290542631</v>
      </c>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s="30" customFormat="1" x14ac:dyDescent="0.2">
      <c r="A54" s="3"/>
      <c r="B54" s="3"/>
      <c r="C54" s="24"/>
      <c r="D54" s="65"/>
      <c r="E54" s="65"/>
      <c r="F54" s="65"/>
      <c r="G54" s="50"/>
      <c r="H54" s="50"/>
      <c r="I54" s="50"/>
      <c r="J54" s="50"/>
      <c r="K54" s="50"/>
      <c r="L54" s="50"/>
      <c r="M54" s="50"/>
      <c r="N54" s="50"/>
      <c r="O54" s="50"/>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s="30" customFormat="1" x14ac:dyDescent="0.2">
      <c r="A55" s="3"/>
      <c r="B55" s="3"/>
      <c r="C55" s="59" t="s">
        <v>57</v>
      </c>
      <c r="D55" s="66"/>
      <c r="E55" s="66"/>
      <c r="F55" s="66"/>
      <c r="G55" s="67"/>
      <c r="H55" s="67"/>
      <c r="I55" s="67"/>
      <c r="J55" s="67"/>
      <c r="K55" s="67"/>
      <c r="L55" s="67"/>
      <c r="M55" s="67"/>
      <c r="N55" s="67"/>
      <c r="O55" s="67"/>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30" customFormat="1" x14ac:dyDescent="0.2">
      <c r="A56" s="3"/>
      <c r="B56" s="3"/>
      <c r="C56" s="16" t="s">
        <v>58</v>
      </c>
      <c r="D56" s="52">
        <v>0</v>
      </c>
      <c r="E56" s="52">
        <v>0</v>
      </c>
      <c r="F56" s="52">
        <v>0</v>
      </c>
      <c r="G56" s="50">
        <f t="shared" ref="G56:O56" si="20">F56</f>
        <v>0</v>
      </c>
      <c r="H56" s="50">
        <f t="shared" si="20"/>
        <v>0</v>
      </c>
      <c r="I56" s="50">
        <f t="shared" si="20"/>
        <v>0</v>
      </c>
      <c r="J56" s="50">
        <f t="shared" si="20"/>
        <v>0</v>
      </c>
      <c r="K56" s="50">
        <f t="shared" si="20"/>
        <v>0</v>
      </c>
      <c r="L56" s="50">
        <f t="shared" si="20"/>
        <v>0</v>
      </c>
      <c r="M56" s="50">
        <f t="shared" si="20"/>
        <v>0</v>
      </c>
      <c r="N56" s="50">
        <f t="shared" si="20"/>
        <v>0</v>
      </c>
      <c r="O56" s="50">
        <f t="shared" si="20"/>
        <v>0</v>
      </c>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row>
    <row r="57" spans="1:256" s="30" customFormat="1" x14ac:dyDescent="0.2">
      <c r="A57" s="3"/>
      <c r="B57" s="3"/>
      <c r="C57" s="16" t="s">
        <v>59</v>
      </c>
      <c r="D57" s="54">
        <f t="shared" ref="D57:O57" si="21">D41+D56</f>
        <v>1316.8543000000009</v>
      </c>
      <c r="E57" s="54">
        <f t="shared" si="21"/>
        <v>1379.5649999999998</v>
      </c>
      <c r="F57" s="54">
        <f t="shared" si="21"/>
        <v>1601.5000000000011</v>
      </c>
      <c r="G57" s="54">
        <f t="shared" ca="1" si="21"/>
        <v>1777.7071914938556</v>
      </c>
      <c r="H57" s="54">
        <f t="shared" ca="1" si="21"/>
        <v>1951.5082268778876</v>
      </c>
      <c r="I57" s="54">
        <f t="shared" ca="1" si="21"/>
        <v>2130.3627665782074</v>
      </c>
      <c r="J57" s="54">
        <f t="shared" ca="1" si="21"/>
        <v>2325.5415174549512</v>
      </c>
      <c r="K57" s="54">
        <f t="shared" ca="1" si="21"/>
        <v>2538.8776168824043</v>
      </c>
      <c r="L57" s="54">
        <f t="shared" ca="1" si="21"/>
        <v>2706.9776638238955</v>
      </c>
      <c r="M57" s="54">
        <f t="shared" ca="1" si="21"/>
        <v>2878.1989926630895</v>
      </c>
      <c r="N57" s="54">
        <f t="shared" ca="1" si="21"/>
        <v>3054.5712597813631</v>
      </c>
      <c r="O57" s="54">
        <f t="shared" ca="1" si="21"/>
        <v>3241.5258629267337</v>
      </c>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row>
    <row r="58" spans="1:256" s="30" customFormat="1" x14ac:dyDescent="0.2">
      <c r="A58" s="3"/>
      <c r="B58" s="3"/>
      <c r="C58" s="16" t="s">
        <v>60</v>
      </c>
      <c r="D58" s="28">
        <f>3.9+34.5</f>
        <v>38.4</v>
      </c>
      <c r="E58" s="28">
        <f>3.8+32.2</f>
        <v>36</v>
      </c>
      <c r="F58" s="28">
        <f>6.1+29.2</f>
        <v>35.299999999999997</v>
      </c>
      <c r="G58" s="50">
        <f t="shared" ref="G58:O58" si="22">F58</f>
        <v>35.299999999999997</v>
      </c>
      <c r="H58" s="50">
        <f t="shared" si="22"/>
        <v>35.299999999999997</v>
      </c>
      <c r="I58" s="50">
        <f t="shared" si="22"/>
        <v>35.299999999999997</v>
      </c>
      <c r="J58" s="50">
        <f t="shared" si="22"/>
        <v>35.299999999999997</v>
      </c>
      <c r="K58" s="50">
        <f t="shared" si="22"/>
        <v>35.299999999999997</v>
      </c>
      <c r="L58" s="50">
        <f t="shared" si="22"/>
        <v>35.299999999999997</v>
      </c>
      <c r="M58" s="50">
        <f t="shared" si="22"/>
        <v>35.299999999999997</v>
      </c>
      <c r="N58" s="50">
        <f t="shared" si="22"/>
        <v>35.299999999999997</v>
      </c>
      <c r="O58" s="50">
        <f t="shared" si="22"/>
        <v>35.299999999999997</v>
      </c>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row>
    <row r="59" spans="1:256" s="30" customFormat="1" x14ac:dyDescent="0.2">
      <c r="A59" s="3"/>
      <c r="B59" s="3"/>
      <c r="C59" s="16" t="s">
        <v>61</v>
      </c>
      <c r="D59" s="36">
        <f t="shared" ref="D59:O59" si="23">D58+D52</f>
        <v>569.29999999999995</v>
      </c>
      <c r="E59" s="36">
        <f t="shared" si="23"/>
        <v>556.5</v>
      </c>
      <c r="F59" s="36">
        <f t="shared" si="23"/>
        <v>550.5</v>
      </c>
      <c r="G59" s="36">
        <f t="shared" si="23"/>
        <v>543.99908438994657</v>
      </c>
      <c r="H59" s="36">
        <f t="shared" si="23"/>
        <v>535.02550535589444</v>
      </c>
      <c r="I59" s="36">
        <f t="shared" si="23"/>
        <v>526.89493836462452</v>
      </c>
      <c r="J59" s="36">
        <f t="shared" si="23"/>
        <v>519.5035138271063</v>
      </c>
      <c r="K59" s="36">
        <f t="shared" si="23"/>
        <v>512.78403697481701</v>
      </c>
      <c r="L59" s="36">
        <f t="shared" si="23"/>
        <v>506.6754216545541</v>
      </c>
      <c r="M59" s="36">
        <f t="shared" si="23"/>
        <v>501.12213499976968</v>
      </c>
      <c r="N59" s="36">
        <f t="shared" si="23"/>
        <v>496.07369258632923</v>
      </c>
      <c r="O59" s="36">
        <f t="shared" si="23"/>
        <v>491.48419948320151</v>
      </c>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row>
    <row r="60" spans="1:256" s="30" customFormat="1" x14ac:dyDescent="0.2">
      <c r="A60" s="3"/>
      <c r="B60" s="3"/>
      <c r="C60" s="24" t="s">
        <v>62</v>
      </c>
      <c r="D60" s="65">
        <f t="shared" ref="D60:O60" si="24">D57/D59</f>
        <v>2.3131113648340085</v>
      </c>
      <c r="E60" s="65">
        <f t="shared" si="24"/>
        <v>2.4790026954177895</v>
      </c>
      <c r="F60" s="65">
        <f t="shared" si="24"/>
        <v>2.9091734786557697</v>
      </c>
      <c r="G60" s="65">
        <f t="shared" ca="1" si="24"/>
        <v>3.2678496021503758</v>
      </c>
      <c r="H60" s="65">
        <f t="shared" ca="1" si="24"/>
        <v>3.647505039184554</v>
      </c>
      <c r="I60" s="65">
        <f t="shared" ca="1" si="24"/>
        <v>4.0432401442124748</v>
      </c>
      <c r="J60" s="65">
        <f t="shared" ca="1" si="24"/>
        <v>4.4764692741402792</v>
      </c>
      <c r="K60" s="65">
        <f t="shared" ca="1" si="24"/>
        <v>4.9511635187799135</v>
      </c>
      <c r="L60" s="65">
        <f t="shared" ca="1" si="24"/>
        <v>5.3426267549829642</v>
      </c>
      <c r="M60" s="65">
        <f t="shared" ca="1" si="24"/>
        <v>5.7435080026237761</v>
      </c>
      <c r="N60" s="65">
        <f t="shared" ca="1" si="24"/>
        <v>6.1574949557515417</v>
      </c>
      <c r="O60" s="65">
        <f t="shared" ca="1" si="24"/>
        <v>6.5953816345168716</v>
      </c>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row>
    <row r="61" spans="1:256" x14ac:dyDescent="0.2">
      <c r="C61" s="53" t="s">
        <v>63</v>
      </c>
      <c r="F61" s="68">
        <f>D13</f>
        <v>2.91</v>
      </c>
      <c r="G61" s="68">
        <f>D14</f>
        <v>3.27</v>
      </c>
      <c r="H61" s="68">
        <f>D15</f>
        <v>3.62</v>
      </c>
      <c r="I61" s="68">
        <f t="shared" ref="I61:O61" si="25">H61*(1+$D$16)</f>
        <v>3.9820000000000007</v>
      </c>
      <c r="J61" s="68">
        <f t="shared" si="25"/>
        <v>4.3802000000000012</v>
      </c>
      <c r="K61" s="68">
        <f t="shared" si="25"/>
        <v>4.8182200000000019</v>
      </c>
      <c r="L61" s="68">
        <f t="shared" si="25"/>
        <v>5.3000420000000021</v>
      </c>
      <c r="M61" s="68">
        <f t="shared" si="25"/>
        <v>5.8300462000000026</v>
      </c>
      <c r="N61" s="68">
        <f t="shared" si="25"/>
        <v>6.4130508200000031</v>
      </c>
      <c r="O61" s="68">
        <f t="shared" si="25"/>
        <v>7.0543559020000037</v>
      </c>
    </row>
    <row r="62" spans="1:256" s="61" customFormat="1" x14ac:dyDescent="0.2">
      <c r="C62" s="58" t="s">
        <v>64</v>
      </c>
      <c r="F62" s="69">
        <f t="shared" ref="F62:O62" si="26">F60-F61</f>
        <v>-8.2652134423044643E-4</v>
      </c>
      <c r="G62" s="69">
        <f t="shared" ca="1" si="26"/>
        <v>-2.1503978496242304E-3</v>
      </c>
      <c r="H62" s="69">
        <f t="shared" ca="1" si="26"/>
        <v>2.7505039184553937E-2</v>
      </c>
      <c r="I62" s="69">
        <f t="shared" ca="1" si="26"/>
        <v>6.1240144212474146E-2</v>
      </c>
      <c r="J62" s="69">
        <f t="shared" ca="1" si="26"/>
        <v>9.6269274140277972E-2</v>
      </c>
      <c r="K62" s="69">
        <f t="shared" ca="1" si="26"/>
        <v>0.13294351877991151</v>
      </c>
      <c r="L62" s="69">
        <f t="shared" ca="1" si="26"/>
        <v>4.2584754982962103E-2</v>
      </c>
      <c r="M62" s="69">
        <f t="shared" ca="1" si="26"/>
        <v>-8.6538197376226478E-2</v>
      </c>
      <c r="N62" s="69">
        <f t="shared" ca="1" si="26"/>
        <v>-0.25555586424846144</v>
      </c>
      <c r="O62" s="69">
        <f t="shared" ca="1" si="26"/>
        <v>-0.45897426748313208</v>
      </c>
    </row>
    <row r="64" spans="1:256" ht="13.5" thickBot="1" x14ac:dyDescent="0.25">
      <c r="C64" s="37" t="s">
        <v>65</v>
      </c>
      <c r="D64" s="70"/>
      <c r="E64" s="70"/>
      <c r="F64" s="70"/>
      <c r="G64" s="70"/>
      <c r="H64" s="70"/>
      <c r="I64" s="70"/>
      <c r="J64" s="70"/>
      <c r="K64" s="70"/>
      <c r="L64" s="70"/>
      <c r="M64" s="70"/>
      <c r="N64" s="70"/>
      <c r="O64" s="70"/>
    </row>
    <row r="65" spans="3:15" x14ac:dyDescent="0.2">
      <c r="C65" s="21" t="s">
        <v>66</v>
      </c>
      <c r="D65" s="71"/>
      <c r="E65" s="72">
        <f>E27/D27-1</f>
        <v>7.6784263335915703E-2</v>
      </c>
      <c r="F65" s="72">
        <f>F27/E27-1</f>
        <v>7.3774447437461088E-2</v>
      </c>
      <c r="G65" s="72">
        <f t="shared" ref="G65:O65" ca="1" si="27">OFFSET(G282,$S$6,0)</f>
        <v>7.0000000000000007E-2</v>
      </c>
      <c r="H65" s="72">
        <f t="shared" ca="1" si="27"/>
        <v>0.06</v>
      </c>
      <c r="I65" s="72">
        <f t="shared" ca="1" si="27"/>
        <v>0.06</v>
      </c>
      <c r="J65" s="72">
        <f t="shared" ca="1" si="27"/>
        <v>0.06</v>
      </c>
      <c r="K65" s="72">
        <f t="shared" ca="1" si="27"/>
        <v>0.06</v>
      </c>
      <c r="L65" s="72">
        <f t="shared" ca="1" si="27"/>
        <v>0.06</v>
      </c>
      <c r="M65" s="72">
        <f t="shared" ca="1" si="27"/>
        <v>0.06</v>
      </c>
      <c r="N65" s="72">
        <f t="shared" ca="1" si="27"/>
        <v>0.06</v>
      </c>
      <c r="O65" s="72">
        <f t="shared" ca="1" si="27"/>
        <v>0.06</v>
      </c>
    </row>
    <row r="66" spans="3:15" x14ac:dyDescent="0.2">
      <c r="C66" s="21" t="s">
        <v>67</v>
      </c>
      <c r="D66" s="72">
        <f>1-D29/D27</f>
        <v>0.55180363182857461</v>
      </c>
      <c r="E66" s="72">
        <f>1-E29/E27</f>
        <v>0.55323816125437619</v>
      </c>
      <c r="F66" s="72">
        <f>1-F29/F27</f>
        <v>0.56365166657133281</v>
      </c>
      <c r="G66" s="72">
        <f t="shared" ref="G66:O66" ca="1" si="28">OFFSET(G287,$S$6,0)</f>
        <v>0.57599999999999996</v>
      </c>
      <c r="H66" s="72">
        <f t="shared" ca="1" si="28"/>
        <v>0.58899999999999997</v>
      </c>
      <c r="I66" s="72">
        <f t="shared" ca="1" si="28"/>
        <v>0.59399999999999997</v>
      </c>
      <c r="J66" s="72">
        <f t="shared" ca="1" si="28"/>
        <v>0.59899999999999998</v>
      </c>
      <c r="K66" s="72">
        <f t="shared" ca="1" si="28"/>
        <v>0.60399999999999998</v>
      </c>
      <c r="L66" s="72">
        <f t="shared" ca="1" si="28"/>
        <v>0.60399999999999998</v>
      </c>
      <c r="M66" s="72">
        <f t="shared" ca="1" si="28"/>
        <v>0.60399999999999998</v>
      </c>
      <c r="N66" s="72">
        <f t="shared" ca="1" si="28"/>
        <v>0.60399999999999998</v>
      </c>
      <c r="O66" s="72">
        <f t="shared" ca="1" si="28"/>
        <v>0.60399999999999998</v>
      </c>
    </row>
    <row r="67" spans="3:15" x14ac:dyDescent="0.2">
      <c r="C67" s="21" t="s">
        <v>68</v>
      </c>
      <c r="D67" s="72">
        <f>D31/D27</f>
        <v>0.34869476200374139</v>
      </c>
      <c r="E67" s="72">
        <f>E31/E27</f>
        <v>0.35324649685440779</v>
      </c>
      <c r="F67" s="72">
        <f>F31/F27</f>
        <v>0.35417602980952295</v>
      </c>
      <c r="G67" s="72">
        <f t="shared" ref="G67:O67" ca="1" si="29">OFFSET(G292,$S$6,0)</f>
        <v>0.36013727702393655</v>
      </c>
      <c r="H67" s="72">
        <f t="shared" ca="1" si="29"/>
        <v>0.36733866168331775</v>
      </c>
      <c r="I67" s="72">
        <f t="shared" ca="1" si="29"/>
        <v>0.36727841648590021</v>
      </c>
      <c r="J67" s="72">
        <f t="shared" ca="1" si="29"/>
        <v>0.36721859691756731</v>
      </c>
      <c r="K67" s="72">
        <f t="shared" ca="1" si="29"/>
        <v>0.36711478575739287</v>
      </c>
      <c r="L67" s="72">
        <f t="shared" ca="1" si="29"/>
        <v>0.36711478575739287</v>
      </c>
      <c r="M67" s="72">
        <f t="shared" ca="1" si="29"/>
        <v>0.36711478575739287</v>
      </c>
      <c r="N67" s="72">
        <f t="shared" ca="1" si="29"/>
        <v>0.36711478575739287</v>
      </c>
      <c r="O67" s="72">
        <f t="shared" ca="1" si="29"/>
        <v>0.36711478575739287</v>
      </c>
    </row>
    <row r="68" spans="3:15" x14ac:dyDescent="0.2">
      <c r="C68" s="16" t="s">
        <v>69</v>
      </c>
      <c r="D68" s="72">
        <f t="shared" ref="D68:O68" si="30">D66-D67</f>
        <v>0.20310886982483323</v>
      </c>
      <c r="E68" s="72">
        <f t="shared" si="30"/>
        <v>0.19999166439996841</v>
      </c>
      <c r="F68" s="72">
        <f t="shared" si="30"/>
        <v>0.20947563676180986</v>
      </c>
      <c r="G68" s="73">
        <f t="shared" ca="1" si="30"/>
        <v>0.2158627229760634</v>
      </c>
      <c r="H68" s="73">
        <f t="shared" ca="1" si="30"/>
        <v>0.22166133831668222</v>
      </c>
      <c r="I68" s="73">
        <f t="shared" ca="1" si="30"/>
        <v>0.22672158351409977</v>
      </c>
      <c r="J68" s="73">
        <f t="shared" ca="1" si="30"/>
        <v>0.23178140308243267</v>
      </c>
      <c r="K68" s="73">
        <f t="shared" ca="1" si="30"/>
        <v>0.23688521424260711</v>
      </c>
      <c r="L68" s="73">
        <f t="shared" ca="1" si="30"/>
        <v>0.23688521424260711</v>
      </c>
      <c r="M68" s="73">
        <f t="shared" ca="1" si="30"/>
        <v>0.23688521424260711</v>
      </c>
      <c r="N68" s="73">
        <f t="shared" ca="1" si="30"/>
        <v>0.23688521424260711</v>
      </c>
      <c r="O68" s="73">
        <f t="shared" ca="1" si="30"/>
        <v>0.23688521424260711</v>
      </c>
    </row>
    <row r="69" spans="3:15" x14ac:dyDescent="0.2">
      <c r="C69" s="21" t="s">
        <v>70</v>
      </c>
      <c r="D69" s="72">
        <f>D38/D36</f>
        <v>0.3384498539909141</v>
      </c>
      <c r="E69" s="72">
        <f>E38/E36</f>
        <v>0.34016707997303208</v>
      </c>
      <c r="F69" s="72">
        <f>F38/F36</f>
        <v>0.31883250166333987</v>
      </c>
      <c r="G69" s="74">
        <f t="shared" ref="G69:O69" si="31">IF(ISNUMBER(G300),G300,(IF(ISNUMBER(G299),G299,F69)))</f>
        <v>0.31883250166333987</v>
      </c>
      <c r="H69" s="74">
        <f t="shared" si="31"/>
        <v>0.31883250166333987</v>
      </c>
      <c r="I69" s="74">
        <f t="shared" si="31"/>
        <v>0.31883250166333987</v>
      </c>
      <c r="J69" s="74">
        <f t="shared" si="31"/>
        <v>0.31883250166333987</v>
      </c>
      <c r="K69" s="74">
        <f t="shared" si="31"/>
        <v>0.31883250166333987</v>
      </c>
      <c r="L69" s="74">
        <f t="shared" si="31"/>
        <v>0.31883250166333987</v>
      </c>
      <c r="M69" s="74">
        <f t="shared" si="31"/>
        <v>0.31883250166333987</v>
      </c>
      <c r="N69" s="74">
        <f t="shared" si="31"/>
        <v>0.31883250166333987</v>
      </c>
      <c r="O69" s="74">
        <f t="shared" si="31"/>
        <v>0.31883250166333987</v>
      </c>
    </row>
    <row r="70" spans="3:15" x14ac:dyDescent="0.2">
      <c r="C70" s="21" t="s">
        <v>71</v>
      </c>
      <c r="D70" s="72"/>
      <c r="E70" s="72">
        <f>E46/D46-1</f>
        <v>4.5759609517999067E-3</v>
      </c>
      <c r="F70" s="72">
        <f>F46/E46-1</f>
        <v>-1.822046765867058E-3</v>
      </c>
      <c r="G70" s="73">
        <f t="shared" ref="G70:O70" ca="1" si="32">G65</f>
        <v>7.0000000000000007E-2</v>
      </c>
      <c r="H70" s="73">
        <f t="shared" ca="1" si="32"/>
        <v>0.06</v>
      </c>
      <c r="I70" s="73">
        <f t="shared" ca="1" si="32"/>
        <v>0.06</v>
      </c>
      <c r="J70" s="73">
        <f t="shared" ca="1" si="32"/>
        <v>0.06</v>
      </c>
      <c r="K70" s="73">
        <f t="shared" ca="1" si="32"/>
        <v>0.06</v>
      </c>
      <c r="L70" s="73">
        <f t="shared" ca="1" si="32"/>
        <v>0.06</v>
      </c>
      <c r="M70" s="73">
        <f t="shared" ca="1" si="32"/>
        <v>0.06</v>
      </c>
      <c r="N70" s="73">
        <f t="shared" ca="1" si="32"/>
        <v>0.06</v>
      </c>
      <c r="O70" s="73">
        <f t="shared" ca="1" si="32"/>
        <v>0.06</v>
      </c>
    </row>
    <row r="71" spans="3:15" x14ac:dyDescent="0.2">
      <c r="C71" s="21" t="s">
        <v>72</v>
      </c>
      <c r="D71" s="72"/>
      <c r="E71" s="72">
        <f>E39/D39-1</f>
        <v>-0.76931949250288345</v>
      </c>
      <c r="F71" s="72">
        <f>F39/E39-1</f>
        <v>0.76799999999999957</v>
      </c>
      <c r="G71" s="73">
        <f t="shared" ref="G71:O71" ca="1" si="33">OFFSET(G307,$S$6,0)</f>
        <v>0.08</v>
      </c>
      <c r="H71" s="73">
        <f t="shared" ca="1" si="33"/>
        <v>7.4999999999999997E-2</v>
      </c>
      <c r="I71" s="73">
        <f t="shared" ca="1" si="33"/>
        <v>7.0000000000000007E-2</v>
      </c>
      <c r="J71" s="73">
        <f t="shared" ca="1" si="33"/>
        <v>6.5000000000000002E-2</v>
      </c>
      <c r="K71" s="73">
        <f t="shared" ca="1" si="33"/>
        <v>0.06</v>
      </c>
      <c r="L71" s="73">
        <f t="shared" ca="1" si="33"/>
        <v>0.06</v>
      </c>
      <c r="M71" s="73">
        <f t="shared" ca="1" si="33"/>
        <v>0.06</v>
      </c>
      <c r="N71" s="73">
        <f t="shared" ca="1" si="33"/>
        <v>0.06</v>
      </c>
      <c r="O71" s="73">
        <f t="shared" ca="1" si="33"/>
        <v>0.06</v>
      </c>
    </row>
    <row r="72" spans="3:15" x14ac:dyDescent="0.2">
      <c r="C72" s="21" t="s">
        <v>73</v>
      </c>
      <c r="D72" s="72"/>
      <c r="E72" s="72">
        <f>E40/D40-1</f>
        <v>0.13185148798559099</v>
      </c>
      <c r="F72" s="72">
        <f>F40/E40-1</f>
        <v>8.1374321880650857E-2</v>
      </c>
      <c r="G72" s="73">
        <f t="shared" ref="G72:O72" ca="1" si="34">OFFSET(G312,$S$6,0)</f>
        <v>0.08</v>
      </c>
      <c r="H72" s="73">
        <f t="shared" ca="1" si="34"/>
        <v>7.4999999999999997E-2</v>
      </c>
      <c r="I72" s="73">
        <f t="shared" ca="1" si="34"/>
        <v>7.0000000000000007E-2</v>
      </c>
      <c r="J72" s="73">
        <f t="shared" ca="1" si="34"/>
        <v>6.5000000000000002E-2</v>
      </c>
      <c r="K72" s="73">
        <f t="shared" ca="1" si="34"/>
        <v>0.06</v>
      </c>
      <c r="L72" s="73">
        <f t="shared" ca="1" si="34"/>
        <v>0.06</v>
      </c>
      <c r="M72" s="73">
        <f t="shared" ca="1" si="34"/>
        <v>0.06</v>
      </c>
      <c r="N72" s="73">
        <f t="shared" ca="1" si="34"/>
        <v>0.06</v>
      </c>
      <c r="O72" s="73">
        <f t="shared" ca="1" si="34"/>
        <v>0.06</v>
      </c>
    </row>
    <row r="73" spans="3:15" x14ac:dyDescent="0.2">
      <c r="C73" s="21" t="s">
        <v>74</v>
      </c>
      <c r="D73" s="72">
        <f>D42/D41</f>
        <v>0.40718248024857395</v>
      </c>
      <c r="E73" s="72">
        <f>E42/E41</f>
        <v>0.44013873938524106</v>
      </c>
      <c r="F73" s="72">
        <f>F42/F41</f>
        <v>0.42322822354043049</v>
      </c>
      <c r="G73" s="74">
        <f t="shared" ref="G73:O73" si="35">F73</f>
        <v>0.42322822354043049</v>
      </c>
      <c r="H73" s="74">
        <f t="shared" si="35"/>
        <v>0.42322822354043049</v>
      </c>
      <c r="I73" s="74">
        <f t="shared" si="35"/>
        <v>0.42322822354043049</v>
      </c>
      <c r="J73" s="74">
        <f t="shared" si="35"/>
        <v>0.42322822354043049</v>
      </c>
      <c r="K73" s="74">
        <f t="shared" si="35"/>
        <v>0.42322822354043049</v>
      </c>
      <c r="L73" s="74">
        <f t="shared" si="35"/>
        <v>0.42322822354043049</v>
      </c>
      <c r="M73" s="74">
        <f t="shared" si="35"/>
        <v>0.42322822354043049</v>
      </c>
      <c r="N73" s="74">
        <f t="shared" si="35"/>
        <v>0.42322822354043049</v>
      </c>
      <c r="O73" s="74">
        <f t="shared" si="35"/>
        <v>0.42322822354043049</v>
      </c>
    </row>
    <row r="74" spans="3:15" x14ac:dyDescent="0.2">
      <c r="C74" s="21" t="s">
        <v>75</v>
      </c>
    </row>
    <row r="75" spans="3:15" ht="13.5" thickBot="1" x14ac:dyDescent="0.25">
      <c r="C75" s="75" t="s">
        <v>76</v>
      </c>
      <c r="D75" s="76"/>
      <c r="E75" s="76"/>
      <c r="F75" s="76"/>
      <c r="G75" s="77"/>
      <c r="H75" s="77"/>
      <c r="I75" s="76"/>
      <c r="J75" s="76"/>
      <c r="K75" s="76"/>
      <c r="L75" s="76"/>
      <c r="M75" s="76"/>
      <c r="N75" s="76"/>
      <c r="O75" s="76"/>
    </row>
    <row r="76" spans="3:15" x14ac:dyDescent="0.2">
      <c r="C76" s="78"/>
      <c r="D76" s="67"/>
      <c r="E76" s="79">
        <f t="shared" ref="E76:O76" si="36">E25</f>
        <v>38717</v>
      </c>
      <c r="F76" s="79">
        <f t="shared" si="36"/>
        <v>39082</v>
      </c>
      <c r="G76" s="79">
        <f t="shared" si="36"/>
        <v>39447</v>
      </c>
      <c r="H76" s="79">
        <f t="shared" si="36"/>
        <v>39813</v>
      </c>
      <c r="I76" s="79">
        <f t="shared" si="36"/>
        <v>40178</v>
      </c>
      <c r="J76" s="79">
        <f t="shared" si="36"/>
        <v>40543</v>
      </c>
      <c r="K76" s="79">
        <f t="shared" si="36"/>
        <v>40908</v>
      </c>
      <c r="L76" s="79">
        <f t="shared" si="36"/>
        <v>41274</v>
      </c>
      <c r="M76" s="79">
        <f t="shared" si="36"/>
        <v>41639</v>
      </c>
      <c r="N76" s="79">
        <f t="shared" si="36"/>
        <v>42004</v>
      </c>
      <c r="O76" s="79">
        <f t="shared" si="36"/>
        <v>42369</v>
      </c>
    </row>
    <row r="77" spans="3:15" x14ac:dyDescent="0.2">
      <c r="C77" s="21" t="s">
        <v>77</v>
      </c>
      <c r="D77" s="50"/>
      <c r="E77" s="52">
        <v>340.7</v>
      </c>
      <c r="F77" s="52">
        <v>489.5</v>
      </c>
      <c r="G77" s="50">
        <f t="shared" ref="G77:O77" ca="1" si="37">F77+G222</f>
        <v>261.88678000000027</v>
      </c>
      <c r="H77" s="50">
        <f t="shared" ca="1" si="37"/>
        <v>277.5999867999999</v>
      </c>
      <c r="I77" s="50">
        <f t="shared" ca="1" si="37"/>
        <v>294.25598600800004</v>
      </c>
      <c r="J77" s="50">
        <f t="shared" ca="1" si="37"/>
        <v>311.91134516848024</v>
      </c>
      <c r="K77" s="50">
        <f t="shared" ca="1" si="37"/>
        <v>330.62602587858919</v>
      </c>
      <c r="L77" s="50">
        <f t="shared" ca="1" si="37"/>
        <v>502.61132224111452</v>
      </c>
      <c r="M77" s="50">
        <f t="shared" ca="1" si="37"/>
        <v>1061.2683120216795</v>
      </c>
      <c r="N77" s="50">
        <f t="shared" ca="1" si="37"/>
        <v>1693.1533361045961</v>
      </c>
      <c r="O77" s="50">
        <f t="shared" ca="1" si="37"/>
        <v>2404.1341706963512</v>
      </c>
    </row>
    <row r="78" spans="3:15" x14ac:dyDescent="0.2">
      <c r="C78" s="21" t="s">
        <v>78</v>
      </c>
      <c r="D78" s="50"/>
      <c r="E78" s="52">
        <v>1309.4000000000001</v>
      </c>
      <c r="F78" s="52">
        <v>1523.2</v>
      </c>
      <c r="G78" s="50">
        <f t="shared" ref="G78:O78" ca="1" si="38">G121</f>
        <v>1629.8240000000001</v>
      </c>
      <c r="H78" s="50">
        <f t="shared" ca="1" si="38"/>
        <v>1727.6134400000001</v>
      </c>
      <c r="I78" s="50">
        <f t="shared" ca="1" si="38"/>
        <v>1831.2702464000001</v>
      </c>
      <c r="J78" s="50">
        <f t="shared" ca="1" si="38"/>
        <v>1941.1464611840001</v>
      </c>
      <c r="K78" s="50">
        <f t="shared" ca="1" si="38"/>
        <v>2057.6152488550401</v>
      </c>
      <c r="L78" s="50">
        <f t="shared" ca="1" si="38"/>
        <v>2181.0721637863426</v>
      </c>
      <c r="M78" s="50">
        <f t="shared" ca="1" si="38"/>
        <v>2311.9364936135235</v>
      </c>
      <c r="N78" s="50">
        <f t="shared" ca="1" si="38"/>
        <v>2450.6526832303348</v>
      </c>
      <c r="O78" s="50">
        <f t="shared" ca="1" si="38"/>
        <v>2597.6918442241549</v>
      </c>
    </row>
    <row r="79" spans="3:15" x14ac:dyDescent="0.2">
      <c r="C79" s="21" t="s">
        <v>79</v>
      </c>
      <c r="D79" s="50"/>
      <c r="E79" s="52">
        <v>855.8</v>
      </c>
      <c r="F79" s="52">
        <v>1008.4</v>
      </c>
      <c r="G79" s="50">
        <f t="shared" ref="G79:O79" ca="1" si="39">G126</f>
        <v>1048.4534417840036</v>
      </c>
      <c r="H79" s="50">
        <f t="shared" ca="1" si="39"/>
        <v>1077.2859114330638</v>
      </c>
      <c r="I79" s="50">
        <f t="shared" ca="1" si="39"/>
        <v>1128.0310580154098</v>
      </c>
      <c r="J79" s="50">
        <f t="shared" ca="1" si="39"/>
        <v>1180.9873929064781</v>
      </c>
      <c r="K79" s="50">
        <f t="shared" ca="1" si="39"/>
        <v>1236.2375761756191</v>
      </c>
      <c r="L79" s="50">
        <f t="shared" ca="1" si="39"/>
        <v>1310.4118307461563</v>
      </c>
      <c r="M79" s="50">
        <f t="shared" ca="1" si="39"/>
        <v>1389.0365405909261</v>
      </c>
      <c r="N79" s="50">
        <f t="shared" ca="1" si="39"/>
        <v>1472.3787330263815</v>
      </c>
      <c r="O79" s="50">
        <f t="shared" ca="1" si="39"/>
        <v>1560.7214570079643</v>
      </c>
    </row>
    <row r="80" spans="3:15" x14ac:dyDescent="0.2">
      <c r="C80" s="21" t="s">
        <v>80</v>
      </c>
      <c r="D80" s="50"/>
      <c r="E80" s="52">
        <v>0</v>
      </c>
      <c r="F80" s="52">
        <v>0</v>
      </c>
      <c r="G80" s="50">
        <f t="shared" ref="G80:O80" ca="1" si="40">F80*(G38/F38)</f>
        <v>0</v>
      </c>
      <c r="H80" s="50">
        <f t="shared" ca="1" si="40"/>
        <v>0</v>
      </c>
      <c r="I80" s="50">
        <f t="shared" ca="1" si="40"/>
        <v>0</v>
      </c>
      <c r="J80" s="50">
        <f t="shared" ca="1" si="40"/>
        <v>0</v>
      </c>
      <c r="K80" s="50">
        <f t="shared" ca="1" si="40"/>
        <v>0</v>
      </c>
      <c r="L80" s="50">
        <f t="shared" ca="1" si="40"/>
        <v>0</v>
      </c>
      <c r="M80" s="50">
        <f t="shared" ca="1" si="40"/>
        <v>0</v>
      </c>
      <c r="N80" s="50">
        <f t="shared" ca="1" si="40"/>
        <v>0</v>
      </c>
      <c r="O80" s="50">
        <f t="shared" ca="1" si="40"/>
        <v>0</v>
      </c>
    </row>
    <row r="81" spans="3:15" x14ac:dyDescent="0.2">
      <c r="C81" s="21" t="s">
        <v>81</v>
      </c>
      <c r="D81" s="50"/>
      <c r="E81" s="52">
        <v>0</v>
      </c>
      <c r="F81" s="52">
        <v>0</v>
      </c>
      <c r="G81" s="50">
        <f t="shared" ref="G81:O81" ca="1" si="41">G130</f>
        <v>0</v>
      </c>
      <c r="H81" s="50">
        <f t="shared" ca="1" si="41"/>
        <v>0</v>
      </c>
      <c r="I81" s="50">
        <f t="shared" ca="1" si="41"/>
        <v>0</v>
      </c>
      <c r="J81" s="50">
        <f t="shared" ca="1" si="41"/>
        <v>0</v>
      </c>
      <c r="K81" s="50">
        <f t="shared" ca="1" si="41"/>
        <v>0</v>
      </c>
      <c r="L81" s="50">
        <f t="shared" ca="1" si="41"/>
        <v>0</v>
      </c>
      <c r="M81" s="50">
        <f t="shared" ca="1" si="41"/>
        <v>0</v>
      </c>
      <c r="N81" s="50">
        <f t="shared" ca="1" si="41"/>
        <v>0</v>
      </c>
      <c r="O81" s="50">
        <f t="shared" ca="1" si="41"/>
        <v>0</v>
      </c>
    </row>
    <row r="82" spans="3:15" x14ac:dyDescent="0.2">
      <c r="C82" s="21" t="s">
        <v>82</v>
      </c>
      <c r="D82" s="50"/>
      <c r="E82" s="52">
        <v>251.2</v>
      </c>
      <c r="F82" s="52">
        <v>279.89999999999998</v>
      </c>
      <c r="G82" s="50">
        <f t="shared" ref="G82:O82" si="42">G134</f>
        <v>279.89999999999998</v>
      </c>
      <c r="H82" s="50">
        <f t="shared" si="42"/>
        <v>279.89999999999998</v>
      </c>
      <c r="I82" s="50">
        <f t="shared" si="42"/>
        <v>279.89999999999998</v>
      </c>
      <c r="J82" s="50">
        <f t="shared" si="42"/>
        <v>279.89999999999998</v>
      </c>
      <c r="K82" s="50">
        <f t="shared" si="42"/>
        <v>279.89999999999998</v>
      </c>
      <c r="L82" s="50">
        <f t="shared" si="42"/>
        <v>279.89999999999998</v>
      </c>
      <c r="M82" s="50">
        <f t="shared" si="42"/>
        <v>279.89999999999998</v>
      </c>
      <c r="N82" s="50">
        <f t="shared" si="42"/>
        <v>279.89999999999998</v>
      </c>
      <c r="O82" s="50">
        <f t="shared" si="42"/>
        <v>279.89999999999998</v>
      </c>
    </row>
    <row r="83" spans="3:15" x14ac:dyDescent="0.2">
      <c r="C83" s="21" t="s">
        <v>83</v>
      </c>
      <c r="D83" s="50"/>
      <c r="E83" s="52">
        <v>0</v>
      </c>
      <c r="F83" s="52">
        <v>0</v>
      </c>
      <c r="G83" s="50">
        <f t="shared" ref="G83:O83" ca="1" si="43">G178</f>
        <v>2.4822719999999996</v>
      </c>
      <c r="H83" s="50">
        <f t="shared" ca="1" si="43"/>
        <v>5.1507143999999991</v>
      </c>
      <c r="I83" s="50">
        <f t="shared" ca="1" si="43"/>
        <v>8.0059477679999986</v>
      </c>
      <c r="J83" s="50">
        <f t="shared" ca="1" si="43"/>
        <v>11.046771304919998</v>
      </c>
      <c r="K83" s="50">
        <f t="shared" ca="1" si="43"/>
        <v>14.270044254055197</v>
      </c>
      <c r="L83" s="50">
        <f t="shared" ca="1" si="43"/>
        <v>17.686713580138509</v>
      </c>
      <c r="M83" s="50">
        <f t="shared" ca="1" si="43"/>
        <v>21.308383065786821</v>
      </c>
      <c r="N83" s="50">
        <f t="shared" ca="1" si="43"/>
        <v>25.14735272057403</v>
      </c>
      <c r="O83" s="50">
        <f t="shared" ca="1" si="43"/>
        <v>29.216660554648474</v>
      </c>
    </row>
    <row r="84" spans="3:15" x14ac:dyDescent="0.2">
      <c r="C84" s="21" t="s">
        <v>84</v>
      </c>
      <c r="D84" s="50"/>
      <c r="E84" s="52">
        <v>2544.1</v>
      </c>
      <c r="F84" s="52">
        <v>2696.1</v>
      </c>
      <c r="G84" s="50">
        <f t="shared" ref="G84:O84" ca="1" si="44">G162</f>
        <v>3016.1079500000001</v>
      </c>
      <c r="H84" s="50">
        <f t="shared" ca="1" si="44"/>
        <v>3354.2963770000001</v>
      </c>
      <c r="I84" s="50">
        <f t="shared" ca="1" si="44"/>
        <v>3711.7561096200002</v>
      </c>
      <c r="J84" s="50">
        <f t="shared" ca="1" si="44"/>
        <v>4089.6434261972004</v>
      </c>
      <c r="K84" s="50">
        <f t="shared" ca="1" si="44"/>
        <v>4489.1839817690325</v>
      </c>
      <c r="L84" s="50">
        <f t="shared" ca="1" si="44"/>
        <v>4911.6769706751747</v>
      </c>
      <c r="M84" s="50">
        <f t="shared" ca="1" si="44"/>
        <v>5358.4995389156857</v>
      </c>
      <c r="N84" s="50">
        <f t="shared" ca="1" si="44"/>
        <v>5831.1114612506271</v>
      </c>
      <c r="O84" s="50">
        <f t="shared" ca="1" si="44"/>
        <v>6331.0600989256654</v>
      </c>
    </row>
    <row r="85" spans="3:15" x14ac:dyDescent="0.2">
      <c r="C85" s="21" t="s">
        <v>85</v>
      </c>
      <c r="D85" s="50"/>
      <c r="E85" s="52">
        <v>1845.7</v>
      </c>
      <c r="F85" s="52">
        <v>2081.8000000000002</v>
      </c>
      <c r="G85" s="50">
        <f t="shared" ref="G85:O85" si="45">F85</f>
        <v>2081.8000000000002</v>
      </c>
      <c r="H85" s="50">
        <f t="shared" si="45"/>
        <v>2081.8000000000002</v>
      </c>
      <c r="I85" s="50">
        <f t="shared" si="45"/>
        <v>2081.8000000000002</v>
      </c>
      <c r="J85" s="50">
        <f t="shared" si="45"/>
        <v>2081.8000000000002</v>
      </c>
      <c r="K85" s="50">
        <f t="shared" si="45"/>
        <v>2081.8000000000002</v>
      </c>
      <c r="L85" s="50">
        <f t="shared" si="45"/>
        <v>2081.8000000000002</v>
      </c>
      <c r="M85" s="50">
        <f t="shared" si="45"/>
        <v>2081.8000000000002</v>
      </c>
      <c r="N85" s="50">
        <f t="shared" si="45"/>
        <v>2081.8000000000002</v>
      </c>
      <c r="O85" s="50">
        <f t="shared" si="45"/>
        <v>2081.8000000000002</v>
      </c>
    </row>
    <row r="86" spans="3:15" x14ac:dyDescent="0.2">
      <c r="C86" s="21" t="s">
        <v>86</v>
      </c>
      <c r="D86" s="50"/>
      <c r="E86" s="52">
        <v>783.2</v>
      </c>
      <c r="F86" s="52">
        <v>831.1</v>
      </c>
      <c r="G86" s="50">
        <f t="shared" ref="G86:O86" si="46">G156</f>
        <v>814.1</v>
      </c>
      <c r="H86" s="50">
        <f t="shared" si="46"/>
        <v>797.1</v>
      </c>
      <c r="I86" s="50">
        <f t="shared" si="46"/>
        <v>780.1</v>
      </c>
      <c r="J86" s="50">
        <f t="shared" si="46"/>
        <v>763.1</v>
      </c>
      <c r="K86" s="50">
        <f t="shared" si="46"/>
        <v>746.1</v>
      </c>
      <c r="L86" s="50">
        <f t="shared" si="46"/>
        <v>729.1</v>
      </c>
      <c r="M86" s="50">
        <f t="shared" si="46"/>
        <v>712.1</v>
      </c>
      <c r="N86" s="50">
        <f t="shared" si="46"/>
        <v>695.1</v>
      </c>
      <c r="O86" s="50">
        <f t="shared" si="46"/>
        <v>678.1</v>
      </c>
    </row>
    <row r="87" spans="3:15" x14ac:dyDescent="0.2">
      <c r="C87" s="21" t="s">
        <v>87</v>
      </c>
      <c r="D87" s="50"/>
      <c r="E87" s="52">
        <v>577</v>
      </c>
      <c r="F87" s="52">
        <v>228</v>
      </c>
      <c r="G87" s="50">
        <f t="shared" ref="G87:O87" si="47">F87</f>
        <v>228</v>
      </c>
      <c r="H87" s="50">
        <f t="shared" si="47"/>
        <v>228</v>
      </c>
      <c r="I87" s="50">
        <f t="shared" si="47"/>
        <v>228</v>
      </c>
      <c r="J87" s="50">
        <f t="shared" si="47"/>
        <v>228</v>
      </c>
      <c r="K87" s="50">
        <f t="shared" si="47"/>
        <v>228</v>
      </c>
      <c r="L87" s="50">
        <f t="shared" si="47"/>
        <v>228</v>
      </c>
      <c r="M87" s="50">
        <f t="shared" si="47"/>
        <v>228</v>
      </c>
      <c r="N87" s="50">
        <f t="shared" si="47"/>
        <v>228</v>
      </c>
      <c r="O87" s="50">
        <f t="shared" si="47"/>
        <v>228</v>
      </c>
    </row>
    <row r="88" spans="3:15" x14ac:dyDescent="0.2">
      <c r="C88" s="80" t="s">
        <v>88</v>
      </c>
      <c r="D88" s="50"/>
      <c r="E88" s="56">
        <f t="shared" ref="E88:O88" si="48">SUM(E77:E87)</f>
        <v>8507.0999999999985</v>
      </c>
      <c r="F88" s="56">
        <f t="shared" si="48"/>
        <v>9138</v>
      </c>
      <c r="G88" s="56">
        <f t="shared" ca="1" si="48"/>
        <v>9362.5544437840053</v>
      </c>
      <c r="H88" s="56">
        <f t="shared" ca="1" si="48"/>
        <v>9828.7464296330636</v>
      </c>
      <c r="I88" s="56">
        <f t="shared" ca="1" si="48"/>
        <v>10343.119347811413</v>
      </c>
      <c r="J88" s="56">
        <f t="shared" ca="1" si="48"/>
        <v>10887.535396761081</v>
      </c>
      <c r="K88" s="56">
        <f t="shared" ca="1" si="48"/>
        <v>11463.732876932338</v>
      </c>
      <c r="L88" s="56">
        <f t="shared" ca="1" si="48"/>
        <v>12242.259001028926</v>
      </c>
      <c r="M88" s="56">
        <f t="shared" ca="1" si="48"/>
        <v>13443.849268207601</v>
      </c>
      <c r="N88" s="56">
        <f t="shared" ca="1" si="48"/>
        <v>14757.243566332514</v>
      </c>
      <c r="O88" s="56">
        <f t="shared" ca="1" si="48"/>
        <v>16190.624231408785</v>
      </c>
    </row>
    <row r="89" spans="3:15" x14ac:dyDescent="0.2">
      <c r="C89" s="80"/>
      <c r="D89" s="50"/>
      <c r="E89" s="56"/>
      <c r="F89" s="56"/>
      <c r="G89" s="56"/>
      <c r="H89" s="56"/>
      <c r="I89" s="56"/>
      <c r="J89" s="56"/>
      <c r="K89" s="56"/>
      <c r="L89" s="56"/>
      <c r="M89" s="56"/>
      <c r="N89" s="56"/>
      <c r="O89" s="56"/>
    </row>
    <row r="90" spans="3:15" x14ac:dyDescent="0.2">
      <c r="C90" s="21" t="s">
        <v>89</v>
      </c>
      <c r="D90" s="50"/>
      <c r="E90" s="52">
        <v>876.1</v>
      </c>
      <c r="F90" s="52">
        <v>1039.7</v>
      </c>
      <c r="G90" s="50">
        <f t="shared" ref="G90:O90" ca="1" si="49">G139</f>
        <v>1080.9966713832098</v>
      </c>
      <c r="H90" s="50">
        <f t="shared" ca="1" si="49"/>
        <v>1110.7240798462481</v>
      </c>
      <c r="I90" s="50">
        <f t="shared" ca="1" si="49"/>
        <v>1163.0443187411956</v>
      </c>
      <c r="J90" s="50">
        <f t="shared" ca="1" si="49"/>
        <v>1217.6443796160902</v>
      </c>
      <c r="K90" s="50">
        <f t="shared" ca="1" si="49"/>
        <v>1274.6094882485038</v>
      </c>
      <c r="L90" s="50">
        <f t="shared" ca="1" si="49"/>
        <v>1351.086057543414</v>
      </c>
      <c r="M90" s="50">
        <f t="shared" ca="1" si="49"/>
        <v>1432.151220996019</v>
      </c>
      <c r="N90" s="50">
        <f t="shared" ca="1" si="49"/>
        <v>1518.0802942557802</v>
      </c>
      <c r="O90" s="50">
        <f t="shared" ca="1" si="49"/>
        <v>1609.165111911127</v>
      </c>
    </row>
    <row r="91" spans="3:15" x14ac:dyDescent="0.2">
      <c r="C91" s="21" t="s">
        <v>90</v>
      </c>
      <c r="D91" s="50"/>
      <c r="E91" s="52">
        <v>0</v>
      </c>
      <c r="F91" s="52">
        <v>0</v>
      </c>
      <c r="G91" s="50">
        <f t="shared" ref="G91:O91" ca="1" si="50">G143</f>
        <v>0</v>
      </c>
      <c r="H91" s="50">
        <f t="shared" ca="1" si="50"/>
        <v>0</v>
      </c>
      <c r="I91" s="50">
        <f t="shared" ca="1" si="50"/>
        <v>0</v>
      </c>
      <c r="J91" s="50">
        <f t="shared" ca="1" si="50"/>
        <v>0</v>
      </c>
      <c r="K91" s="50">
        <f t="shared" ca="1" si="50"/>
        <v>0</v>
      </c>
      <c r="L91" s="50">
        <f t="shared" ca="1" si="50"/>
        <v>0</v>
      </c>
      <c r="M91" s="50">
        <f t="shared" ca="1" si="50"/>
        <v>0</v>
      </c>
      <c r="N91" s="50">
        <f t="shared" ca="1" si="50"/>
        <v>0</v>
      </c>
      <c r="O91" s="50">
        <f t="shared" ca="1" si="50"/>
        <v>0</v>
      </c>
    </row>
    <row r="92" spans="3:15" x14ac:dyDescent="0.2">
      <c r="C92" s="21" t="s">
        <v>91</v>
      </c>
      <c r="D92" s="50"/>
      <c r="E92" s="52">
        <v>215.5</v>
      </c>
      <c r="F92" s="52">
        <v>161.5</v>
      </c>
      <c r="G92" s="50">
        <f t="shared" ref="G92:O92" ca="1" si="51">G147</f>
        <v>179.16099021450432</v>
      </c>
      <c r="H92" s="50">
        <f t="shared" ca="1" si="51"/>
        <v>196.58835944544708</v>
      </c>
      <c r="I92" s="50">
        <f t="shared" ca="1" si="51"/>
        <v>214.51493496975237</v>
      </c>
      <c r="J92" s="50">
        <f t="shared" ca="1" si="51"/>
        <v>234.04905582452841</v>
      </c>
      <c r="K92" s="50">
        <f t="shared" ca="1" si="51"/>
        <v>255.36841050632231</v>
      </c>
      <c r="L92" s="50">
        <f t="shared" ca="1" si="51"/>
        <v>272.24504637542185</v>
      </c>
      <c r="M92" s="50">
        <f t="shared" ca="1" si="51"/>
        <v>289.44761784273254</v>
      </c>
      <c r="N92" s="50">
        <f t="shared" ca="1" si="51"/>
        <v>307.1773240712306</v>
      </c>
      <c r="O92" s="50">
        <f t="shared" ca="1" si="51"/>
        <v>325.97081267343862</v>
      </c>
    </row>
    <row r="93" spans="3:15" x14ac:dyDescent="0.2">
      <c r="C93" s="21" t="s">
        <v>92</v>
      </c>
      <c r="D93" s="50"/>
      <c r="E93" s="52">
        <v>1123.2</v>
      </c>
      <c r="F93" s="52">
        <v>1317.1</v>
      </c>
      <c r="G93" s="50">
        <f t="shared" ref="G93:O93" si="52">G151</f>
        <v>1317.1</v>
      </c>
      <c r="H93" s="50">
        <f t="shared" si="52"/>
        <v>1317.1</v>
      </c>
      <c r="I93" s="50">
        <f t="shared" si="52"/>
        <v>1317.1</v>
      </c>
      <c r="J93" s="50">
        <f t="shared" si="52"/>
        <v>1317.1</v>
      </c>
      <c r="K93" s="50">
        <f t="shared" si="52"/>
        <v>1317.1</v>
      </c>
      <c r="L93" s="50">
        <f t="shared" si="52"/>
        <v>1317.1</v>
      </c>
      <c r="M93" s="50">
        <f t="shared" si="52"/>
        <v>1317.1</v>
      </c>
      <c r="N93" s="50">
        <f t="shared" si="52"/>
        <v>1317.1</v>
      </c>
      <c r="O93" s="50">
        <f t="shared" si="52"/>
        <v>1317.1</v>
      </c>
    </row>
    <row r="94" spans="3:15" x14ac:dyDescent="0.2">
      <c r="C94" s="21" t="s">
        <v>93</v>
      </c>
      <c r="D94" s="50"/>
      <c r="E94" s="52">
        <v>356.7</v>
      </c>
      <c r="F94" s="52">
        <v>776.7</v>
      </c>
      <c r="G94" s="50">
        <f t="shared" ref="G94:O94" si="53">G226</f>
        <v>164.1</v>
      </c>
      <c r="H94" s="50">
        <f t="shared" si="53"/>
        <v>232.2</v>
      </c>
      <c r="I94" s="50">
        <f t="shared" si="53"/>
        <v>296.39999999999998</v>
      </c>
      <c r="J94" s="50">
        <f t="shared" si="53"/>
        <v>26.6</v>
      </c>
      <c r="K94" s="50">
        <f t="shared" si="53"/>
        <v>0</v>
      </c>
      <c r="L94" s="50">
        <f t="shared" si="53"/>
        <v>0</v>
      </c>
      <c r="M94" s="50">
        <f t="shared" si="53"/>
        <v>0</v>
      </c>
      <c r="N94" s="50">
        <f t="shared" si="53"/>
        <v>0</v>
      </c>
      <c r="O94" s="50">
        <f t="shared" si="53"/>
        <v>0</v>
      </c>
    </row>
    <row r="95" spans="3:15" x14ac:dyDescent="0.2">
      <c r="C95" s="21" t="s">
        <v>94</v>
      </c>
      <c r="D95" s="50"/>
      <c r="E95" s="52">
        <v>171.5</v>
      </c>
      <c r="F95" s="52">
        <v>174.1</v>
      </c>
      <c r="G95" s="50">
        <f t="shared" ref="G95:O95" ca="1" si="54">G240</f>
        <v>666.19643018735962</v>
      </c>
      <c r="H95" s="50">
        <f t="shared" ca="1" si="54"/>
        <v>696.18957632046602</v>
      </c>
      <c r="I95" s="50">
        <f t="shared" ca="1" si="54"/>
        <v>712.09648287443326</v>
      </c>
      <c r="J95" s="50">
        <f t="shared" ca="1" si="54"/>
        <v>699.56220540735126</v>
      </c>
      <c r="K95" s="50">
        <f t="shared" ca="1" si="54"/>
        <v>315.30163578390631</v>
      </c>
      <c r="L95" s="50">
        <f t="shared" ca="1" si="54"/>
        <v>0</v>
      </c>
      <c r="M95" s="50">
        <f t="shared" ca="1" si="54"/>
        <v>0</v>
      </c>
      <c r="N95" s="50">
        <f t="shared" ca="1" si="54"/>
        <v>0</v>
      </c>
      <c r="O95" s="50">
        <f t="shared" ca="1" si="54"/>
        <v>0</v>
      </c>
    </row>
    <row r="96" spans="3:15" x14ac:dyDescent="0.2">
      <c r="C96" s="21" t="s">
        <v>95</v>
      </c>
      <c r="D96" s="50"/>
      <c r="E96" s="52">
        <v>2918</v>
      </c>
      <c r="F96" s="52">
        <v>2720.4</v>
      </c>
      <c r="G96" s="50">
        <f t="shared" ref="G96:O96" si="55">G230</f>
        <v>2556.3000000000002</v>
      </c>
      <c r="H96" s="50">
        <f t="shared" si="55"/>
        <v>2324.1000000000004</v>
      </c>
      <c r="I96" s="50">
        <f t="shared" si="55"/>
        <v>2027.7000000000003</v>
      </c>
      <c r="J96" s="50">
        <f t="shared" si="55"/>
        <v>2001.1000000000004</v>
      </c>
      <c r="K96" s="50">
        <f t="shared" si="55"/>
        <v>2001.1000000000004</v>
      </c>
      <c r="L96" s="50">
        <f t="shared" si="55"/>
        <v>2001.1000000000004</v>
      </c>
      <c r="M96" s="50">
        <f t="shared" si="55"/>
        <v>2001.1000000000004</v>
      </c>
      <c r="N96" s="50">
        <f t="shared" si="55"/>
        <v>2001.1000000000004</v>
      </c>
      <c r="O96" s="50">
        <f t="shared" si="55"/>
        <v>2001.1000000000004</v>
      </c>
    </row>
    <row r="97" spans="3:15" x14ac:dyDescent="0.2">
      <c r="C97" s="21" t="s">
        <v>96</v>
      </c>
      <c r="D97" s="50"/>
      <c r="E97" s="52">
        <v>0</v>
      </c>
      <c r="F97" s="52">
        <v>0</v>
      </c>
      <c r="G97" s="50">
        <f t="shared" ref="G97:O97" si="56">G233</f>
        <v>0</v>
      </c>
      <c r="H97" s="50">
        <f t="shared" si="56"/>
        <v>0</v>
      </c>
      <c r="I97" s="50">
        <f t="shared" si="56"/>
        <v>0</v>
      </c>
      <c r="J97" s="50">
        <f t="shared" si="56"/>
        <v>0</v>
      </c>
      <c r="K97" s="50">
        <f t="shared" si="56"/>
        <v>0</v>
      </c>
      <c r="L97" s="50">
        <f t="shared" si="56"/>
        <v>0</v>
      </c>
      <c r="M97" s="50">
        <f t="shared" si="56"/>
        <v>0</v>
      </c>
      <c r="N97" s="50">
        <f t="shared" si="56"/>
        <v>0</v>
      </c>
      <c r="O97" s="50">
        <f t="shared" si="56"/>
        <v>0</v>
      </c>
    </row>
    <row r="98" spans="3:15" x14ac:dyDescent="0.2">
      <c r="C98" s="21" t="s">
        <v>80</v>
      </c>
      <c r="D98" s="50"/>
      <c r="E98" s="52">
        <v>554.70000000000005</v>
      </c>
      <c r="F98" s="52">
        <v>309.89999999999998</v>
      </c>
      <c r="G98" s="50">
        <f t="shared" ref="G98:O98" ca="1" si="57">F98*(G38/F38)</f>
        <v>343.78941713606747</v>
      </c>
      <c r="H98" s="50">
        <f t="shared" ca="1" si="57"/>
        <v>377.23054236621704</v>
      </c>
      <c r="I98" s="50">
        <f t="shared" ca="1" si="57"/>
        <v>411.62958728870746</v>
      </c>
      <c r="J98" s="50">
        <f t="shared" ca="1" si="57"/>
        <v>449.11332755431175</v>
      </c>
      <c r="K98" s="50">
        <f t="shared" ca="1" si="57"/>
        <v>490.02272703349399</v>
      </c>
      <c r="L98" s="50">
        <f t="shared" ca="1" si="57"/>
        <v>522.40705802936986</v>
      </c>
      <c r="M98" s="50">
        <f t="shared" ca="1" si="57"/>
        <v>555.41682210193687</v>
      </c>
      <c r="N98" s="50">
        <f t="shared" ca="1" si="57"/>
        <v>589.43809739736446</v>
      </c>
      <c r="O98" s="50">
        <f t="shared" ca="1" si="57"/>
        <v>625.50064921051785</v>
      </c>
    </row>
    <row r="99" spans="3:15" x14ac:dyDescent="0.2">
      <c r="C99" s="78" t="s">
        <v>97</v>
      </c>
      <c r="D99" s="67"/>
      <c r="E99" s="81">
        <f>941.3-103.3</f>
        <v>838</v>
      </c>
      <c r="F99" s="81">
        <f>1227.7-111.8</f>
        <v>1115.9000000000001</v>
      </c>
      <c r="G99" s="67">
        <f t="shared" ref="G99:O99" si="58">F99</f>
        <v>1115.9000000000001</v>
      </c>
      <c r="H99" s="67">
        <f t="shared" si="58"/>
        <v>1115.9000000000001</v>
      </c>
      <c r="I99" s="67">
        <f t="shared" si="58"/>
        <v>1115.9000000000001</v>
      </c>
      <c r="J99" s="67">
        <f t="shared" si="58"/>
        <v>1115.9000000000001</v>
      </c>
      <c r="K99" s="67">
        <f t="shared" si="58"/>
        <v>1115.9000000000001</v>
      </c>
      <c r="L99" s="67">
        <f t="shared" si="58"/>
        <v>1115.9000000000001</v>
      </c>
      <c r="M99" s="67">
        <f t="shared" si="58"/>
        <v>1115.9000000000001</v>
      </c>
      <c r="N99" s="67">
        <f t="shared" si="58"/>
        <v>1115.9000000000001</v>
      </c>
      <c r="O99" s="67">
        <f t="shared" si="58"/>
        <v>1115.9000000000001</v>
      </c>
    </row>
    <row r="100" spans="3:15" x14ac:dyDescent="0.2">
      <c r="C100" s="53" t="s">
        <v>98</v>
      </c>
      <c r="D100" s="50"/>
      <c r="E100" s="50">
        <f t="shared" ref="E100:O100" si="59">SUM(E90:E99)</f>
        <v>7053.7</v>
      </c>
      <c r="F100" s="50">
        <f t="shared" si="59"/>
        <v>7615.2999999999993</v>
      </c>
      <c r="G100" s="50">
        <f t="shared" ca="1" si="59"/>
        <v>7423.5435089211405</v>
      </c>
      <c r="H100" s="50">
        <f t="shared" ca="1" si="59"/>
        <v>7370.0325579783785</v>
      </c>
      <c r="I100" s="50">
        <f t="shared" ca="1" si="59"/>
        <v>7258.3853238740885</v>
      </c>
      <c r="J100" s="50">
        <f t="shared" ca="1" si="59"/>
        <v>7061.0689684022818</v>
      </c>
      <c r="K100" s="50">
        <f t="shared" ca="1" si="59"/>
        <v>6769.4022615722261</v>
      </c>
      <c r="L100" s="50">
        <f t="shared" ca="1" si="59"/>
        <v>6579.8381619482061</v>
      </c>
      <c r="M100" s="50">
        <f t="shared" ca="1" si="59"/>
        <v>6711.1156609406898</v>
      </c>
      <c r="N100" s="50">
        <f t="shared" ca="1" si="59"/>
        <v>6848.7957157243764</v>
      </c>
      <c r="O100" s="50">
        <f t="shared" ca="1" si="59"/>
        <v>6994.736573795084</v>
      </c>
    </row>
    <row r="101" spans="3:15" x14ac:dyDescent="0.2">
      <c r="C101" s="80"/>
      <c r="D101" s="50"/>
      <c r="E101" s="56"/>
      <c r="F101" s="56"/>
      <c r="G101" s="56"/>
      <c r="H101" s="56"/>
      <c r="I101" s="56"/>
      <c r="J101" s="56"/>
      <c r="K101" s="56"/>
      <c r="L101" s="56"/>
      <c r="M101" s="56"/>
      <c r="N101" s="56"/>
      <c r="O101" s="56"/>
    </row>
    <row r="102" spans="3:15" x14ac:dyDescent="0.2">
      <c r="C102" s="21" t="s">
        <v>99</v>
      </c>
      <c r="D102" s="50"/>
      <c r="E102" s="52">
        <v>103.3</v>
      </c>
      <c r="F102" s="52">
        <v>111.8</v>
      </c>
      <c r="G102" s="50">
        <f t="shared" ref="G102:O102" ca="1" si="60">G184</f>
        <v>153.77959999999999</v>
      </c>
      <c r="H102" s="50">
        <f t="shared" ca="1" si="60"/>
        <v>198.90767</v>
      </c>
      <c r="I102" s="50">
        <f t="shared" ca="1" si="60"/>
        <v>247.19470489999998</v>
      </c>
      <c r="J102" s="50">
        <f t="shared" ca="1" si="60"/>
        <v>298.62039706849998</v>
      </c>
      <c r="K102" s="50">
        <f t="shared" ca="1" si="60"/>
        <v>353.13163076710998</v>
      </c>
      <c r="L102" s="50">
        <f t="shared" ca="1" si="60"/>
        <v>410.91353848763657</v>
      </c>
      <c r="M102" s="50">
        <f t="shared" ca="1" si="60"/>
        <v>472.16236067139477</v>
      </c>
      <c r="N102" s="50">
        <f t="shared" ca="1" si="60"/>
        <v>537.08611218617841</v>
      </c>
      <c r="O102" s="50">
        <f t="shared" ca="1" si="60"/>
        <v>605.9052887918491</v>
      </c>
    </row>
    <row r="103" spans="3:15" x14ac:dyDescent="0.2">
      <c r="C103" s="21" t="s">
        <v>100</v>
      </c>
      <c r="D103" s="50"/>
      <c r="E103" s="52">
        <v>253.7</v>
      </c>
      <c r="F103" s="52">
        <v>222.7</v>
      </c>
      <c r="G103" s="50">
        <f t="shared" ref="G103:O103" si="61">F103</f>
        <v>222.7</v>
      </c>
      <c r="H103" s="50">
        <f t="shared" si="61"/>
        <v>222.7</v>
      </c>
      <c r="I103" s="50">
        <f t="shared" si="61"/>
        <v>222.7</v>
      </c>
      <c r="J103" s="50">
        <f t="shared" si="61"/>
        <v>222.7</v>
      </c>
      <c r="K103" s="50">
        <f t="shared" si="61"/>
        <v>222.7</v>
      </c>
      <c r="L103" s="50">
        <f t="shared" si="61"/>
        <v>222.7</v>
      </c>
      <c r="M103" s="50">
        <f t="shared" si="61"/>
        <v>222.7</v>
      </c>
      <c r="N103" s="50">
        <f t="shared" si="61"/>
        <v>222.7</v>
      </c>
      <c r="O103" s="50">
        <f t="shared" si="61"/>
        <v>222.7</v>
      </c>
    </row>
    <row r="104" spans="3:15" x14ac:dyDescent="0.2">
      <c r="C104" s="21" t="s">
        <v>101</v>
      </c>
      <c r="D104" s="50"/>
      <c r="E104" s="52">
        <f>732.9+1064.4</f>
        <v>1797.3000000000002</v>
      </c>
      <c r="F104" s="52">
        <f>732.9+1218.1</f>
        <v>1951</v>
      </c>
      <c r="G104" s="50">
        <f t="shared" ref="G104:O104" si="62">F104+G166</f>
        <v>2178.6999999999998</v>
      </c>
      <c r="H104" s="50">
        <f t="shared" si="62"/>
        <v>2406.3999999999996</v>
      </c>
      <c r="I104" s="50">
        <f t="shared" si="62"/>
        <v>2634.0999999999995</v>
      </c>
      <c r="J104" s="50">
        <f t="shared" si="62"/>
        <v>2861.7999999999993</v>
      </c>
      <c r="K104" s="50">
        <f t="shared" si="62"/>
        <v>3089.4999999999991</v>
      </c>
      <c r="L104" s="50">
        <f t="shared" si="62"/>
        <v>3317.1999999999989</v>
      </c>
      <c r="M104" s="50">
        <f t="shared" si="62"/>
        <v>3544.8999999999987</v>
      </c>
      <c r="N104" s="50">
        <f t="shared" si="62"/>
        <v>3772.5999999999985</v>
      </c>
      <c r="O104" s="50">
        <f t="shared" si="62"/>
        <v>4000.2999999999984</v>
      </c>
    </row>
    <row r="105" spans="3:15" x14ac:dyDescent="0.2">
      <c r="C105" s="21" t="s">
        <v>102</v>
      </c>
      <c r="D105" s="50"/>
      <c r="E105" s="52">
        <v>-7581</v>
      </c>
      <c r="F105" s="52">
        <v>-8073.9</v>
      </c>
      <c r="G105" s="50">
        <f t="shared" ref="G105:O105" si="63">F105+G165</f>
        <v>-8923.9</v>
      </c>
      <c r="H105" s="50">
        <f t="shared" si="63"/>
        <v>-9773.9</v>
      </c>
      <c r="I105" s="50">
        <f t="shared" si="63"/>
        <v>-10623.9</v>
      </c>
      <c r="J105" s="50">
        <f t="shared" si="63"/>
        <v>-11473.9</v>
      </c>
      <c r="K105" s="50">
        <f t="shared" si="63"/>
        <v>-12323.9</v>
      </c>
      <c r="L105" s="50">
        <f t="shared" si="63"/>
        <v>-13173.9</v>
      </c>
      <c r="M105" s="50">
        <f t="shared" si="63"/>
        <v>-14023.9</v>
      </c>
      <c r="N105" s="50">
        <f t="shared" si="63"/>
        <v>-14873.9</v>
      </c>
      <c r="O105" s="50">
        <f t="shared" si="63"/>
        <v>-15723.9</v>
      </c>
    </row>
    <row r="106" spans="3:15" x14ac:dyDescent="0.2">
      <c r="C106" s="21" t="s">
        <v>103</v>
      </c>
      <c r="D106" s="50"/>
      <c r="E106" s="52">
        <v>-1804.7</v>
      </c>
      <c r="F106" s="52">
        <v>-2081.1999999999998</v>
      </c>
      <c r="G106" s="50">
        <f t="shared" ref="G106:O107" si="64">F106</f>
        <v>-2081.1999999999998</v>
      </c>
      <c r="H106" s="50">
        <f t="shared" si="64"/>
        <v>-2081.1999999999998</v>
      </c>
      <c r="I106" s="50">
        <f t="shared" si="64"/>
        <v>-2081.1999999999998</v>
      </c>
      <c r="J106" s="50">
        <f t="shared" si="64"/>
        <v>-2081.1999999999998</v>
      </c>
      <c r="K106" s="50">
        <f t="shared" si="64"/>
        <v>-2081.1999999999998</v>
      </c>
      <c r="L106" s="50">
        <f t="shared" si="64"/>
        <v>-2081.1999999999998</v>
      </c>
      <c r="M106" s="50">
        <f t="shared" si="64"/>
        <v>-2081.1999999999998</v>
      </c>
      <c r="N106" s="50">
        <f t="shared" si="64"/>
        <v>-2081.1999999999998</v>
      </c>
      <c r="O106" s="50">
        <f t="shared" si="64"/>
        <v>-2081.1999999999998</v>
      </c>
    </row>
    <row r="107" spans="3:15" x14ac:dyDescent="0.2">
      <c r="C107" s="21" t="s">
        <v>104</v>
      </c>
      <c r="D107" s="50"/>
      <c r="E107" s="52">
        <v>-283.3</v>
      </c>
      <c r="F107" s="52">
        <v>-251.4</v>
      </c>
      <c r="G107" s="50">
        <f t="shared" si="64"/>
        <v>-251.4</v>
      </c>
      <c r="H107" s="50">
        <f t="shared" si="64"/>
        <v>-251.4</v>
      </c>
      <c r="I107" s="50">
        <f t="shared" si="64"/>
        <v>-251.4</v>
      </c>
      <c r="J107" s="50">
        <f t="shared" si="64"/>
        <v>-251.4</v>
      </c>
      <c r="K107" s="50">
        <f t="shared" si="64"/>
        <v>-251.4</v>
      </c>
      <c r="L107" s="50">
        <f t="shared" si="64"/>
        <v>-251.4</v>
      </c>
      <c r="M107" s="50">
        <f t="shared" si="64"/>
        <v>-251.4</v>
      </c>
      <c r="N107" s="50">
        <f t="shared" si="64"/>
        <v>-251.4</v>
      </c>
      <c r="O107" s="50">
        <f t="shared" si="64"/>
        <v>-251.4</v>
      </c>
    </row>
    <row r="108" spans="3:15" x14ac:dyDescent="0.2">
      <c r="C108" s="78" t="s">
        <v>105</v>
      </c>
      <c r="D108" s="67"/>
      <c r="E108" s="81">
        <v>8968.1</v>
      </c>
      <c r="F108" s="81">
        <v>9643.7000000000007</v>
      </c>
      <c r="G108" s="67">
        <f t="shared" ref="G108:O108" ca="1" si="65">F108+G41-G42-G50</f>
        <v>10640.331334862864</v>
      </c>
      <c r="H108" s="67">
        <f t="shared" ca="1" si="65"/>
        <v>11737.206201654686</v>
      </c>
      <c r="I108" s="67">
        <f t="shared" ca="1" si="65"/>
        <v>12937.239319037322</v>
      </c>
      <c r="J108" s="67">
        <f t="shared" ca="1" si="65"/>
        <v>14249.846031290297</v>
      </c>
      <c r="K108" s="67">
        <f t="shared" ca="1" si="65"/>
        <v>15685.498984592999</v>
      </c>
      <c r="L108" s="67">
        <f t="shared" ca="1" si="65"/>
        <v>17218.107300593081</v>
      </c>
      <c r="M108" s="67">
        <f t="shared" ca="1" si="65"/>
        <v>18849.471246595513</v>
      </c>
      <c r="N108" s="67">
        <f t="shared" ca="1" si="65"/>
        <v>20582.561738421951</v>
      </c>
      <c r="O108" s="67">
        <f t="shared" ca="1" si="65"/>
        <v>22423.482368821842</v>
      </c>
    </row>
    <row r="109" spans="3:15" x14ac:dyDescent="0.2">
      <c r="C109" s="53" t="s">
        <v>106</v>
      </c>
      <c r="D109" s="50"/>
      <c r="E109" s="50">
        <f t="shared" ref="E109:O109" si="66">SUM(E102:E108)</f>
        <v>1453.4000000000005</v>
      </c>
      <c r="F109" s="50">
        <f t="shared" si="66"/>
        <v>1522.7000000000016</v>
      </c>
      <c r="G109" s="50">
        <f t="shared" ca="1" si="66"/>
        <v>1939.0109348628648</v>
      </c>
      <c r="H109" s="50">
        <f t="shared" ca="1" si="66"/>
        <v>2458.713871654687</v>
      </c>
      <c r="I109" s="50">
        <f t="shared" ca="1" si="66"/>
        <v>3084.7340239373225</v>
      </c>
      <c r="J109" s="50">
        <f t="shared" ca="1" si="66"/>
        <v>3826.4664283587972</v>
      </c>
      <c r="K109" s="50">
        <f t="shared" ca="1" si="66"/>
        <v>4694.3306153601097</v>
      </c>
      <c r="L109" s="50">
        <f t="shared" ca="1" si="66"/>
        <v>5662.4208390807162</v>
      </c>
      <c r="M109" s="50">
        <f t="shared" ca="1" si="66"/>
        <v>6732.7336072669077</v>
      </c>
      <c r="N109" s="50">
        <f t="shared" ca="1" si="66"/>
        <v>7908.4478506081305</v>
      </c>
      <c r="O109" s="50">
        <f t="shared" ca="1" si="66"/>
        <v>9195.8876576136918</v>
      </c>
    </row>
    <row r="110" spans="3:15" x14ac:dyDescent="0.2">
      <c r="C110" s="82"/>
      <c r="D110" s="56"/>
      <c r="E110" s="56"/>
      <c r="F110" s="56"/>
      <c r="G110" s="56"/>
      <c r="H110" s="56"/>
      <c r="I110" s="56"/>
      <c r="J110" s="56"/>
      <c r="K110" s="56"/>
      <c r="L110" s="56"/>
      <c r="M110" s="56"/>
      <c r="N110" s="56"/>
      <c r="O110" s="56"/>
    </row>
    <row r="111" spans="3:15" x14ac:dyDescent="0.2">
      <c r="C111" s="83" t="s">
        <v>107</v>
      </c>
      <c r="D111" s="56"/>
      <c r="E111" s="56">
        <f t="shared" ref="E111:O111" si="67">E109+E100</f>
        <v>8507.1</v>
      </c>
      <c r="F111" s="56">
        <f t="shared" si="67"/>
        <v>9138</v>
      </c>
      <c r="G111" s="56">
        <f t="shared" ca="1" si="67"/>
        <v>9362.5544437840053</v>
      </c>
      <c r="H111" s="56">
        <f t="shared" ca="1" si="67"/>
        <v>9828.7464296330654</v>
      </c>
      <c r="I111" s="56">
        <f t="shared" ca="1" si="67"/>
        <v>10343.119347811411</v>
      </c>
      <c r="J111" s="56">
        <f t="shared" ca="1" si="67"/>
        <v>10887.535396761079</v>
      </c>
      <c r="K111" s="56">
        <f t="shared" ca="1" si="67"/>
        <v>11463.732876932336</v>
      </c>
      <c r="L111" s="56">
        <f t="shared" ca="1" si="67"/>
        <v>12242.259001028922</v>
      </c>
      <c r="M111" s="56">
        <f t="shared" ca="1" si="67"/>
        <v>13443.849268207598</v>
      </c>
      <c r="N111" s="56">
        <f t="shared" ca="1" si="67"/>
        <v>14757.243566332507</v>
      </c>
      <c r="O111" s="56">
        <f t="shared" ca="1" si="67"/>
        <v>16190.624231408776</v>
      </c>
    </row>
    <row r="112" spans="3:15" x14ac:dyDescent="0.2">
      <c r="C112" s="82" t="s">
        <v>108</v>
      </c>
      <c r="D112" s="50"/>
      <c r="E112" s="50">
        <f t="shared" ref="E112:O112" si="68">E88-E111</f>
        <v>0</v>
      </c>
      <c r="F112" s="50">
        <f t="shared" si="68"/>
        <v>0</v>
      </c>
      <c r="G112" s="50">
        <f t="shared" ca="1" si="68"/>
        <v>0</v>
      </c>
      <c r="H112" s="50">
        <f t="shared" ca="1" si="68"/>
        <v>0</v>
      </c>
      <c r="I112" s="50">
        <f t="shared" ca="1" si="68"/>
        <v>0</v>
      </c>
      <c r="J112" s="50">
        <f t="shared" ca="1" si="68"/>
        <v>0</v>
      </c>
      <c r="K112" s="50">
        <f t="shared" ca="1" si="68"/>
        <v>0</v>
      </c>
      <c r="L112" s="50">
        <f t="shared" ca="1" si="68"/>
        <v>0</v>
      </c>
      <c r="M112" s="50">
        <f t="shared" ca="1" si="68"/>
        <v>0</v>
      </c>
      <c r="N112" s="50">
        <f t="shared" ca="1" si="68"/>
        <v>0</v>
      </c>
      <c r="O112" s="50">
        <f t="shared" ca="1" si="68"/>
        <v>0</v>
      </c>
    </row>
    <row r="114" spans="3:15" ht="13.5" thickBot="1" x14ac:dyDescent="0.25">
      <c r="C114" s="37" t="s">
        <v>109</v>
      </c>
      <c r="D114" s="38"/>
      <c r="E114" s="38"/>
      <c r="F114" s="38"/>
      <c r="G114" s="39"/>
      <c r="H114" s="39"/>
      <c r="I114" s="39"/>
      <c r="J114" s="39"/>
      <c r="K114" s="39"/>
      <c r="L114" s="39"/>
      <c r="M114" s="39"/>
      <c r="N114" s="39"/>
      <c r="O114" s="39"/>
    </row>
    <row r="115" spans="3:15" x14ac:dyDescent="0.2">
      <c r="D115" s="43"/>
      <c r="E115" s="84">
        <f t="shared" ref="E115:O115" si="69">E76</f>
        <v>38717</v>
      </c>
      <c r="F115" s="84">
        <f t="shared" si="69"/>
        <v>39082</v>
      </c>
      <c r="G115" s="84">
        <f t="shared" si="69"/>
        <v>39447</v>
      </c>
      <c r="H115" s="84">
        <f t="shared" si="69"/>
        <v>39813</v>
      </c>
      <c r="I115" s="84">
        <f t="shared" si="69"/>
        <v>40178</v>
      </c>
      <c r="J115" s="84">
        <f t="shared" si="69"/>
        <v>40543</v>
      </c>
      <c r="K115" s="84">
        <f t="shared" si="69"/>
        <v>40908</v>
      </c>
      <c r="L115" s="84">
        <f t="shared" si="69"/>
        <v>41274</v>
      </c>
      <c r="M115" s="84">
        <f t="shared" si="69"/>
        <v>41639</v>
      </c>
      <c r="N115" s="84">
        <f t="shared" si="69"/>
        <v>42004</v>
      </c>
      <c r="O115" s="84">
        <f t="shared" si="69"/>
        <v>42369</v>
      </c>
    </row>
    <row r="116" spans="3:15" x14ac:dyDescent="0.2">
      <c r="C116" s="59" t="s">
        <v>110</v>
      </c>
      <c r="D116" s="85"/>
      <c r="E116" s="85"/>
      <c r="F116" s="85"/>
      <c r="G116" s="85"/>
      <c r="H116" s="85"/>
      <c r="I116" s="85"/>
      <c r="J116" s="85"/>
      <c r="K116" s="85"/>
      <c r="L116" s="85"/>
      <c r="M116" s="85"/>
      <c r="N116" s="85"/>
      <c r="O116" s="85"/>
    </row>
    <row r="117" spans="3:15" x14ac:dyDescent="0.2">
      <c r="C117" s="24"/>
      <c r="D117" s="86"/>
      <c r="E117" s="86"/>
      <c r="F117" s="86"/>
      <c r="G117" s="86"/>
      <c r="H117" s="86"/>
      <c r="I117" s="86"/>
      <c r="J117" s="86"/>
      <c r="K117" s="86"/>
      <c r="L117" s="86"/>
      <c r="M117" s="86"/>
      <c r="N117" s="86"/>
      <c r="O117" s="86"/>
    </row>
    <row r="118" spans="3:15" x14ac:dyDescent="0.2">
      <c r="C118" s="53" t="s">
        <v>111</v>
      </c>
      <c r="D118" s="86"/>
      <c r="E118" s="86"/>
      <c r="F118" s="86"/>
      <c r="G118" s="87"/>
      <c r="H118" s="87"/>
      <c r="I118" s="87"/>
      <c r="J118" s="87"/>
      <c r="K118" s="87"/>
      <c r="L118" s="87"/>
      <c r="M118" s="87"/>
      <c r="N118" s="87"/>
      <c r="O118" s="87"/>
    </row>
    <row r="119" spans="3:15" x14ac:dyDescent="0.2">
      <c r="C119" s="53" t="s">
        <v>112</v>
      </c>
      <c r="D119" s="43"/>
      <c r="E119" s="88">
        <f>(E25-D25)*E121/E27</f>
        <v>41.935175354701727</v>
      </c>
      <c r="F119" s="88">
        <f>(F25-E25)*F121/F27</f>
        <v>45.430759047860299</v>
      </c>
      <c r="G119" s="89"/>
      <c r="H119" s="89"/>
      <c r="I119" s="89"/>
      <c r="J119" s="89"/>
      <c r="K119" s="89"/>
      <c r="L119" s="89"/>
      <c r="M119" s="89"/>
      <c r="N119" s="89"/>
      <c r="O119" s="89"/>
    </row>
    <row r="120" spans="3:15" x14ac:dyDescent="0.2">
      <c r="C120" s="90" t="s">
        <v>113</v>
      </c>
      <c r="D120" s="60"/>
      <c r="E120" s="60"/>
      <c r="F120" s="60"/>
      <c r="G120" s="91"/>
      <c r="H120" s="91"/>
      <c r="I120" s="91"/>
      <c r="J120" s="91"/>
      <c r="K120" s="91"/>
      <c r="L120" s="91"/>
      <c r="M120" s="91"/>
      <c r="N120" s="91"/>
      <c r="O120" s="91"/>
    </row>
    <row r="121" spans="3:15" x14ac:dyDescent="0.2">
      <c r="C121" s="16" t="s">
        <v>78</v>
      </c>
      <c r="D121" s="50"/>
      <c r="E121" s="50">
        <f>E78</f>
        <v>1309.4000000000001</v>
      </c>
      <c r="F121" s="50">
        <f>F78</f>
        <v>1523.2</v>
      </c>
      <c r="G121" s="92">
        <f t="shared" ref="G121:O121" ca="1" si="70">IF(ISNUMBER(G120),G120,IF(ISNUMBER(G119),G119/(G25-F25)*G27,F121*(1+G65)))</f>
        <v>1629.8240000000001</v>
      </c>
      <c r="H121" s="92">
        <f t="shared" ca="1" si="70"/>
        <v>1727.6134400000001</v>
      </c>
      <c r="I121" s="92">
        <f t="shared" ca="1" si="70"/>
        <v>1831.2702464000001</v>
      </c>
      <c r="J121" s="92">
        <f t="shared" ca="1" si="70"/>
        <v>1941.1464611840001</v>
      </c>
      <c r="K121" s="92">
        <f t="shared" ca="1" si="70"/>
        <v>2057.6152488550401</v>
      </c>
      <c r="L121" s="92">
        <f t="shared" ca="1" si="70"/>
        <v>2181.0721637863426</v>
      </c>
      <c r="M121" s="92">
        <f t="shared" ca="1" si="70"/>
        <v>2311.9364936135235</v>
      </c>
      <c r="N121" s="92">
        <f t="shared" ca="1" si="70"/>
        <v>2450.6526832303348</v>
      </c>
      <c r="O121" s="92">
        <f t="shared" ca="1" si="70"/>
        <v>2597.6918442241549</v>
      </c>
    </row>
    <row r="122" spans="3:15" x14ac:dyDescent="0.2">
      <c r="C122" s="3"/>
      <c r="D122" s="43"/>
      <c r="E122" s="43"/>
      <c r="F122" s="43"/>
      <c r="G122" s="43"/>
      <c r="H122" s="43"/>
      <c r="I122" s="43"/>
      <c r="J122" s="43"/>
      <c r="K122" s="43"/>
      <c r="L122" s="43"/>
      <c r="M122" s="43"/>
      <c r="N122" s="43"/>
      <c r="O122" s="43"/>
    </row>
    <row r="123" spans="3:15" x14ac:dyDescent="0.2">
      <c r="C123" s="53" t="s">
        <v>114</v>
      </c>
      <c r="D123" s="43"/>
      <c r="E123" s="43"/>
      <c r="F123" s="43"/>
      <c r="G123" s="43"/>
      <c r="H123" s="43"/>
      <c r="I123" s="43"/>
      <c r="J123" s="43"/>
      <c r="K123" s="43"/>
      <c r="L123" s="43"/>
      <c r="M123" s="43"/>
      <c r="N123" s="43"/>
      <c r="O123" s="43"/>
    </row>
    <row r="124" spans="3:15" x14ac:dyDescent="0.2">
      <c r="C124" s="53" t="s">
        <v>115</v>
      </c>
      <c r="D124" s="43"/>
      <c r="E124" s="88">
        <f>(E25-D25)*E79/E29</f>
        <v>61.348272679065936</v>
      </c>
      <c r="F124" s="88">
        <f>(F25-E25)*F79/F29</f>
        <v>68.927508005767891</v>
      </c>
      <c r="G124" s="89"/>
      <c r="H124" s="89"/>
      <c r="I124" s="89"/>
      <c r="J124" s="89"/>
      <c r="K124" s="89"/>
      <c r="L124" s="89"/>
      <c r="M124" s="89"/>
      <c r="N124" s="89"/>
      <c r="O124" s="89"/>
    </row>
    <row r="125" spans="3:15" x14ac:dyDescent="0.2">
      <c r="C125" s="90" t="s">
        <v>113</v>
      </c>
      <c r="D125" s="60"/>
      <c r="E125" s="60"/>
      <c r="F125" s="60"/>
      <c r="G125" s="91"/>
      <c r="H125" s="91"/>
      <c r="I125" s="91"/>
      <c r="J125" s="91"/>
      <c r="K125" s="91"/>
      <c r="L125" s="91"/>
      <c r="M125" s="91"/>
      <c r="N125" s="91"/>
      <c r="O125" s="91"/>
    </row>
    <row r="126" spans="3:15" x14ac:dyDescent="0.2">
      <c r="C126" s="16" t="s">
        <v>79</v>
      </c>
      <c r="D126" s="50"/>
      <c r="E126" s="50">
        <f>E79</f>
        <v>855.8</v>
      </c>
      <c r="F126" s="50">
        <f>F79</f>
        <v>1008.4</v>
      </c>
      <c r="G126" s="92">
        <f t="shared" ref="G126:O126" ca="1" si="71">IF(ISNUMBER(G125),G125,IF(ISNUMBER(G124),G124/(G25-F25)*G29,F126*G29/F29))</f>
        <v>1048.4534417840036</v>
      </c>
      <c r="H126" s="92">
        <f t="shared" ca="1" si="71"/>
        <v>1077.2859114330638</v>
      </c>
      <c r="I126" s="92">
        <f t="shared" ca="1" si="71"/>
        <v>1128.0310580154098</v>
      </c>
      <c r="J126" s="92">
        <f t="shared" ca="1" si="71"/>
        <v>1180.9873929064781</v>
      </c>
      <c r="K126" s="92">
        <f t="shared" ca="1" si="71"/>
        <v>1236.2375761756191</v>
      </c>
      <c r="L126" s="92">
        <f t="shared" ca="1" si="71"/>
        <v>1310.4118307461563</v>
      </c>
      <c r="M126" s="92">
        <f t="shared" ca="1" si="71"/>
        <v>1389.0365405909261</v>
      </c>
      <c r="N126" s="92">
        <f t="shared" ca="1" si="71"/>
        <v>1472.3787330263815</v>
      </c>
      <c r="O126" s="92">
        <f t="shared" ca="1" si="71"/>
        <v>1560.7214570079643</v>
      </c>
    </row>
    <row r="127" spans="3:15" x14ac:dyDescent="0.2">
      <c r="C127" s="3"/>
      <c r="D127" s="43"/>
      <c r="E127" s="43"/>
      <c r="F127" s="43"/>
      <c r="G127" s="43"/>
      <c r="H127" s="43"/>
      <c r="I127" s="43"/>
      <c r="J127" s="43"/>
      <c r="K127" s="43"/>
      <c r="L127" s="43"/>
      <c r="M127" s="43"/>
      <c r="N127" s="43"/>
      <c r="O127" s="43"/>
    </row>
    <row r="128" spans="3:15" x14ac:dyDescent="0.2">
      <c r="C128" s="53" t="s">
        <v>116</v>
      </c>
      <c r="D128" s="43"/>
      <c r="E128" s="43"/>
      <c r="F128" s="43"/>
      <c r="G128" s="43"/>
      <c r="H128" s="43"/>
      <c r="I128" s="43"/>
      <c r="J128" s="43"/>
      <c r="K128" s="43"/>
      <c r="L128" s="43"/>
      <c r="M128" s="43"/>
      <c r="N128" s="43"/>
      <c r="O128" s="43"/>
    </row>
    <row r="129" spans="3:15" x14ac:dyDescent="0.2">
      <c r="C129" s="90" t="s">
        <v>117</v>
      </c>
      <c r="D129" s="60"/>
      <c r="E129" s="60"/>
      <c r="F129" s="60"/>
      <c r="G129" s="91"/>
      <c r="H129" s="91"/>
      <c r="I129" s="91"/>
      <c r="J129" s="91"/>
      <c r="K129" s="91"/>
      <c r="L129" s="91"/>
      <c r="M129" s="91"/>
      <c r="N129" s="91"/>
      <c r="O129" s="91"/>
    </row>
    <row r="130" spans="3:15" x14ac:dyDescent="0.2">
      <c r="C130" s="16" t="s">
        <v>81</v>
      </c>
      <c r="D130" s="50"/>
      <c r="E130" s="50">
        <f>E81</f>
        <v>0</v>
      </c>
      <c r="F130" s="50">
        <f>F81</f>
        <v>0</v>
      </c>
      <c r="G130" s="92">
        <f t="shared" ref="G130:O130" ca="1" si="72">IF(ISNUMBER(G129),G129,F130*G31/F31)</f>
        <v>0</v>
      </c>
      <c r="H130" s="92">
        <f t="shared" ca="1" si="72"/>
        <v>0</v>
      </c>
      <c r="I130" s="92">
        <f t="shared" ca="1" si="72"/>
        <v>0</v>
      </c>
      <c r="J130" s="92">
        <f t="shared" ca="1" si="72"/>
        <v>0</v>
      </c>
      <c r="K130" s="92">
        <f t="shared" ca="1" si="72"/>
        <v>0</v>
      </c>
      <c r="L130" s="92">
        <f t="shared" ca="1" si="72"/>
        <v>0</v>
      </c>
      <c r="M130" s="92">
        <f t="shared" ca="1" si="72"/>
        <v>0</v>
      </c>
      <c r="N130" s="92">
        <f t="shared" ca="1" si="72"/>
        <v>0</v>
      </c>
      <c r="O130" s="92">
        <f t="shared" ca="1" si="72"/>
        <v>0</v>
      </c>
    </row>
    <row r="131" spans="3:15" x14ac:dyDescent="0.2">
      <c r="D131" s="50"/>
      <c r="E131" s="50"/>
      <c r="F131" s="50"/>
      <c r="G131" s="92"/>
      <c r="H131" s="92"/>
      <c r="I131" s="92"/>
      <c r="J131" s="92"/>
      <c r="K131" s="92"/>
      <c r="L131" s="92"/>
      <c r="M131" s="92"/>
      <c r="N131" s="92"/>
      <c r="O131" s="92"/>
    </row>
    <row r="132" spans="3:15" x14ac:dyDescent="0.2">
      <c r="C132" s="53" t="s">
        <v>118</v>
      </c>
      <c r="D132" s="43"/>
      <c r="E132" s="43"/>
      <c r="F132" s="43"/>
      <c r="G132" s="43"/>
      <c r="H132" s="43"/>
      <c r="I132" s="43"/>
      <c r="J132" s="43"/>
      <c r="K132" s="43"/>
      <c r="L132" s="43"/>
      <c r="M132" s="43"/>
      <c r="N132" s="43"/>
      <c r="O132" s="43"/>
    </row>
    <row r="133" spans="3:15" x14ac:dyDescent="0.2">
      <c r="C133" s="90" t="s">
        <v>117</v>
      </c>
      <c r="D133" s="60"/>
      <c r="E133" s="60"/>
      <c r="F133" s="60"/>
      <c r="G133" s="91"/>
      <c r="H133" s="91"/>
      <c r="I133" s="91"/>
      <c r="J133" s="91"/>
      <c r="K133" s="91"/>
      <c r="L133" s="91"/>
      <c r="M133" s="91"/>
      <c r="N133" s="91"/>
      <c r="O133" s="91"/>
    </row>
    <row r="134" spans="3:15" x14ac:dyDescent="0.2">
      <c r="C134" s="21" t="s">
        <v>82</v>
      </c>
      <c r="D134" s="50"/>
      <c r="E134" s="50">
        <f>E82</f>
        <v>251.2</v>
      </c>
      <c r="F134" s="50">
        <f>F82</f>
        <v>279.89999999999998</v>
      </c>
      <c r="G134" s="92">
        <f t="shared" ref="G134:O134" si="73">IF(ISNUMBER(G133),G133,F134)</f>
        <v>279.89999999999998</v>
      </c>
      <c r="H134" s="92">
        <f t="shared" si="73"/>
        <v>279.89999999999998</v>
      </c>
      <c r="I134" s="92">
        <f t="shared" si="73"/>
        <v>279.89999999999998</v>
      </c>
      <c r="J134" s="92">
        <f t="shared" si="73"/>
        <v>279.89999999999998</v>
      </c>
      <c r="K134" s="92">
        <f t="shared" si="73"/>
        <v>279.89999999999998</v>
      </c>
      <c r="L134" s="92">
        <f t="shared" si="73"/>
        <v>279.89999999999998</v>
      </c>
      <c r="M134" s="92">
        <f t="shared" si="73"/>
        <v>279.89999999999998</v>
      </c>
      <c r="N134" s="92">
        <f t="shared" si="73"/>
        <v>279.89999999999998</v>
      </c>
      <c r="O134" s="92">
        <f t="shared" si="73"/>
        <v>279.89999999999998</v>
      </c>
    </row>
    <row r="135" spans="3:15" x14ac:dyDescent="0.2">
      <c r="C135" s="3"/>
      <c r="D135" s="50"/>
      <c r="E135" s="50"/>
      <c r="F135" s="50"/>
      <c r="G135" s="43"/>
      <c r="H135" s="43"/>
      <c r="I135" s="43"/>
      <c r="J135" s="43"/>
      <c r="K135" s="43"/>
      <c r="L135" s="43"/>
      <c r="M135" s="43"/>
      <c r="N135" s="43"/>
      <c r="O135" s="43"/>
    </row>
    <row r="136" spans="3:15" x14ac:dyDescent="0.2">
      <c r="C136" s="53" t="s">
        <v>114</v>
      </c>
      <c r="D136" s="50"/>
      <c r="E136" s="50"/>
      <c r="F136" s="50"/>
      <c r="G136" s="50"/>
      <c r="H136" s="50"/>
      <c r="I136" s="50"/>
      <c r="J136" s="50"/>
      <c r="K136" s="50"/>
      <c r="L136" s="50"/>
      <c r="M136" s="50"/>
      <c r="N136" s="50"/>
      <c r="O136" s="50"/>
    </row>
    <row r="137" spans="3:15" x14ac:dyDescent="0.2">
      <c r="C137" s="53" t="s">
        <v>119</v>
      </c>
      <c r="D137" s="50"/>
      <c r="E137" s="93">
        <f>(E25-D25)*E90/E29</f>
        <v>62.803484101577077</v>
      </c>
      <c r="F137" s="93">
        <f>(F25-E25)*F90/F29</f>
        <v>71.06696754620873</v>
      </c>
      <c r="G137" s="89"/>
      <c r="H137" s="89"/>
      <c r="I137" s="89"/>
      <c r="J137" s="89"/>
      <c r="K137" s="89"/>
      <c r="L137" s="89"/>
      <c r="M137" s="89"/>
      <c r="N137" s="89"/>
      <c r="O137" s="89"/>
    </row>
    <row r="138" spans="3:15" x14ac:dyDescent="0.2">
      <c r="C138" s="90" t="s">
        <v>113</v>
      </c>
      <c r="D138" s="67"/>
      <c r="E138" s="67"/>
      <c r="F138" s="67"/>
      <c r="G138" s="91"/>
      <c r="H138" s="91"/>
      <c r="I138" s="91"/>
      <c r="J138" s="91"/>
      <c r="K138" s="91"/>
      <c r="L138" s="91"/>
      <c r="M138" s="91"/>
      <c r="N138" s="91"/>
      <c r="O138" s="91"/>
    </row>
    <row r="139" spans="3:15" x14ac:dyDescent="0.2">
      <c r="C139" s="21" t="s">
        <v>89</v>
      </c>
      <c r="D139" s="50"/>
      <c r="E139" s="50">
        <f>E90</f>
        <v>876.1</v>
      </c>
      <c r="F139" s="50">
        <f>F90</f>
        <v>1039.7</v>
      </c>
      <c r="G139" s="92">
        <f t="shared" ref="G139:O139" ca="1" si="74">IF(ISNUMBER(G138),G138,IF(ISNUMBER(G137),G137/(G25-F25)*G29,F139*G29/F29))</f>
        <v>1080.9966713832098</v>
      </c>
      <c r="H139" s="92">
        <f t="shared" ca="1" si="74"/>
        <v>1110.7240798462481</v>
      </c>
      <c r="I139" s="92">
        <f t="shared" ca="1" si="74"/>
        <v>1163.0443187411956</v>
      </c>
      <c r="J139" s="92">
        <f t="shared" ca="1" si="74"/>
        <v>1217.6443796160902</v>
      </c>
      <c r="K139" s="92">
        <f t="shared" ca="1" si="74"/>
        <v>1274.6094882485038</v>
      </c>
      <c r="L139" s="92">
        <f t="shared" ca="1" si="74"/>
        <v>1351.086057543414</v>
      </c>
      <c r="M139" s="92">
        <f t="shared" ca="1" si="74"/>
        <v>1432.151220996019</v>
      </c>
      <c r="N139" s="92">
        <f t="shared" ca="1" si="74"/>
        <v>1518.0802942557802</v>
      </c>
      <c r="O139" s="92">
        <f t="shared" ca="1" si="74"/>
        <v>1609.165111911127</v>
      </c>
    </row>
    <row r="140" spans="3:15" x14ac:dyDescent="0.2">
      <c r="C140" s="21"/>
      <c r="D140" s="50"/>
      <c r="E140" s="50"/>
      <c r="F140" s="50"/>
      <c r="G140" s="92"/>
      <c r="H140" s="92"/>
      <c r="I140" s="92"/>
      <c r="J140" s="92"/>
      <c r="K140" s="92"/>
      <c r="L140" s="92"/>
      <c r="M140" s="92"/>
      <c r="N140" s="92"/>
      <c r="O140" s="92"/>
    </row>
    <row r="141" spans="3:15" x14ac:dyDescent="0.2">
      <c r="C141" s="53" t="s">
        <v>116</v>
      </c>
      <c r="D141" s="50"/>
      <c r="E141" s="50"/>
      <c r="F141" s="50"/>
      <c r="G141" s="43"/>
      <c r="H141" s="43"/>
      <c r="I141" s="43"/>
      <c r="J141" s="43"/>
      <c r="K141" s="43"/>
      <c r="L141" s="43"/>
      <c r="M141" s="43"/>
      <c r="N141" s="43"/>
      <c r="O141" s="43"/>
    </row>
    <row r="142" spans="3:15" x14ac:dyDescent="0.2">
      <c r="C142" s="90" t="s">
        <v>117</v>
      </c>
      <c r="D142" s="67"/>
      <c r="E142" s="67"/>
      <c r="F142" s="67"/>
      <c r="G142" s="91"/>
      <c r="H142" s="91"/>
      <c r="I142" s="91"/>
      <c r="J142" s="91"/>
      <c r="K142" s="91"/>
      <c r="L142" s="91"/>
      <c r="M142" s="91"/>
      <c r="N142" s="91"/>
      <c r="O142" s="91"/>
    </row>
    <row r="143" spans="3:15" x14ac:dyDescent="0.2">
      <c r="C143" s="21" t="s">
        <v>90</v>
      </c>
      <c r="D143" s="50"/>
      <c r="E143" s="50">
        <f>E91</f>
        <v>0</v>
      </c>
      <c r="F143" s="50">
        <f>F91</f>
        <v>0</v>
      </c>
      <c r="G143" s="92">
        <f t="shared" ref="G143:O143" ca="1" si="75">IF(ISNUMBER(G142),G142,F143*G31/F31)</f>
        <v>0</v>
      </c>
      <c r="H143" s="92">
        <f t="shared" ca="1" si="75"/>
        <v>0</v>
      </c>
      <c r="I143" s="92">
        <f t="shared" ca="1" si="75"/>
        <v>0</v>
      </c>
      <c r="J143" s="92">
        <f t="shared" ca="1" si="75"/>
        <v>0</v>
      </c>
      <c r="K143" s="92">
        <f t="shared" ca="1" si="75"/>
        <v>0</v>
      </c>
      <c r="L143" s="92">
        <f t="shared" ca="1" si="75"/>
        <v>0</v>
      </c>
      <c r="M143" s="92">
        <f t="shared" ca="1" si="75"/>
        <v>0</v>
      </c>
      <c r="N143" s="92">
        <f t="shared" ca="1" si="75"/>
        <v>0</v>
      </c>
      <c r="O143" s="92">
        <f t="shared" ca="1" si="75"/>
        <v>0</v>
      </c>
    </row>
    <row r="144" spans="3:15" x14ac:dyDescent="0.2">
      <c r="C144" s="21"/>
      <c r="D144" s="50"/>
      <c r="E144" s="50"/>
      <c r="F144" s="50"/>
      <c r="G144" s="92"/>
      <c r="H144" s="92"/>
      <c r="I144" s="92"/>
      <c r="J144" s="92"/>
      <c r="K144" s="92"/>
      <c r="L144" s="92"/>
      <c r="M144" s="92"/>
      <c r="N144" s="92"/>
      <c r="O144" s="92"/>
    </row>
    <row r="145" spans="3:15" x14ac:dyDescent="0.2">
      <c r="C145" s="53" t="s">
        <v>120</v>
      </c>
      <c r="D145" s="50"/>
      <c r="E145" s="50"/>
      <c r="F145" s="50"/>
      <c r="G145" s="43"/>
      <c r="H145" s="43"/>
      <c r="I145" s="43"/>
      <c r="J145" s="43"/>
      <c r="K145" s="43"/>
      <c r="L145" s="43"/>
      <c r="M145" s="43"/>
      <c r="N145" s="43"/>
      <c r="O145" s="43"/>
    </row>
    <row r="146" spans="3:15" x14ac:dyDescent="0.2">
      <c r="C146" s="90" t="s">
        <v>117</v>
      </c>
      <c r="D146" s="67"/>
      <c r="E146" s="67"/>
      <c r="F146" s="67"/>
      <c r="G146" s="91"/>
      <c r="H146" s="91"/>
      <c r="I146" s="91"/>
      <c r="J146" s="91"/>
      <c r="K146" s="91"/>
      <c r="L146" s="91"/>
      <c r="M146" s="91"/>
      <c r="N146" s="91"/>
      <c r="O146" s="91"/>
    </row>
    <row r="147" spans="3:15" x14ac:dyDescent="0.2">
      <c r="C147" s="21" t="s">
        <v>91</v>
      </c>
      <c r="D147" s="50"/>
      <c r="E147" s="50">
        <f>E92</f>
        <v>215.5</v>
      </c>
      <c r="F147" s="50">
        <f>F92</f>
        <v>161.5</v>
      </c>
      <c r="G147" s="92">
        <f t="shared" ref="G147:O147" ca="1" si="76">IF(ISNUMBER(G146),G146,F147*G38/F38)</f>
        <v>179.16099021450432</v>
      </c>
      <c r="H147" s="92">
        <f t="shared" ca="1" si="76"/>
        <v>196.58835944544708</v>
      </c>
      <c r="I147" s="92">
        <f t="shared" ca="1" si="76"/>
        <v>214.51493496975237</v>
      </c>
      <c r="J147" s="92">
        <f t="shared" ca="1" si="76"/>
        <v>234.04905582452841</v>
      </c>
      <c r="K147" s="92">
        <f t="shared" ca="1" si="76"/>
        <v>255.36841050632231</v>
      </c>
      <c r="L147" s="92">
        <f t="shared" ca="1" si="76"/>
        <v>272.24504637542185</v>
      </c>
      <c r="M147" s="92">
        <f t="shared" ca="1" si="76"/>
        <v>289.44761784273254</v>
      </c>
      <c r="N147" s="92">
        <f t="shared" ca="1" si="76"/>
        <v>307.1773240712306</v>
      </c>
      <c r="O147" s="92">
        <f t="shared" ca="1" si="76"/>
        <v>325.97081267343862</v>
      </c>
    </row>
    <row r="148" spans="3:15" x14ac:dyDescent="0.2">
      <c r="C148" s="21"/>
      <c r="D148" s="50"/>
      <c r="E148" s="50"/>
      <c r="F148" s="50"/>
      <c r="G148" s="92"/>
      <c r="H148" s="92"/>
      <c r="I148" s="92"/>
      <c r="J148" s="92"/>
      <c r="K148" s="92"/>
      <c r="L148" s="92"/>
      <c r="M148" s="92"/>
      <c r="N148" s="92"/>
      <c r="O148" s="92"/>
    </row>
    <row r="149" spans="3:15" x14ac:dyDescent="0.2">
      <c r="C149" s="53" t="s">
        <v>118</v>
      </c>
      <c r="D149" s="50"/>
      <c r="E149" s="50"/>
      <c r="F149" s="50"/>
      <c r="G149" s="43"/>
      <c r="H149" s="43"/>
      <c r="I149" s="43"/>
      <c r="J149" s="43"/>
      <c r="K149" s="43"/>
      <c r="L149" s="43"/>
      <c r="M149" s="43"/>
      <c r="N149" s="43"/>
      <c r="O149" s="43"/>
    </row>
    <row r="150" spans="3:15" x14ac:dyDescent="0.2">
      <c r="C150" s="90" t="s">
        <v>117</v>
      </c>
      <c r="D150" s="67"/>
      <c r="E150" s="67"/>
      <c r="F150" s="67"/>
      <c r="G150" s="91"/>
      <c r="H150" s="91"/>
      <c r="I150" s="91"/>
      <c r="J150" s="91"/>
      <c r="K150" s="91"/>
      <c r="L150" s="91"/>
      <c r="M150" s="91"/>
      <c r="N150" s="91"/>
      <c r="O150" s="91"/>
    </row>
    <row r="151" spans="3:15" x14ac:dyDescent="0.2">
      <c r="C151" s="21" t="s">
        <v>92</v>
      </c>
      <c r="D151" s="50"/>
      <c r="E151" s="50">
        <f>E93</f>
        <v>1123.2</v>
      </c>
      <c r="F151" s="50">
        <f>F93</f>
        <v>1317.1</v>
      </c>
      <c r="G151" s="92">
        <f t="shared" ref="G151:O151" si="77">IF(ISNUMBER(G150),G150,F151)</f>
        <v>1317.1</v>
      </c>
      <c r="H151" s="92">
        <f t="shared" si="77"/>
        <v>1317.1</v>
      </c>
      <c r="I151" s="92">
        <f t="shared" si="77"/>
        <v>1317.1</v>
      </c>
      <c r="J151" s="92">
        <f t="shared" si="77"/>
        <v>1317.1</v>
      </c>
      <c r="K151" s="92">
        <f t="shared" si="77"/>
        <v>1317.1</v>
      </c>
      <c r="L151" s="92">
        <f t="shared" si="77"/>
        <v>1317.1</v>
      </c>
      <c r="M151" s="92">
        <f t="shared" si="77"/>
        <v>1317.1</v>
      </c>
      <c r="N151" s="92">
        <f t="shared" si="77"/>
        <v>1317.1</v>
      </c>
      <c r="O151" s="92">
        <f t="shared" si="77"/>
        <v>1317.1</v>
      </c>
    </row>
    <row r="153" spans="3:15" x14ac:dyDescent="0.2">
      <c r="C153" s="94" t="s">
        <v>121</v>
      </c>
      <c r="D153" s="95"/>
      <c r="E153" s="95"/>
      <c r="F153" s="95"/>
      <c r="G153" s="95"/>
      <c r="H153" s="95"/>
      <c r="I153" s="95"/>
      <c r="J153" s="95"/>
      <c r="K153" s="95"/>
      <c r="L153" s="95"/>
      <c r="M153" s="95"/>
      <c r="N153" s="95"/>
      <c r="O153" s="95"/>
    </row>
    <row r="154" spans="3:15" x14ac:dyDescent="0.2">
      <c r="C154" s="96" t="s">
        <v>122</v>
      </c>
      <c r="D154" s="96"/>
      <c r="E154" s="96"/>
      <c r="F154" s="96"/>
      <c r="G154" s="12"/>
      <c r="H154" s="12"/>
      <c r="I154" s="12"/>
      <c r="J154" s="12"/>
      <c r="K154" s="12"/>
      <c r="L154" s="12"/>
      <c r="M154" s="12"/>
      <c r="N154" s="12"/>
      <c r="O154" s="12"/>
    </row>
    <row r="155" spans="3:15" x14ac:dyDescent="0.2">
      <c r="C155" s="95" t="s">
        <v>123</v>
      </c>
      <c r="D155" s="97"/>
      <c r="E155" s="98">
        <v>-15.6</v>
      </c>
      <c r="F155" s="98">
        <v>-16.3</v>
      </c>
      <c r="G155" s="98">
        <v>-17</v>
      </c>
      <c r="H155" s="98">
        <v>-17</v>
      </c>
      <c r="I155" s="98">
        <v>-17</v>
      </c>
      <c r="J155" s="98">
        <v>-17</v>
      </c>
      <c r="K155" s="98">
        <v>-17</v>
      </c>
      <c r="L155" s="98">
        <v>-17</v>
      </c>
      <c r="M155" s="98">
        <v>-17</v>
      </c>
      <c r="N155" s="98">
        <v>-17</v>
      </c>
      <c r="O155" s="98">
        <v>-17</v>
      </c>
    </row>
    <row r="156" spans="3:15" x14ac:dyDescent="0.2">
      <c r="C156" t="s">
        <v>86</v>
      </c>
      <c r="D156" s="99"/>
      <c r="E156" s="100">
        <f>E86</f>
        <v>783.2</v>
      </c>
      <c r="F156" s="100">
        <f>F86</f>
        <v>831.1</v>
      </c>
      <c r="G156" s="100">
        <f t="shared" ref="G156:O156" si="78">F156+G154+G155</f>
        <v>814.1</v>
      </c>
      <c r="H156" s="100">
        <f t="shared" si="78"/>
        <v>797.1</v>
      </c>
      <c r="I156" s="100">
        <f t="shared" si="78"/>
        <v>780.1</v>
      </c>
      <c r="J156" s="100">
        <f t="shared" si="78"/>
        <v>763.1</v>
      </c>
      <c r="K156" s="100">
        <f t="shared" si="78"/>
        <v>746.1</v>
      </c>
      <c r="L156" s="100">
        <f t="shared" si="78"/>
        <v>729.1</v>
      </c>
      <c r="M156" s="100">
        <f t="shared" si="78"/>
        <v>712.1</v>
      </c>
      <c r="N156" s="100">
        <f t="shared" si="78"/>
        <v>695.1</v>
      </c>
      <c r="O156" s="100">
        <f t="shared" si="78"/>
        <v>678.1</v>
      </c>
    </row>
    <row r="158" spans="3:15" x14ac:dyDescent="0.2">
      <c r="C158" s="94" t="s">
        <v>84</v>
      </c>
      <c r="D158" s="95"/>
      <c r="E158" s="95"/>
      <c r="F158" s="95"/>
      <c r="G158" s="95"/>
      <c r="H158" s="95"/>
      <c r="I158" s="95"/>
      <c r="J158" s="95"/>
      <c r="K158" s="95"/>
      <c r="L158" s="95"/>
      <c r="M158" s="95"/>
      <c r="N158" s="95"/>
      <c r="O158" s="95"/>
    </row>
    <row r="159" spans="3:15" x14ac:dyDescent="0.2">
      <c r="C159" s="101" t="s">
        <v>124</v>
      </c>
      <c r="D159" s="99"/>
      <c r="E159" s="47">
        <v>389.2</v>
      </c>
      <c r="F159" s="47">
        <v>476.4</v>
      </c>
      <c r="G159" s="99">
        <f t="shared" ref="G159:O159" ca="1" si="79">G27*OFFSET(G302,$S$6,0)</f>
        <v>654.71695000000011</v>
      </c>
      <c r="H159" s="99">
        <f t="shared" ca="1" si="79"/>
        <v>693.9999670000002</v>
      </c>
      <c r="I159" s="99">
        <f t="shared" ca="1" si="79"/>
        <v>735.6399650200002</v>
      </c>
      <c r="J159" s="99">
        <f t="shared" ca="1" si="79"/>
        <v>779.77836292120026</v>
      </c>
      <c r="K159" s="99">
        <f t="shared" ca="1" si="79"/>
        <v>826.56506469647229</v>
      </c>
      <c r="L159" s="99">
        <f t="shared" ca="1" si="79"/>
        <v>876.15896857826067</v>
      </c>
      <c r="M159" s="99">
        <f t="shared" ca="1" si="79"/>
        <v>928.72850669295644</v>
      </c>
      <c r="N159" s="99">
        <f t="shared" ca="1" si="79"/>
        <v>984.45221709453381</v>
      </c>
      <c r="O159" s="99">
        <f t="shared" ca="1" si="79"/>
        <v>1043.5193501202059</v>
      </c>
    </row>
    <row r="160" spans="3:15" x14ac:dyDescent="0.2">
      <c r="C160" s="101" t="s">
        <v>125</v>
      </c>
      <c r="D160" s="99"/>
      <c r="E160" s="47"/>
      <c r="F160" s="47"/>
      <c r="G160" s="99">
        <f t="shared" ref="G160:O160" si="80">F160</f>
        <v>0</v>
      </c>
      <c r="H160" s="99">
        <f t="shared" si="80"/>
        <v>0</v>
      </c>
      <c r="I160" s="99">
        <f t="shared" si="80"/>
        <v>0</v>
      </c>
      <c r="J160" s="99">
        <f t="shared" si="80"/>
        <v>0</v>
      </c>
      <c r="K160" s="99">
        <f t="shared" si="80"/>
        <v>0</v>
      </c>
      <c r="L160" s="99">
        <f t="shared" si="80"/>
        <v>0</v>
      </c>
      <c r="M160" s="99">
        <f t="shared" si="80"/>
        <v>0</v>
      </c>
      <c r="N160" s="99">
        <f t="shared" si="80"/>
        <v>0</v>
      </c>
      <c r="O160" s="99">
        <f t="shared" si="80"/>
        <v>0</v>
      </c>
    </row>
    <row r="161" spans="2:15" x14ac:dyDescent="0.2">
      <c r="C161" t="s">
        <v>126</v>
      </c>
      <c r="D161" s="97"/>
      <c r="E161" s="97">
        <f t="shared" ref="E161:O161" si="81">-(E46+E155)</f>
        <v>-313.7</v>
      </c>
      <c r="F161" s="97">
        <f t="shared" si="81"/>
        <v>-312.39999999999998</v>
      </c>
      <c r="G161" s="97">
        <f t="shared" ca="1" si="81"/>
        <v>-334.709</v>
      </c>
      <c r="H161" s="97">
        <f t="shared" ca="1" si="81"/>
        <v>-355.81154000000004</v>
      </c>
      <c r="I161" s="97">
        <f t="shared" ca="1" si="81"/>
        <v>-378.18023240000008</v>
      </c>
      <c r="J161" s="97">
        <f t="shared" ca="1" si="81"/>
        <v>-401.89104634400013</v>
      </c>
      <c r="K161" s="97">
        <f t="shared" ca="1" si="81"/>
        <v>-427.02450912464013</v>
      </c>
      <c r="L161" s="97">
        <f t="shared" ca="1" si="81"/>
        <v>-453.66597967211857</v>
      </c>
      <c r="M161" s="97">
        <f t="shared" ca="1" si="81"/>
        <v>-481.9059384524457</v>
      </c>
      <c r="N161" s="97">
        <f t="shared" ca="1" si="81"/>
        <v>-511.84029475959244</v>
      </c>
      <c r="O161" s="97">
        <f t="shared" ca="1" si="81"/>
        <v>-543.57071244516806</v>
      </c>
    </row>
    <row r="162" spans="2:15" x14ac:dyDescent="0.2">
      <c r="C162" t="s">
        <v>84</v>
      </c>
      <c r="D162" s="99"/>
      <c r="E162" s="99">
        <f>E84</f>
        <v>2544.1</v>
      </c>
      <c r="F162" s="99">
        <f>F84</f>
        <v>2696.1</v>
      </c>
      <c r="G162" s="99">
        <f t="shared" ref="G162:O162" ca="1" si="82">F162+SUM(G159:G161)</f>
        <v>3016.1079500000001</v>
      </c>
      <c r="H162" s="99">
        <f t="shared" ca="1" si="82"/>
        <v>3354.2963770000001</v>
      </c>
      <c r="I162" s="99">
        <f t="shared" ca="1" si="82"/>
        <v>3711.7561096200002</v>
      </c>
      <c r="J162" s="99">
        <f t="shared" ca="1" si="82"/>
        <v>4089.6434261972004</v>
      </c>
      <c r="K162" s="99">
        <f t="shared" ca="1" si="82"/>
        <v>4489.1839817690325</v>
      </c>
      <c r="L162" s="99">
        <f t="shared" ca="1" si="82"/>
        <v>4911.6769706751747</v>
      </c>
      <c r="M162" s="99">
        <f t="shared" ca="1" si="82"/>
        <v>5358.4995389156857</v>
      </c>
      <c r="N162" s="99">
        <f t="shared" ca="1" si="82"/>
        <v>5831.1114612506271</v>
      </c>
      <c r="O162" s="99">
        <f t="shared" ca="1" si="82"/>
        <v>6331.0600989256654</v>
      </c>
    </row>
    <row r="164" spans="2:15" customFormat="1" x14ac:dyDescent="0.2">
      <c r="B164" s="24"/>
      <c r="C164" s="94" t="s">
        <v>127</v>
      </c>
      <c r="D164" s="97"/>
      <c r="E164" s="97"/>
      <c r="F164" s="97"/>
      <c r="G164" s="97"/>
      <c r="H164" s="97"/>
      <c r="I164" s="97"/>
      <c r="J164" s="97"/>
      <c r="K164" s="97"/>
      <c r="L164" s="97"/>
      <c r="M164" s="97"/>
      <c r="N164" s="97"/>
      <c r="O164" s="97"/>
    </row>
    <row r="165" spans="2:15" customFormat="1" x14ac:dyDescent="0.2">
      <c r="B165" s="3"/>
      <c r="C165" t="s">
        <v>128</v>
      </c>
      <c r="D165" s="99"/>
      <c r="E165" s="47">
        <v>-796.2</v>
      </c>
      <c r="F165" s="47">
        <v>-884.7</v>
      </c>
      <c r="G165" s="47">
        <v>-850</v>
      </c>
      <c r="H165" s="47">
        <v>-850</v>
      </c>
      <c r="I165" s="47">
        <v>-850</v>
      </c>
      <c r="J165" s="47">
        <v>-850</v>
      </c>
      <c r="K165" s="47">
        <v>-850</v>
      </c>
      <c r="L165" s="47">
        <v>-850</v>
      </c>
      <c r="M165" s="47">
        <v>-850</v>
      </c>
      <c r="N165" s="47">
        <v>-850</v>
      </c>
      <c r="O165" s="47">
        <v>-850</v>
      </c>
    </row>
    <row r="166" spans="2:15" customFormat="1" x14ac:dyDescent="0.2">
      <c r="B166" s="3"/>
      <c r="C166" s="101" t="s">
        <v>129</v>
      </c>
      <c r="D166" s="99"/>
      <c r="E166" s="47">
        <v>61.2</v>
      </c>
      <c r="F166" s="47">
        <v>227.7</v>
      </c>
      <c r="G166" s="47">
        <v>227.7</v>
      </c>
      <c r="H166" s="47">
        <v>227.7</v>
      </c>
      <c r="I166" s="47">
        <v>227.7</v>
      </c>
      <c r="J166" s="47">
        <v>227.7</v>
      </c>
      <c r="K166" s="47">
        <v>227.7</v>
      </c>
      <c r="L166" s="47">
        <v>227.7</v>
      </c>
      <c r="M166" s="47">
        <v>227.7</v>
      </c>
      <c r="N166" s="47">
        <v>227.7</v>
      </c>
      <c r="O166" s="47">
        <v>227.7</v>
      </c>
    </row>
    <row r="167" spans="2:15" customFormat="1" x14ac:dyDescent="0.2">
      <c r="B167" s="3"/>
      <c r="C167" t="s">
        <v>130</v>
      </c>
      <c r="D167" s="99"/>
      <c r="E167" s="99"/>
      <c r="F167" s="102">
        <v>58.73</v>
      </c>
      <c r="G167" s="1">
        <f t="shared" ref="G167:O167" si="83">F167*(1+G168)</f>
        <v>65.995567010309273</v>
      </c>
      <c r="H167" s="1">
        <f t="shared" si="83"/>
        <v>73.059312714776638</v>
      </c>
      <c r="I167" s="1">
        <f t="shared" si="83"/>
        <v>80.365243986254313</v>
      </c>
      <c r="J167" s="1">
        <f t="shared" si="83"/>
        <v>88.401768384879759</v>
      </c>
      <c r="K167" s="1">
        <f t="shared" si="83"/>
        <v>97.241945223367736</v>
      </c>
      <c r="L167" s="1">
        <f t="shared" si="83"/>
        <v>106.96613974570452</v>
      </c>
      <c r="M167" s="1">
        <f t="shared" si="83"/>
        <v>117.66275372027499</v>
      </c>
      <c r="N167" s="1">
        <f t="shared" si="83"/>
        <v>129.4290290923025</v>
      </c>
      <c r="O167" s="1">
        <f t="shared" si="83"/>
        <v>142.37193200153277</v>
      </c>
    </row>
    <row r="168" spans="2:15" customFormat="1" x14ac:dyDescent="0.2">
      <c r="B168" s="3"/>
      <c r="C168" s="101" t="s">
        <v>131</v>
      </c>
      <c r="D168" s="99"/>
      <c r="E168" s="99"/>
      <c r="F168" s="103"/>
      <c r="G168" s="103">
        <f>D14/D13-1</f>
        <v>0.12371134020618557</v>
      </c>
      <c r="H168" s="103">
        <f>D15/D14-1</f>
        <v>0.10703363914373099</v>
      </c>
      <c r="I168" s="103">
        <f t="shared" ref="I168:O168" si="84">$D$16</f>
        <v>0.1</v>
      </c>
      <c r="J168" s="103">
        <f t="shared" si="84"/>
        <v>0.1</v>
      </c>
      <c r="K168" s="103">
        <f t="shared" si="84"/>
        <v>0.1</v>
      </c>
      <c r="L168" s="103">
        <f t="shared" si="84"/>
        <v>0.1</v>
      </c>
      <c r="M168" s="103">
        <f t="shared" si="84"/>
        <v>0.1</v>
      </c>
      <c r="N168" s="103">
        <f t="shared" si="84"/>
        <v>0.1</v>
      </c>
      <c r="O168" s="103">
        <f t="shared" si="84"/>
        <v>0.1</v>
      </c>
    </row>
    <row r="169" spans="2:15" customFormat="1" x14ac:dyDescent="0.2">
      <c r="B169" s="3"/>
      <c r="C169" t="s">
        <v>132</v>
      </c>
      <c r="D169" s="100"/>
      <c r="E169" s="100"/>
      <c r="F169" s="100"/>
      <c r="G169" s="100">
        <f t="shared" ref="G169:O169" si="85">G165/G167</f>
        <v>-12.879652960133219</v>
      </c>
      <c r="H169" s="100">
        <f t="shared" si="85"/>
        <v>-11.634382646308181</v>
      </c>
      <c r="I169" s="100">
        <f t="shared" si="85"/>
        <v>-10.576711496643799</v>
      </c>
      <c r="J169" s="100">
        <f t="shared" si="85"/>
        <v>-9.6151922696761805</v>
      </c>
      <c r="K169" s="100">
        <f t="shared" si="85"/>
        <v>-8.7410838815237994</v>
      </c>
      <c r="L169" s="100">
        <f t="shared" si="85"/>
        <v>-7.9464398922943627</v>
      </c>
      <c r="M169" s="100">
        <f t="shared" si="85"/>
        <v>-7.2240362657221473</v>
      </c>
      <c r="N169" s="100">
        <f t="shared" si="85"/>
        <v>-6.5673056961110419</v>
      </c>
      <c r="O169" s="100">
        <f t="shared" si="85"/>
        <v>-5.9702779055554922</v>
      </c>
    </row>
    <row r="170" spans="2:15" customFormat="1" x14ac:dyDescent="0.2">
      <c r="B170" s="3"/>
      <c r="C170" s="101" t="s">
        <v>133</v>
      </c>
      <c r="D170" s="3"/>
      <c r="E170" s="100"/>
      <c r="F170" s="100"/>
      <c r="G170" s="100">
        <f t="shared" ref="G170:O170" si="86">G166/G167</f>
        <v>3.450231740026275</v>
      </c>
      <c r="H170" s="100">
        <f t="shared" si="86"/>
        <v>3.1166457983110267</v>
      </c>
      <c r="I170" s="100">
        <f t="shared" si="86"/>
        <v>2.8333143621009329</v>
      </c>
      <c r="J170" s="100">
        <f t="shared" si="86"/>
        <v>2.5757403291826662</v>
      </c>
      <c r="K170" s="100">
        <f t="shared" si="86"/>
        <v>2.3415821174387874</v>
      </c>
      <c r="L170" s="100">
        <f t="shared" si="86"/>
        <v>2.1287110158534426</v>
      </c>
      <c r="M170" s="100">
        <f t="shared" si="86"/>
        <v>1.9351918325940385</v>
      </c>
      <c r="N170" s="100">
        <f t="shared" si="86"/>
        <v>1.7592653023582168</v>
      </c>
      <c r="O170" s="100">
        <f t="shared" si="86"/>
        <v>1.599332093052924</v>
      </c>
    </row>
    <row r="171" spans="2:15" x14ac:dyDescent="0.2">
      <c r="C171" s="16" t="s">
        <v>134</v>
      </c>
      <c r="E171" s="60"/>
      <c r="F171" s="98">
        <v>513.41379500000005</v>
      </c>
      <c r="G171" s="104">
        <f t="shared" ref="G171:O171" si="87">F171+G169+G170</f>
        <v>503.98437377989308</v>
      </c>
      <c r="H171" s="104">
        <f t="shared" si="87"/>
        <v>495.46663693189595</v>
      </c>
      <c r="I171" s="104">
        <f t="shared" si="87"/>
        <v>487.72323979735307</v>
      </c>
      <c r="J171" s="104">
        <f t="shared" si="87"/>
        <v>480.68378785685957</v>
      </c>
      <c r="K171" s="104">
        <f t="shared" si="87"/>
        <v>474.28428609277455</v>
      </c>
      <c r="L171" s="104">
        <f t="shared" si="87"/>
        <v>468.46655721633368</v>
      </c>
      <c r="M171" s="104">
        <f t="shared" si="87"/>
        <v>463.17771278320561</v>
      </c>
      <c r="N171" s="104">
        <f t="shared" si="87"/>
        <v>458.36967238945283</v>
      </c>
      <c r="O171" s="104">
        <f t="shared" si="87"/>
        <v>453.99872657695022</v>
      </c>
    </row>
    <row r="172" spans="2:15" customFormat="1" x14ac:dyDescent="0.2">
      <c r="B172" s="3"/>
      <c r="C172" s="101" t="s">
        <v>135</v>
      </c>
      <c r="D172" s="3"/>
      <c r="E172" s="99">
        <f>E52</f>
        <v>520.5</v>
      </c>
      <c r="F172" s="99">
        <f>F52</f>
        <v>515.20000000000005</v>
      </c>
      <c r="G172" s="99">
        <f t="shared" ref="G172:O172" si="88">AVERAGE(F171:G171)</f>
        <v>508.69908438994656</v>
      </c>
      <c r="H172" s="99">
        <f t="shared" si="88"/>
        <v>499.72550535589448</v>
      </c>
      <c r="I172" s="99">
        <f t="shared" si="88"/>
        <v>491.59493836462451</v>
      </c>
      <c r="J172" s="99">
        <f t="shared" si="88"/>
        <v>484.20351382710635</v>
      </c>
      <c r="K172" s="99">
        <f t="shared" si="88"/>
        <v>477.48403697481706</v>
      </c>
      <c r="L172" s="99">
        <f t="shared" si="88"/>
        <v>471.37542165455409</v>
      </c>
      <c r="M172" s="99">
        <f t="shared" si="88"/>
        <v>465.82213499976967</v>
      </c>
      <c r="N172" s="99">
        <f t="shared" si="88"/>
        <v>460.77369258632922</v>
      </c>
      <c r="O172" s="99">
        <f t="shared" si="88"/>
        <v>456.1841994832015</v>
      </c>
    </row>
    <row r="173" spans="2:15" x14ac:dyDescent="0.2">
      <c r="F173" s="48"/>
      <c r="G173" s="48"/>
      <c r="H173" s="48"/>
      <c r="I173" s="48"/>
      <c r="J173" s="48"/>
      <c r="K173" s="48"/>
      <c r="L173" s="48"/>
      <c r="M173" s="48"/>
      <c r="N173" s="48"/>
      <c r="O173" s="48"/>
    </row>
    <row r="174" spans="2:15" x14ac:dyDescent="0.2">
      <c r="C174" s="105" t="s">
        <v>136</v>
      </c>
      <c r="D174" s="97"/>
      <c r="E174" s="97"/>
      <c r="F174" s="97"/>
      <c r="G174" s="97"/>
      <c r="H174" s="97"/>
      <c r="I174" s="97"/>
      <c r="J174" s="97"/>
      <c r="K174" s="97"/>
      <c r="L174" s="97"/>
      <c r="M174" s="97"/>
      <c r="N174" s="97"/>
      <c r="O174" s="97"/>
    </row>
    <row r="176" spans="2:15" x14ac:dyDescent="0.2">
      <c r="C176" s="16" t="s">
        <v>137</v>
      </c>
      <c r="D176" s="48"/>
      <c r="E176" s="48"/>
      <c r="F176" s="48"/>
      <c r="G176" s="48">
        <f t="shared" ref="G176:O176" ca="1" si="89">G39</f>
        <v>2.4822719999999996</v>
      </c>
      <c r="H176" s="48">
        <f t="shared" ca="1" si="89"/>
        <v>2.6684423999999995</v>
      </c>
      <c r="I176" s="48">
        <f t="shared" ca="1" si="89"/>
        <v>2.8552333679999995</v>
      </c>
      <c r="J176" s="48">
        <f t="shared" ca="1" si="89"/>
        <v>3.0408235369199992</v>
      </c>
      <c r="K176" s="48">
        <f t="shared" ca="1" si="89"/>
        <v>3.2232729491351995</v>
      </c>
      <c r="L176" s="48">
        <f t="shared" ca="1" si="89"/>
        <v>3.4166693260833116</v>
      </c>
      <c r="M176" s="48">
        <f t="shared" ca="1" si="89"/>
        <v>3.6216694856483107</v>
      </c>
      <c r="N176" s="48">
        <f t="shared" ca="1" si="89"/>
        <v>3.8389696547872094</v>
      </c>
      <c r="O176" s="48">
        <f t="shared" ca="1" si="89"/>
        <v>4.0693078340744426</v>
      </c>
    </row>
    <row r="177" spans="1:256" x14ac:dyDescent="0.2">
      <c r="C177" s="16" t="s">
        <v>138</v>
      </c>
      <c r="D177" s="48"/>
      <c r="E177" s="104"/>
      <c r="F177" s="104"/>
      <c r="G177" s="98"/>
      <c r="H177" s="98"/>
      <c r="I177" s="98"/>
      <c r="J177" s="98"/>
      <c r="K177" s="98"/>
      <c r="L177" s="98"/>
      <c r="M177" s="98"/>
      <c r="N177" s="98"/>
      <c r="O177" s="98"/>
    </row>
    <row r="178" spans="1:256" x14ac:dyDescent="0.2">
      <c r="C178" s="16" t="s">
        <v>139</v>
      </c>
      <c r="D178" s="48"/>
      <c r="E178" s="48">
        <f>E83</f>
        <v>0</v>
      </c>
      <c r="F178" s="48">
        <f>F83</f>
        <v>0</v>
      </c>
      <c r="G178" s="48">
        <f t="shared" ref="G178:O178" ca="1" si="90">F178+SUM(G176:G177)</f>
        <v>2.4822719999999996</v>
      </c>
      <c r="H178" s="48">
        <f t="shared" ca="1" si="90"/>
        <v>5.1507143999999991</v>
      </c>
      <c r="I178" s="48">
        <f t="shared" ca="1" si="90"/>
        <v>8.0059477679999986</v>
      </c>
      <c r="J178" s="48">
        <f t="shared" ca="1" si="90"/>
        <v>11.046771304919998</v>
      </c>
      <c r="K178" s="48">
        <f t="shared" ca="1" si="90"/>
        <v>14.270044254055197</v>
      </c>
      <c r="L178" s="48">
        <f t="shared" ca="1" si="90"/>
        <v>17.686713580138509</v>
      </c>
      <c r="M178" s="48">
        <f t="shared" ca="1" si="90"/>
        <v>21.308383065786821</v>
      </c>
      <c r="N178" s="48">
        <f t="shared" ca="1" si="90"/>
        <v>25.14735272057403</v>
      </c>
      <c r="O178" s="48">
        <f t="shared" ca="1" si="90"/>
        <v>29.216660554648474</v>
      </c>
    </row>
    <row r="179" spans="1:256" x14ac:dyDescent="0.2">
      <c r="C179" s="99"/>
      <c r="G179" s="99"/>
      <c r="H179" s="99"/>
      <c r="I179" s="99"/>
      <c r="J179" s="99"/>
      <c r="K179" s="99"/>
      <c r="L179" s="99"/>
      <c r="M179" s="99"/>
      <c r="N179" s="99"/>
      <c r="O179" s="99"/>
    </row>
    <row r="180" spans="1:256" x14ac:dyDescent="0.2">
      <c r="C180" s="105" t="s">
        <v>140</v>
      </c>
      <c r="D180" s="97"/>
      <c r="E180" s="97"/>
      <c r="F180" s="97"/>
      <c r="G180" s="97"/>
      <c r="H180" s="97"/>
      <c r="I180" s="97"/>
      <c r="J180" s="97"/>
      <c r="K180" s="97"/>
      <c r="L180" s="97"/>
      <c r="M180" s="97"/>
      <c r="N180" s="97"/>
      <c r="O180" s="97"/>
    </row>
    <row r="182" spans="1:256" x14ac:dyDescent="0.2">
      <c r="C182" s="16" t="s">
        <v>141</v>
      </c>
      <c r="D182" s="48"/>
      <c r="E182" s="48"/>
      <c r="F182" s="48"/>
      <c r="G182" s="48">
        <f t="shared" ref="G182:O182" ca="1" si="91">-G40</f>
        <v>41.979599999999998</v>
      </c>
      <c r="H182" s="48">
        <f t="shared" ca="1" si="91"/>
        <v>45.128069999999994</v>
      </c>
      <c r="I182" s="48">
        <f t="shared" ca="1" si="91"/>
        <v>48.287034899999995</v>
      </c>
      <c r="J182" s="48">
        <f t="shared" ca="1" si="91"/>
        <v>51.425692168499992</v>
      </c>
      <c r="K182" s="48">
        <f t="shared" ca="1" si="91"/>
        <v>54.511233698609992</v>
      </c>
      <c r="L182" s="48">
        <f t="shared" ca="1" si="91"/>
        <v>57.781907720526597</v>
      </c>
      <c r="M182" s="48">
        <f t="shared" ca="1" si="91"/>
        <v>61.248822183758193</v>
      </c>
      <c r="N182" s="48">
        <f t="shared" ca="1" si="91"/>
        <v>64.923751514783689</v>
      </c>
      <c r="O182" s="48">
        <f t="shared" ca="1" si="91"/>
        <v>68.819176605670719</v>
      </c>
    </row>
    <row r="183" spans="1:256" x14ac:dyDescent="0.2">
      <c r="C183" s="16" t="s">
        <v>138</v>
      </c>
      <c r="D183" s="48"/>
      <c r="E183" s="104"/>
      <c r="F183" s="104"/>
      <c r="G183" s="98"/>
      <c r="H183" s="98"/>
      <c r="I183" s="98"/>
      <c r="J183" s="98"/>
      <c r="K183" s="98"/>
      <c r="L183" s="98"/>
      <c r="M183" s="98"/>
      <c r="N183" s="98"/>
      <c r="O183" s="98"/>
    </row>
    <row r="184" spans="1:256" x14ac:dyDescent="0.2">
      <c r="C184" s="16" t="s">
        <v>142</v>
      </c>
      <c r="D184" s="48"/>
      <c r="E184" s="48">
        <f>E102</f>
        <v>103.3</v>
      </c>
      <c r="F184" s="48">
        <f>F102</f>
        <v>111.8</v>
      </c>
      <c r="G184" s="48">
        <f t="shared" ref="G184:O184" ca="1" si="92">F184+SUM(G182:G183)</f>
        <v>153.77959999999999</v>
      </c>
      <c r="H184" s="48">
        <f t="shared" ca="1" si="92"/>
        <v>198.90767</v>
      </c>
      <c r="I184" s="48">
        <f t="shared" ca="1" si="92"/>
        <v>247.19470489999998</v>
      </c>
      <c r="J184" s="48">
        <f t="shared" ca="1" si="92"/>
        <v>298.62039706849998</v>
      </c>
      <c r="K184" s="48">
        <f t="shared" ca="1" si="92"/>
        <v>353.13163076710998</v>
      </c>
      <c r="L184" s="48">
        <f t="shared" ca="1" si="92"/>
        <v>410.91353848763657</v>
      </c>
      <c r="M184" s="48">
        <f t="shared" ca="1" si="92"/>
        <v>472.16236067139477</v>
      </c>
      <c r="N184" s="48">
        <f t="shared" ca="1" si="92"/>
        <v>537.08611218617841</v>
      </c>
      <c r="O184" s="48">
        <f t="shared" ca="1" si="92"/>
        <v>605.9052887918491</v>
      </c>
    </row>
    <row r="186" spans="1:256" s="30" customFormat="1" ht="13.5" thickBot="1" x14ac:dyDescent="0.25">
      <c r="A186" s="3"/>
      <c r="B186" s="3"/>
      <c r="C186" s="37" t="s">
        <v>143</v>
      </c>
      <c r="D186" s="106"/>
      <c r="E186" s="106"/>
      <c r="F186" s="106"/>
      <c r="G186" s="107"/>
      <c r="H186" s="107"/>
      <c r="I186" s="107"/>
      <c r="J186" s="107"/>
      <c r="K186" s="107"/>
      <c r="L186" s="107"/>
      <c r="M186" s="107"/>
      <c r="N186" s="107"/>
      <c r="O186" s="107"/>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row>
    <row r="187" spans="1:256" s="30" customFormat="1" x14ac:dyDescent="0.2">
      <c r="A187" s="3"/>
      <c r="B187" s="3"/>
      <c r="C187" s="108"/>
      <c r="D187" s="109"/>
      <c r="E187" s="84"/>
      <c r="F187" s="84"/>
      <c r="G187" s="110">
        <f t="shared" ref="G187:O187" si="93">G76</f>
        <v>39447</v>
      </c>
      <c r="H187" s="110">
        <f t="shared" si="93"/>
        <v>39813</v>
      </c>
      <c r="I187" s="110">
        <f t="shared" si="93"/>
        <v>40178</v>
      </c>
      <c r="J187" s="110">
        <f t="shared" si="93"/>
        <v>40543</v>
      </c>
      <c r="K187" s="110">
        <f t="shared" si="93"/>
        <v>40908</v>
      </c>
      <c r="L187" s="110">
        <f t="shared" si="93"/>
        <v>41274</v>
      </c>
      <c r="M187" s="110">
        <f t="shared" si="93"/>
        <v>41639</v>
      </c>
      <c r="N187" s="110">
        <f t="shared" si="93"/>
        <v>42004</v>
      </c>
      <c r="O187" s="110">
        <f t="shared" si="93"/>
        <v>42369</v>
      </c>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row>
    <row r="188" spans="1:256" s="30" customFormat="1" x14ac:dyDescent="0.2">
      <c r="A188" s="3"/>
      <c r="B188" s="3"/>
      <c r="C188" s="16" t="s">
        <v>46</v>
      </c>
      <c r="D188" s="50"/>
      <c r="E188" s="50"/>
      <c r="F188" s="50"/>
      <c r="G188" s="50">
        <f t="shared" ref="G188:O188" ca="1" si="94">G41</f>
        <v>1777.7071914938556</v>
      </c>
      <c r="H188" s="50">
        <f t="shared" ca="1" si="94"/>
        <v>1951.5082268778876</v>
      </c>
      <c r="I188" s="50">
        <f t="shared" ca="1" si="94"/>
        <v>2130.3627665782074</v>
      </c>
      <c r="J188" s="50">
        <f t="shared" ca="1" si="94"/>
        <v>2325.5415174549512</v>
      </c>
      <c r="K188" s="50">
        <f t="shared" ca="1" si="94"/>
        <v>2538.8776168824043</v>
      </c>
      <c r="L188" s="50">
        <f t="shared" ca="1" si="94"/>
        <v>2706.9776638238955</v>
      </c>
      <c r="M188" s="50">
        <f t="shared" ca="1" si="94"/>
        <v>2878.1989926630895</v>
      </c>
      <c r="N188" s="50">
        <f t="shared" ca="1" si="94"/>
        <v>3054.5712597813631</v>
      </c>
      <c r="O188" s="50">
        <f t="shared" ca="1" si="94"/>
        <v>3241.5258629267337</v>
      </c>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row>
    <row r="189" spans="1:256" s="30" customFormat="1" x14ac:dyDescent="0.2">
      <c r="A189" s="3"/>
      <c r="B189" s="3"/>
      <c r="C189" s="16" t="s">
        <v>50</v>
      </c>
      <c r="D189" s="50"/>
      <c r="E189" s="50"/>
      <c r="F189" s="50"/>
      <c r="G189" s="50">
        <f t="shared" ref="G189:O189" ca="1" si="95">G46</f>
        <v>351.709</v>
      </c>
      <c r="H189" s="50">
        <f t="shared" ca="1" si="95"/>
        <v>372.81154000000004</v>
      </c>
      <c r="I189" s="50">
        <f t="shared" ca="1" si="95"/>
        <v>395.18023240000008</v>
      </c>
      <c r="J189" s="50">
        <f t="shared" ca="1" si="95"/>
        <v>418.89104634400013</v>
      </c>
      <c r="K189" s="50">
        <f t="shared" ca="1" si="95"/>
        <v>444.02450912464013</v>
      </c>
      <c r="L189" s="50">
        <f t="shared" ca="1" si="95"/>
        <v>470.66597967211857</v>
      </c>
      <c r="M189" s="50">
        <f t="shared" ca="1" si="95"/>
        <v>498.9059384524457</v>
      </c>
      <c r="N189" s="50">
        <f t="shared" ca="1" si="95"/>
        <v>528.84029475959244</v>
      </c>
      <c r="O189" s="50">
        <f t="shared" ca="1" si="95"/>
        <v>560.57071244516806</v>
      </c>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row>
    <row r="190" spans="1:256" s="30" customFormat="1" x14ac:dyDescent="0.2">
      <c r="A190" s="3"/>
      <c r="B190" s="3"/>
      <c r="C190" s="16" t="s">
        <v>144</v>
      </c>
      <c r="D190" s="50"/>
      <c r="E190" s="50"/>
      <c r="F190" s="50"/>
      <c r="G190" s="50"/>
      <c r="H190" s="50"/>
      <c r="I190" s="50"/>
      <c r="J190" s="50"/>
      <c r="K190" s="50"/>
      <c r="L190" s="50"/>
      <c r="M190" s="50"/>
      <c r="N190" s="50"/>
      <c r="O190" s="50"/>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row>
    <row r="191" spans="1:256" s="30" customFormat="1" x14ac:dyDescent="0.2">
      <c r="A191" s="3"/>
      <c r="B191" s="3"/>
      <c r="C191" s="53" t="s">
        <v>78</v>
      </c>
      <c r="D191" s="50"/>
      <c r="E191" s="50"/>
      <c r="F191" s="50"/>
      <c r="G191" s="50">
        <f t="shared" ref="G191:O195" ca="1" si="96">F78-G78</f>
        <v>-106.62400000000002</v>
      </c>
      <c r="H191" s="50">
        <f t="shared" ca="1" si="96"/>
        <v>-97.789440000000013</v>
      </c>
      <c r="I191" s="50">
        <f t="shared" ca="1" si="96"/>
        <v>-103.65680640000005</v>
      </c>
      <c r="J191" s="50">
        <f t="shared" ca="1" si="96"/>
        <v>-109.87621478400001</v>
      </c>
      <c r="K191" s="50">
        <f t="shared" ca="1" si="96"/>
        <v>-116.46878767103999</v>
      </c>
      <c r="L191" s="50">
        <f t="shared" ca="1" si="96"/>
        <v>-123.45691493130244</v>
      </c>
      <c r="M191" s="50">
        <f t="shared" ca="1" si="96"/>
        <v>-130.86432982718088</v>
      </c>
      <c r="N191" s="50">
        <f t="shared" ca="1" si="96"/>
        <v>-138.71618961681133</v>
      </c>
      <c r="O191" s="50">
        <f t="shared" ca="1" si="96"/>
        <v>-147.03916099382013</v>
      </c>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row>
    <row r="192" spans="1:256" s="30" customFormat="1" x14ac:dyDescent="0.2">
      <c r="A192" s="3"/>
      <c r="B192" s="3"/>
      <c r="C192" s="53" t="s">
        <v>79</v>
      </c>
      <c r="D192" s="50"/>
      <c r="E192" s="50"/>
      <c r="F192" s="50"/>
      <c r="G192" s="50">
        <f t="shared" ca="1" si="96"/>
        <v>-40.053441784003667</v>
      </c>
      <c r="H192" s="50">
        <f t="shared" ca="1" si="96"/>
        <v>-28.832469649060158</v>
      </c>
      <c r="I192" s="50">
        <f t="shared" ca="1" si="96"/>
        <v>-50.745146582346024</v>
      </c>
      <c r="J192" s="50">
        <f t="shared" ca="1" si="96"/>
        <v>-52.956334891068309</v>
      </c>
      <c r="K192" s="50">
        <f t="shared" ca="1" si="96"/>
        <v>-55.250183269140962</v>
      </c>
      <c r="L192" s="50">
        <f t="shared" ca="1" si="96"/>
        <v>-74.174254570537187</v>
      </c>
      <c r="M192" s="50">
        <f t="shared" ca="1" si="96"/>
        <v>-78.624709844769768</v>
      </c>
      <c r="N192" s="50">
        <f t="shared" ca="1" si="96"/>
        <v>-83.342192435455445</v>
      </c>
      <c r="O192" s="50">
        <f t="shared" ca="1" si="96"/>
        <v>-88.342723981582822</v>
      </c>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row>
    <row r="193" spans="1:256" s="30" customFormat="1" x14ac:dyDescent="0.2">
      <c r="A193" s="3"/>
      <c r="B193" s="3"/>
      <c r="C193" s="53" t="s">
        <v>80</v>
      </c>
      <c r="D193" s="50"/>
      <c r="E193" s="50"/>
      <c r="F193" s="50"/>
      <c r="G193" s="50">
        <f t="shared" ca="1" si="96"/>
        <v>0</v>
      </c>
      <c r="H193" s="50">
        <f t="shared" ca="1" si="96"/>
        <v>0</v>
      </c>
      <c r="I193" s="50">
        <f t="shared" ca="1" si="96"/>
        <v>0</v>
      </c>
      <c r="J193" s="50">
        <f t="shared" ca="1" si="96"/>
        <v>0</v>
      </c>
      <c r="K193" s="50">
        <f t="shared" ca="1" si="96"/>
        <v>0</v>
      </c>
      <c r="L193" s="50">
        <f t="shared" ca="1" si="96"/>
        <v>0</v>
      </c>
      <c r="M193" s="50">
        <f t="shared" ca="1" si="96"/>
        <v>0</v>
      </c>
      <c r="N193" s="50">
        <f t="shared" ca="1" si="96"/>
        <v>0</v>
      </c>
      <c r="O193" s="50">
        <f t="shared" ca="1" si="96"/>
        <v>0</v>
      </c>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row>
    <row r="194" spans="1:256" s="30" customFormat="1" x14ac:dyDescent="0.2">
      <c r="A194" s="3"/>
      <c r="B194" s="3"/>
      <c r="C194" s="53" t="s">
        <v>81</v>
      </c>
      <c r="D194" s="50"/>
      <c r="E194" s="50"/>
      <c r="F194" s="50"/>
      <c r="G194" s="50">
        <f t="shared" ca="1" si="96"/>
        <v>0</v>
      </c>
      <c r="H194" s="50">
        <f t="shared" ca="1" si="96"/>
        <v>0</v>
      </c>
      <c r="I194" s="50">
        <f t="shared" ca="1" si="96"/>
        <v>0</v>
      </c>
      <c r="J194" s="50">
        <f t="shared" ca="1" si="96"/>
        <v>0</v>
      </c>
      <c r="K194" s="50">
        <f t="shared" ca="1" si="96"/>
        <v>0</v>
      </c>
      <c r="L194" s="50">
        <f t="shared" ca="1" si="96"/>
        <v>0</v>
      </c>
      <c r="M194" s="50">
        <f t="shared" ca="1" si="96"/>
        <v>0</v>
      </c>
      <c r="N194" s="50">
        <f t="shared" ca="1" si="96"/>
        <v>0</v>
      </c>
      <c r="O194" s="50">
        <f t="shared" ca="1" si="96"/>
        <v>0</v>
      </c>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row>
    <row r="195" spans="1:256" s="30" customFormat="1" x14ac:dyDescent="0.2">
      <c r="A195" s="3"/>
      <c r="B195" s="3"/>
      <c r="C195" s="53" t="s">
        <v>82</v>
      </c>
      <c r="D195" s="50"/>
      <c r="E195" s="50"/>
      <c r="F195" s="50"/>
      <c r="G195" s="50">
        <f t="shared" si="96"/>
        <v>0</v>
      </c>
      <c r="H195" s="50">
        <f t="shared" si="96"/>
        <v>0</v>
      </c>
      <c r="I195" s="50">
        <f t="shared" si="96"/>
        <v>0</v>
      </c>
      <c r="J195" s="50">
        <f t="shared" si="96"/>
        <v>0</v>
      </c>
      <c r="K195" s="50">
        <f t="shared" si="96"/>
        <v>0</v>
      </c>
      <c r="L195" s="50">
        <f t="shared" si="96"/>
        <v>0</v>
      </c>
      <c r="M195" s="50">
        <f t="shared" si="96"/>
        <v>0</v>
      </c>
      <c r="N195" s="50">
        <f t="shared" si="96"/>
        <v>0</v>
      </c>
      <c r="O195" s="50">
        <f t="shared" si="96"/>
        <v>0</v>
      </c>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c r="IU195" s="3"/>
      <c r="IV195" s="3"/>
    </row>
    <row r="196" spans="1:256" s="30" customFormat="1" x14ac:dyDescent="0.2">
      <c r="A196" s="3"/>
      <c r="B196" s="3"/>
      <c r="C196" s="53" t="s">
        <v>89</v>
      </c>
      <c r="D196" s="50"/>
      <c r="E196" s="50"/>
      <c r="F196" s="50"/>
      <c r="G196" s="50">
        <f t="shared" ref="G196:O199" ca="1" si="97">G90-F90</f>
        <v>41.296671383209741</v>
      </c>
      <c r="H196" s="50">
        <f t="shared" ca="1" si="97"/>
        <v>29.727408463038273</v>
      </c>
      <c r="I196" s="50">
        <f t="shared" ca="1" si="97"/>
        <v>52.320238894947579</v>
      </c>
      <c r="J196" s="50">
        <f t="shared" ca="1" si="97"/>
        <v>54.600060874894552</v>
      </c>
      <c r="K196" s="50">
        <f t="shared" ca="1" si="97"/>
        <v>56.965108632413603</v>
      </c>
      <c r="L196" s="50">
        <f t="shared" ca="1" si="97"/>
        <v>76.476569294910178</v>
      </c>
      <c r="M196" s="50">
        <f t="shared" ca="1" si="97"/>
        <v>81.06516345260502</v>
      </c>
      <c r="N196" s="50">
        <f t="shared" ca="1" si="97"/>
        <v>85.929073259761253</v>
      </c>
      <c r="O196" s="50">
        <f t="shared" ca="1" si="97"/>
        <v>91.084817655346797</v>
      </c>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c r="IU196" s="3"/>
      <c r="IV196" s="3"/>
    </row>
    <row r="197" spans="1:256" s="30" customFormat="1" x14ac:dyDescent="0.2">
      <c r="A197" s="3"/>
      <c r="B197" s="3"/>
      <c r="C197" s="53" t="s">
        <v>90</v>
      </c>
      <c r="D197" s="50"/>
      <c r="E197" s="50"/>
      <c r="F197" s="50"/>
      <c r="G197" s="50">
        <f t="shared" ca="1" si="97"/>
        <v>0</v>
      </c>
      <c r="H197" s="50">
        <f t="shared" ca="1" si="97"/>
        <v>0</v>
      </c>
      <c r="I197" s="50">
        <f t="shared" ca="1" si="97"/>
        <v>0</v>
      </c>
      <c r="J197" s="50">
        <f t="shared" ca="1" si="97"/>
        <v>0</v>
      </c>
      <c r="K197" s="50">
        <f t="shared" ca="1" si="97"/>
        <v>0</v>
      </c>
      <c r="L197" s="50">
        <f t="shared" ca="1" si="97"/>
        <v>0</v>
      </c>
      <c r="M197" s="50">
        <f t="shared" ca="1" si="97"/>
        <v>0</v>
      </c>
      <c r="N197" s="50">
        <f t="shared" ca="1" si="97"/>
        <v>0</v>
      </c>
      <c r="O197" s="50">
        <f t="shared" ca="1" si="97"/>
        <v>0</v>
      </c>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c r="IU197" s="3"/>
      <c r="IV197" s="3"/>
    </row>
    <row r="198" spans="1:256" s="30" customFormat="1" x14ac:dyDescent="0.2">
      <c r="A198" s="3"/>
      <c r="B198" s="3"/>
      <c r="C198" s="53" t="s">
        <v>91</v>
      </c>
      <c r="D198" s="50"/>
      <c r="E198" s="50"/>
      <c r="F198" s="50"/>
      <c r="G198" s="50">
        <f t="shared" ca="1" si="97"/>
        <v>17.660990214504324</v>
      </c>
      <c r="H198" s="50">
        <f t="shared" ca="1" si="97"/>
        <v>17.427369230942759</v>
      </c>
      <c r="I198" s="50">
        <f t="shared" ca="1" si="97"/>
        <v>17.926575524305292</v>
      </c>
      <c r="J198" s="50">
        <f t="shared" ca="1" si="97"/>
        <v>19.534120854776035</v>
      </c>
      <c r="K198" s="50">
        <f t="shared" ca="1" si="97"/>
        <v>21.319354681793897</v>
      </c>
      <c r="L198" s="50">
        <f t="shared" ca="1" si="97"/>
        <v>16.876635869099545</v>
      </c>
      <c r="M198" s="50">
        <f t="shared" ca="1" si="97"/>
        <v>17.20257146731069</v>
      </c>
      <c r="N198" s="50">
        <f t="shared" ca="1" si="97"/>
        <v>17.72970622849806</v>
      </c>
      <c r="O198" s="50">
        <f t="shared" ca="1" si="97"/>
        <v>18.793488602208015</v>
      </c>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c r="IU198" s="3"/>
      <c r="IV198" s="3"/>
    </row>
    <row r="199" spans="1:256" s="30" customFormat="1" x14ac:dyDescent="0.2">
      <c r="A199" s="3"/>
      <c r="B199" s="3"/>
      <c r="C199" s="53" t="s">
        <v>145</v>
      </c>
      <c r="D199" s="50"/>
      <c r="E199" s="50"/>
      <c r="F199" s="50"/>
      <c r="G199" s="50">
        <f t="shared" si="97"/>
        <v>0</v>
      </c>
      <c r="H199" s="50">
        <f t="shared" si="97"/>
        <v>0</v>
      </c>
      <c r="I199" s="50">
        <f t="shared" si="97"/>
        <v>0</v>
      </c>
      <c r="J199" s="50">
        <f t="shared" si="97"/>
        <v>0</v>
      </c>
      <c r="K199" s="50">
        <f t="shared" si="97"/>
        <v>0</v>
      </c>
      <c r="L199" s="50">
        <f t="shared" si="97"/>
        <v>0</v>
      </c>
      <c r="M199" s="50">
        <f t="shared" si="97"/>
        <v>0</v>
      </c>
      <c r="N199" s="50">
        <f t="shared" si="97"/>
        <v>0</v>
      </c>
      <c r="O199" s="50">
        <f t="shared" si="97"/>
        <v>0</v>
      </c>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c r="IU199" s="3"/>
      <c r="IV199" s="3"/>
    </row>
    <row r="200" spans="1:256" s="30" customFormat="1" x14ac:dyDescent="0.2">
      <c r="A200" s="3"/>
      <c r="B200" s="3"/>
      <c r="C200" s="21" t="s">
        <v>146</v>
      </c>
      <c r="D200" s="50"/>
      <c r="E200" s="50"/>
      <c r="F200" s="50"/>
      <c r="G200" s="50">
        <f t="shared" ref="G200:O200" ca="1" si="98">G98-F98</f>
        <v>33.889417136067493</v>
      </c>
      <c r="H200" s="50">
        <f t="shared" ca="1" si="98"/>
        <v>33.441125230149567</v>
      </c>
      <c r="I200" s="50">
        <f t="shared" ca="1" si="98"/>
        <v>34.399044922490418</v>
      </c>
      <c r="J200" s="50">
        <f t="shared" ca="1" si="98"/>
        <v>37.483740265604297</v>
      </c>
      <c r="K200" s="50">
        <f t="shared" ca="1" si="98"/>
        <v>40.909399479182241</v>
      </c>
      <c r="L200" s="50">
        <f t="shared" ca="1" si="98"/>
        <v>32.384330995875871</v>
      </c>
      <c r="M200" s="50">
        <f t="shared" ca="1" si="98"/>
        <v>33.009764072567009</v>
      </c>
      <c r="N200" s="50">
        <f t="shared" ca="1" si="98"/>
        <v>34.021275295427586</v>
      </c>
      <c r="O200" s="50">
        <f t="shared" ca="1" si="98"/>
        <v>36.062551813153391</v>
      </c>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c r="IU200" s="3"/>
      <c r="IV200" s="3"/>
    </row>
    <row r="201" spans="1:256" s="30" customFormat="1" x14ac:dyDescent="0.2">
      <c r="A201" s="3"/>
      <c r="B201" s="3"/>
      <c r="C201" s="16" t="s">
        <v>147</v>
      </c>
      <c r="D201" s="50"/>
      <c r="E201" s="50"/>
      <c r="F201" s="50"/>
      <c r="G201" s="50">
        <f t="shared" ref="G201:O202" ca="1" si="99">-G176</f>
        <v>-2.4822719999999996</v>
      </c>
      <c r="H201" s="50">
        <f t="shared" ca="1" si="99"/>
        <v>-2.6684423999999995</v>
      </c>
      <c r="I201" s="50">
        <f t="shared" ca="1" si="99"/>
        <v>-2.8552333679999995</v>
      </c>
      <c r="J201" s="50">
        <f t="shared" ca="1" si="99"/>
        <v>-3.0408235369199992</v>
      </c>
      <c r="K201" s="50">
        <f t="shared" ca="1" si="99"/>
        <v>-3.2232729491351995</v>
      </c>
      <c r="L201" s="50">
        <f t="shared" ca="1" si="99"/>
        <v>-3.4166693260833116</v>
      </c>
      <c r="M201" s="50">
        <f t="shared" ca="1" si="99"/>
        <v>-3.6216694856483107</v>
      </c>
      <c r="N201" s="50">
        <f t="shared" ca="1" si="99"/>
        <v>-3.8389696547872094</v>
      </c>
      <c r="O201" s="50">
        <f t="shared" ca="1" si="99"/>
        <v>-4.0693078340744426</v>
      </c>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c r="IU201" s="3"/>
      <c r="IV201" s="3"/>
    </row>
    <row r="202" spans="1:256" s="30" customFormat="1" x14ac:dyDescent="0.2">
      <c r="A202" s="3"/>
      <c r="B202" s="3"/>
      <c r="C202" s="16" t="s">
        <v>148</v>
      </c>
      <c r="D202" s="50"/>
      <c r="E202" s="50"/>
      <c r="F202" s="50"/>
      <c r="G202" s="50">
        <f t="shared" si="99"/>
        <v>0</v>
      </c>
      <c r="H202" s="50">
        <f t="shared" si="99"/>
        <v>0</v>
      </c>
      <c r="I202" s="50">
        <f t="shared" si="99"/>
        <v>0</v>
      </c>
      <c r="J202" s="50">
        <f t="shared" si="99"/>
        <v>0</v>
      </c>
      <c r="K202" s="50">
        <f t="shared" si="99"/>
        <v>0</v>
      </c>
      <c r="L202" s="50">
        <f t="shared" si="99"/>
        <v>0</v>
      </c>
      <c r="M202" s="50">
        <f t="shared" si="99"/>
        <v>0</v>
      </c>
      <c r="N202" s="50">
        <f t="shared" si="99"/>
        <v>0</v>
      </c>
      <c r="O202" s="50">
        <f t="shared" si="99"/>
        <v>0</v>
      </c>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c r="IU202" s="3"/>
      <c r="IV202" s="3"/>
    </row>
    <row r="203" spans="1:256" s="30" customFormat="1" x14ac:dyDescent="0.2">
      <c r="A203" s="3"/>
      <c r="B203" s="3"/>
      <c r="C203" s="45" t="s">
        <v>141</v>
      </c>
      <c r="D203" s="67"/>
      <c r="E203" s="67"/>
      <c r="F203" s="67"/>
      <c r="G203" s="67">
        <f t="shared" ref="G203:O203" ca="1" si="100">G182</f>
        <v>41.979599999999998</v>
      </c>
      <c r="H203" s="67">
        <f t="shared" ca="1" si="100"/>
        <v>45.128069999999994</v>
      </c>
      <c r="I203" s="67">
        <f t="shared" ca="1" si="100"/>
        <v>48.287034899999995</v>
      </c>
      <c r="J203" s="67">
        <f t="shared" ca="1" si="100"/>
        <v>51.425692168499992</v>
      </c>
      <c r="K203" s="67">
        <f t="shared" ca="1" si="100"/>
        <v>54.511233698609992</v>
      </c>
      <c r="L203" s="67">
        <f t="shared" ca="1" si="100"/>
        <v>57.781907720526597</v>
      </c>
      <c r="M203" s="67">
        <f t="shared" ca="1" si="100"/>
        <v>61.248822183758193</v>
      </c>
      <c r="N203" s="67">
        <f t="shared" ca="1" si="100"/>
        <v>64.923751514783689</v>
      </c>
      <c r="O203" s="67">
        <f t="shared" ca="1" si="100"/>
        <v>68.819176605670719</v>
      </c>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c r="IU203" s="3"/>
      <c r="IV203" s="3"/>
    </row>
    <row r="204" spans="1:256" s="55" customFormat="1" x14ac:dyDescent="0.2">
      <c r="A204" s="24"/>
      <c r="B204" s="3"/>
      <c r="C204" s="53" t="s">
        <v>149</v>
      </c>
      <c r="D204" s="50"/>
      <c r="E204" s="50"/>
      <c r="F204" s="50"/>
      <c r="G204" s="50">
        <f t="shared" ref="G204:O204" ca="1" si="101">SUM(G188:G203)</f>
        <v>2115.083156443633</v>
      </c>
      <c r="H204" s="50">
        <f t="shared" ca="1" si="101"/>
        <v>2320.7533877529577</v>
      </c>
      <c r="I204" s="50">
        <f t="shared" ca="1" si="101"/>
        <v>2521.2187068696048</v>
      </c>
      <c r="J204" s="50">
        <f t="shared" ca="1" si="101"/>
        <v>2741.6028047507384</v>
      </c>
      <c r="K204" s="50">
        <f t="shared" ca="1" si="101"/>
        <v>2981.6649786097278</v>
      </c>
      <c r="L204" s="50">
        <f t="shared" ca="1" si="101"/>
        <v>3160.1152485485045</v>
      </c>
      <c r="M204" s="50">
        <f t="shared" ca="1" si="101"/>
        <v>3356.5205431341774</v>
      </c>
      <c r="N204" s="50">
        <f t="shared" ca="1" si="101"/>
        <v>3560.1180091323718</v>
      </c>
      <c r="O204" s="50">
        <f t="shared" ca="1" si="101"/>
        <v>3777.4054172388032</v>
      </c>
      <c r="P204" s="56"/>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FB204" s="24"/>
      <c r="FC204" s="24"/>
      <c r="FD204" s="24"/>
      <c r="FE204" s="24"/>
      <c r="FF204" s="24"/>
      <c r="FG204" s="24"/>
      <c r="FH204" s="24"/>
      <c r="FI204" s="24"/>
      <c r="FJ204" s="24"/>
      <c r="FK204" s="24"/>
      <c r="FL204" s="24"/>
      <c r="FM204" s="24"/>
      <c r="FN204" s="24"/>
      <c r="FO204" s="24"/>
      <c r="FP204" s="24"/>
      <c r="FQ204" s="24"/>
      <c r="FR204" s="24"/>
      <c r="FS204" s="24"/>
      <c r="FT204" s="24"/>
      <c r="FU204" s="24"/>
      <c r="FV204" s="24"/>
      <c r="FW204" s="24"/>
      <c r="FX204" s="24"/>
      <c r="FY204" s="24"/>
      <c r="FZ204" s="24"/>
      <c r="GA204" s="24"/>
      <c r="GB204" s="24"/>
      <c r="GC204" s="24"/>
      <c r="GD204" s="24"/>
      <c r="GE204" s="24"/>
      <c r="GF204" s="24"/>
      <c r="GG204" s="24"/>
      <c r="GH204" s="24"/>
      <c r="GI204" s="24"/>
      <c r="GJ204" s="24"/>
      <c r="GK204" s="24"/>
      <c r="GL204" s="24"/>
      <c r="GM204" s="24"/>
      <c r="GN204" s="24"/>
      <c r="GO204" s="24"/>
      <c r="GP204" s="24"/>
      <c r="GQ204" s="24"/>
      <c r="GR204" s="24"/>
      <c r="GS204" s="24"/>
      <c r="GT204" s="24"/>
      <c r="GU204" s="24"/>
      <c r="GV204" s="24"/>
      <c r="GW204" s="24"/>
      <c r="GX204" s="24"/>
      <c r="GY204" s="24"/>
      <c r="GZ204" s="24"/>
      <c r="HA204" s="24"/>
      <c r="HB204" s="24"/>
      <c r="HC204" s="24"/>
      <c r="HD204" s="24"/>
      <c r="HE204" s="24"/>
      <c r="HF204" s="24"/>
      <c r="HG204" s="24"/>
      <c r="HH204" s="24"/>
      <c r="HI204" s="24"/>
      <c r="HJ204" s="24"/>
      <c r="HK204" s="24"/>
      <c r="HL204" s="24"/>
      <c r="HM204" s="24"/>
      <c r="HN204" s="24"/>
      <c r="HO204" s="24"/>
      <c r="HP204" s="24"/>
      <c r="HQ204" s="24"/>
      <c r="HR204" s="24"/>
      <c r="HS204" s="24"/>
      <c r="HT204" s="24"/>
      <c r="HU204" s="24"/>
      <c r="HV204" s="24"/>
      <c r="HW204" s="24"/>
      <c r="HX204" s="24"/>
      <c r="HY204" s="24"/>
      <c r="HZ204" s="24"/>
      <c r="IA204" s="24"/>
      <c r="IB204" s="24"/>
      <c r="IC204" s="24"/>
      <c r="ID204" s="24"/>
      <c r="IE204" s="24"/>
      <c r="IF204" s="24"/>
      <c r="IG204" s="24"/>
      <c r="IH204" s="24"/>
      <c r="II204" s="24"/>
      <c r="IJ204" s="24"/>
      <c r="IK204" s="24"/>
      <c r="IL204" s="24"/>
      <c r="IM204" s="24"/>
      <c r="IN204" s="24"/>
      <c r="IO204" s="24"/>
      <c r="IP204" s="24"/>
      <c r="IQ204" s="24"/>
      <c r="IR204" s="24"/>
      <c r="IS204" s="24"/>
      <c r="IT204" s="24"/>
      <c r="IU204" s="24"/>
      <c r="IV204" s="24"/>
    </row>
    <row r="205" spans="1:256" s="55" customFormat="1" x14ac:dyDescent="0.2">
      <c r="A205" s="24"/>
      <c r="B205" s="3"/>
      <c r="C205" s="53"/>
      <c r="D205" s="50"/>
      <c r="E205" s="50"/>
      <c r="F205" s="50"/>
      <c r="G205" s="50"/>
      <c r="H205" s="50"/>
      <c r="I205" s="50"/>
      <c r="J205" s="50"/>
      <c r="K205" s="50"/>
      <c r="L205" s="50"/>
      <c r="M205" s="50"/>
      <c r="N205" s="50"/>
      <c r="O205" s="50"/>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FB205" s="24"/>
      <c r="FC205" s="24"/>
      <c r="FD205" s="24"/>
      <c r="FE205" s="24"/>
      <c r="FF205" s="24"/>
      <c r="FG205" s="24"/>
      <c r="FH205" s="24"/>
      <c r="FI205" s="24"/>
      <c r="FJ205" s="24"/>
      <c r="FK205" s="24"/>
      <c r="FL205" s="24"/>
      <c r="FM205" s="24"/>
      <c r="FN205" s="24"/>
      <c r="FO205" s="24"/>
      <c r="FP205" s="24"/>
      <c r="FQ205" s="24"/>
      <c r="FR205" s="24"/>
      <c r="FS205" s="24"/>
      <c r="FT205" s="24"/>
      <c r="FU205" s="24"/>
      <c r="FV205" s="24"/>
      <c r="FW205" s="24"/>
      <c r="FX205" s="24"/>
      <c r="FY205" s="24"/>
      <c r="FZ205" s="24"/>
      <c r="GA205" s="24"/>
      <c r="GB205" s="24"/>
      <c r="GC205" s="24"/>
      <c r="GD205" s="24"/>
      <c r="GE205" s="24"/>
      <c r="GF205" s="24"/>
      <c r="GG205" s="24"/>
      <c r="GH205" s="24"/>
      <c r="GI205" s="24"/>
      <c r="GJ205" s="24"/>
      <c r="GK205" s="24"/>
      <c r="GL205" s="24"/>
      <c r="GM205" s="24"/>
      <c r="GN205" s="24"/>
      <c r="GO205" s="24"/>
      <c r="GP205" s="24"/>
      <c r="GQ205" s="24"/>
      <c r="GR205" s="24"/>
      <c r="GS205" s="24"/>
      <c r="GT205" s="24"/>
      <c r="GU205" s="24"/>
      <c r="GV205" s="24"/>
      <c r="GW205" s="24"/>
      <c r="GX205" s="24"/>
      <c r="GY205" s="24"/>
      <c r="GZ205" s="24"/>
      <c r="HA205" s="24"/>
      <c r="HB205" s="24"/>
      <c r="HC205" s="24"/>
      <c r="HD205" s="24"/>
      <c r="HE205" s="24"/>
      <c r="HF205" s="24"/>
      <c r="HG205" s="24"/>
      <c r="HH205" s="24"/>
      <c r="HI205" s="24"/>
      <c r="HJ205" s="24"/>
      <c r="HK205" s="24"/>
      <c r="HL205" s="24"/>
      <c r="HM205" s="24"/>
      <c r="HN205" s="24"/>
      <c r="HO205" s="24"/>
      <c r="HP205" s="24"/>
      <c r="HQ205" s="24"/>
      <c r="HR205" s="24"/>
      <c r="HS205" s="24"/>
      <c r="HT205" s="24"/>
      <c r="HU205" s="24"/>
      <c r="HV205" s="24"/>
      <c r="HW205" s="24"/>
      <c r="HX205" s="24"/>
      <c r="HY205" s="24"/>
      <c r="HZ205" s="24"/>
      <c r="IA205" s="24"/>
      <c r="IB205" s="24"/>
      <c r="IC205" s="24"/>
      <c r="ID205" s="24"/>
      <c r="IE205" s="24"/>
      <c r="IF205" s="24"/>
      <c r="IG205" s="24"/>
      <c r="IH205" s="24"/>
      <c r="II205" s="24"/>
      <c r="IJ205" s="24"/>
      <c r="IK205" s="24"/>
      <c r="IL205" s="24"/>
      <c r="IM205" s="24"/>
      <c r="IN205" s="24"/>
      <c r="IO205" s="24"/>
      <c r="IP205" s="24"/>
      <c r="IQ205" s="24"/>
      <c r="IR205" s="24"/>
      <c r="IS205" s="24"/>
      <c r="IT205" s="24"/>
      <c r="IU205" s="24"/>
      <c r="IV205" s="24"/>
    </row>
    <row r="206" spans="1:256" s="30" customFormat="1" x14ac:dyDescent="0.2">
      <c r="A206" s="3"/>
      <c r="B206" s="3"/>
      <c r="C206" s="16" t="s">
        <v>150</v>
      </c>
      <c r="D206" s="50"/>
      <c r="E206" s="50"/>
      <c r="F206" s="50"/>
      <c r="G206" s="50">
        <f t="shared" ref="G206:O207" ca="1" si="102">-G159</f>
        <v>-654.71695000000011</v>
      </c>
      <c r="H206" s="50">
        <f t="shared" ca="1" si="102"/>
        <v>-693.9999670000002</v>
      </c>
      <c r="I206" s="50">
        <f t="shared" ca="1" si="102"/>
        <v>-735.6399650200002</v>
      </c>
      <c r="J206" s="50">
        <f t="shared" ca="1" si="102"/>
        <v>-779.77836292120026</v>
      </c>
      <c r="K206" s="50">
        <f t="shared" ca="1" si="102"/>
        <v>-826.56506469647229</v>
      </c>
      <c r="L206" s="50">
        <f t="shared" ca="1" si="102"/>
        <v>-876.15896857826067</v>
      </c>
      <c r="M206" s="50">
        <f t="shared" ca="1" si="102"/>
        <v>-928.72850669295644</v>
      </c>
      <c r="N206" s="50">
        <f t="shared" ca="1" si="102"/>
        <v>-984.45221709453381</v>
      </c>
      <c r="O206" s="50">
        <f t="shared" ca="1" si="102"/>
        <v>-1043.5193501202059</v>
      </c>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row>
    <row r="207" spans="1:256" s="30" customFormat="1" x14ac:dyDescent="0.2">
      <c r="A207" s="3"/>
      <c r="B207" s="3"/>
      <c r="C207" s="16" t="s">
        <v>151</v>
      </c>
      <c r="D207" s="50"/>
      <c r="E207" s="50"/>
      <c r="F207" s="50"/>
      <c r="G207" s="50">
        <f t="shared" si="102"/>
        <v>0</v>
      </c>
      <c r="H207" s="50">
        <f t="shared" si="102"/>
        <v>0</v>
      </c>
      <c r="I207" s="50">
        <f t="shared" si="102"/>
        <v>0</v>
      </c>
      <c r="J207" s="50">
        <f t="shared" si="102"/>
        <v>0</v>
      </c>
      <c r="K207" s="50">
        <f t="shared" si="102"/>
        <v>0</v>
      </c>
      <c r="L207" s="50">
        <f t="shared" si="102"/>
        <v>0</v>
      </c>
      <c r="M207" s="50">
        <f t="shared" si="102"/>
        <v>0</v>
      </c>
      <c r="N207" s="50">
        <f t="shared" si="102"/>
        <v>0</v>
      </c>
      <c r="O207" s="50">
        <f t="shared" si="102"/>
        <v>0</v>
      </c>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row>
    <row r="208" spans="1:256" s="30" customFormat="1" x14ac:dyDescent="0.2">
      <c r="A208" s="3"/>
      <c r="B208" s="3"/>
      <c r="C208" s="16" t="s">
        <v>152</v>
      </c>
      <c r="D208" s="50"/>
      <c r="E208" s="50"/>
      <c r="F208" s="50"/>
      <c r="G208" s="50">
        <f t="shared" ref="G208:O208" si="103">-G154</f>
        <v>0</v>
      </c>
      <c r="H208" s="50">
        <f t="shared" si="103"/>
        <v>0</v>
      </c>
      <c r="I208" s="50">
        <f t="shared" si="103"/>
        <v>0</v>
      </c>
      <c r="J208" s="50">
        <f t="shared" si="103"/>
        <v>0</v>
      </c>
      <c r="K208" s="50">
        <f t="shared" si="103"/>
        <v>0</v>
      </c>
      <c r="L208" s="50">
        <f t="shared" si="103"/>
        <v>0</v>
      </c>
      <c r="M208" s="50">
        <f t="shared" si="103"/>
        <v>0</v>
      </c>
      <c r="N208" s="50">
        <f t="shared" si="103"/>
        <v>0</v>
      </c>
      <c r="O208" s="50">
        <f t="shared" si="103"/>
        <v>0</v>
      </c>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c r="IU208" s="3"/>
      <c r="IV208" s="3"/>
    </row>
    <row r="209" spans="1:256" s="55" customFormat="1" x14ac:dyDescent="0.2">
      <c r="A209" s="24"/>
      <c r="B209" s="3"/>
      <c r="C209" s="45" t="s">
        <v>153</v>
      </c>
      <c r="D209" s="67"/>
      <c r="E209" s="67"/>
      <c r="F209" s="67"/>
      <c r="G209" s="67">
        <f t="shared" ref="G209:O209" si="104">F87-G87</f>
        <v>0</v>
      </c>
      <c r="H209" s="67">
        <f t="shared" si="104"/>
        <v>0</v>
      </c>
      <c r="I209" s="67">
        <f t="shared" si="104"/>
        <v>0</v>
      </c>
      <c r="J209" s="67">
        <f t="shared" si="104"/>
        <v>0</v>
      </c>
      <c r="K209" s="67">
        <f t="shared" si="104"/>
        <v>0</v>
      </c>
      <c r="L209" s="67">
        <f t="shared" si="104"/>
        <v>0</v>
      </c>
      <c r="M209" s="67">
        <f t="shared" si="104"/>
        <v>0</v>
      </c>
      <c r="N209" s="67">
        <f t="shared" si="104"/>
        <v>0</v>
      </c>
      <c r="O209" s="67">
        <f t="shared" si="104"/>
        <v>0</v>
      </c>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FB209" s="24"/>
      <c r="FC209" s="24"/>
      <c r="FD209" s="24"/>
      <c r="FE209" s="24"/>
      <c r="FF209" s="24"/>
      <c r="FG209" s="24"/>
      <c r="FH209" s="24"/>
      <c r="FI209" s="24"/>
      <c r="FJ209" s="24"/>
      <c r="FK209" s="24"/>
      <c r="FL209" s="24"/>
      <c r="FM209" s="24"/>
      <c r="FN209" s="24"/>
      <c r="FO209" s="24"/>
      <c r="FP209" s="24"/>
      <c r="FQ209" s="24"/>
      <c r="FR209" s="24"/>
      <c r="FS209" s="24"/>
      <c r="FT209" s="24"/>
      <c r="FU209" s="24"/>
      <c r="FV209" s="24"/>
      <c r="FW209" s="24"/>
      <c r="FX209" s="24"/>
      <c r="FY209" s="24"/>
      <c r="FZ209" s="24"/>
      <c r="GA209" s="24"/>
      <c r="GB209" s="24"/>
      <c r="GC209" s="24"/>
      <c r="GD209" s="24"/>
      <c r="GE209" s="24"/>
      <c r="GF209" s="24"/>
      <c r="GG209" s="24"/>
      <c r="GH209" s="24"/>
      <c r="GI209" s="24"/>
      <c r="GJ209" s="24"/>
      <c r="GK209" s="24"/>
      <c r="GL209" s="24"/>
      <c r="GM209" s="24"/>
      <c r="GN209" s="24"/>
      <c r="GO209" s="24"/>
      <c r="GP209" s="24"/>
      <c r="GQ209" s="24"/>
      <c r="GR209" s="24"/>
      <c r="GS209" s="24"/>
      <c r="GT209" s="24"/>
      <c r="GU209" s="24"/>
      <c r="GV209" s="24"/>
      <c r="GW209" s="24"/>
      <c r="GX209" s="24"/>
      <c r="GY209" s="24"/>
      <c r="GZ209" s="24"/>
      <c r="HA209" s="24"/>
      <c r="HB209" s="24"/>
      <c r="HC209" s="24"/>
      <c r="HD209" s="24"/>
      <c r="HE209" s="24"/>
      <c r="HF209" s="24"/>
      <c r="HG209" s="24"/>
      <c r="HH209" s="24"/>
      <c r="HI209" s="24"/>
      <c r="HJ209" s="24"/>
      <c r="HK209" s="24"/>
      <c r="HL209" s="24"/>
      <c r="HM209" s="24"/>
      <c r="HN209" s="24"/>
      <c r="HO209" s="24"/>
      <c r="HP209" s="24"/>
      <c r="HQ209" s="24"/>
      <c r="HR209" s="24"/>
      <c r="HS209" s="24"/>
      <c r="HT209" s="24"/>
      <c r="HU209" s="24"/>
      <c r="HV209" s="24"/>
      <c r="HW209" s="24"/>
      <c r="HX209" s="24"/>
      <c r="HY209" s="24"/>
      <c r="HZ209" s="24"/>
      <c r="IA209" s="24"/>
      <c r="IB209" s="24"/>
      <c r="IC209" s="24"/>
      <c r="ID209" s="24"/>
      <c r="IE209" s="24"/>
      <c r="IF209" s="24"/>
      <c r="IG209" s="24"/>
      <c r="IH209" s="24"/>
      <c r="II209" s="24"/>
      <c r="IJ209" s="24"/>
      <c r="IK209" s="24"/>
      <c r="IL209" s="24"/>
      <c r="IM209" s="24"/>
      <c r="IN209" s="24"/>
      <c r="IO209" s="24"/>
      <c r="IP209" s="24"/>
      <c r="IQ209" s="24"/>
      <c r="IR209" s="24"/>
      <c r="IS209" s="24"/>
      <c r="IT209" s="24"/>
      <c r="IU209" s="24"/>
      <c r="IV209" s="24"/>
    </row>
    <row r="210" spans="1:256" s="55" customFormat="1" x14ac:dyDescent="0.2">
      <c r="A210" s="24"/>
      <c r="B210" s="3"/>
      <c r="C210" s="53" t="s">
        <v>154</v>
      </c>
      <c r="D210" s="50"/>
      <c r="E210" s="50"/>
      <c r="F210" s="50"/>
      <c r="G210" s="50">
        <f t="shared" ref="G210:O210" ca="1" si="105">SUM(G206:G209)</f>
        <v>-654.71695000000011</v>
      </c>
      <c r="H210" s="50">
        <f t="shared" ca="1" si="105"/>
        <v>-693.9999670000002</v>
      </c>
      <c r="I210" s="50">
        <f t="shared" ca="1" si="105"/>
        <v>-735.6399650200002</v>
      </c>
      <c r="J210" s="50">
        <f t="shared" ca="1" si="105"/>
        <v>-779.77836292120026</v>
      </c>
      <c r="K210" s="50">
        <f t="shared" ca="1" si="105"/>
        <v>-826.56506469647229</v>
      </c>
      <c r="L210" s="50">
        <f t="shared" ca="1" si="105"/>
        <v>-876.15896857826067</v>
      </c>
      <c r="M210" s="50">
        <f t="shared" ca="1" si="105"/>
        <v>-928.72850669295644</v>
      </c>
      <c r="N210" s="50">
        <f t="shared" ca="1" si="105"/>
        <v>-984.45221709453381</v>
      </c>
      <c r="O210" s="50">
        <f t="shared" ca="1" si="105"/>
        <v>-1043.5193501202059</v>
      </c>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c r="BQ210" s="24"/>
      <c r="BR210" s="24"/>
      <c r="BS210" s="24"/>
      <c r="BT210" s="24"/>
      <c r="BU210" s="24"/>
      <c r="BV210" s="24"/>
      <c r="BW210" s="24"/>
      <c r="BX210" s="24"/>
      <c r="BY210" s="24"/>
      <c r="BZ210" s="24"/>
      <c r="CA210" s="24"/>
      <c r="CB210" s="24"/>
      <c r="CC210" s="24"/>
      <c r="CD210" s="24"/>
      <c r="CE210" s="24"/>
      <c r="CF210" s="24"/>
      <c r="CG210" s="24"/>
      <c r="CH210" s="24"/>
      <c r="CI210" s="24"/>
      <c r="CJ210" s="24"/>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FB210" s="24"/>
      <c r="FC210" s="24"/>
      <c r="FD210" s="24"/>
      <c r="FE210" s="24"/>
      <c r="FF210" s="24"/>
      <c r="FG210" s="24"/>
      <c r="FH210" s="24"/>
      <c r="FI210" s="24"/>
      <c r="FJ210" s="24"/>
      <c r="FK210" s="24"/>
      <c r="FL210" s="24"/>
      <c r="FM210" s="24"/>
      <c r="FN210" s="24"/>
      <c r="FO210" s="24"/>
      <c r="FP210" s="24"/>
      <c r="FQ210" s="24"/>
      <c r="FR210" s="24"/>
      <c r="FS210" s="24"/>
      <c r="FT210" s="24"/>
      <c r="FU210" s="24"/>
      <c r="FV210" s="24"/>
      <c r="FW210" s="24"/>
      <c r="FX210" s="24"/>
      <c r="FY210" s="24"/>
      <c r="FZ210" s="24"/>
      <c r="GA210" s="24"/>
      <c r="GB210" s="24"/>
      <c r="GC210" s="24"/>
      <c r="GD210" s="24"/>
      <c r="GE210" s="24"/>
      <c r="GF210" s="24"/>
      <c r="GG210" s="24"/>
      <c r="GH210" s="24"/>
      <c r="GI210" s="24"/>
      <c r="GJ210" s="24"/>
      <c r="GK210" s="24"/>
      <c r="GL210" s="24"/>
      <c r="GM210" s="24"/>
      <c r="GN210" s="24"/>
      <c r="GO210" s="24"/>
      <c r="GP210" s="24"/>
      <c r="GQ210" s="24"/>
      <c r="GR210" s="24"/>
      <c r="GS210" s="24"/>
      <c r="GT210" s="24"/>
      <c r="GU210" s="24"/>
      <c r="GV210" s="24"/>
      <c r="GW210" s="24"/>
      <c r="GX210" s="24"/>
      <c r="GY210" s="24"/>
      <c r="GZ210" s="24"/>
      <c r="HA210" s="24"/>
      <c r="HB210" s="24"/>
      <c r="HC210" s="24"/>
      <c r="HD210" s="24"/>
      <c r="HE210" s="24"/>
      <c r="HF210" s="24"/>
      <c r="HG210" s="24"/>
      <c r="HH210" s="24"/>
      <c r="HI210" s="24"/>
      <c r="HJ210" s="24"/>
      <c r="HK210" s="24"/>
      <c r="HL210" s="24"/>
      <c r="HM210" s="24"/>
      <c r="HN210" s="24"/>
      <c r="HO210" s="24"/>
      <c r="HP210" s="24"/>
      <c r="HQ210" s="24"/>
      <c r="HR210" s="24"/>
      <c r="HS210" s="24"/>
      <c r="HT210" s="24"/>
      <c r="HU210" s="24"/>
      <c r="HV210" s="24"/>
      <c r="HW210" s="24"/>
      <c r="HX210" s="24"/>
      <c r="HY210" s="24"/>
      <c r="HZ210" s="24"/>
      <c r="IA210" s="24"/>
      <c r="IB210" s="24"/>
      <c r="IC210" s="24"/>
      <c r="ID210" s="24"/>
      <c r="IE210" s="24"/>
      <c r="IF210" s="24"/>
      <c r="IG210" s="24"/>
      <c r="IH210" s="24"/>
      <c r="II210" s="24"/>
      <c r="IJ210" s="24"/>
      <c r="IK210" s="24"/>
      <c r="IL210" s="24"/>
      <c r="IM210" s="24"/>
      <c r="IN210" s="24"/>
      <c r="IO210" s="24"/>
      <c r="IP210" s="24"/>
      <c r="IQ210" s="24"/>
      <c r="IR210" s="24"/>
      <c r="IS210" s="24"/>
      <c r="IT210" s="24"/>
      <c r="IU210" s="24"/>
      <c r="IV210" s="24"/>
    </row>
    <row r="211" spans="1:256" s="55" customFormat="1" x14ac:dyDescent="0.2">
      <c r="A211" s="24"/>
      <c r="B211" s="3"/>
      <c r="C211" s="21"/>
      <c r="D211" s="50"/>
      <c r="E211" s="50"/>
      <c r="F211" s="50"/>
      <c r="G211" s="50"/>
      <c r="H211" s="50"/>
      <c r="I211" s="50"/>
      <c r="J211" s="50"/>
      <c r="K211" s="50"/>
      <c r="L211" s="50"/>
      <c r="M211" s="50"/>
      <c r="N211" s="50"/>
      <c r="O211" s="50"/>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c r="BJ211" s="24"/>
      <c r="BK211" s="24"/>
      <c r="BL211" s="24"/>
      <c r="BM211" s="24"/>
      <c r="BN211" s="24"/>
      <c r="BO211" s="24"/>
      <c r="BP211" s="24"/>
      <c r="BQ211" s="24"/>
      <c r="BR211" s="24"/>
      <c r="BS211" s="24"/>
      <c r="BT211" s="24"/>
      <c r="BU211" s="24"/>
      <c r="BV211" s="24"/>
      <c r="BW211" s="24"/>
      <c r="BX211" s="24"/>
      <c r="BY211" s="24"/>
      <c r="BZ211" s="24"/>
      <c r="CA211" s="24"/>
      <c r="CB211" s="24"/>
      <c r="CC211" s="24"/>
      <c r="CD211" s="24"/>
      <c r="CE211" s="24"/>
      <c r="CF211" s="24"/>
      <c r="CG211" s="24"/>
      <c r="CH211" s="24"/>
      <c r="CI211" s="24"/>
      <c r="CJ211" s="24"/>
      <c r="CK211" s="24"/>
      <c r="CL211" s="24"/>
      <c r="CM211" s="24"/>
      <c r="CN211" s="24"/>
      <c r="CO211" s="24"/>
      <c r="CP211" s="24"/>
      <c r="CQ211" s="24"/>
      <c r="CR211" s="24"/>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c r="DQ211" s="24"/>
      <c r="DR211" s="24"/>
      <c r="DS211" s="24"/>
      <c r="DT211" s="24"/>
      <c r="DU211" s="24"/>
      <c r="DV211" s="24"/>
      <c r="DW211" s="24"/>
      <c r="DX211" s="24"/>
      <c r="DY211" s="24"/>
      <c r="DZ211" s="24"/>
      <c r="EA211" s="24"/>
      <c r="EB211" s="24"/>
      <c r="EC211" s="24"/>
      <c r="ED211" s="24"/>
      <c r="EE211" s="24"/>
      <c r="EF211" s="24"/>
      <c r="EG211" s="24"/>
      <c r="EH211" s="24"/>
      <c r="EI211" s="24"/>
      <c r="EJ211" s="24"/>
      <c r="EK211" s="24"/>
      <c r="EL211" s="24"/>
      <c r="EM211" s="24"/>
      <c r="EN211" s="24"/>
      <c r="EO211" s="24"/>
      <c r="EP211" s="24"/>
      <c r="EQ211" s="24"/>
      <c r="ER211" s="24"/>
      <c r="ES211" s="24"/>
      <c r="ET211" s="24"/>
      <c r="EU211" s="24"/>
      <c r="EV211" s="24"/>
      <c r="EW211" s="24"/>
      <c r="EX211" s="24"/>
      <c r="EY211" s="24"/>
      <c r="EZ211" s="24"/>
      <c r="FA211" s="24"/>
      <c r="FB211" s="24"/>
      <c r="FC211" s="24"/>
      <c r="FD211" s="24"/>
      <c r="FE211" s="2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24"/>
      <c r="HD211" s="24"/>
      <c r="HE211" s="24"/>
      <c r="HF211" s="24"/>
      <c r="HG211" s="24"/>
      <c r="HH211" s="24"/>
      <c r="HI211" s="24"/>
      <c r="HJ211" s="24"/>
      <c r="HK211" s="24"/>
      <c r="HL211" s="24"/>
      <c r="HM211" s="24"/>
      <c r="HN211" s="24"/>
      <c r="HO211" s="24"/>
      <c r="HP211" s="24"/>
      <c r="HQ211" s="24"/>
      <c r="HR211" s="24"/>
      <c r="HS211" s="24"/>
      <c r="HT211" s="24"/>
      <c r="HU211" s="24"/>
      <c r="HV211" s="24"/>
      <c r="HW211" s="24"/>
      <c r="HX211" s="24"/>
      <c r="HY211" s="24"/>
      <c r="HZ211" s="24"/>
      <c r="IA211" s="24"/>
      <c r="IB211" s="24"/>
      <c r="IC211" s="24"/>
      <c r="ID211" s="24"/>
      <c r="IE211" s="24"/>
      <c r="IF211" s="24"/>
      <c r="IG211" s="24"/>
      <c r="IH211" s="24"/>
      <c r="II211" s="24"/>
      <c r="IJ211" s="24"/>
      <c r="IK211" s="24"/>
      <c r="IL211" s="24"/>
      <c r="IM211" s="24"/>
      <c r="IN211" s="24"/>
      <c r="IO211" s="24"/>
      <c r="IP211" s="24"/>
      <c r="IQ211" s="24"/>
      <c r="IR211" s="24"/>
      <c r="IS211" s="24"/>
      <c r="IT211" s="24"/>
      <c r="IU211" s="24"/>
      <c r="IV211" s="24"/>
    </row>
    <row r="212" spans="1:256" s="55" customFormat="1" x14ac:dyDescent="0.2">
      <c r="A212" s="24"/>
      <c r="B212" s="3"/>
      <c r="C212" s="21" t="s">
        <v>155</v>
      </c>
      <c r="D212" s="50"/>
      <c r="E212" s="50"/>
      <c r="F212" s="50"/>
      <c r="G212" s="50">
        <f t="shared" ref="G212:O216" si="106">G103-F103</f>
        <v>0</v>
      </c>
      <c r="H212" s="50">
        <f t="shared" si="106"/>
        <v>0</v>
      </c>
      <c r="I212" s="50">
        <f t="shared" si="106"/>
        <v>0</v>
      </c>
      <c r="J212" s="50">
        <f t="shared" si="106"/>
        <v>0</v>
      </c>
      <c r="K212" s="50">
        <f t="shared" si="106"/>
        <v>0</v>
      </c>
      <c r="L212" s="50">
        <f t="shared" si="106"/>
        <v>0</v>
      </c>
      <c r="M212" s="50">
        <f t="shared" si="106"/>
        <v>0</v>
      </c>
      <c r="N212" s="50">
        <f t="shared" si="106"/>
        <v>0</v>
      </c>
      <c r="O212" s="50">
        <f t="shared" si="106"/>
        <v>0</v>
      </c>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c r="BQ212" s="24"/>
      <c r="BR212" s="24"/>
      <c r="BS212" s="24"/>
      <c r="BT212" s="24"/>
      <c r="BU212" s="24"/>
      <c r="BV212" s="24"/>
      <c r="BW212" s="24"/>
      <c r="BX212" s="24"/>
      <c r="BY212" s="24"/>
      <c r="BZ212" s="24"/>
      <c r="CA212" s="24"/>
      <c r="CB212" s="24"/>
      <c r="CC212" s="24"/>
      <c r="CD212" s="24"/>
      <c r="CE212" s="24"/>
      <c r="CF212" s="24"/>
      <c r="CG212" s="24"/>
      <c r="CH212" s="24"/>
      <c r="CI212" s="24"/>
      <c r="CJ212" s="24"/>
      <c r="CK212" s="24"/>
      <c r="CL212" s="24"/>
      <c r="CM212" s="24"/>
      <c r="CN212" s="24"/>
      <c r="CO212" s="24"/>
      <c r="CP212" s="24"/>
      <c r="CQ212" s="24"/>
      <c r="CR212" s="24"/>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c r="DQ212" s="24"/>
      <c r="DR212" s="24"/>
      <c r="DS212" s="24"/>
      <c r="DT212" s="24"/>
      <c r="DU212" s="24"/>
      <c r="DV212" s="24"/>
      <c r="DW212" s="24"/>
      <c r="DX212" s="24"/>
      <c r="DY212" s="24"/>
      <c r="DZ212" s="24"/>
      <c r="EA212" s="24"/>
      <c r="EB212" s="24"/>
      <c r="EC212" s="24"/>
      <c r="ED212" s="24"/>
      <c r="EE212" s="24"/>
      <c r="EF212" s="24"/>
      <c r="EG212" s="24"/>
      <c r="EH212" s="24"/>
      <c r="EI212" s="24"/>
      <c r="EJ212" s="24"/>
      <c r="EK212" s="24"/>
      <c r="EL212" s="24"/>
      <c r="EM212" s="24"/>
      <c r="EN212" s="24"/>
      <c r="EO212" s="24"/>
      <c r="EP212" s="24"/>
      <c r="EQ212" s="24"/>
      <c r="ER212" s="24"/>
      <c r="ES212" s="24"/>
      <c r="ET212" s="24"/>
      <c r="EU212" s="24"/>
      <c r="EV212" s="24"/>
      <c r="EW212" s="24"/>
      <c r="EX212" s="24"/>
      <c r="EY212" s="24"/>
      <c r="EZ212" s="24"/>
      <c r="FA212" s="24"/>
      <c r="FB212" s="24"/>
      <c r="FC212" s="24"/>
      <c r="FD212" s="24"/>
      <c r="FE212" s="24"/>
      <c r="FF212" s="24"/>
      <c r="FG212" s="24"/>
      <c r="FH212" s="24"/>
      <c r="FI212" s="24"/>
      <c r="FJ212" s="24"/>
      <c r="FK212" s="24"/>
      <c r="FL212" s="24"/>
      <c r="FM212" s="24"/>
      <c r="FN212" s="24"/>
      <c r="FO212" s="24"/>
      <c r="FP212" s="24"/>
      <c r="FQ212" s="24"/>
      <c r="FR212" s="24"/>
      <c r="FS212" s="24"/>
      <c r="FT212" s="24"/>
      <c r="FU212" s="24"/>
      <c r="FV212" s="24"/>
      <c r="FW212" s="24"/>
      <c r="FX212" s="24"/>
      <c r="FY212" s="24"/>
      <c r="FZ212" s="24"/>
      <c r="GA212" s="24"/>
      <c r="GB212" s="24"/>
      <c r="GC212" s="24"/>
      <c r="GD212" s="24"/>
      <c r="GE212" s="24"/>
      <c r="GF212" s="24"/>
      <c r="GG212" s="24"/>
      <c r="GH212" s="24"/>
      <c r="GI212" s="24"/>
      <c r="GJ212" s="24"/>
      <c r="GK212" s="24"/>
      <c r="GL212" s="24"/>
      <c r="GM212" s="24"/>
      <c r="GN212" s="24"/>
      <c r="GO212" s="24"/>
      <c r="GP212" s="24"/>
      <c r="GQ212" s="24"/>
      <c r="GR212" s="24"/>
      <c r="GS212" s="24"/>
      <c r="GT212" s="24"/>
      <c r="GU212" s="24"/>
      <c r="GV212" s="24"/>
      <c r="GW212" s="24"/>
      <c r="GX212" s="24"/>
      <c r="GY212" s="24"/>
      <c r="GZ212" s="24"/>
      <c r="HA212" s="24"/>
      <c r="HB212" s="24"/>
      <c r="HC212" s="24"/>
      <c r="HD212" s="24"/>
      <c r="HE212" s="24"/>
      <c r="HF212" s="24"/>
      <c r="HG212" s="24"/>
      <c r="HH212" s="24"/>
      <c r="HI212" s="24"/>
      <c r="HJ212" s="24"/>
      <c r="HK212" s="24"/>
      <c r="HL212" s="24"/>
      <c r="HM212" s="24"/>
      <c r="HN212" s="24"/>
      <c r="HO212" s="24"/>
      <c r="HP212" s="24"/>
      <c r="HQ212" s="24"/>
      <c r="HR212" s="24"/>
      <c r="HS212" s="24"/>
      <c r="HT212" s="24"/>
      <c r="HU212" s="24"/>
      <c r="HV212" s="24"/>
      <c r="HW212" s="24"/>
      <c r="HX212" s="24"/>
      <c r="HY212" s="24"/>
      <c r="HZ212" s="24"/>
      <c r="IA212" s="24"/>
      <c r="IB212" s="24"/>
      <c r="IC212" s="24"/>
      <c r="ID212" s="24"/>
      <c r="IE212" s="24"/>
      <c r="IF212" s="24"/>
      <c r="IG212" s="24"/>
      <c r="IH212" s="24"/>
      <c r="II212" s="24"/>
      <c r="IJ212" s="24"/>
      <c r="IK212" s="24"/>
      <c r="IL212" s="24"/>
      <c r="IM212" s="24"/>
      <c r="IN212" s="24"/>
      <c r="IO212" s="24"/>
      <c r="IP212" s="24"/>
      <c r="IQ212" s="24"/>
      <c r="IR212" s="24"/>
      <c r="IS212" s="24"/>
      <c r="IT212" s="24"/>
      <c r="IU212" s="24"/>
      <c r="IV212" s="24"/>
    </row>
    <row r="213" spans="1:256" s="55" customFormat="1" x14ac:dyDescent="0.2">
      <c r="A213" s="24"/>
      <c r="B213" s="3"/>
      <c r="C213" s="21" t="s">
        <v>156</v>
      </c>
      <c r="D213" s="50"/>
      <c r="E213" s="50"/>
      <c r="F213" s="50"/>
      <c r="G213" s="50">
        <f t="shared" si="106"/>
        <v>227.69999999999982</v>
      </c>
      <c r="H213" s="50">
        <f t="shared" si="106"/>
        <v>227.69999999999982</v>
      </c>
      <c r="I213" s="50">
        <f t="shared" si="106"/>
        <v>227.69999999999982</v>
      </c>
      <c r="J213" s="50">
        <f t="shared" si="106"/>
        <v>227.69999999999982</v>
      </c>
      <c r="K213" s="50">
        <f t="shared" si="106"/>
        <v>227.69999999999982</v>
      </c>
      <c r="L213" s="50">
        <f t="shared" si="106"/>
        <v>227.69999999999982</v>
      </c>
      <c r="M213" s="50">
        <f t="shared" si="106"/>
        <v>227.69999999999982</v>
      </c>
      <c r="N213" s="50">
        <f t="shared" si="106"/>
        <v>227.69999999999982</v>
      </c>
      <c r="O213" s="50">
        <f t="shared" si="106"/>
        <v>227.69999999999982</v>
      </c>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c r="BJ213" s="24"/>
      <c r="BK213" s="24"/>
      <c r="BL213" s="24"/>
      <c r="BM213" s="24"/>
      <c r="BN213" s="24"/>
      <c r="BO213" s="24"/>
      <c r="BP213" s="24"/>
      <c r="BQ213" s="24"/>
      <c r="BR213" s="24"/>
      <c r="BS213" s="24"/>
      <c r="BT213" s="24"/>
      <c r="BU213" s="24"/>
      <c r="BV213" s="24"/>
      <c r="BW213" s="24"/>
      <c r="BX213" s="24"/>
      <c r="BY213" s="24"/>
      <c r="BZ213" s="24"/>
      <c r="CA213" s="24"/>
      <c r="CB213" s="24"/>
      <c r="CC213" s="24"/>
      <c r="CD213" s="24"/>
      <c r="CE213" s="24"/>
      <c r="CF213" s="24"/>
      <c r="CG213" s="24"/>
      <c r="CH213" s="24"/>
      <c r="CI213" s="24"/>
      <c r="CJ213" s="24"/>
      <c r="CK213" s="24"/>
      <c r="CL213" s="24"/>
      <c r="CM213" s="24"/>
      <c r="CN213" s="24"/>
      <c r="CO213" s="24"/>
      <c r="CP213" s="24"/>
      <c r="CQ213" s="24"/>
      <c r="CR213" s="24"/>
      <c r="CS213" s="24"/>
      <c r="CT213" s="24"/>
      <c r="CU213" s="24"/>
      <c r="CV213" s="24"/>
      <c r="CW213" s="24"/>
      <c r="CX213" s="24"/>
      <c r="CY213" s="24"/>
      <c r="CZ213" s="24"/>
      <c r="DA213" s="24"/>
      <c r="DB213" s="24"/>
      <c r="DC213" s="24"/>
      <c r="DD213" s="24"/>
      <c r="DE213" s="24"/>
      <c r="DF213" s="24"/>
      <c r="DG213" s="24"/>
      <c r="DH213" s="24"/>
      <c r="DI213" s="24"/>
      <c r="DJ213" s="24"/>
      <c r="DK213" s="24"/>
      <c r="DL213" s="24"/>
      <c r="DM213" s="24"/>
      <c r="DN213" s="24"/>
      <c r="DO213" s="24"/>
      <c r="DP213" s="24"/>
      <c r="DQ213" s="24"/>
      <c r="DR213" s="24"/>
      <c r="DS213" s="24"/>
      <c r="DT213" s="24"/>
      <c r="DU213" s="24"/>
      <c r="DV213" s="24"/>
      <c r="DW213" s="24"/>
      <c r="DX213" s="24"/>
      <c r="DY213" s="24"/>
      <c r="DZ213" s="24"/>
      <c r="EA213" s="24"/>
      <c r="EB213" s="24"/>
      <c r="EC213" s="24"/>
      <c r="ED213" s="24"/>
      <c r="EE213" s="24"/>
      <c r="EF213" s="24"/>
      <c r="EG213" s="24"/>
      <c r="EH213" s="24"/>
      <c r="EI213" s="24"/>
      <c r="EJ213" s="24"/>
      <c r="EK213" s="24"/>
      <c r="EL213" s="24"/>
      <c r="EM213" s="24"/>
      <c r="EN213" s="24"/>
      <c r="EO213" s="24"/>
      <c r="EP213" s="24"/>
      <c r="EQ213" s="24"/>
      <c r="ER213" s="24"/>
      <c r="ES213" s="24"/>
      <c r="ET213" s="24"/>
      <c r="EU213" s="24"/>
      <c r="EV213" s="24"/>
      <c r="EW213" s="24"/>
      <c r="EX213" s="24"/>
      <c r="EY213" s="24"/>
      <c r="EZ213" s="24"/>
      <c r="FA213" s="24"/>
      <c r="FB213" s="24"/>
      <c r="FC213" s="24"/>
      <c r="FD213" s="24"/>
      <c r="FE213" s="24"/>
      <c r="FF213" s="24"/>
      <c r="FG213" s="24"/>
      <c r="FH213" s="24"/>
      <c r="FI213" s="24"/>
      <c r="FJ213" s="24"/>
      <c r="FK213" s="24"/>
      <c r="FL213" s="24"/>
      <c r="FM213" s="24"/>
      <c r="FN213" s="24"/>
      <c r="FO213" s="24"/>
      <c r="FP213" s="24"/>
      <c r="FQ213" s="24"/>
      <c r="FR213" s="24"/>
      <c r="FS213" s="24"/>
      <c r="FT213" s="24"/>
      <c r="FU213" s="24"/>
      <c r="FV213" s="24"/>
      <c r="FW213" s="24"/>
      <c r="FX213" s="24"/>
      <c r="FY213" s="24"/>
      <c r="FZ213" s="24"/>
      <c r="GA213" s="24"/>
      <c r="GB213" s="24"/>
      <c r="GC213" s="24"/>
      <c r="GD213" s="24"/>
      <c r="GE213" s="24"/>
      <c r="GF213" s="24"/>
      <c r="GG213" s="24"/>
      <c r="GH213" s="24"/>
      <c r="GI213" s="24"/>
      <c r="GJ213" s="24"/>
      <c r="GK213" s="24"/>
      <c r="GL213" s="24"/>
      <c r="GM213" s="24"/>
      <c r="GN213" s="24"/>
      <c r="GO213" s="24"/>
      <c r="GP213" s="24"/>
      <c r="GQ213" s="24"/>
      <c r="GR213" s="24"/>
      <c r="GS213" s="24"/>
      <c r="GT213" s="24"/>
      <c r="GU213" s="24"/>
      <c r="GV213" s="24"/>
      <c r="GW213" s="24"/>
      <c r="GX213" s="24"/>
      <c r="GY213" s="24"/>
      <c r="GZ213" s="24"/>
      <c r="HA213" s="24"/>
      <c r="HB213" s="24"/>
      <c r="HC213" s="24"/>
      <c r="HD213" s="24"/>
      <c r="HE213" s="24"/>
      <c r="HF213" s="24"/>
      <c r="HG213" s="24"/>
      <c r="HH213" s="24"/>
      <c r="HI213" s="24"/>
      <c r="HJ213" s="24"/>
      <c r="HK213" s="24"/>
      <c r="HL213" s="24"/>
      <c r="HM213" s="24"/>
      <c r="HN213" s="24"/>
      <c r="HO213" s="24"/>
      <c r="HP213" s="24"/>
      <c r="HQ213" s="24"/>
      <c r="HR213" s="24"/>
      <c r="HS213" s="24"/>
      <c r="HT213" s="24"/>
      <c r="HU213" s="24"/>
      <c r="HV213" s="24"/>
      <c r="HW213" s="24"/>
      <c r="HX213" s="24"/>
      <c r="HY213" s="24"/>
      <c r="HZ213" s="24"/>
      <c r="IA213" s="24"/>
      <c r="IB213" s="24"/>
      <c r="IC213" s="24"/>
      <c r="ID213" s="24"/>
      <c r="IE213" s="24"/>
      <c r="IF213" s="24"/>
      <c r="IG213" s="24"/>
      <c r="IH213" s="24"/>
      <c r="II213" s="24"/>
      <c r="IJ213" s="24"/>
      <c r="IK213" s="24"/>
      <c r="IL213" s="24"/>
      <c r="IM213" s="24"/>
      <c r="IN213" s="24"/>
      <c r="IO213" s="24"/>
      <c r="IP213" s="24"/>
      <c r="IQ213" s="24"/>
      <c r="IR213" s="24"/>
      <c r="IS213" s="24"/>
      <c r="IT213" s="24"/>
      <c r="IU213" s="24"/>
      <c r="IV213" s="24"/>
    </row>
    <row r="214" spans="1:256" s="30" customFormat="1" x14ac:dyDescent="0.2">
      <c r="A214" s="3"/>
      <c r="B214" s="3"/>
      <c r="C214" s="21" t="s">
        <v>157</v>
      </c>
      <c r="D214" s="50"/>
      <c r="E214" s="50"/>
      <c r="F214" s="50"/>
      <c r="G214" s="50">
        <f t="shared" si="106"/>
        <v>-850</v>
      </c>
      <c r="H214" s="50">
        <f t="shared" si="106"/>
        <v>-850</v>
      </c>
      <c r="I214" s="50">
        <f t="shared" si="106"/>
        <v>-850</v>
      </c>
      <c r="J214" s="50">
        <f t="shared" si="106"/>
        <v>-850</v>
      </c>
      <c r="K214" s="50">
        <f t="shared" si="106"/>
        <v>-850</v>
      </c>
      <c r="L214" s="50">
        <f t="shared" si="106"/>
        <v>-850</v>
      </c>
      <c r="M214" s="50">
        <f t="shared" si="106"/>
        <v>-850</v>
      </c>
      <c r="N214" s="50">
        <f t="shared" si="106"/>
        <v>-850</v>
      </c>
      <c r="O214" s="50">
        <f t="shared" si="106"/>
        <v>-850</v>
      </c>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c r="IU214" s="3"/>
      <c r="IV214" s="3"/>
    </row>
    <row r="215" spans="1:256" s="30" customFormat="1" x14ac:dyDescent="0.2">
      <c r="A215" s="3"/>
      <c r="B215" s="3"/>
      <c r="C215" s="21" t="s">
        <v>158</v>
      </c>
      <c r="D215" s="50"/>
      <c r="E215" s="50"/>
      <c r="F215" s="50"/>
      <c r="G215" s="50">
        <f t="shared" si="106"/>
        <v>0</v>
      </c>
      <c r="H215" s="50">
        <f t="shared" si="106"/>
        <v>0</v>
      </c>
      <c r="I215" s="50">
        <f t="shared" si="106"/>
        <v>0</v>
      </c>
      <c r="J215" s="50">
        <f t="shared" si="106"/>
        <v>0</v>
      </c>
      <c r="K215" s="50">
        <f t="shared" si="106"/>
        <v>0</v>
      </c>
      <c r="L215" s="50">
        <f t="shared" si="106"/>
        <v>0</v>
      </c>
      <c r="M215" s="50">
        <f t="shared" si="106"/>
        <v>0</v>
      </c>
      <c r="N215" s="50">
        <f t="shared" si="106"/>
        <v>0</v>
      </c>
      <c r="O215" s="50">
        <f t="shared" si="106"/>
        <v>0</v>
      </c>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row>
    <row r="216" spans="1:256" s="30" customFormat="1" x14ac:dyDescent="0.2">
      <c r="A216" s="3"/>
      <c r="B216" s="3"/>
      <c r="C216" s="21" t="s">
        <v>104</v>
      </c>
      <c r="D216" s="50"/>
      <c r="E216" s="50"/>
      <c r="F216" s="50"/>
      <c r="G216" s="50">
        <f t="shared" si="106"/>
        <v>0</v>
      </c>
      <c r="H216" s="50">
        <f t="shared" si="106"/>
        <v>0</v>
      </c>
      <c r="I216" s="50">
        <f t="shared" si="106"/>
        <v>0</v>
      </c>
      <c r="J216" s="50">
        <f t="shared" si="106"/>
        <v>0</v>
      </c>
      <c r="K216" s="50">
        <f t="shared" si="106"/>
        <v>0</v>
      </c>
      <c r="L216" s="50">
        <f t="shared" si="106"/>
        <v>0</v>
      </c>
      <c r="M216" s="50">
        <f t="shared" si="106"/>
        <v>0</v>
      </c>
      <c r="N216" s="50">
        <f t="shared" si="106"/>
        <v>0</v>
      </c>
      <c r="O216" s="50">
        <f t="shared" si="106"/>
        <v>0</v>
      </c>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c r="IU216" s="3"/>
      <c r="IV216" s="3"/>
    </row>
    <row r="217" spans="1:256" s="30" customFormat="1" x14ac:dyDescent="0.2">
      <c r="A217" s="3"/>
      <c r="B217" s="3"/>
      <c r="C217" s="16" t="s">
        <v>159</v>
      </c>
      <c r="D217" s="50"/>
      <c r="E217" s="50"/>
      <c r="F217" s="50"/>
      <c r="G217" s="50">
        <f t="shared" ref="G217:O217" ca="1" si="107">-(G42+G50)</f>
        <v>-781.07585663099246</v>
      </c>
      <c r="H217" s="50">
        <f t="shared" ca="1" si="107"/>
        <v>-854.63336008606382</v>
      </c>
      <c r="I217" s="50">
        <f t="shared" ca="1" si="107"/>
        <v>-930.32964919557151</v>
      </c>
      <c r="J217" s="50">
        <f t="shared" ca="1" si="107"/>
        <v>-1012.934805201976</v>
      </c>
      <c r="K217" s="50">
        <f t="shared" ca="1" si="107"/>
        <v>-1103.2246635797017</v>
      </c>
      <c r="L217" s="50">
        <f t="shared" ca="1" si="107"/>
        <v>-1174.3693478238119</v>
      </c>
      <c r="M217" s="50">
        <f t="shared" ca="1" si="107"/>
        <v>-1246.835046660656</v>
      </c>
      <c r="N217" s="50">
        <f t="shared" ca="1" si="107"/>
        <v>-1321.4807679549212</v>
      </c>
      <c r="O217" s="50">
        <f t="shared" ca="1" si="107"/>
        <v>-1400.6052325268424</v>
      </c>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row>
    <row r="218" spans="1:256" s="30" customFormat="1" x14ac:dyDescent="0.2">
      <c r="A218" s="3"/>
      <c r="B218" s="3"/>
      <c r="C218" s="21" t="s">
        <v>160</v>
      </c>
      <c r="D218" s="50"/>
      <c r="E218" s="50"/>
      <c r="F218" s="50"/>
      <c r="G218" s="50">
        <f t="shared" ref="G218:O218" si="108">G183</f>
        <v>0</v>
      </c>
      <c r="H218" s="50">
        <f t="shared" si="108"/>
        <v>0</v>
      </c>
      <c r="I218" s="50">
        <f t="shared" si="108"/>
        <v>0</v>
      </c>
      <c r="J218" s="50">
        <f t="shared" si="108"/>
        <v>0</v>
      </c>
      <c r="K218" s="50">
        <f t="shared" si="108"/>
        <v>0</v>
      </c>
      <c r="L218" s="50">
        <f t="shared" si="108"/>
        <v>0</v>
      </c>
      <c r="M218" s="50">
        <f t="shared" si="108"/>
        <v>0</v>
      </c>
      <c r="N218" s="50">
        <f t="shared" si="108"/>
        <v>0</v>
      </c>
      <c r="O218" s="50">
        <f t="shared" si="108"/>
        <v>0</v>
      </c>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row>
    <row r="219" spans="1:256" s="30" customFormat="1" x14ac:dyDescent="0.2">
      <c r="A219" s="3"/>
      <c r="B219" s="3"/>
      <c r="C219" s="78" t="s">
        <v>161</v>
      </c>
      <c r="D219" s="67"/>
      <c r="E219" s="67"/>
      <c r="F219" s="67"/>
      <c r="G219" s="67">
        <f t="shared" ref="G219:O219" ca="1" si="109">SUM(G94:G97)-SUM(F94:F97)</f>
        <v>-284.60356981264022</v>
      </c>
      <c r="H219" s="67">
        <f t="shared" ca="1" si="109"/>
        <v>-134.10685386689374</v>
      </c>
      <c r="I219" s="67">
        <f t="shared" ca="1" si="109"/>
        <v>-216.2930934460328</v>
      </c>
      <c r="J219" s="67">
        <f t="shared" ca="1" si="109"/>
        <v>-308.93427746708176</v>
      </c>
      <c r="K219" s="67">
        <f t="shared" ca="1" si="109"/>
        <v>-410.86056962344492</v>
      </c>
      <c r="L219" s="67">
        <f t="shared" ca="1" si="109"/>
        <v>-315.30163578390648</v>
      </c>
      <c r="M219" s="67">
        <f t="shared" ca="1" si="109"/>
        <v>0</v>
      </c>
      <c r="N219" s="67">
        <f t="shared" ca="1" si="109"/>
        <v>0</v>
      </c>
      <c r="O219" s="67">
        <f t="shared" ca="1" si="109"/>
        <v>0</v>
      </c>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row>
    <row r="220" spans="1:256" s="30" customFormat="1" x14ac:dyDescent="0.2">
      <c r="A220" s="3"/>
      <c r="B220" s="3"/>
      <c r="C220" s="53" t="s">
        <v>162</v>
      </c>
      <c r="D220" s="50"/>
      <c r="E220" s="50"/>
      <c r="F220" s="50"/>
      <c r="G220" s="50">
        <f t="shared" ref="G220:O220" ca="1" si="110">SUM(G212:G219)</f>
        <v>-1687.9794264436327</v>
      </c>
      <c r="H220" s="50">
        <f t="shared" ca="1" si="110"/>
        <v>-1611.0402139529579</v>
      </c>
      <c r="I220" s="50">
        <f t="shared" ca="1" si="110"/>
        <v>-1768.9227426416046</v>
      </c>
      <c r="J220" s="50">
        <f t="shared" ca="1" si="110"/>
        <v>-1944.1690826690578</v>
      </c>
      <c r="K220" s="50">
        <f t="shared" ca="1" si="110"/>
        <v>-2136.3852332031465</v>
      </c>
      <c r="L220" s="50">
        <f t="shared" ca="1" si="110"/>
        <v>-2111.9709836077186</v>
      </c>
      <c r="M220" s="50">
        <f t="shared" ca="1" si="110"/>
        <v>-1869.1350466606561</v>
      </c>
      <c r="N220" s="50">
        <f t="shared" ca="1" si="110"/>
        <v>-1943.7807679549214</v>
      </c>
      <c r="O220" s="50">
        <f t="shared" ca="1" si="110"/>
        <v>-2022.9052325268426</v>
      </c>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c r="IU220" s="3"/>
      <c r="IV220" s="3"/>
    </row>
    <row r="221" spans="1:256" s="55" customFormat="1" x14ac:dyDescent="0.2">
      <c r="A221" s="24"/>
      <c r="B221" s="3"/>
      <c r="C221" s="53"/>
      <c r="D221" s="50"/>
      <c r="E221" s="50"/>
      <c r="F221" s="50"/>
      <c r="G221" s="50"/>
      <c r="H221" s="50"/>
      <c r="I221" s="50"/>
      <c r="J221" s="50"/>
      <c r="K221" s="50"/>
      <c r="L221" s="50"/>
      <c r="M221" s="50"/>
      <c r="N221" s="50"/>
      <c r="O221" s="50"/>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4"/>
      <c r="BT221" s="24"/>
      <c r="BU221" s="24"/>
      <c r="BV221" s="24"/>
      <c r="BW221" s="24"/>
      <c r="BX221" s="24"/>
      <c r="BY221" s="24"/>
      <c r="BZ221" s="24"/>
      <c r="CA221" s="24"/>
      <c r="CB221" s="24"/>
      <c r="CC221" s="24"/>
      <c r="CD221" s="24"/>
      <c r="CE221" s="24"/>
      <c r="CF221" s="24"/>
      <c r="CG221" s="24"/>
      <c r="CH221" s="24"/>
      <c r="CI221" s="24"/>
      <c r="CJ221" s="24"/>
      <c r="CK221" s="24"/>
      <c r="CL221" s="24"/>
      <c r="CM221" s="24"/>
      <c r="CN221" s="24"/>
      <c r="CO221" s="24"/>
      <c r="CP221" s="24"/>
      <c r="CQ221" s="24"/>
      <c r="CR221" s="24"/>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c r="DQ221" s="24"/>
      <c r="DR221" s="24"/>
      <c r="DS221" s="24"/>
      <c r="DT221" s="24"/>
      <c r="DU221" s="24"/>
      <c r="DV221" s="24"/>
      <c r="DW221" s="24"/>
      <c r="DX221" s="24"/>
      <c r="DY221" s="24"/>
      <c r="DZ221" s="24"/>
      <c r="EA221" s="24"/>
      <c r="EB221" s="24"/>
      <c r="EC221" s="24"/>
      <c r="ED221" s="24"/>
      <c r="EE221" s="24"/>
      <c r="EF221" s="24"/>
      <c r="EG221" s="24"/>
      <c r="EH221" s="24"/>
      <c r="EI221" s="24"/>
      <c r="EJ221" s="24"/>
      <c r="EK221" s="24"/>
      <c r="EL221" s="24"/>
      <c r="EM221" s="24"/>
      <c r="EN221" s="24"/>
      <c r="EO221" s="24"/>
      <c r="EP221" s="24"/>
      <c r="EQ221" s="24"/>
      <c r="ER221" s="24"/>
      <c r="ES221" s="24"/>
      <c r="ET221" s="24"/>
      <c r="EU221" s="24"/>
      <c r="EV221" s="24"/>
      <c r="EW221" s="24"/>
      <c r="EX221" s="24"/>
      <c r="EY221" s="24"/>
      <c r="EZ221" s="24"/>
      <c r="FA221" s="24"/>
      <c r="FB221" s="24"/>
      <c r="FC221" s="24"/>
      <c r="FD221" s="24"/>
      <c r="FE221" s="24"/>
      <c r="FF221" s="24"/>
      <c r="FG221" s="24"/>
      <c r="FH221" s="24"/>
      <c r="FI221" s="24"/>
      <c r="FJ221" s="24"/>
      <c r="FK221" s="24"/>
      <c r="FL221" s="24"/>
      <c r="FM221" s="24"/>
      <c r="FN221" s="24"/>
      <c r="FO221" s="24"/>
      <c r="FP221" s="24"/>
      <c r="FQ221" s="24"/>
      <c r="FR221" s="24"/>
      <c r="FS221" s="24"/>
      <c r="FT221" s="24"/>
      <c r="FU221" s="24"/>
      <c r="FV221" s="24"/>
      <c r="FW221" s="24"/>
      <c r="FX221" s="24"/>
      <c r="FY221" s="24"/>
      <c r="FZ221" s="24"/>
      <c r="GA221" s="24"/>
      <c r="GB221" s="24"/>
      <c r="GC221" s="24"/>
      <c r="GD221" s="24"/>
      <c r="GE221" s="24"/>
      <c r="GF221" s="24"/>
      <c r="GG221" s="24"/>
      <c r="GH221" s="24"/>
      <c r="GI221" s="24"/>
      <c r="GJ221" s="24"/>
      <c r="GK221" s="24"/>
      <c r="GL221" s="24"/>
      <c r="GM221" s="24"/>
      <c r="GN221" s="24"/>
      <c r="GO221" s="24"/>
      <c r="GP221" s="24"/>
      <c r="GQ221" s="24"/>
      <c r="GR221" s="24"/>
      <c r="GS221" s="24"/>
      <c r="GT221" s="24"/>
      <c r="GU221" s="24"/>
      <c r="GV221" s="24"/>
      <c r="GW221" s="24"/>
      <c r="GX221" s="24"/>
      <c r="GY221" s="24"/>
      <c r="GZ221" s="24"/>
      <c r="HA221" s="24"/>
      <c r="HB221" s="24"/>
      <c r="HC221" s="24"/>
      <c r="HD221" s="24"/>
      <c r="HE221" s="24"/>
      <c r="HF221" s="24"/>
      <c r="HG221" s="24"/>
      <c r="HH221" s="24"/>
      <c r="HI221" s="24"/>
      <c r="HJ221" s="24"/>
      <c r="HK221" s="24"/>
      <c r="HL221" s="24"/>
      <c r="HM221" s="24"/>
      <c r="HN221" s="24"/>
      <c r="HO221" s="24"/>
      <c r="HP221" s="24"/>
      <c r="HQ221" s="24"/>
      <c r="HR221" s="24"/>
      <c r="HS221" s="24"/>
      <c r="HT221" s="24"/>
      <c r="HU221" s="24"/>
      <c r="HV221" s="24"/>
      <c r="HW221" s="24"/>
      <c r="HX221" s="24"/>
      <c r="HY221" s="24"/>
      <c r="HZ221" s="24"/>
      <c r="IA221" s="24"/>
      <c r="IB221" s="24"/>
      <c r="IC221" s="24"/>
      <c r="ID221" s="24"/>
      <c r="IE221" s="24"/>
      <c r="IF221" s="24"/>
      <c r="IG221" s="24"/>
      <c r="IH221" s="24"/>
      <c r="II221" s="24"/>
      <c r="IJ221" s="24"/>
      <c r="IK221" s="24"/>
      <c r="IL221" s="24"/>
      <c r="IM221" s="24"/>
      <c r="IN221" s="24"/>
      <c r="IO221" s="24"/>
      <c r="IP221" s="24"/>
      <c r="IQ221" s="24"/>
      <c r="IR221" s="24"/>
      <c r="IS221" s="24"/>
      <c r="IT221" s="24"/>
      <c r="IU221" s="24"/>
      <c r="IV221" s="24"/>
    </row>
    <row r="222" spans="1:256" s="30" customFormat="1" x14ac:dyDescent="0.2">
      <c r="A222" s="3"/>
      <c r="B222" s="3"/>
      <c r="C222" s="21" t="s">
        <v>163</v>
      </c>
      <c r="D222" s="111"/>
      <c r="E222" s="111"/>
      <c r="F222" s="50"/>
      <c r="G222" s="50">
        <f t="shared" ref="G222:O222" ca="1" si="111">G204+G210+G220</f>
        <v>-227.61321999999973</v>
      </c>
      <c r="H222" s="50">
        <f t="shared" ca="1" si="111"/>
        <v>15.713206799999625</v>
      </c>
      <c r="I222" s="50">
        <f t="shared" ca="1" si="111"/>
        <v>16.655999208000139</v>
      </c>
      <c r="J222" s="50">
        <f t="shared" ca="1" si="111"/>
        <v>17.655359160480202</v>
      </c>
      <c r="K222" s="50">
        <f t="shared" ca="1" si="111"/>
        <v>18.714680710108951</v>
      </c>
      <c r="L222" s="50">
        <f t="shared" ca="1" si="111"/>
        <v>171.98529636252533</v>
      </c>
      <c r="M222" s="50">
        <f t="shared" ca="1" si="111"/>
        <v>558.65698978056503</v>
      </c>
      <c r="N222" s="50">
        <f t="shared" ca="1" si="111"/>
        <v>631.88502408291652</v>
      </c>
      <c r="O222" s="50">
        <f t="shared" ca="1" si="111"/>
        <v>710.98083459175496</v>
      </c>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c r="IU222" s="3"/>
      <c r="IV222" s="3"/>
    </row>
    <row r="224" spans="1:256" ht="13.5" thickBot="1" x14ac:dyDescent="0.25">
      <c r="C224" s="37" t="s">
        <v>164</v>
      </c>
      <c r="D224" s="106"/>
      <c r="E224" s="106"/>
      <c r="F224" s="106"/>
      <c r="G224" s="107"/>
      <c r="H224" s="107"/>
      <c r="I224" s="107"/>
      <c r="J224" s="107"/>
      <c r="K224" s="107"/>
      <c r="L224" s="107"/>
      <c r="M224" s="107"/>
      <c r="N224" s="107"/>
      <c r="O224" s="107"/>
    </row>
    <row r="225" spans="2:15" x14ac:dyDescent="0.2">
      <c r="C225" s="101"/>
      <c r="D225"/>
      <c r="E225"/>
      <c r="F225"/>
      <c r="G225" s="99"/>
      <c r="H225" s="99"/>
      <c r="I225" s="99"/>
      <c r="J225" s="99"/>
      <c r="K225" s="99"/>
      <c r="L225" s="99"/>
      <c r="M225" s="99"/>
      <c r="N225" s="99"/>
      <c r="O225" s="99"/>
    </row>
    <row r="226" spans="2:15" x14ac:dyDescent="0.2">
      <c r="C226" s="112" t="s">
        <v>165</v>
      </c>
      <c r="D226"/>
      <c r="E226" s="99">
        <f>E94</f>
        <v>356.7</v>
      </c>
      <c r="F226" s="99">
        <f>F94</f>
        <v>776.7</v>
      </c>
      <c r="G226" s="47">
        <v>164.1</v>
      </c>
      <c r="H226" s="47">
        <v>232.2</v>
      </c>
      <c r="I226" s="47">
        <v>296.39999999999998</v>
      </c>
      <c r="J226" s="47">
        <v>26.6</v>
      </c>
      <c r="K226" s="12"/>
      <c r="L226" s="12"/>
      <c r="M226" s="12"/>
      <c r="N226" s="12"/>
      <c r="O226" s="12"/>
    </row>
    <row r="227" spans="2:15" x14ac:dyDescent="0.2">
      <c r="C227" s="101"/>
      <c r="D227"/>
      <c r="E227"/>
      <c r="F227"/>
      <c r="G227" s="99"/>
      <c r="H227" s="99"/>
      <c r="I227" s="99"/>
      <c r="J227" s="99"/>
      <c r="K227" s="99"/>
      <c r="L227" s="99"/>
      <c r="M227" s="99"/>
      <c r="N227" s="99"/>
      <c r="O227" s="99"/>
    </row>
    <row r="228" spans="2:15" x14ac:dyDescent="0.2">
      <c r="C228" s="16" t="s">
        <v>166</v>
      </c>
      <c r="F228" s="48"/>
      <c r="G228" s="48">
        <f>-G226</f>
        <v>-164.1</v>
      </c>
      <c r="H228" s="48">
        <f>-H226</f>
        <v>-232.2</v>
      </c>
      <c r="I228" s="48">
        <f>-I226</f>
        <v>-296.39999999999998</v>
      </c>
      <c r="J228" s="48">
        <f>-J226</f>
        <v>-26.6</v>
      </c>
      <c r="K228" s="48"/>
      <c r="L228" s="48"/>
      <c r="M228" s="48"/>
      <c r="N228" s="48"/>
      <c r="O228" s="48"/>
    </row>
    <row r="229" spans="2:15" x14ac:dyDescent="0.2">
      <c r="C229" s="16" t="s">
        <v>167</v>
      </c>
      <c r="E229" s="60"/>
      <c r="F229" s="104"/>
      <c r="G229" s="98"/>
      <c r="H229" s="98"/>
      <c r="I229" s="98"/>
      <c r="J229" s="98"/>
      <c r="K229" s="98"/>
      <c r="L229" s="98"/>
      <c r="M229" s="98"/>
      <c r="N229" s="98"/>
      <c r="O229" s="98"/>
    </row>
    <row r="230" spans="2:15" x14ac:dyDescent="0.2">
      <c r="C230" s="24" t="s">
        <v>95</v>
      </c>
      <c r="D230" s="24"/>
      <c r="E230" s="56">
        <f>E96</f>
        <v>2918</v>
      </c>
      <c r="F230" s="56">
        <f>F96</f>
        <v>2720.4</v>
      </c>
      <c r="G230" s="56">
        <f t="shared" ref="G230:O230" si="112">F230+G228+G229</f>
        <v>2556.3000000000002</v>
      </c>
      <c r="H230" s="56">
        <f t="shared" si="112"/>
        <v>2324.1000000000004</v>
      </c>
      <c r="I230" s="56">
        <f t="shared" si="112"/>
        <v>2027.7000000000003</v>
      </c>
      <c r="J230" s="56">
        <f t="shared" si="112"/>
        <v>2001.1000000000004</v>
      </c>
      <c r="K230" s="56">
        <f t="shared" si="112"/>
        <v>2001.1000000000004</v>
      </c>
      <c r="L230" s="56">
        <f t="shared" si="112"/>
        <v>2001.1000000000004</v>
      </c>
      <c r="M230" s="56">
        <f t="shared" si="112"/>
        <v>2001.1000000000004</v>
      </c>
      <c r="N230" s="56">
        <f t="shared" si="112"/>
        <v>2001.1000000000004</v>
      </c>
      <c r="O230" s="56">
        <f t="shared" si="112"/>
        <v>2001.1000000000004</v>
      </c>
    </row>
    <row r="232" spans="2:15" x14ac:dyDescent="0.2">
      <c r="C232" s="16" t="s">
        <v>168</v>
      </c>
      <c r="E232" s="104"/>
      <c r="F232" s="104"/>
      <c r="G232" s="98"/>
      <c r="H232" s="98"/>
      <c r="I232" s="98"/>
      <c r="J232" s="98"/>
      <c r="K232" s="98"/>
      <c r="L232" s="98"/>
      <c r="M232" s="98"/>
      <c r="N232" s="98"/>
      <c r="O232" s="98"/>
    </row>
    <row r="233" spans="2:15" x14ac:dyDescent="0.2">
      <c r="C233" s="24" t="s">
        <v>96</v>
      </c>
      <c r="D233" s="24"/>
      <c r="E233" s="56">
        <f>E97</f>
        <v>0</v>
      </c>
      <c r="F233" s="56">
        <f>F97</f>
        <v>0</v>
      </c>
      <c r="G233" s="56">
        <f t="shared" ref="G233:O233" si="113">F233+G232</f>
        <v>0</v>
      </c>
      <c r="H233" s="56">
        <f t="shared" si="113"/>
        <v>0</v>
      </c>
      <c r="I233" s="56">
        <f t="shared" si="113"/>
        <v>0</v>
      </c>
      <c r="J233" s="56">
        <f t="shared" si="113"/>
        <v>0</v>
      </c>
      <c r="K233" s="56">
        <f t="shared" si="113"/>
        <v>0</v>
      </c>
      <c r="L233" s="56">
        <f t="shared" si="113"/>
        <v>0</v>
      </c>
      <c r="M233" s="56">
        <f t="shared" si="113"/>
        <v>0</v>
      </c>
      <c r="N233" s="56">
        <f t="shared" si="113"/>
        <v>0</v>
      </c>
      <c r="O233" s="56">
        <f t="shared" si="113"/>
        <v>0</v>
      </c>
    </row>
    <row r="234" spans="2:15" x14ac:dyDescent="0.2">
      <c r="C234" s="24"/>
      <c r="D234" s="24"/>
      <c r="E234" s="56"/>
      <c r="F234" s="56"/>
      <c r="G234" s="56"/>
      <c r="H234" s="56"/>
      <c r="I234" s="56"/>
      <c r="J234" s="56"/>
      <c r="K234" s="56"/>
      <c r="L234" s="56"/>
      <c r="M234" s="56"/>
      <c r="N234" s="56"/>
      <c r="O234" s="56"/>
    </row>
    <row r="235" spans="2:15" x14ac:dyDescent="0.2">
      <c r="B235" s="24"/>
      <c r="C235" s="95" t="s">
        <v>169</v>
      </c>
      <c r="D235" s="105"/>
      <c r="E235" s="105"/>
      <c r="F235" s="105"/>
      <c r="G235" s="105"/>
      <c r="H235" s="105"/>
      <c r="I235" s="105"/>
      <c r="J235" s="105"/>
      <c r="K235" s="105"/>
      <c r="L235" s="105"/>
      <c r="M235" s="105"/>
      <c r="N235" s="105"/>
      <c r="O235" s="105"/>
    </row>
    <row r="236" spans="2:15" x14ac:dyDescent="0.2">
      <c r="C236" s="101" t="s">
        <v>170</v>
      </c>
      <c r="D236" s="99"/>
      <c r="E236" s="99"/>
      <c r="F236" s="99"/>
      <c r="G236" s="99">
        <f t="shared" ref="G236:O236" si="114">F77</f>
        <v>489.5</v>
      </c>
      <c r="H236" s="99">
        <f t="shared" ca="1" si="114"/>
        <v>261.88678000000027</v>
      </c>
      <c r="I236" s="99">
        <f t="shared" ca="1" si="114"/>
        <v>277.5999867999999</v>
      </c>
      <c r="J236" s="99">
        <f t="shared" ca="1" si="114"/>
        <v>294.25598600800004</v>
      </c>
      <c r="K236" s="99">
        <f t="shared" ca="1" si="114"/>
        <v>311.91134516848024</v>
      </c>
      <c r="L236" s="99">
        <f t="shared" ca="1" si="114"/>
        <v>330.62602587858919</v>
      </c>
      <c r="M236" s="99">
        <f t="shared" ca="1" si="114"/>
        <v>502.61132224111452</v>
      </c>
      <c r="N236" s="99">
        <f t="shared" ca="1" si="114"/>
        <v>1061.2683120216795</v>
      </c>
      <c r="O236" s="99">
        <f t="shared" ca="1" si="114"/>
        <v>1693.1533361045961</v>
      </c>
    </row>
    <row r="237" spans="2:15" x14ac:dyDescent="0.2">
      <c r="C237" s="101" t="s">
        <v>171</v>
      </c>
      <c r="D237" s="113"/>
      <c r="E237" s="113"/>
      <c r="F237" s="113" t="s">
        <v>172</v>
      </c>
      <c r="G237" s="99">
        <f ca="1">G204+G210+SUM(G212:G218)</f>
        <v>56.990349812640488</v>
      </c>
      <c r="H237" s="99">
        <f t="shared" ref="H237:O237" ca="1" si="115">H204+H210+SUM(H212:H218)</f>
        <v>149.82006066689337</v>
      </c>
      <c r="I237" s="99">
        <f t="shared" ca="1" si="115"/>
        <v>232.94909265403294</v>
      </c>
      <c r="J237" s="99">
        <f t="shared" ca="1" si="115"/>
        <v>326.58963662756196</v>
      </c>
      <c r="K237" s="99">
        <f t="shared" ca="1" si="115"/>
        <v>429.57525033355364</v>
      </c>
      <c r="L237" s="99">
        <f t="shared" ca="1" si="115"/>
        <v>487.28693214643181</v>
      </c>
      <c r="M237" s="99">
        <f t="shared" ca="1" si="115"/>
        <v>558.65698978056503</v>
      </c>
      <c r="N237" s="99">
        <f t="shared" ca="1" si="115"/>
        <v>631.88502408291652</v>
      </c>
      <c r="O237" s="99">
        <f t="shared" ca="1" si="115"/>
        <v>710.98083459175496</v>
      </c>
    </row>
    <row r="238" spans="2:15" x14ac:dyDescent="0.2">
      <c r="C238" s="96" t="s">
        <v>173</v>
      </c>
      <c r="D238" s="114"/>
      <c r="E238" s="114"/>
      <c r="F238" s="115">
        <v>0.02</v>
      </c>
      <c r="G238" s="116">
        <f t="shared" ref="G238:O238" ca="1" si="116">$F$238*G27</f>
        <v>261.88678000000004</v>
      </c>
      <c r="H238" s="100">
        <f t="shared" ca="1" si="116"/>
        <v>277.59998680000007</v>
      </c>
      <c r="I238" s="100">
        <f t="shared" ca="1" si="116"/>
        <v>294.25598600800009</v>
      </c>
      <c r="J238" s="100">
        <f t="shared" ca="1" si="116"/>
        <v>311.91134516848007</v>
      </c>
      <c r="K238" s="100">
        <f t="shared" ca="1" si="116"/>
        <v>330.62602587858891</v>
      </c>
      <c r="L238" s="100">
        <f t="shared" ca="1" si="116"/>
        <v>350.46358743130429</v>
      </c>
      <c r="M238" s="100">
        <f t="shared" ca="1" si="116"/>
        <v>371.49140267718258</v>
      </c>
      <c r="N238" s="100">
        <f t="shared" ca="1" si="116"/>
        <v>393.78088683781351</v>
      </c>
      <c r="O238" s="100">
        <f t="shared" ca="1" si="116"/>
        <v>417.40774004808236</v>
      </c>
    </row>
    <row r="239" spans="2:15" x14ac:dyDescent="0.2">
      <c r="C239" s="117" t="s">
        <v>174</v>
      </c>
      <c r="D239" s="117"/>
      <c r="E239" s="117"/>
      <c r="F239" s="117"/>
      <c r="G239" s="118">
        <f t="shared" ref="G239:O239" ca="1" si="117">G236+G237-G238-F226+G229+G232</f>
        <v>-492.0964301873596</v>
      </c>
      <c r="H239" s="118">
        <f t="shared" ca="1" si="117"/>
        <v>-29.993146133106421</v>
      </c>
      <c r="I239" s="118">
        <f t="shared" ca="1" si="117"/>
        <v>-15.906906553967247</v>
      </c>
      <c r="J239" s="118">
        <f t="shared" ca="1" si="117"/>
        <v>12.534277467081949</v>
      </c>
      <c r="K239" s="118">
        <f t="shared" ca="1" si="117"/>
        <v>384.26056962344495</v>
      </c>
      <c r="L239" s="118">
        <f t="shared" ca="1" si="117"/>
        <v>467.44937059371671</v>
      </c>
      <c r="M239" s="118">
        <f t="shared" ca="1" si="117"/>
        <v>689.77690934449697</v>
      </c>
      <c r="N239" s="118">
        <f t="shared" ca="1" si="117"/>
        <v>1299.3724492667825</v>
      </c>
      <c r="O239" s="118">
        <f t="shared" ca="1" si="117"/>
        <v>1986.7264306482689</v>
      </c>
    </row>
    <row r="240" spans="2:15" x14ac:dyDescent="0.2">
      <c r="C240" s="119" t="s">
        <v>175</v>
      </c>
      <c r="D240" s="119"/>
      <c r="E240" s="120">
        <f>E95</f>
        <v>171.5</v>
      </c>
      <c r="F240" s="120">
        <f>F95</f>
        <v>174.1</v>
      </c>
      <c r="G240" s="120">
        <f t="shared" ref="G240:O240" ca="1" si="118">MAX(0,F240-G239)</f>
        <v>666.19643018735962</v>
      </c>
      <c r="H240" s="120">
        <f t="shared" ca="1" si="118"/>
        <v>696.18957632046602</v>
      </c>
      <c r="I240" s="120">
        <f t="shared" ca="1" si="118"/>
        <v>712.09648287443326</v>
      </c>
      <c r="J240" s="120">
        <f t="shared" ca="1" si="118"/>
        <v>699.56220540735126</v>
      </c>
      <c r="K240" s="120">
        <f t="shared" ca="1" si="118"/>
        <v>315.30163578390631</v>
      </c>
      <c r="L240" s="120">
        <f t="shared" ca="1" si="118"/>
        <v>0</v>
      </c>
      <c r="M240" s="120">
        <f t="shared" ca="1" si="118"/>
        <v>0</v>
      </c>
      <c r="N240" s="120">
        <f t="shared" ca="1" si="118"/>
        <v>0</v>
      </c>
      <c r="O240" s="120">
        <f t="shared" ca="1" si="118"/>
        <v>0</v>
      </c>
    </row>
    <row r="241" spans="1:15" x14ac:dyDescent="0.2">
      <c r="E241" s="48"/>
      <c r="F241" s="48"/>
      <c r="G241" s="48"/>
      <c r="H241" s="48"/>
      <c r="I241" s="48"/>
      <c r="J241" s="48"/>
      <c r="K241" s="48"/>
      <c r="L241" s="48"/>
      <c r="M241" s="48"/>
      <c r="N241" s="48"/>
      <c r="O241" s="48"/>
    </row>
    <row r="242" spans="1:15" ht="13.5" thickBot="1" x14ac:dyDescent="0.25">
      <c r="C242" s="37" t="s">
        <v>38</v>
      </c>
      <c r="D242" s="106"/>
      <c r="E242" s="106"/>
      <c r="F242" s="106"/>
      <c r="G242" s="107"/>
      <c r="H242" s="107"/>
      <c r="I242" s="107"/>
      <c r="J242" s="107"/>
      <c r="K242" s="107"/>
      <c r="L242" s="107"/>
      <c r="M242" s="107"/>
      <c r="N242" s="107"/>
      <c r="O242" s="107"/>
    </row>
    <row r="243" spans="1:15" x14ac:dyDescent="0.2">
      <c r="C243" s="3"/>
    </row>
    <row r="244" spans="1:15" x14ac:dyDescent="0.2">
      <c r="C244" s="16" t="s">
        <v>93</v>
      </c>
      <c r="E244" s="48">
        <f t="shared" ref="E244:O247" si="119">E94</f>
        <v>356.7</v>
      </c>
      <c r="F244" s="48">
        <f t="shared" si="119"/>
        <v>776.7</v>
      </c>
      <c r="G244" s="48">
        <f t="shared" si="119"/>
        <v>164.1</v>
      </c>
      <c r="H244" s="48">
        <f t="shared" si="119"/>
        <v>232.2</v>
      </c>
      <c r="I244" s="48">
        <f t="shared" si="119"/>
        <v>296.39999999999998</v>
      </c>
      <c r="J244" s="48">
        <f t="shared" si="119"/>
        <v>26.6</v>
      </c>
      <c r="K244" s="48">
        <f t="shared" si="119"/>
        <v>0</v>
      </c>
      <c r="L244" s="48">
        <f t="shared" si="119"/>
        <v>0</v>
      </c>
      <c r="M244" s="48">
        <f t="shared" si="119"/>
        <v>0</v>
      </c>
      <c r="N244" s="48">
        <f t="shared" si="119"/>
        <v>0</v>
      </c>
      <c r="O244" s="48">
        <f t="shared" si="119"/>
        <v>0</v>
      </c>
    </row>
    <row r="245" spans="1:15" x14ac:dyDescent="0.2">
      <c r="C245" s="16" t="s">
        <v>175</v>
      </c>
      <c r="E245" s="48">
        <f t="shared" si="119"/>
        <v>171.5</v>
      </c>
      <c r="F245" s="48">
        <f t="shared" si="119"/>
        <v>174.1</v>
      </c>
      <c r="G245" s="48">
        <f t="shared" ca="1" si="119"/>
        <v>666.19643018735962</v>
      </c>
      <c r="H245" s="48">
        <f t="shared" ca="1" si="119"/>
        <v>696.18957632046602</v>
      </c>
      <c r="I245" s="48">
        <f t="shared" ca="1" si="119"/>
        <v>712.09648287443326</v>
      </c>
      <c r="J245" s="48">
        <f t="shared" ca="1" si="119"/>
        <v>699.56220540735126</v>
      </c>
      <c r="K245" s="48">
        <f t="shared" ca="1" si="119"/>
        <v>315.30163578390631</v>
      </c>
      <c r="L245" s="48">
        <f t="shared" ca="1" si="119"/>
        <v>0</v>
      </c>
      <c r="M245" s="48">
        <f t="shared" ca="1" si="119"/>
        <v>0</v>
      </c>
      <c r="N245" s="48">
        <f t="shared" ca="1" si="119"/>
        <v>0</v>
      </c>
      <c r="O245" s="48">
        <f t="shared" ca="1" si="119"/>
        <v>0</v>
      </c>
    </row>
    <row r="246" spans="1:15" x14ac:dyDescent="0.2">
      <c r="C246" s="16" t="s">
        <v>95</v>
      </c>
      <c r="E246" s="48">
        <f t="shared" si="119"/>
        <v>2918</v>
      </c>
      <c r="F246" s="48">
        <f t="shared" si="119"/>
        <v>2720.4</v>
      </c>
      <c r="G246" s="48">
        <f t="shared" si="119"/>
        <v>2556.3000000000002</v>
      </c>
      <c r="H246" s="48">
        <f t="shared" si="119"/>
        <v>2324.1000000000004</v>
      </c>
      <c r="I246" s="48">
        <f t="shared" si="119"/>
        <v>2027.7000000000003</v>
      </c>
      <c r="J246" s="48">
        <f t="shared" si="119"/>
        <v>2001.1000000000004</v>
      </c>
      <c r="K246" s="48">
        <f t="shared" si="119"/>
        <v>2001.1000000000004</v>
      </c>
      <c r="L246" s="48">
        <f t="shared" si="119"/>
        <v>2001.1000000000004</v>
      </c>
      <c r="M246" s="48">
        <f t="shared" si="119"/>
        <v>2001.1000000000004</v>
      </c>
      <c r="N246" s="48">
        <f t="shared" si="119"/>
        <v>2001.1000000000004</v>
      </c>
      <c r="O246" s="48">
        <f t="shared" si="119"/>
        <v>2001.1000000000004</v>
      </c>
    </row>
    <row r="247" spans="1:15" x14ac:dyDescent="0.2">
      <c r="C247" s="16" t="s">
        <v>96</v>
      </c>
      <c r="E247" s="48">
        <f t="shared" si="119"/>
        <v>0</v>
      </c>
      <c r="F247" s="48">
        <f t="shared" si="119"/>
        <v>0</v>
      </c>
      <c r="G247" s="48">
        <f t="shared" si="119"/>
        <v>0</v>
      </c>
      <c r="H247" s="48">
        <f t="shared" si="119"/>
        <v>0</v>
      </c>
      <c r="I247" s="48">
        <f t="shared" si="119"/>
        <v>0</v>
      </c>
      <c r="J247" s="48">
        <f t="shared" si="119"/>
        <v>0</v>
      </c>
      <c r="K247" s="48">
        <f t="shared" si="119"/>
        <v>0</v>
      </c>
      <c r="L247" s="48">
        <f t="shared" si="119"/>
        <v>0</v>
      </c>
      <c r="M247" s="48">
        <f t="shared" si="119"/>
        <v>0</v>
      </c>
      <c r="N247" s="48">
        <f t="shared" si="119"/>
        <v>0</v>
      </c>
      <c r="O247" s="48">
        <f t="shared" si="119"/>
        <v>0</v>
      </c>
    </row>
    <row r="248" spans="1:15" x14ac:dyDescent="0.2">
      <c r="C248" s="16" t="s">
        <v>176</v>
      </c>
      <c r="E248" s="48">
        <f t="shared" ref="E248:O248" si="120">SUM(E244:E247)</f>
        <v>3446.2</v>
      </c>
      <c r="F248" s="48">
        <f t="shared" si="120"/>
        <v>3671.2000000000003</v>
      </c>
      <c r="G248" s="48">
        <f t="shared" ca="1" si="120"/>
        <v>3386.5964301873601</v>
      </c>
      <c r="H248" s="48">
        <f t="shared" ca="1" si="120"/>
        <v>3252.4895763204663</v>
      </c>
      <c r="I248" s="48">
        <f t="shared" ca="1" si="120"/>
        <v>3036.1964828744335</v>
      </c>
      <c r="J248" s="48">
        <f t="shared" ca="1" si="120"/>
        <v>2727.2622054073518</v>
      </c>
      <c r="K248" s="48">
        <f t="shared" ca="1" si="120"/>
        <v>2316.4016357839068</v>
      </c>
      <c r="L248" s="48">
        <f t="shared" ca="1" si="120"/>
        <v>2001.1000000000004</v>
      </c>
      <c r="M248" s="48">
        <f t="shared" ca="1" si="120"/>
        <v>2001.1000000000004</v>
      </c>
      <c r="N248" s="48">
        <f t="shared" ca="1" si="120"/>
        <v>2001.1000000000004</v>
      </c>
      <c r="O248" s="48">
        <f t="shared" ca="1" si="120"/>
        <v>2001.1000000000004</v>
      </c>
    </row>
    <row r="249" spans="1:15" x14ac:dyDescent="0.2">
      <c r="C249" s="16" t="s">
        <v>38</v>
      </c>
      <c r="E249" s="48">
        <f>E33</f>
        <v>136</v>
      </c>
      <c r="F249" s="48">
        <f>F33</f>
        <v>158.69999999999999</v>
      </c>
      <c r="G249" s="48">
        <f t="shared" ref="G249:O249" ca="1" si="121">AVERAGE(G248,F248)*G250</f>
        <v>158.80041967921559</v>
      </c>
      <c r="H249" s="48">
        <f t="shared" ca="1" si="121"/>
        <v>149.37943514642609</v>
      </c>
      <c r="I249" s="48">
        <f t="shared" ca="1" si="121"/>
        <v>141.49543633188523</v>
      </c>
      <c r="J249" s="48">
        <f t="shared" ca="1" si="121"/>
        <v>129.67782048634018</v>
      </c>
      <c r="K249" s="48">
        <f t="shared" ca="1" si="121"/>
        <v>113.48243642680332</v>
      </c>
      <c r="L249" s="48">
        <f t="shared" ca="1" si="121"/>
        <v>97.143786805137893</v>
      </c>
      <c r="M249" s="48">
        <f t="shared" ca="1" si="121"/>
        <v>90.049500000000009</v>
      </c>
      <c r="N249" s="48">
        <f t="shared" ca="1" si="121"/>
        <v>90.049500000000009</v>
      </c>
      <c r="O249" s="48">
        <f t="shared" ca="1" si="121"/>
        <v>90.049500000000009</v>
      </c>
    </row>
    <row r="250" spans="1:15" x14ac:dyDescent="0.2">
      <c r="C250" s="16" t="s">
        <v>177</v>
      </c>
      <c r="F250" s="73">
        <f>F249/AVERAGE(E248,F248)</f>
        <v>4.4594936353162667E-2</v>
      </c>
      <c r="G250" s="121">
        <v>4.4999999999999998E-2</v>
      </c>
      <c r="H250" s="121">
        <v>4.4999999999999998E-2</v>
      </c>
      <c r="I250" s="121">
        <v>4.4999999999999998E-2</v>
      </c>
      <c r="J250" s="121">
        <v>4.4999999999999998E-2</v>
      </c>
      <c r="K250" s="121">
        <v>4.4999999999999998E-2</v>
      </c>
      <c r="L250" s="121">
        <v>4.4999999999999998E-2</v>
      </c>
      <c r="M250" s="121">
        <v>4.4999999999999998E-2</v>
      </c>
      <c r="N250" s="121">
        <v>4.4999999999999998E-2</v>
      </c>
      <c r="O250" s="121">
        <v>4.4999999999999998E-2</v>
      </c>
    </row>
    <row r="252" spans="1:15" x14ac:dyDescent="0.2">
      <c r="A252" s="16"/>
      <c r="C252" s="122" t="s">
        <v>178</v>
      </c>
      <c r="D252" s="123"/>
      <c r="E252" s="123"/>
      <c r="F252" s="123"/>
      <c r="G252" s="124"/>
      <c r="H252" s="124"/>
      <c r="I252" s="123"/>
      <c r="J252" s="123"/>
      <c r="K252" s="123"/>
      <c r="L252" s="123"/>
      <c r="M252" s="123"/>
      <c r="N252" s="123"/>
      <c r="O252" s="123"/>
    </row>
    <row r="253" spans="1:15" x14ac:dyDescent="0.2">
      <c r="A253" s="16"/>
      <c r="C253" s="45"/>
      <c r="D253" s="60"/>
      <c r="E253" s="60"/>
      <c r="F253" s="60"/>
      <c r="G253" s="125">
        <f t="shared" ref="G253:O253" si="122">G25</f>
        <v>39447</v>
      </c>
      <c r="H253" s="125">
        <f t="shared" si="122"/>
        <v>39813</v>
      </c>
      <c r="I253" s="125">
        <f t="shared" si="122"/>
        <v>40178</v>
      </c>
      <c r="J253" s="125">
        <f t="shared" si="122"/>
        <v>40543</v>
      </c>
      <c r="K253" s="125">
        <f t="shared" si="122"/>
        <v>40908</v>
      </c>
      <c r="L253" s="125">
        <f t="shared" si="122"/>
        <v>41274</v>
      </c>
      <c r="M253" s="125">
        <f t="shared" si="122"/>
        <v>41639</v>
      </c>
      <c r="N253" s="125">
        <f t="shared" si="122"/>
        <v>42004</v>
      </c>
      <c r="O253" s="125">
        <f t="shared" si="122"/>
        <v>42369</v>
      </c>
    </row>
    <row r="254" spans="1:15" x14ac:dyDescent="0.2">
      <c r="A254" s="16"/>
      <c r="C254" s="59" t="s">
        <v>179</v>
      </c>
      <c r="D254" s="60"/>
      <c r="E254" s="60"/>
      <c r="F254" s="60"/>
      <c r="G254" s="60"/>
      <c r="H254" s="60"/>
      <c r="I254" s="60"/>
      <c r="J254" s="60"/>
      <c r="K254" s="60"/>
      <c r="L254" s="60"/>
      <c r="M254" s="60"/>
      <c r="N254" s="60"/>
      <c r="O254" s="60"/>
    </row>
    <row r="255" spans="1:15" x14ac:dyDescent="0.2">
      <c r="A255" s="16"/>
      <c r="C255" s="16" t="s">
        <v>180</v>
      </c>
      <c r="G255" s="73">
        <f t="shared" ref="G255:O255" ca="1" si="123">(G97+G96+G94+G95)/(G167*G59)</f>
        <v>9.433014738543645E-2</v>
      </c>
      <c r="H255" s="73">
        <f t="shared" ca="1" si="123"/>
        <v>8.3208145945402476E-2</v>
      </c>
      <c r="I255" s="73">
        <f t="shared" ca="1" si="123"/>
        <v>7.1703041632951312E-2</v>
      </c>
      <c r="J255" s="73">
        <f t="shared" ca="1" si="123"/>
        <v>5.9385094505352919E-2</v>
      </c>
      <c r="K255" s="73">
        <f t="shared" ca="1" si="123"/>
        <v>4.6454279434462863E-2</v>
      </c>
      <c r="L255" s="73">
        <f t="shared" ca="1" si="123"/>
        <v>3.6922630262848227E-2</v>
      </c>
      <c r="M255" s="73">
        <f t="shared" ca="1" si="123"/>
        <v>3.3937996258650092E-2</v>
      </c>
      <c r="N255" s="73">
        <f t="shared" ca="1" si="123"/>
        <v>3.1166705850570544E-2</v>
      </c>
      <c r="O255" s="73">
        <f t="shared" ca="1" si="123"/>
        <v>2.8597946741174794E-2</v>
      </c>
    </row>
    <row r="256" spans="1:15" x14ac:dyDescent="0.2">
      <c r="A256" s="16"/>
    </row>
    <row r="257" spans="1:15" x14ac:dyDescent="0.2">
      <c r="A257" s="16"/>
      <c r="C257" s="126" t="s">
        <v>181</v>
      </c>
      <c r="D257" s="126"/>
      <c r="E257" s="126"/>
      <c r="F257" s="126"/>
      <c r="G257" s="126"/>
      <c r="H257" s="126"/>
      <c r="I257" s="126"/>
      <c r="J257" s="126"/>
      <c r="K257" s="126"/>
      <c r="L257" s="126"/>
      <c r="M257" s="126"/>
      <c r="N257" s="126"/>
      <c r="O257" s="126"/>
    </row>
    <row r="258" spans="1:15" x14ac:dyDescent="0.2">
      <c r="A258" s="16"/>
      <c r="C258" s="16" t="s">
        <v>182</v>
      </c>
      <c r="G258" s="127">
        <f t="shared" ref="G258:O258" ca="1" si="124">G47/G33</f>
        <v>20.014359398620968</v>
      </c>
      <c r="H258" s="127">
        <f t="shared" ca="1" si="124"/>
        <v>23.092005711213158</v>
      </c>
      <c r="I258" s="127">
        <f t="shared" ca="1" si="124"/>
        <v>26.367559862219331</v>
      </c>
      <c r="J258" s="127">
        <f t="shared" ca="1" si="124"/>
        <v>31.105192023125149</v>
      </c>
      <c r="K258" s="127">
        <f t="shared" ca="1" si="124"/>
        <v>38.420441921499055</v>
      </c>
      <c r="L258" s="127">
        <f t="shared" ca="1" si="124"/>
        <v>47.575333753332124</v>
      </c>
      <c r="M258" s="127">
        <f t="shared" ca="1" si="124"/>
        <v>54.402822492917736</v>
      </c>
      <c r="N258" s="127">
        <f t="shared" ca="1" si="124"/>
        <v>57.666991842492806</v>
      </c>
      <c r="O258" s="127">
        <f t="shared" ca="1" si="124"/>
        <v>61.127011353042384</v>
      </c>
    </row>
    <row r="259" spans="1:15" x14ac:dyDescent="0.2">
      <c r="A259" s="16"/>
      <c r="C259" s="16" t="s">
        <v>183</v>
      </c>
      <c r="G259" s="127">
        <f t="shared" ref="G259:O259" ca="1" si="125">(G47+G206)/G33</f>
        <v>15.891467586857754</v>
      </c>
      <c r="H259" s="127">
        <f t="shared" ca="1" si="125"/>
        <v>18.446118770218092</v>
      </c>
      <c r="I259" s="127">
        <f t="shared" ca="1" si="125"/>
        <v>21.168523171774304</v>
      </c>
      <c r="J259" s="127">
        <f t="shared" ca="1" si="125"/>
        <v>25.091994392283262</v>
      </c>
      <c r="K259" s="127">
        <f t="shared" ca="1" si="125"/>
        <v>31.136803230593696</v>
      </c>
      <c r="L259" s="127">
        <f t="shared" ca="1" si="125"/>
        <v>38.556136567455887</v>
      </c>
      <c r="M259" s="127">
        <f t="shared" ca="1" si="125"/>
        <v>44.089289306248673</v>
      </c>
      <c r="N259" s="127">
        <f t="shared" ca="1" si="125"/>
        <v>46.73464666462359</v>
      </c>
      <c r="O259" s="127">
        <f t="shared" ca="1" si="125"/>
        <v>49.53872546450102</v>
      </c>
    </row>
    <row r="260" spans="1:15" x14ac:dyDescent="0.2">
      <c r="A260" s="16"/>
      <c r="C260" s="16" t="s">
        <v>184</v>
      </c>
      <c r="G260" s="127">
        <f t="shared" ref="G260:O260" ca="1" si="126">SUM(G94:G97)/G47</f>
        <v>1.0655408553362451</v>
      </c>
      <c r="H260" s="127">
        <f t="shared" ca="1" si="126"/>
        <v>0.94289524208813003</v>
      </c>
      <c r="I260" s="127">
        <f t="shared" ca="1" si="126"/>
        <v>0.81379965133100529</v>
      </c>
      <c r="J260" s="127">
        <f t="shared" ca="1" si="126"/>
        <v>0.67612703977316646</v>
      </c>
      <c r="K260" s="127">
        <f t="shared" ca="1" si="126"/>
        <v>0.53127925185809832</v>
      </c>
      <c r="L260" s="127">
        <f t="shared" ca="1" si="126"/>
        <v>0.4329840709757673</v>
      </c>
      <c r="M260" s="127">
        <f t="shared" ca="1" si="126"/>
        <v>0.40847553865638414</v>
      </c>
      <c r="N260" s="127">
        <f t="shared" ca="1" si="126"/>
        <v>0.38535428175130576</v>
      </c>
      <c r="O260" s="127">
        <f t="shared" ca="1" si="126"/>
        <v>0.36354177523708081</v>
      </c>
    </row>
    <row r="261" spans="1:15" x14ac:dyDescent="0.2">
      <c r="A261" s="16"/>
      <c r="C261" s="16" t="s">
        <v>185</v>
      </c>
      <c r="G261" s="73">
        <f t="shared" ref="G261:O261" ca="1" si="127">SUM(G94:G97)/(SUM(G94:G97)+G109)</f>
        <v>0.63590801913265371</v>
      </c>
      <c r="H261" s="73">
        <f t="shared" ca="1" si="127"/>
        <v>0.56949285837008701</v>
      </c>
      <c r="I261" s="73">
        <f t="shared" ca="1" si="127"/>
        <v>0.49603511745404782</v>
      </c>
      <c r="J261" s="73">
        <f t="shared" ca="1" si="127"/>
        <v>0.41613901914643514</v>
      </c>
      <c r="K261" s="73">
        <f t="shared" ca="1" si="127"/>
        <v>0.33040794496265563</v>
      </c>
      <c r="L261" s="73">
        <f t="shared" ca="1" si="127"/>
        <v>0.26112018770735723</v>
      </c>
      <c r="M261" s="73">
        <f t="shared" ca="1" si="127"/>
        <v>0.22912046301580591</v>
      </c>
      <c r="N261" s="73">
        <f t="shared" ca="1" si="127"/>
        <v>0.20193655958553108</v>
      </c>
      <c r="O261" s="73">
        <f t="shared" ca="1" si="127"/>
        <v>0.17871771061918593</v>
      </c>
    </row>
    <row r="262" spans="1:15" x14ac:dyDescent="0.2">
      <c r="A262" s="16"/>
      <c r="C262" s="16" t="s">
        <v>186</v>
      </c>
      <c r="G262" s="128">
        <f t="shared" ref="G262:O262" ca="1" si="128">(SUM(G94:G97)-G77)/G47</f>
        <v>0.98314217887303956</v>
      </c>
      <c r="H262" s="128">
        <f t="shared" ca="1" si="128"/>
        <v>0.86241913275235094</v>
      </c>
      <c r="I262" s="128">
        <f t="shared" ca="1" si="128"/>
        <v>0.73492945298710088</v>
      </c>
      <c r="J262" s="128">
        <f t="shared" ca="1" si="128"/>
        <v>0.59879978680046175</v>
      </c>
      <c r="K262" s="128">
        <f t="shared" ca="1" si="128"/>
        <v>0.45544838342834576</v>
      </c>
      <c r="L262" s="128">
        <f t="shared" ca="1" si="128"/>
        <v>0.32423253610870872</v>
      </c>
      <c r="M262" s="128">
        <f t="shared" ca="1" si="128"/>
        <v>0.19184361350921159</v>
      </c>
      <c r="N262" s="128">
        <f t="shared" ca="1" si="128"/>
        <v>5.9301666824808488E-2</v>
      </c>
      <c r="O262" s="128">
        <f t="shared" ca="1" si="128"/>
        <v>-7.3219608163588051E-2</v>
      </c>
    </row>
    <row r="263" spans="1:15" x14ac:dyDescent="0.2">
      <c r="A263" s="16"/>
      <c r="C263" s="16" t="s">
        <v>187</v>
      </c>
      <c r="G263" s="127">
        <f t="shared" ref="G263:O263" ca="1" si="129">G32/G33</f>
        <v>17.799573060458457</v>
      </c>
      <c r="H263" s="127">
        <f t="shared" ca="1" si="129"/>
        <v>20.596270340179256</v>
      </c>
      <c r="I263" s="127">
        <f t="shared" ca="1" si="129"/>
        <v>23.574676624112037</v>
      </c>
      <c r="J263" s="127">
        <f t="shared" ca="1" si="129"/>
        <v>27.87494767776985</v>
      </c>
      <c r="K263" s="127">
        <f t="shared" ca="1" si="129"/>
        <v>34.507726235217177</v>
      </c>
      <c r="L263" s="127">
        <f t="shared" ca="1" si="129"/>
        <v>42.730289153452212</v>
      </c>
      <c r="M263" s="127">
        <f t="shared" ca="1" si="129"/>
        <v>48.862470370446815</v>
      </c>
      <c r="N263" s="127">
        <f t="shared" ca="1" si="129"/>
        <v>51.794218592673623</v>
      </c>
      <c r="O263" s="127">
        <f t="shared" ca="1" si="129"/>
        <v>54.901871708234054</v>
      </c>
    </row>
    <row r="264" spans="1:15" x14ac:dyDescent="0.2">
      <c r="A264" s="16"/>
    </row>
    <row r="265" spans="1:15" x14ac:dyDescent="0.2">
      <c r="A265" s="16"/>
      <c r="C265" s="126" t="s">
        <v>188</v>
      </c>
      <c r="D265" s="126"/>
      <c r="E265" s="126"/>
      <c r="F265" s="126"/>
      <c r="G265" s="126"/>
      <c r="H265" s="126"/>
      <c r="I265" s="126"/>
      <c r="J265" s="126"/>
      <c r="K265" s="126"/>
      <c r="L265" s="126"/>
      <c r="M265" s="126"/>
      <c r="N265" s="126"/>
      <c r="O265" s="126"/>
    </row>
    <row r="266" spans="1:15" x14ac:dyDescent="0.2">
      <c r="A266" s="16"/>
      <c r="C266" s="16" t="s">
        <v>189</v>
      </c>
      <c r="G266" s="127">
        <f t="shared" ref="G266:O266" ca="1" si="130">SUM(G77:G82)/SUM(G90:G93)</f>
        <v>1.2494149381198449</v>
      </c>
      <c r="H266" s="127">
        <f t="shared" ca="1" si="130"/>
        <v>1.2812008081856772</v>
      </c>
      <c r="I266" s="127">
        <f t="shared" ca="1" si="130"/>
        <v>1.3112816715350233</v>
      </c>
      <c r="J266" s="127">
        <f t="shared" ca="1" si="130"/>
        <v>1.3413587130482096</v>
      </c>
      <c r="K266" s="127">
        <f t="shared" ca="1" si="130"/>
        <v>1.3713635487869282</v>
      </c>
      <c r="L266" s="127">
        <f t="shared" ca="1" si="130"/>
        <v>1.4535267672408581</v>
      </c>
      <c r="M266" s="127">
        <f t="shared" ca="1" si="130"/>
        <v>1.6593093339098386</v>
      </c>
      <c r="N266" s="127">
        <f t="shared" ca="1" si="130"/>
        <v>1.8763251890790151</v>
      </c>
      <c r="O266" s="127">
        <f t="shared" ca="1" si="130"/>
        <v>2.1039210040712257</v>
      </c>
    </row>
    <row r="267" spans="1:15" x14ac:dyDescent="0.2">
      <c r="A267" s="16"/>
      <c r="C267" s="16" t="s">
        <v>190</v>
      </c>
      <c r="G267" s="127">
        <f t="shared" ref="G267:O267" ca="1" si="131">G77/SUM(G90:G93)</f>
        <v>0.10161451216237702</v>
      </c>
      <c r="H267" s="127">
        <f t="shared" ca="1" si="131"/>
        <v>0.10577605205793095</v>
      </c>
      <c r="I267" s="127">
        <f t="shared" ca="1" si="131"/>
        <v>0.10919970144750792</v>
      </c>
      <c r="J267" s="127">
        <f t="shared" ca="1" si="131"/>
        <v>0.11265244318193188</v>
      </c>
      <c r="K267" s="127">
        <f t="shared" ca="1" si="131"/>
        <v>0.11612819797561176</v>
      </c>
      <c r="L267" s="127">
        <f t="shared" ca="1" si="131"/>
        <v>0.17093116773634429</v>
      </c>
      <c r="M267" s="127">
        <f t="shared" ca="1" si="131"/>
        <v>0.34925090254328939</v>
      </c>
      <c r="N267" s="127">
        <f t="shared" ca="1" si="131"/>
        <v>0.53881624619352841</v>
      </c>
      <c r="O267" s="127">
        <f t="shared" ca="1" si="131"/>
        <v>0.73922502132235401</v>
      </c>
    </row>
    <row r="268" spans="1:15" x14ac:dyDescent="0.2">
      <c r="A268" s="16"/>
    </row>
    <row r="269" spans="1:15" x14ac:dyDescent="0.2">
      <c r="A269" s="16"/>
      <c r="C269" s="126" t="s">
        <v>191</v>
      </c>
      <c r="D269" s="126"/>
      <c r="E269" s="126"/>
      <c r="F269" s="126"/>
      <c r="G269" s="126"/>
      <c r="H269" s="126"/>
      <c r="I269" s="126"/>
      <c r="J269" s="126"/>
      <c r="K269" s="126"/>
      <c r="L269" s="126"/>
      <c r="M269" s="126"/>
      <c r="N269" s="126"/>
      <c r="O269" s="126"/>
    </row>
    <row r="270" spans="1:15" x14ac:dyDescent="0.2">
      <c r="A270" s="16"/>
      <c r="C270" s="16" t="s">
        <v>192</v>
      </c>
      <c r="G270" s="73">
        <f t="shared" ref="G270:O270" ca="1" si="132">(G36*(1-G69))/(AVERAGE(SUM(G94:G97)+G109,SUM(F94:F97)+F109))</f>
        <v>0.34549232324914653</v>
      </c>
      <c r="H270" s="73">
        <f t="shared" ca="1" si="132"/>
        <v>0.36133044015299326</v>
      </c>
      <c r="I270" s="73">
        <f t="shared" ca="1" si="132"/>
        <v>0.36777720340631354</v>
      </c>
      <c r="J270" s="73">
        <f t="shared" ca="1" si="132"/>
        <v>0.37459411882508292</v>
      </c>
      <c r="K270" s="73">
        <f t="shared" ca="1" si="132"/>
        <v>0.38190468454420012</v>
      </c>
      <c r="L270" s="73">
        <f t="shared" ca="1" si="132"/>
        <v>0.37635208896019523</v>
      </c>
      <c r="M270" s="73">
        <f t="shared" ca="1" si="132"/>
        <v>0.35808534297008265</v>
      </c>
      <c r="N270" s="73">
        <f t="shared" ca="1" si="132"/>
        <v>0.33423722500998271</v>
      </c>
      <c r="O270" s="73">
        <f t="shared" ca="1" si="132"/>
        <v>0.31329402501044334</v>
      </c>
    </row>
    <row r="271" spans="1:15" x14ac:dyDescent="0.2">
      <c r="A271" s="16"/>
    </row>
    <row r="272" spans="1:15" x14ac:dyDescent="0.2">
      <c r="A272" s="16"/>
      <c r="C272" s="126" t="s">
        <v>193</v>
      </c>
      <c r="D272" s="126"/>
      <c r="E272" s="126"/>
      <c r="F272" s="126"/>
      <c r="G272" s="126"/>
      <c r="H272" s="126"/>
      <c r="I272" s="126"/>
      <c r="J272" s="126"/>
      <c r="K272" s="126"/>
      <c r="L272" s="126"/>
      <c r="M272" s="126"/>
      <c r="N272" s="126"/>
      <c r="O272" s="126"/>
    </row>
    <row r="273" spans="1:15" x14ac:dyDescent="0.2">
      <c r="A273" s="16"/>
      <c r="C273" s="16" t="s">
        <v>194</v>
      </c>
      <c r="G273" s="73">
        <f t="shared" ref="G273:O273" ca="1" si="133">G32/G27</f>
        <v>0.21586272297606338</v>
      </c>
      <c r="H273" s="73">
        <f t="shared" ca="1" si="133"/>
        <v>0.22166133831668222</v>
      </c>
      <c r="I273" s="73">
        <f t="shared" ca="1" si="133"/>
        <v>0.22672158351409977</v>
      </c>
      <c r="J273" s="73">
        <f t="shared" ca="1" si="133"/>
        <v>0.2317814030824327</v>
      </c>
      <c r="K273" s="73">
        <f t="shared" ca="1" si="133"/>
        <v>0.23688521424260717</v>
      </c>
      <c r="L273" s="73">
        <f t="shared" ca="1" si="133"/>
        <v>0.23688521424260706</v>
      </c>
      <c r="M273" s="73">
        <f t="shared" ca="1" si="133"/>
        <v>0.23688521424260711</v>
      </c>
      <c r="N273" s="73">
        <f t="shared" ca="1" si="133"/>
        <v>0.23688521424260711</v>
      </c>
      <c r="O273" s="73">
        <f t="shared" ca="1" si="133"/>
        <v>0.23688521424260714</v>
      </c>
    </row>
    <row r="274" spans="1:15" x14ac:dyDescent="0.2">
      <c r="A274" s="16"/>
      <c r="C274" s="16" t="s">
        <v>195</v>
      </c>
      <c r="G274" s="127">
        <f t="shared" ref="G274:O274" ca="1" si="134">G27/G88</f>
        <v>1.3985861528093548</v>
      </c>
      <c r="H274" s="127">
        <f t="shared" ca="1" si="134"/>
        <v>1.4121840907557306</v>
      </c>
      <c r="I274" s="127">
        <f t="shared" ca="1" si="134"/>
        <v>1.4224721581225115</v>
      </c>
      <c r="J274" s="127">
        <f t="shared" ca="1" si="134"/>
        <v>1.4324240234445997</v>
      </c>
      <c r="K274" s="127">
        <f t="shared" ca="1" si="134"/>
        <v>1.4420522068508959</v>
      </c>
      <c r="L274" s="127">
        <f t="shared" ca="1" si="134"/>
        <v>1.4313681298600562</v>
      </c>
      <c r="M274" s="127">
        <f t="shared" ca="1" si="134"/>
        <v>1.3816407610121606</v>
      </c>
      <c r="N274" s="127">
        <f t="shared" ca="1" si="134"/>
        <v>1.3341952549193994</v>
      </c>
      <c r="O274" s="127">
        <f t="shared" ca="1" si="134"/>
        <v>1.289041528239343</v>
      </c>
    </row>
    <row r="275" spans="1:15" x14ac:dyDescent="0.2">
      <c r="A275" s="16"/>
      <c r="C275" s="16" t="s">
        <v>196</v>
      </c>
      <c r="G275" s="73">
        <f t="shared" ref="G275:O275" ca="1" si="135">G33/G27</f>
        <v>1.2127410148707435E-2</v>
      </c>
      <c r="H275" s="73">
        <f t="shared" ca="1" si="135"/>
        <v>1.0762207654861897E-2</v>
      </c>
      <c r="I275" s="73">
        <f t="shared" ca="1" si="135"/>
        <v>9.6171662130970781E-3</v>
      </c>
      <c r="J275" s="73">
        <f t="shared" ca="1" si="135"/>
        <v>8.315043520862906E-3</v>
      </c>
      <c r="K275" s="73">
        <f t="shared" ca="1" si="135"/>
        <v>6.8647007521710256E-3</v>
      </c>
      <c r="L275" s="73">
        <f t="shared" ca="1" si="135"/>
        <v>5.5437306635559925E-3</v>
      </c>
      <c r="M275" s="73">
        <f t="shared" ca="1" si="135"/>
        <v>4.8479991381254629E-3</v>
      </c>
      <c r="N275" s="73">
        <f t="shared" ca="1" si="135"/>
        <v>4.5735840925711906E-3</v>
      </c>
      <c r="O275" s="73">
        <f t="shared" ca="1" si="135"/>
        <v>4.3147019741237649E-3</v>
      </c>
    </row>
    <row r="276" spans="1:15" x14ac:dyDescent="0.2">
      <c r="A276" s="16"/>
      <c r="C276" s="16" t="s">
        <v>197</v>
      </c>
      <c r="G276" s="127">
        <f t="shared" ref="G276:O276" ca="1" si="136">G88/G109</f>
        <v>4.8285207037505256</v>
      </c>
      <c r="H276" s="127">
        <f t="shared" ca="1" si="136"/>
        <v>3.9975153444831006</v>
      </c>
      <c r="I276" s="127">
        <f t="shared" ca="1" si="136"/>
        <v>3.3530019987297197</v>
      </c>
      <c r="J276" s="127">
        <f t="shared" ca="1" si="136"/>
        <v>2.845323642740238</v>
      </c>
      <c r="K276" s="127">
        <f t="shared" ca="1" si="136"/>
        <v>2.4420378145975423</v>
      </c>
      <c r="L276" s="127">
        <f t="shared" ca="1" si="136"/>
        <v>2.1620185692549891</v>
      </c>
      <c r="M276" s="127">
        <f t="shared" ca="1" si="136"/>
        <v>1.9967891279252634</v>
      </c>
      <c r="N276" s="127">
        <f t="shared" ca="1" si="136"/>
        <v>1.8660101002243741</v>
      </c>
      <c r="O276" s="127">
        <f t="shared" ca="1" si="136"/>
        <v>1.7606374538518677</v>
      </c>
    </row>
    <row r="277" spans="1:15" x14ac:dyDescent="0.2">
      <c r="A277" s="16"/>
      <c r="C277" s="16" t="s">
        <v>198</v>
      </c>
      <c r="G277" s="73">
        <f t="shared" ref="G277:O277" ca="1" si="137">1-G38/G36</f>
        <v>0.68116749833666013</v>
      </c>
      <c r="H277" s="73">
        <f t="shared" ca="1" si="137"/>
        <v>0.68116749833666013</v>
      </c>
      <c r="I277" s="73">
        <f t="shared" ca="1" si="137"/>
        <v>0.68116749833666013</v>
      </c>
      <c r="J277" s="73">
        <f t="shared" ca="1" si="137"/>
        <v>0.68116749833666013</v>
      </c>
      <c r="K277" s="73">
        <f t="shared" ca="1" si="137"/>
        <v>0.68116749833666013</v>
      </c>
      <c r="L277" s="73">
        <f t="shared" ca="1" si="137"/>
        <v>0.68116749833666013</v>
      </c>
      <c r="M277" s="73">
        <f t="shared" ca="1" si="137"/>
        <v>0.68116749833666013</v>
      </c>
      <c r="N277" s="73">
        <f t="shared" ca="1" si="137"/>
        <v>0.68116749833666013</v>
      </c>
      <c r="O277" s="73">
        <f t="shared" ca="1" si="137"/>
        <v>0.68116749833666013</v>
      </c>
    </row>
    <row r="278" spans="1:15" x14ac:dyDescent="0.2">
      <c r="A278" s="16"/>
      <c r="C278" s="16" t="s">
        <v>199</v>
      </c>
      <c r="G278" s="73">
        <f t="shared" ref="G278:O278" ca="1" si="138">(G273*G274-G275)*G276*G277</f>
        <v>0.95307973941404822</v>
      </c>
      <c r="H278" s="73">
        <f t="shared" ca="1" si="138"/>
        <v>0.82305918972047099</v>
      </c>
      <c r="I278" s="73">
        <f t="shared" ca="1" si="138"/>
        <v>0.71462236030583581</v>
      </c>
      <c r="J278" s="73">
        <f t="shared" ca="1" si="138"/>
        <v>0.62736533267535077</v>
      </c>
      <c r="K278" s="73">
        <f t="shared" ca="1" si="138"/>
        <v>0.55681241856588048</v>
      </c>
      <c r="L278" s="73">
        <f t="shared" ca="1" si="138"/>
        <v>0.49118298358066942</v>
      </c>
      <c r="M278" s="73">
        <f t="shared" ca="1" si="138"/>
        <v>0.43856915990861517</v>
      </c>
      <c r="N278" s="73">
        <f t="shared" ca="1" si="138"/>
        <v>0.395908339876132</v>
      </c>
      <c r="O278" s="73">
        <f t="shared" ca="1" si="138"/>
        <v>0.36103417535274246</v>
      </c>
    </row>
    <row r="279" spans="1:15" x14ac:dyDescent="0.2">
      <c r="A279" s="16"/>
    </row>
    <row r="280" spans="1:15" ht="13.5" thickBot="1" x14ac:dyDescent="0.25">
      <c r="A280" s="16"/>
      <c r="C280" s="75" t="s">
        <v>200</v>
      </c>
      <c r="D280" s="76"/>
      <c r="E280" s="76"/>
      <c r="F280" s="76"/>
      <c r="G280" s="77"/>
      <c r="H280" s="77"/>
      <c r="I280" s="76"/>
      <c r="J280" s="76"/>
      <c r="K280" s="76"/>
      <c r="L280" s="76"/>
      <c r="M280" s="76"/>
      <c r="N280" s="76"/>
      <c r="O280" s="76"/>
    </row>
    <row r="281" spans="1:15" x14ac:dyDescent="0.2">
      <c r="A281" s="16"/>
      <c r="C281" s="48"/>
      <c r="D281" s="48"/>
      <c r="E281" s="48"/>
      <c r="F281" s="48"/>
      <c r="G281" s="48"/>
      <c r="H281" s="48"/>
      <c r="I281" s="48"/>
      <c r="J281" s="48"/>
      <c r="K281" s="48"/>
      <c r="L281" s="48"/>
      <c r="M281" s="48"/>
      <c r="N281" s="48"/>
      <c r="O281" s="48"/>
    </row>
    <row r="282" spans="1:15" x14ac:dyDescent="0.2">
      <c r="A282" s="16"/>
      <c r="C282" s="126" t="s">
        <v>66</v>
      </c>
      <c r="D282" s="45"/>
      <c r="E282" s="45"/>
      <c r="F282" s="45"/>
      <c r="G282" s="45"/>
      <c r="H282" s="45"/>
      <c r="I282" s="45"/>
      <c r="J282" s="45"/>
      <c r="K282" s="45"/>
      <c r="L282" s="45"/>
      <c r="M282" s="45"/>
      <c r="N282" s="45"/>
      <c r="O282" s="45"/>
    </row>
    <row r="283" spans="1:15" x14ac:dyDescent="0.2">
      <c r="A283" s="16"/>
      <c r="C283" s="16" t="s">
        <v>201</v>
      </c>
      <c r="F283" s="3">
        <v>1</v>
      </c>
      <c r="G283" s="22">
        <f t="shared" ref="G283:O283" si="139">G284+0.01</f>
        <v>0.08</v>
      </c>
      <c r="H283" s="22">
        <f t="shared" si="139"/>
        <v>6.9999999999999993E-2</v>
      </c>
      <c r="I283" s="22">
        <f t="shared" si="139"/>
        <v>6.9999999999999993E-2</v>
      </c>
      <c r="J283" s="22">
        <f t="shared" si="139"/>
        <v>6.9999999999999993E-2</v>
      </c>
      <c r="K283" s="22">
        <f t="shared" si="139"/>
        <v>6.9999999999999993E-2</v>
      </c>
      <c r="L283" s="22">
        <f t="shared" si="139"/>
        <v>6.9999999999999993E-2</v>
      </c>
      <c r="M283" s="22">
        <f t="shared" si="139"/>
        <v>6.9999999999999993E-2</v>
      </c>
      <c r="N283" s="22">
        <f t="shared" si="139"/>
        <v>6.9999999999999993E-2</v>
      </c>
      <c r="O283" s="22">
        <f t="shared" si="139"/>
        <v>6.9999999999999993E-2</v>
      </c>
    </row>
    <row r="284" spans="1:15" x14ac:dyDescent="0.2">
      <c r="A284" s="16"/>
      <c r="C284" s="16" t="s">
        <v>13</v>
      </c>
      <c r="F284" s="3">
        <v>2</v>
      </c>
      <c r="G284" s="22">
        <v>7.0000000000000007E-2</v>
      </c>
      <c r="H284" s="22">
        <v>0.06</v>
      </c>
      <c r="I284" s="22">
        <v>0.06</v>
      </c>
      <c r="J284" s="22">
        <v>0.06</v>
      </c>
      <c r="K284" s="22">
        <v>0.06</v>
      </c>
      <c r="L284" s="22">
        <v>0.06</v>
      </c>
      <c r="M284" s="22">
        <v>0.06</v>
      </c>
      <c r="N284" s="22">
        <v>0.06</v>
      </c>
      <c r="O284" s="22">
        <v>0.06</v>
      </c>
    </row>
    <row r="285" spans="1:15" x14ac:dyDescent="0.2">
      <c r="A285" s="16"/>
      <c r="C285" s="16" t="s">
        <v>16</v>
      </c>
      <c r="F285" s="3">
        <v>3</v>
      </c>
      <c r="G285" s="22">
        <f t="shared" ref="G285:O285" si="140">G284-0.01</f>
        <v>6.0000000000000005E-2</v>
      </c>
      <c r="H285" s="22">
        <f t="shared" si="140"/>
        <v>4.9999999999999996E-2</v>
      </c>
      <c r="I285" s="22">
        <f t="shared" si="140"/>
        <v>4.9999999999999996E-2</v>
      </c>
      <c r="J285" s="22">
        <f t="shared" si="140"/>
        <v>4.9999999999999996E-2</v>
      </c>
      <c r="K285" s="22">
        <f t="shared" si="140"/>
        <v>4.9999999999999996E-2</v>
      </c>
      <c r="L285" s="22">
        <f t="shared" si="140"/>
        <v>4.9999999999999996E-2</v>
      </c>
      <c r="M285" s="22">
        <f t="shared" si="140"/>
        <v>4.9999999999999996E-2</v>
      </c>
      <c r="N285" s="22">
        <f t="shared" si="140"/>
        <v>4.9999999999999996E-2</v>
      </c>
      <c r="O285" s="22">
        <f t="shared" si="140"/>
        <v>4.9999999999999996E-2</v>
      </c>
    </row>
    <row r="286" spans="1:15" x14ac:dyDescent="0.2">
      <c r="A286" s="16"/>
    </row>
    <row r="287" spans="1:15" x14ac:dyDescent="0.2">
      <c r="A287" s="16"/>
      <c r="C287" s="126" t="s">
        <v>202</v>
      </c>
      <c r="D287" s="129"/>
      <c r="E287" s="129"/>
      <c r="F287" s="129"/>
      <c r="G287" s="60"/>
      <c r="H287" s="60"/>
      <c r="I287" s="60"/>
      <c r="J287" s="60"/>
      <c r="K287" s="60"/>
      <c r="L287" s="60"/>
      <c r="M287" s="60"/>
      <c r="N287" s="60"/>
      <c r="O287" s="60"/>
    </row>
    <row r="288" spans="1:15" x14ac:dyDescent="0.2">
      <c r="A288" s="16"/>
      <c r="C288" s="16" t="str">
        <f>C283</f>
        <v>Strong case</v>
      </c>
      <c r="F288" s="3">
        <v>1</v>
      </c>
      <c r="G288" s="22">
        <f>G289+0.005</f>
        <v>0.58099999999999996</v>
      </c>
      <c r="H288" s="22">
        <f t="shared" ref="H288:O288" si="141">H289+0.05</f>
        <v>0.63900000000000001</v>
      </c>
      <c r="I288" s="22">
        <f t="shared" si="141"/>
        <v>0.64400000000000002</v>
      </c>
      <c r="J288" s="22">
        <f t="shared" si="141"/>
        <v>0.64900000000000002</v>
      </c>
      <c r="K288" s="22">
        <f t="shared" si="141"/>
        <v>0.65400000000000003</v>
      </c>
      <c r="L288" s="22">
        <f t="shared" si="141"/>
        <v>0.65400000000000003</v>
      </c>
      <c r="M288" s="22">
        <f t="shared" si="141"/>
        <v>0.65400000000000003</v>
      </c>
      <c r="N288" s="22">
        <f t="shared" si="141"/>
        <v>0.65400000000000003</v>
      </c>
      <c r="O288" s="22">
        <f t="shared" si="141"/>
        <v>0.65400000000000003</v>
      </c>
    </row>
    <row r="289" spans="1:255" x14ac:dyDescent="0.2">
      <c r="A289" s="16"/>
      <c r="C289" s="16" t="str">
        <f>C284</f>
        <v>Base case</v>
      </c>
      <c r="F289" s="3">
        <v>2</v>
      </c>
      <c r="G289" s="22">
        <v>0.57599999999999996</v>
      </c>
      <c r="H289" s="22">
        <v>0.58899999999999997</v>
      </c>
      <c r="I289" s="22">
        <v>0.59399999999999997</v>
      </c>
      <c r="J289" s="22">
        <v>0.59899999999999998</v>
      </c>
      <c r="K289" s="22">
        <v>0.60399999999999998</v>
      </c>
      <c r="L289" s="22">
        <v>0.60399999999999998</v>
      </c>
      <c r="M289" s="22">
        <v>0.60399999999999998</v>
      </c>
      <c r="N289" s="22">
        <v>0.60399999999999998</v>
      </c>
      <c r="O289" s="22">
        <v>0.60399999999999998</v>
      </c>
    </row>
    <row r="290" spans="1:255" x14ac:dyDescent="0.2">
      <c r="A290" s="16"/>
      <c r="C290" s="16" t="str">
        <f>C285</f>
        <v>Weak case</v>
      </c>
      <c r="F290" s="3">
        <v>3</v>
      </c>
      <c r="G290" s="22">
        <f t="shared" ref="G290:O290" si="142">G289-0.005</f>
        <v>0.57099999999999995</v>
      </c>
      <c r="H290" s="22">
        <f t="shared" si="142"/>
        <v>0.58399999999999996</v>
      </c>
      <c r="I290" s="22">
        <f t="shared" si="142"/>
        <v>0.58899999999999997</v>
      </c>
      <c r="J290" s="22">
        <f t="shared" si="142"/>
        <v>0.59399999999999997</v>
      </c>
      <c r="K290" s="22">
        <f t="shared" si="142"/>
        <v>0.59899999999999998</v>
      </c>
      <c r="L290" s="22">
        <f t="shared" si="142"/>
        <v>0.59899999999999998</v>
      </c>
      <c r="M290" s="22">
        <f t="shared" si="142"/>
        <v>0.59899999999999998</v>
      </c>
      <c r="N290" s="22">
        <f t="shared" si="142"/>
        <v>0.59899999999999998</v>
      </c>
      <c r="O290" s="22">
        <f t="shared" si="142"/>
        <v>0.59899999999999998</v>
      </c>
    </row>
    <row r="291" spans="1:255" x14ac:dyDescent="0.2">
      <c r="A291" s="16"/>
    </row>
    <row r="292" spans="1:255" x14ac:dyDescent="0.2">
      <c r="A292" s="16"/>
      <c r="C292" s="126" t="s">
        <v>203</v>
      </c>
      <c r="D292" s="129"/>
      <c r="E292" s="129"/>
      <c r="F292" s="129"/>
      <c r="G292" s="60"/>
      <c r="H292" s="60"/>
      <c r="I292" s="60"/>
      <c r="J292" s="60"/>
      <c r="K292" s="60"/>
      <c r="L292" s="60"/>
      <c r="M292" s="60"/>
      <c r="N292" s="60"/>
      <c r="O292" s="60"/>
    </row>
    <row r="293" spans="1:255" x14ac:dyDescent="0.2">
      <c r="A293" s="16"/>
      <c r="C293" s="16" t="str">
        <f>C288</f>
        <v>Strong case</v>
      </c>
      <c r="F293" s="3">
        <v>1</v>
      </c>
      <c r="G293" s="22">
        <f t="shared" ref="G293:O293" si="143">G294-0.01</f>
        <v>0.35013727702393654</v>
      </c>
      <c r="H293" s="22">
        <f t="shared" si="143"/>
        <v>0.35733866168331774</v>
      </c>
      <c r="I293" s="22">
        <f t="shared" si="143"/>
        <v>0.3572784164859002</v>
      </c>
      <c r="J293" s="22">
        <f t="shared" si="143"/>
        <v>0.3572185969175673</v>
      </c>
      <c r="K293" s="22">
        <f t="shared" si="143"/>
        <v>0.35711478575739286</v>
      </c>
      <c r="L293" s="22">
        <f t="shared" si="143"/>
        <v>0.35711478575739286</v>
      </c>
      <c r="M293" s="22">
        <f t="shared" si="143"/>
        <v>0.35711478575739286</v>
      </c>
      <c r="N293" s="22">
        <f t="shared" si="143"/>
        <v>0.35711478575739286</v>
      </c>
      <c r="O293" s="22">
        <f t="shared" si="143"/>
        <v>0.35711478575739286</v>
      </c>
    </row>
    <row r="294" spans="1:255" x14ac:dyDescent="0.2">
      <c r="A294" s="16"/>
      <c r="C294" s="16" t="str">
        <f>C289</f>
        <v>Base case</v>
      </c>
      <c r="F294" s="3">
        <v>2</v>
      </c>
      <c r="G294" s="22">
        <f>4782/13118-0.0044</f>
        <v>0.36013727702393655</v>
      </c>
      <c r="H294" s="22">
        <f>5172/13913-0.0044</f>
        <v>0.36733866168331775</v>
      </c>
      <c r="I294" s="22">
        <f>5483/14752-0.0044</f>
        <v>0.36727841648590021</v>
      </c>
      <c r="J294" s="22">
        <f>5811/15637-0.0044</f>
        <v>0.36721859691756731</v>
      </c>
      <c r="K294" s="22">
        <f>6156/16570-0.0044</f>
        <v>0.36711478575739287</v>
      </c>
      <c r="L294" s="22">
        <f>K294</f>
        <v>0.36711478575739287</v>
      </c>
      <c r="M294" s="22">
        <f>L294</f>
        <v>0.36711478575739287</v>
      </c>
      <c r="N294" s="22">
        <f>M294</f>
        <v>0.36711478575739287</v>
      </c>
      <c r="O294" s="22">
        <f>N294</f>
        <v>0.36711478575739287</v>
      </c>
    </row>
    <row r="295" spans="1:255" x14ac:dyDescent="0.2">
      <c r="A295" s="16"/>
      <c r="C295" s="16" t="str">
        <f>C290</f>
        <v>Weak case</v>
      </c>
      <c r="F295" s="3">
        <v>3</v>
      </c>
      <c r="G295" s="22">
        <f t="shared" ref="G295:O295" si="144">G294+0.01</f>
        <v>0.37013727702393656</v>
      </c>
      <c r="H295" s="22">
        <f t="shared" si="144"/>
        <v>0.37733866168331776</v>
      </c>
      <c r="I295" s="22">
        <f t="shared" si="144"/>
        <v>0.37727841648590021</v>
      </c>
      <c r="J295" s="22">
        <f t="shared" si="144"/>
        <v>0.37721859691756732</v>
      </c>
      <c r="K295" s="22">
        <f t="shared" si="144"/>
        <v>0.37711478575739288</v>
      </c>
      <c r="L295" s="22">
        <f t="shared" si="144"/>
        <v>0.37711478575739288</v>
      </c>
      <c r="M295" s="22">
        <f t="shared" si="144"/>
        <v>0.37711478575739288</v>
      </c>
      <c r="N295" s="22">
        <f t="shared" si="144"/>
        <v>0.37711478575739288</v>
      </c>
      <c r="O295" s="22">
        <f t="shared" si="144"/>
        <v>0.37711478575739288</v>
      </c>
    </row>
    <row r="296" spans="1:255" x14ac:dyDescent="0.2">
      <c r="A296" s="16"/>
    </row>
    <row r="297" spans="1:255" x14ac:dyDescent="0.2">
      <c r="A297" s="16"/>
      <c r="C297" s="59" t="s">
        <v>204</v>
      </c>
      <c r="D297" s="60"/>
      <c r="E297" s="60"/>
      <c r="F297" s="60"/>
      <c r="G297" s="60"/>
      <c r="H297" s="60"/>
      <c r="I297" s="60"/>
      <c r="J297" s="60"/>
      <c r="K297" s="60"/>
      <c r="L297" s="60"/>
      <c r="M297" s="60"/>
      <c r="N297" s="60"/>
      <c r="O297" s="60"/>
    </row>
    <row r="298" spans="1:255" s="30" customFormat="1" x14ac:dyDescent="0.2">
      <c r="A298" s="16"/>
      <c r="B298" s="3"/>
      <c r="C298" s="53" t="s">
        <v>205</v>
      </c>
      <c r="D298" s="72"/>
      <c r="E298" s="72"/>
      <c r="F298" s="72"/>
      <c r="G298" s="87">
        <f t="shared" ref="G298:O298" si="145">G69</f>
        <v>0.31883250166333987</v>
      </c>
      <c r="H298" s="87">
        <f t="shared" si="145"/>
        <v>0.31883250166333987</v>
      </c>
      <c r="I298" s="87">
        <f t="shared" si="145"/>
        <v>0.31883250166333987</v>
      </c>
      <c r="J298" s="87">
        <f t="shared" si="145"/>
        <v>0.31883250166333987</v>
      </c>
      <c r="K298" s="87">
        <f t="shared" si="145"/>
        <v>0.31883250166333987</v>
      </c>
      <c r="L298" s="87">
        <f t="shared" si="145"/>
        <v>0.31883250166333987</v>
      </c>
      <c r="M298" s="87">
        <f t="shared" si="145"/>
        <v>0.31883250166333987</v>
      </c>
      <c r="N298" s="87">
        <f t="shared" si="145"/>
        <v>0.31883250166333987</v>
      </c>
      <c r="O298" s="87">
        <f t="shared" si="145"/>
        <v>0.31883250166333987</v>
      </c>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3"/>
      <c r="ID298" s="3"/>
      <c r="IE298" s="3"/>
      <c r="IF298" s="3"/>
      <c r="IG298" s="3"/>
      <c r="IH298" s="3"/>
      <c r="II298" s="3"/>
      <c r="IJ298" s="3"/>
      <c r="IK298" s="3"/>
      <c r="IL298" s="3"/>
      <c r="IM298" s="3"/>
      <c r="IN298" s="3"/>
      <c r="IO298" s="3"/>
      <c r="IP298" s="3"/>
      <c r="IQ298" s="3"/>
      <c r="IR298" s="3"/>
      <c r="IS298" s="3"/>
      <c r="IT298" s="3"/>
      <c r="IU298" s="3"/>
    </row>
    <row r="299" spans="1:255" s="30" customFormat="1" x14ac:dyDescent="0.2">
      <c r="A299" s="16"/>
      <c r="B299" s="3"/>
      <c r="C299" s="53" t="s">
        <v>206</v>
      </c>
      <c r="D299" s="3"/>
      <c r="E299" s="3"/>
      <c r="F299" s="3"/>
      <c r="G299" s="22"/>
      <c r="H299" s="22"/>
      <c r="I299" s="22"/>
      <c r="J299" s="22"/>
      <c r="K299" s="22"/>
      <c r="L299" s="22"/>
      <c r="M299" s="22"/>
      <c r="N299" s="22"/>
      <c r="O299" s="22"/>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c r="IB299" s="3"/>
      <c r="IC299" s="3"/>
      <c r="ID299" s="3"/>
      <c r="IE299" s="3"/>
      <c r="IF299" s="3"/>
      <c r="IG299" s="3"/>
      <c r="IH299" s="3"/>
      <c r="II299" s="3"/>
      <c r="IJ299" s="3"/>
      <c r="IK299" s="3"/>
      <c r="IL299" s="3"/>
      <c r="IM299" s="3"/>
      <c r="IN299" s="3"/>
      <c r="IO299" s="3"/>
      <c r="IP299" s="3"/>
      <c r="IQ299" s="3"/>
      <c r="IR299" s="3"/>
      <c r="IS299" s="3"/>
      <c r="IT299" s="3"/>
      <c r="IU299" s="3"/>
    </row>
    <row r="300" spans="1:255" s="30" customFormat="1" x14ac:dyDescent="0.2">
      <c r="A300" s="16"/>
      <c r="B300" s="3"/>
      <c r="C300" s="53" t="s">
        <v>113</v>
      </c>
      <c r="D300" s="3"/>
      <c r="E300" s="3"/>
      <c r="F300" s="3"/>
      <c r="G300" s="22"/>
      <c r="H300" s="22"/>
      <c r="I300" s="22"/>
      <c r="J300" s="22"/>
      <c r="K300" s="22"/>
      <c r="L300" s="22"/>
      <c r="M300" s="22"/>
      <c r="N300" s="22"/>
      <c r="O300" s="22"/>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c r="IB300" s="3"/>
      <c r="IC300" s="3"/>
      <c r="ID300" s="3"/>
      <c r="IE300" s="3"/>
      <c r="IF300" s="3"/>
      <c r="IG300" s="3"/>
      <c r="IH300" s="3"/>
      <c r="II300" s="3"/>
      <c r="IJ300" s="3"/>
      <c r="IK300" s="3"/>
      <c r="IL300" s="3"/>
      <c r="IM300" s="3"/>
      <c r="IN300" s="3"/>
      <c r="IO300" s="3"/>
      <c r="IP300" s="3"/>
      <c r="IQ300" s="3"/>
      <c r="IR300" s="3"/>
      <c r="IS300" s="3"/>
      <c r="IT300" s="3"/>
      <c r="IU300" s="3"/>
    </row>
    <row r="301" spans="1:255" x14ac:dyDescent="0.2">
      <c r="A301" s="16"/>
    </row>
    <row r="302" spans="1:255" x14ac:dyDescent="0.2">
      <c r="A302" s="16"/>
      <c r="C302" s="126" t="s">
        <v>207</v>
      </c>
      <c r="D302" s="67"/>
      <c r="E302" s="67"/>
      <c r="F302" s="67"/>
      <c r="G302" s="60"/>
      <c r="H302" s="60"/>
      <c r="I302" s="60"/>
      <c r="J302" s="60"/>
      <c r="K302" s="60"/>
      <c r="L302" s="60"/>
      <c r="M302" s="60"/>
      <c r="N302" s="60"/>
      <c r="O302" s="60"/>
    </row>
    <row r="303" spans="1:255" x14ac:dyDescent="0.2">
      <c r="A303" s="16"/>
      <c r="C303" s="16" t="str">
        <f>C288</f>
        <v>Strong case</v>
      </c>
      <c r="F303" s="3">
        <v>1</v>
      </c>
      <c r="G303" s="22">
        <v>0.06</v>
      </c>
      <c r="H303" s="22">
        <v>0.06</v>
      </c>
      <c r="I303" s="22">
        <v>0.06</v>
      </c>
      <c r="J303" s="22">
        <v>0.06</v>
      </c>
      <c r="K303" s="22">
        <v>0.06</v>
      </c>
      <c r="L303" s="22">
        <v>0.06</v>
      </c>
      <c r="M303" s="22">
        <v>0.06</v>
      </c>
      <c r="N303" s="22">
        <v>0.06</v>
      </c>
      <c r="O303" s="22">
        <v>0.06</v>
      </c>
    </row>
    <row r="304" spans="1:255" x14ac:dyDescent="0.2">
      <c r="A304" s="16"/>
      <c r="C304" s="16" t="str">
        <f>C289</f>
        <v>Base case</v>
      </c>
      <c r="F304" s="3">
        <v>2</v>
      </c>
      <c r="G304" s="22">
        <v>0.05</v>
      </c>
      <c r="H304" s="22">
        <v>0.05</v>
      </c>
      <c r="I304" s="22">
        <v>0.05</v>
      </c>
      <c r="J304" s="22">
        <v>0.05</v>
      </c>
      <c r="K304" s="22">
        <v>0.05</v>
      </c>
      <c r="L304" s="22">
        <v>0.05</v>
      </c>
      <c r="M304" s="22">
        <v>0.05</v>
      </c>
      <c r="N304" s="22">
        <v>0.05</v>
      </c>
      <c r="O304" s="22">
        <v>0.05</v>
      </c>
    </row>
    <row r="305" spans="1:15" x14ac:dyDescent="0.2">
      <c r="A305" s="16"/>
      <c r="C305" s="16" t="str">
        <f>C290</f>
        <v>Weak case</v>
      </c>
      <c r="F305" s="3">
        <v>3</v>
      </c>
      <c r="G305" s="22">
        <v>0.04</v>
      </c>
      <c r="H305" s="22">
        <v>0.04</v>
      </c>
      <c r="I305" s="22">
        <v>0.04</v>
      </c>
      <c r="J305" s="22">
        <v>0.04</v>
      </c>
      <c r="K305" s="22">
        <v>0.04</v>
      </c>
      <c r="L305" s="22">
        <v>0.04</v>
      </c>
      <c r="M305" s="22">
        <v>0.04</v>
      </c>
      <c r="N305" s="22">
        <v>0.04</v>
      </c>
      <c r="O305" s="22">
        <v>0.04</v>
      </c>
    </row>
    <row r="306" spans="1:15" x14ac:dyDescent="0.2">
      <c r="A306" s="16"/>
    </row>
    <row r="307" spans="1:15" x14ac:dyDescent="0.2">
      <c r="A307" s="16"/>
      <c r="C307" s="126" t="s">
        <v>72</v>
      </c>
      <c r="D307" s="67"/>
      <c r="E307" s="67"/>
      <c r="F307" s="67"/>
      <c r="G307" s="60"/>
      <c r="H307" s="60"/>
      <c r="I307" s="60"/>
      <c r="J307" s="60"/>
      <c r="K307" s="60"/>
      <c r="L307" s="60"/>
      <c r="M307" s="60"/>
      <c r="N307" s="60"/>
      <c r="O307" s="60"/>
    </row>
    <row r="308" spans="1:15" x14ac:dyDescent="0.2">
      <c r="A308" s="16"/>
      <c r="C308" s="16" t="str">
        <f>C303</f>
        <v>Strong case</v>
      </c>
      <c r="F308" s="3">
        <v>1</v>
      </c>
      <c r="G308" s="22">
        <f t="shared" ref="G308:O308" si="146">G309+0.02</f>
        <v>0.1</v>
      </c>
      <c r="H308" s="22">
        <f t="shared" si="146"/>
        <v>9.5000000000000001E-2</v>
      </c>
      <c r="I308" s="22">
        <f t="shared" si="146"/>
        <v>9.0000000000000011E-2</v>
      </c>
      <c r="J308" s="22">
        <f t="shared" si="146"/>
        <v>8.5000000000000006E-2</v>
      </c>
      <c r="K308" s="22">
        <f t="shared" si="146"/>
        <v>0.08</v>
      </c>
      <c r="L308" s="22">
        <f t="shared" si="146"/>
        <v>0.08</v>
      </c>
      <c r="M308" s="22">
        <f t="shared" si="146"/>
        <v>0.08</v>
      </c>
      <c r="N308" s="22">
        <f t="shared" si="146"/>
        <v>0.08</v>
      </c>
      <c r="O308" s="22">
        <f t="shared" si="146"/>
        <v>0.08</v>
      </c>
    </row>
    <row r="309" spans="1:15" x14ac:dyDescent="0.2">
      <c r="A309" s="16"/>
      <c r="C309" s="16" t="str">
        <f>C304</f>
        <v>Base case</v>
      </c>
      <c r="F309" s="3">
        <v>2</v>
      </c>
      <c r="G309" s="22">
        <v>0.08</v>
      </c>
      <c r="H309" s="22">
        <v>7.4999999999999997E-2</v>
      </c>
      <c r="I309" s="22">
        <v>7.0000000000000007E-2</v>
      </c>
      <c r="J309" s="22">
        <v>6.5000000000000002E-2</v>
      </c>
      <c r="K309" s="22">
        <v>0.06</v>
      </c>
      <c r="L309" s="22">
        <v>0.06</v>
      </c>
      <c r="M309" s="22">
        <v>0.06</v>
      </c>
      <c r="N309" s="22">
        <v>0.06</v>
      </c>
      <c r="O309" s="22">
        <v>0.06</v>
      </c>
    </row>
    <row r="310" spans="1:15" x14ac:dyDescent="0.2">
      <c r="A310" s="16"/>
      <c r="C310" s="16" t="str">
        <f>C305</f>
        <v>Weak case</v>
      </c>
      <c r="F310" s="3">
        <v>3</v>
      </c>
      <c r="G310" s="22">
        <f t="shared" ref="G310:O310" si="147">G309-0.02</f>
        <v>0.06</v>
      </c>
      <c r="H310" s="22">
        <f t="shared" si="147"/>
        <v>5.4999999999999993E-2</v>
      </c>
      <c r="I310" s="22">
        <f t="shared" si="147"/>
        <v>0.05</v>
      </c>
      <c r="J310" s="22">
        <f t="shared" si="147"/>
        <v>4.4999999999999998E-2</v>
      </c>
      <c r="K310" s="22">
        <f t="shared" si="147"/>
        <v>3.9999999999999994E-2</v>
      </c>
      <c r="L310" s="22">
        <f t="shared" si="147"/>
        <v>3.9999999999999994E-2</v>
      </c>
      <c r="M310" s="22">
        <f t="shared" si="147"/>
        <v>3.9999999999999994E-2</v>
      </c>
      <c r="N310" s="22">
        <f t="shared" si="147"/>
        <v>3.9999999999999994E-2</v>
      </c>
      <c r="O310" s="22">
        <f t="shared" si="147"/>
        <v>3.9999999999999994E-2</v>
      </c>
    </row>
    <row r="311" spans="1:15" x14ac:dyDescent="0.2">
      <c r="A311" s="16"/>
    </row>
    <row r="312" spans="1:15" x14ac:dyDescent="0.2">
      <c r="A312" s="16"/>
      <c r="C312" s="126" t="s">
        <v>73</v>
      </c>
      <c r="D312" s="67"/>
      <c r="E312" s="67"/>
      <c r="F312" s="67"/>
      <c r="G312" s="60"/>
      <c r="H312" s="60"/>
      <c r="I312" s="60"/>
      <c r="J312" s="60"/>
      <c r="K312" s="60"/>
      <c r="L312" s="60"/>
      <c r="M312" s="60"/>
      <c r="N312" s="60"/>
      <c r="O312" s="60"/>
    </row>
    <row r="313" spans="1:15" x14ac:dyDescent="0.2">
      <c r="A313" s="16"/>
      <c r="C313" s="16" t="str">
        <f>C308</f>
        <v>Strong case</v>
      </c>
      <c r="F313" s="3">
        <v>1</v>
      </c>
      <c r="G313" s="22">
        <f t="shared" ref="G313:O313" si="148">G314+0.02</f>
        <v>0.1</v>
      </c>
      <c r="H313" s="22">
        <f t="shared" si="148"/>
        <v>9.5000000000000001E-2</v>
      </c>
      <c r="I313" s="22">
        <f t="shared" si="148"/>
        <v>9.0000000000000011E-2</v>
      </c>
      <c r="J313" s="22">
        <f t="shared" si="148"/>
        <v>8.5000000000000006E-2</v>
      </c>
      <c r="K313" s="22">
        <f t="shared" si="148"/>
        <v>0.08</v>
      </c>
      <c r="L313" s="22">
        <f t="shared" si="148"/>
        <v>0.08</v>
      </c>
      <c r="M313" s="22">
        <f t="shared" si="148"/>
        <v>0.08</v>
      </c>
      <c r="N313" s="22">
        <f t="shared" si="148"/>
        <v>0.08</v>
      </c>
      <c r="O313" s="22">
        <f t="shared" si="148"/>
        <v>0.08</v>
      </c>
    </row>
    <row r="314" spans="1:15" x14ac:dyDescent="0.2">
      <c r="A314" s="16"/>
      <c r="C314" s="16" t="str">
        <f>C309</f>
        <v>Base case</v>
      </c>
      <c r="F314" s="3">
        <v>2</v>
      </c>
      <c r="G314" s="22">
        <v>0.08</v>
      </c>
      <c r="H314" s="22">
        <v>7.4999999999999997E-2</v>
      </c>
      <c r="I314" s="22">
        <v>7.0000000000000007E-2</v>
      </c>
      <c r="J314" s="22">
        <v>6.5000000000000002E-2</v>
      </c>
      <c r="K314" s="22">
        <v>0.06</v>
      </c>
      <c r="L314" s="22">
        <v>0.06</v>
      </c>
      <c r="M314" s="22">
        <v>0.06</v>
      </c>
      <c r="N314" s="22">
        <v>0.06</v>
      </c>
      <c r="O314" s="22">
        <v>0.06</v>
      </c>
    </row>
    <row r="315" spans="1:15" x14ac:dyDescent="0.2">
      <c r="A315" s="16"/>
      <c r="C315" s="16" t="str">
        <f>C310</f>
        <v>Weak case</v>
      </c>
      <c r="F315" s="3">
        <v>3</v>
      </c>
      <c r="G315" s="22">
        <f t="shared" ref="G315:O315" si="149">G314-0.02</f>
        <v>0.06</v>
      </c>
      <c r="H315" s="22">
        <f t="shared" si="149"/>
        <v>5.4999999999999993E-2</v>
      </c>
      <c r="I315" s="22">
        <f t="shared" si="149"/>
        <v>0.05</v>
      </c>
      <c r="J315" s="22">
        <f t="shared" si="149"/>
        <v>4.4999999999999998E-2</v>
      </c>
      <c r="K315" s="22">
        <f t="shared" si="149"/>
        <v>3.9999999999999994E-2</v>
      </c>
      <c r="L315" s="22">
        <f t="shared" si="149"/>
        <v>3.9999999999999994E-2</v>
      </c>
      <c r="M315" s="22">
        <f t="shared" si="149"/>
        <v>3.9999999999999994E-2</v>
      </c>
      <c r="N315" s="22">
        <f t="shared" si="149"/>
        <v>3.9999999999999994E-2</v>
      </c>
      <c r="O315" s="22">
        <f t="shared" si="149"/>
        <v>3.9999999999999994E-2</v>
      </c>
    </row>
    <row r="316" spans="1:15" x14ac:dyDescent="0.2">
      <c r="A316" s="16"/>
    </row>
    <row r="317" spans="1:15" ht="13.5" thickBot="1" x14ac:dyDescent="0.25">
      <c r="A317" s="16"/>
      <c r="C317" s="75" t="s">
        <v>208</v>
      </c>
      <c r="D317" s="76"/>
      <c r="E317" s="76"/>
      <c r="F317" s="76"/>
      <c r="G317" s="77"/>
      <c r="H317" s="77"/>
      <c r="I317" s="76"/>
      <c r="J317" s="76"/>
      <c r="K317" s="76"/>
      <c r="L317" s="76"/>
      <c r="M317" s="76"/>
      <c r="N317" s="76"/>
      <c r="O317" s="76"/>
    </row>
    <row r="318" spans="1:15" x14ac:dyDescent="0.2">
      <c r="A318" s="16"/>
    </row>
    <row r="319" spans="1:15" x14ac:dyDescent="0.2">
      <c r="A319" s="16"/>
      <c r="C319" s="24" t="s">
        <v>209</v>
      </c>
    </row>
    <row r="320" spans="1:15" x14ac:dyDescent="0.2">
      <c r="A320" s="16"/>
      <c r="C320" s="3"/>
    </row>
    <row r="321" spans="1:9" x14ac:dyDescent="0.2">
      <c r="A321" s="16"/>
      <c r="C321" s="3"/>
      <c r="E321" s="40" t="s">
        <v>210</v>
      </c>
      <c r="F321" s="130"/>
      <c r="G321" s="130"/>
      <c r="H321" s="130"/>
      <c r="I321" s="130"/>
    </row>
    <row r="322" spans="1:9" x14ac:dyDescent="0.2">
      <c r="A322" s="16"/>
      <c r="C322" s="68"/>
      <c r="D322" s="68">
        <f ca="1">G60</f>
        <v>3.2678496021503758</v>
      </c>
      <c r="E322" s="121">
        <v>0.55600000000000005</v>
      </c>
      <c r="F322" s="121">
        <v>0.56599999999999995</v>
      </c>
      <c r="G322" s="121">
        <v>0.57599999999999996</v>
      </c>
      <c r="H322" s="121">
        <v>0.58599999999999997</v>
      </c>
      <c r="I322" s="121">
        <v>0.59599999999999997</v>
      </c>
    </row>
    <row r="323" spans="1:9" x14ac:dyDescent="0.2">
      <c r="A323" s="16"/>
      <c r="C323" s="3"/>
      <c r="D323" s="121">
        <v>0.09</v>
      </c>
      <c r="E323" s="131"/>
      <c r="F323" s="131"/>
      <c r="G323" s="131"/>
      <c r="H323" s="131"/>
      <c r="I323" s="131"/>
    </row>
    <row r="324" spans="1:9" x14ac:dyDescent="0.2">
      <c r="A324" s="16"/>
      <c r="C324" s="3"/>
      <c r="D324" s="121">
        <v>0.08</v>
      </c>
      <c r="E324" s="131"/>
      <c r="F324" s="131"/>
      <c r="G324" s="131"/>
      <c r="H324" s="131"/>
      <c r="I324" s="131"/>
    </row>
    <row r="325" spans="1:9" x14ac:dyDescent="0.2">
      <c r="A325" s="16"/>
      <c r="C325" s="132" t="s">
        <v>211</v>
      </c>
      <c r="D325" s="121">
        <v>7.0000000000000007E-2</v>
      </c>
      <c r="E325" s="131"/>
      <c r="F325" s="131"/>
      <c r="G325" s="131"/>
      <c r="H325" s="131"/>
      <c r="I325" s="131"/>
    </row>
    <row r="326" spans="1:9" x14ac:dyDescent="0.2">
      <c r="A326" s="16"/>
      <c r="C326" s="3"/>
      <c r="D326" s="121">
        <v>0.06</v>
      </c>
      <c r="E326" s="131"/>
      <c r="F326" s="131"/>
      <c r="G326" s="131"/>
      <c r="H326" s="131"/>
      <c r="I326" s="131"/>
    </row>
    <row r="327" spans="1:9" x14ac:dyDescent="0.2">
      <c r="A327" s="16"/>
      <c r="C327" s="3"/>
      <c r="D327" s="121">
        <v>0.05</v>
      </c>
      <c r="E327" s="131"/>
      <c r="F327" s="131"/>
      <c r="G327" s="131"/>
      <c r="H327" s="131"/>
      <c r="I327" s="131"/>
    </row>
    <row r="328" spans="1:9" x14ac:dyDescent="0.2">
      <c r="A328" s="16"/>
      <c r="C328" s="3"/>
      <c r="D328" s="121">
        <v>0.04</v>
      </c>
      <c r="E328" s="131"/>
      <c r="F328" s="131"/>
      <c r="G328" s="131"/>
      <c r="H328" s="131"/>
      <c r="I328" s="131"/>
    </row>
  </sheetData>
  <phoneticPr fontId="40" type="noConversion"/>
  <pageMargins left="0.38" right="0.32" top="0.3" bottom="0.24" header="0.18" footer="0.17"/>
  <pageSetup scale="12" orientation="landscape" r:id="rId1"/>
  <headerFooter alignWithMargins="0"/>
  <drawing r:id="rId2"/>
  <legacyDrawing r:id="rId3"/>
  <controls>
    <mc:AlternateContent xmlns:mc="http://schemas.openxmlformats.org/markup-compatibility/2006">
      <mc:Choice Requires="x14">
        <control shapeId="3073" r:id="rId4" name="ComboBox1">
          <controlPr defaultSize="0" autoLine="0" linkedCell="S6" listFillRange="F303:F305" r:id="rId5">
            <anchor moveWithCells="1">
              <from>
                <xdr:col>15</xdr:col>
                <xdr:colOff>247650</xdr:colOff>
                <xdr:row>6</xdr:row>
                <xdr:rowOff>76200</xdr:rowOff>
              </from>
              <to>
                <xdr:col>15</xdr:col>
                <xdr:colOff>619125</xdr:colOff>
                <xdr:row>8</xdr:row>
                <xdr:rowOff>76200</xdr:rowOff>
              </to>
            </anchor>
          </controlPr>
        </control>
      </mc:Choice>
      <mc:Fallback>
        <control shapeId="3073" r:id="rId4" name="ComboBox1"/>
      </mc:Fallback>
    </mc:AlternateContent>
  </control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Assumptions</vt:lpstr>
      <vt:lpstr>Financials</vt:lpstr>
      <vt:lpstr>Val_out</vt:lpstr>
      <vt:lpstr>Colgate FSM</vt:lpstr>
      <vt:lpstr>'Colgate FSM'!circref</vt:lpstr>
      <vt:lpstr>jk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 LLC</dc:creator>
  <cp:lastModifiedBy>FDelGrosso</cp:lastModifiedBy>
  <dcterms:created xsi:type="dcterms:W3CDTF">2006-10-30T23:26:47Z</dcterms:created>
  <dcterms:modified xsi:type="dcterms:W3CDTF">2019-04-14T00:37:28Z</dcterms:modified>
</cp:coreProperties>
</file>