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802990f513f96d/Desktop/Analysis/Pricing Analysis/Portfolio Projects/DHS T^0M DEVOPS-2403/"/>
    </mc:Choice>
  </mc:AlternateContent>
  <xr:revisionPtr revIDLastSave="970" documentId="8_{0D96E673-2B48-4002-9A59-3655BB8F5098}" xr6:coauthVersionLast="47" xr6:coauthVersionMax="47" xr10:uidLastSave="{9227353D-FEF9-4210-82D4-3F6EAA6F1B2D}"/>
  <bookViews>
    <workbookView xWindow="28680" yWindow="-120" windowWidth="29040" windowHeight="15840" activeTab="7" xr2:uid="{5F3031A5-2C1D-4557-A93C-7CA71682F593}"/>
  </bookViews>
  <sheets>
    <sheet name="RFP Matrix" sheetId="8" r:id="rId1"/>
    <sheet name="Inputs" sheetId="1" r:id="rId2"/>
    <sheet name="Labor Pricing" sheetId="2" r:id="rId3"/>
    <sheet name="ODCs" sheetId="3" r:id="rId4"/>
    <sheet name="Total &amp; Pricing" sheetId="4" r:id="rId5"/>
    <sheet name="CLIN Pricing" sheetId="5" r:id="rId6"/>
    <sheet name="Basis of Estimate (BOE)" sheetId="6" r:id="rId7"/>
    <sheet name="Dashboard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7" l="1"/>
  <c r="G9" i="2" l="1"/>
  <c r="F9" i="2"/>
  <c r="C17" i="7"/>
  <c r="C16" i="7"/>
  <c r="C15" i="7"/>
  <c r="C14" i="7"/>
  <c r="A15" i="7"/>
  <c r="A16" i="7"/>
  <c r="B15" i="7"/>
  <c r="B16" i="7"/>
  <c r="B14" i="7"/>
  <c r="A14" i="7"/>
  <c r="B11" i="7"/>
  <c r="B9" i="7"/>
  <c r="C9" i="7"/>
  <c r="B10" i="7"/>
  <c r="C10" i="7"/>
  <c r="C8" i="7"/>
  <c r="B8" i="7"/>
  <c r="E5" i="7"/>
  <c r="C5" i="7"/>
  <c r="B5" i="7"/>
  <c r="A5" i="7"/>
  <c r="E2" i="7"/>
  <c r="D2" i="7"/>
  <c r="C2" i="7"/>
  <c r="B2" i="7"/>
  <c r="D7" i="6"/>
  <c r="E7" i="6" s="1"/>
  <c r="F20" i="6"/>
  <c r="F21" i="6"/>
  <c r="F19" i="6"/>
  <c r="E20" i="6"/>
  <c r="E21" i="6"/>
  <c r="E19" i="6"/>
  <c r="D21" i="6"/>
  <c r="C21" i="6"/>
  <c r="D20" i="6"/>
  <c r="C20" i="6"/>
  <c r="G20" i="6" s="1"/>
  <c r="D19" i="6"/>
  <c r="C19" i="6"/>
  <c r="G19" i="6" s="1"/>
  <c r="A20" i="6"/>
  <c r="A21" i="6"/>
  <c r="A19" i="6"/>
  <c r="E5" i="6"/>
  <c r="E6" i="6"/>
  <c r="E8" i="6"/>
  <c r="E4" i="6"/>
  <c r="D5" i="6"/>
  <c r="D6" i="6"/>
  <c r="D8" i="6"/>
  <c r="D4" i="6"/>
  <c r="C5" i="6"/>
  <c r="C6" i="6"/>
  <c r="C7" i="6"/>
  <c r="B5" i="6"/>
  <c r="B6" i="6"/>
  <c r="B7" i="6"/>
  <c r="B8" i="6"/>
  <c r="C8" i="6" s="1"/>
  <c r="B4" i="6"/>
  <c r="C4" i="6" s="1"/>
  <c r="A5" i="6"/>
  <c r="A6" i="6"/>
  <c r="A7" i="6"/>
  <c r="A8" i="6"/>
  <c r="A4" i="6"/>
  <c r="N9" i="5"/>
  <c r="M8" i="5"/>
  <c r="M7" i="5"/>
  <c r="M6" i="5"/>
  <c r="M5" i="5"/>
  <c r="M4" i="5"/>
  <c r="L7" i="5"/>
  <c r="L6" i="5"/>
  <c r="L5" i="5"/>
  <c r="L4" i="5"/>
  <c r="K7" i="5"/>
  <c r="K8" i="5"/>
  <c r="G8" i="5"/>
  <c r="H8" i="5"/>
  <c r="I8" i="5"/>
  <c r="J8" i="5"/>
  <c r="F8" i="5"/>
  <c r="E6" i="5"/>
  <c r="K6" i="5" s="1"/>
  <c r="E5" i="5"/>
  <c r="K5" i="5" s="1"/>
  <c r="E4" i="5"/>
  <c r="D6" i="5"/>
  <c r="D5" i="5"/>
  <c r="D4" i="5"/>
  <c r="J7" i="5"/>
  <c r="I7" i="5"/>
  <c r="H7" i="5"/>
  <c r="G7" i="5"/>
  <c r="F7" i="5"/>
  <c r="J6" i="5"/>
  <c r="J5" i="5"/>
  <c r="K4" i="5"/>
  <c r="B12" i="4"/>
  <c r="B11" i="4"/>
  <c r="B10" i="4"/>
  <c r="B9" i="4"/>
  <c r="B8" i="4"/>
  <c r="B7" i="4"/>
  <c r="B6" i="4"/>
  <c r="B5" i="4"/>
  <c r="B4" i="4"/>
  <c r="M9" i="2"/>
  <c r="L9" i="2"/>
  <c r="G6" i="3"/>
  <c r="H5" i="3"/>
  <c r="F6" i="3"/>
  <c r="H6" i="3" s="1"/>
  <c r="E6" i="3"/>
  <c r="F5" i="3"/>
  <c r="E5" i="3"/>
  <c r="G5" i="3" s="1"/>
  <c r="F4" i="3"/>
  <c r="H4" i="3" s="1"/>
  <c r="E4" i="3"/>
  <c r="G4" i="3" s="1"/>
  <c r="A5" i="3"/>
  <c r="A6" i="3"/>
  <c r="A4" i="3"/>
  <c r="K8" i="2"/>
  <c r="K7" i="2"/>
  <c r="K6" i="2"/>
  <c r="K5" i="2"/>
  <c r="K4" i="2"/>
  <c r="J8" i="2"/>
  <c r="J7" i="2"/>
  <c r="J6" i="2"/>
  <c r="J5" i="2"/>
  <c r="J4" i="2"/>
  <c r="I8" i="2"/>
  <c r="I7" i="2"/>
  <c r="I6" i="2"/>
  <c r="I5" i="2"/>
  <c r="I4" i="2"/>
  <c r="H8" i="2"/>
  <c r="H7" i="2"/>
  <c r="H6" i="2"/>
  <c r="H5" i="2"/>
  <c r="H4" i="2"/>
  <c r="G4" i="2"/>
  <c r="E5" i="2"/>
  <c r="E6" i="2"/>
  <c r="E7" i="2"/>
  <c r="E8" i="2"/>
  <c r="E4" i="2"/>
  <c r="C5" i="2"/>
  <c r="C6" i="2"/>
  <c r="C7" i="2"/>
  <c r="C8" i="2"/>
  <c r="C4" i="2"/>
  <c r="F4" i="2" s="1"/>
  <c r="L4" i="2" s="1"/>
  <c r="N4" i="2" s="1"/>
  <c r="D7" i="2"/>
  <c r="D4" i="2"/>
  <c r="B5" i="2"/>
  <c r="F5" i="2" s="1"/>
  <c r="L5" i="2" s="1"/>
  <c r="N5" i="2" s="1"/>
  <c r="B6" i="2"/>
  <c r="F6" i="2" s="1"/>
  <c r="B7" i="2"/>
  <c r="F7" i="2" s="1"/>
  <c r="L7" i="2" s="1"/>
  <c r="N7" i="2" s="1"/>
  <c r="B8" i="2"/>
  <c r="B4" i="2"/>
  <c r="A5" i="2"/>
  <c r="A6" i="2"/>
  <c r="A7" i="2"/>
  <c r="A8" i="2"/>
  <c r="A4" i="2"/>
  <c r="D17" i="1"/>
  <c r="D8" i="2" s="1"/>
  <c r="G8" i="2" s="1"/>
  <c r="M8" i="2" s="1"/>
  <c r="O8" i="2" s="1"/>
  <c r="D16" i="1"/>
  <c r="D15" i="1"/>
  <c r="D6" i="2" s="1"/>
  <c r="D14" i="1"/>
  <c r="D5" i="2" s="1"/>
  <c r="G5" i="2" s="1"/>
  <c r="M5" i="2" s="1"/>
  <c r="O5" i="2" s="1"/>
  <c r="D13" i="1"/>
  <c r="G21" i="6" l="1"/>
  <c r="L8" i="5"/>
  <c r="E8" i="5"/>
  <c r="D8" i="5"/>
  <c r="J4" i="5"/>
  <c r="G6" i="2"/>
  <c r="M6" i="2" s="1"/>
  <c r="O6" i="2" s="1"/>
  <c r="L6" i="2"/>
  <c r="N6" i="2" s="1"/>
  <c r="M4" i="2"/>
  <c r="O4" i="2" s="1"/>
  <c r="G7" i="3"/>
  <c r="I8" i="3" s="1"/>
  <c r="H7" i="3"/>
  <c r="F8" i="2"/>
  <c r="L8" i="2" s="1"/>
  <c r="N8" i="2" s="1"/>
  <c r="G7" i="2"/>
  <c r="M7" i="2" s="1"/>
  <c r="O7" i="2" s="1"/>
</calcChain>
</file>

<file path=xl/sharedStrings.xml><?xml version="1.0" encoding="utf-8"?>
<sst xmlns="http://schemas.openxmlformats.org/spreadsheetml/2006/main" count="256" uniqueCount="214">
  <si>
    <t>Inputs</t>
  </si>
  <si>
    <t>Contract Setup</t>
  </si>
  <si>
    <t>Parameter</t>
  </si>
  <si>
    <t>Value</t>
  </si>
  <si>
    <t>Unit</t>
  </si>
  <si>
    <t>Source/Justification</t>
  </si>
  <si>
    <t>Period of Performance</t>
  </si>
  <si>
    <t>Hours per Year FTE</t>
  </si>
  <si>
    <t>Workdays per Week</t>
  </si>
  <si>
    <t>Work Hours per Day</t>
  </si>
  <si>
    <t>Months</t>
  </si>
  <si>
    <t>12 Months base + 12 Months option year</t>
  </si>
  <si>
    <t>Hours</t>
  </si>
  <si>
    <t>Days</t>
  </si>
  <si>
    <t>Industry Standard</t>
  </si>
  <si>
    <t>8 hrs/day x 5 Days / Week x 48  Work Weeks</t>
  </si>
  <si>
    <t>Labor Categories</t>
  </si>
  <si>
    <t>Labor Category</t>
  </si>
  <si>
    <t>Level</t>
  </si>
  <si>
    <t>Base Hourly Rate</t>
  </si>
  <si>
    <t>Option Hourly Rate</t>
  </si>
  <si>
    <t>DevOps Engineer</t>
  </si>
  <si>
    <t>Security Automation Specialist</t>
  </si>
  <si>
    <t>Agile Scrum Master</t>
  </si>
  <si>
    <t>Technical Writer</t>
  </si>
  <si>
    <t>Senior</t>
  </si>
  <si>
    <t>Mid-Level</t>
  </si>
  <si>
    <t>USD/hr</t>
  </si>
  <si>
    <t>Burdened Rates</t>
  </si>
  <si>
    <t>Indirect Rate</t>
  </si>
  <si>
    <t>Rate</t>
  </si>
  <si>
    <t>Applied to</t>
  </si>
  <si>
    <t>Fringe</t>
  </si>
  <si>
    <t>Overhead (OH)</t>
  </si>
  <si>
    <t>General &amp; Administration (G&amp;A)</t>
  </si>
  <si>
    <t>Fee (Profit)</t>
  </si>
  <si>
    <t>Base Labor Cost</t>
  </si>
  <si>
    <t>Direct Labor + Fringe</t>
  </si>
  <si>
    <t>Total Cost Input (TCI)</t>
  </si>
  <si>
    <t>Total Cost</t>
  </si>
  <si>
    <t>Internal rates structure from prior proposals</t>
  </si>
  <si>
    <t>Company-wide G&amp;A pool allocation methodology</t>
  </si>
  <si>
    <t>Other Direct Costs (ODCs)</t>
  </si>
  <si>
    <t>ODC Item</t>
  </si>
  <si>
    <t>Quantity/Unit Basis</t>
  </si>
  <si>
    <t>Travel</t>
  </si>
  <si>
    <t>Software Licenses</t>
  </si>
  <si>
    <t>Labor Hours</t>
  </si>
  <si>
    <t>Base Hours</t>
  </si>
  <si>
    <t>Option Hours</t>
  </si>
  <si>
    <t>Basis/Justification</t>
  </si>
  <si>
    <t>FTE = 1920 x 2 full time DevOps Engineers = 3840 total hours. Both employees are to be kept on full time for the option year.</t>
  </si>
  <si>
    <t>1 FTE full year + 1 FTE option year</t>
  </si>
  <si>
    <t>Part time support: 0.5 FTE full year + 0.5 FTE option year</t>
  </si>
  <si>
    <t>Estimated Base Unit Cost</t>
  </si>
  <si>
    <t>Estimated Option Unit Cost</t>
  </si>
  <si>
    <t>1 quarterly trip per employee</t>
  </si>
  <si>
    <t>1 annual license per user</t>
  </si>
  <si>
    <t>Monthly usage fee</t>
  </si>
  <si>
    <t>RFP stated travel to be included in ODCs; includes airfare, hotel, and per diem</t>
  </si>
  <si>
    <t>Security tools, management, and development tools</t>
  </si>
  <si>
    <t>AWS EC2/S3 usage estimate based on similar past projects</t>
  </si>
  <si>
    <t>Based on prior project rates</t>
  </si>
  <si>
    <t>Labor Escalation Rate</t>
  </si>
  <si>
    <t>Contract Type</t>
  </si>
  <si>
    <t>Time &amp; Materials (T&amp;M)</t>
  </si>
  <si>
    <t>N/A</t>
  </si>
  <si>
    <t>As specified in RFP</t>
  </si>
  <si>
    <t>Base labor rate (only for option year</t>
  </si>
  <si>
    <t>Based on 3% inflation assumption; applied to base hourly rate</t>
  </si>
  <si>
    <t>Target Margin for T&amp;M aligns with corporate policy and prior cost proposal benchmarks for contracts of this scale</t>
  </si>
  <si>
    <t>Total FTEs</t>
  </si>
  <si>
    <t>Total FTEs for both the base year + option year</t>
  </si>
  <si>
    <t xml:space="preserve">Based on Industry Standard </t>
  </si>
  <si>
    <t>Cloud Infrastructure Engineer</t>
  </si>
  <si>
    <t>Based on historical actuals/indirect rate proposal</t>
  </si>
  <si>
    <t>Cloud Infrastructure</t>
  </si>
  <si>
    <t>Labor pricing</t>
  </si>
  <si>
    <t>Base Rate</t>
  </si>
  <si>
    <t>Overhead</t>
  </si>
  <si>
    <t>G&amp;A</t>
  </si>
  <si>
    <t>Fee</t>
  </si>
  <si>
    <t>Fully Burdened Option Cost</t>
  </si>
  <si>
    <t>Fully Burdened Base Cost</t>
  </si>
  <si>
    <t>Loaded Base Hourly Rate</t>
  </si>
  <si>
    <t>Loaded Option Hourly Rate</t>
  </si>
  <si>
    <t>Total Base Cost</t>
  </si>
  <si>
    <t>Total Option Cost</t>
  </si>
  <si>
    <t>Option Year Rate</t>
  </si>
  <si>
    <t>Base hours</t>
  </si>
  <si>
    <t>Option Year Hours</t>
  </si>
  <si>
    <t>Other Direct Coss (ODCs)</t>
  </si>
  <si>
    <t>ODCs Category</t>
  </si>
  <si>
    <t>Description</t>
  </si>
  <si>
    <t>Total  Base Cost</t>
  </si>
  <si>
    <t>Total  Option Cost</t>
  </si>
  <si>
    <t>Quantity Base Year</t>
  </si>
  <si>
    <t>Quantity Option Year</t>
  </si>
  <si>
    <t>Site Visits (4 trips per year)</t>
  </si>
  <si>
    <t>Commercial tools for Dev, QA, and Security</t>
  </si>
  <si>
    <t>Hosting, virtual environments, data storage</t>
  </si>
  <si>
    <t>Subtotal ODCs by year</t>
  </si>
  <si>
    <t xml:space="preserve">Total ODCs </t>
  </si>
  <si>
    <t>Total ODCs Cost</t>
  </si>
  <si>
    <t>Total &amp; Pricing</t>
  </si>
  <si>
    <t>Category</t>
  </si>
  <si>
    <t>Amount ($)</t>
  </si>
  <si>
    <t>Notes</t>
  </si>
  <si>
    <t>Fully Burdened Base Labor Cost Total</t>
  </si>
  <si>
    <t>Base ODCs Total</t>
  </si>
  <si>
    <t>Option ODCs Total</t>
  </si>
  <si>
    <t>Fee on Option ODCs</t>
  </si>
  <si>
    <t>Fee on Base ODCs</t>
  </si>
  <si>
    <t>Subtotal Base Contract Price</t>
  </si>
  <si>
    <t>Subtotal Option Contract Price</t>
  </si>
  <si>
    <t>Total Contract Price</t>
  </si>
  <si>
    <t>Total</t>
  </si>
  <si>
    <t>From Labor Pricing tab (base year)</t>
  </si>
  <si>
    <t>From Labor Pricing tab (option year)</t>
  </si>
  <si>
    <t>From ODCs tab (base year prior to fee)</t>
  </si>
  <si>
    <t>From ODCs tab (option year prior to fee)</t>
  </si>
  <si>
    <t>Fully Burdened Option Labor Cost Total</t>
  </si>
  <si>
    <t xml:space="preserve">Total T&amp;M  base year price </t>
  </si>
  <si>
    <t xml:space="preserve">Total T&amp;M option year price </t>
  </si>
  <si>
    <t>Total T&amp;M price for proposal</t>
  </si>
  <si>
    <t>10% of ODC option year</t>
  </si>
  <si>
    <t>10% of ODC base year</t>
  </si>
  <si>
    <t>CLIN Pricing</t>
  </si>
  <si>
    <t>CLIN</t>
  </si>
  <si>
    <t>ODCs</t>
  </si>
  <si>
    <t>DevOps Engineering Support</t>
  </si>
  <si>
    <t>Agile Support &amp; Documentation</t>
  </si>
  <si>
    <t>Dev Ops Engineer</t>
  </si>
  <si>
    <t>Option Labor Cost</t>
  </si>
  <si>
    <t>Cloud Infrastructure Engineer, Security Automation Specialist</t>
  </si>
  <si>
    <t>Agile Scrum Master, Technical Writer</t>
  </si>
  <si>
    <t>Base ODCs</t>
  </si>
  <si>
    <t>Option ODCs</t>
  </si>
  <si>
    <t>Total Base CLIN Price</t>
  </si>
  <si>
    <t>Total Option CLIN Price</t>
  </si>
  <si>
    <t>% of Base Total</t>
  </si>
  <si>
    <t>% of Option Total</t>
  </si>
  <si>
    <t>Grand Total</t>
  </si>
  <si>
    <t>Grand Total Contract Price</t>
  </si>
  <si>
    <t>CLIN Totals (Base and Option Years)</t>
  </si>
  <si>
    <t>Basis of Estimate</t>
  </si>
  <si>
    <t>Justification</t>
  </si>
  <si>
    <t>Estimated Base Hours</t>
  </si>
  <si>
    <t>Monthly Avg Base Hours</t>
  </si>
  <si>
    <t>Estimated Option Hours</t>
  </si>
  <si>
    <t>Estimated Avg Option Hours</t>
  </si>
  <si>
    <t>Facilitates Agile ceremonies and removes blockers for cross-functional teams to ensure timely delivery of prioritized backlog items. Provides coaching on Agile best practices aligned with client delivery models under CLIN 3.</t>
  </si>
  <si>
    <t>Develops and maintains documentation required for deployment, system operation, security accreditation, and user adoption under CLIN 3. Ensures deliverables meet federal documentation standards.</t>
  </si>
  <si>
    <t>Assumptions</t>
  </si>
  <si>
    <t>1 FTE = 1,920 hours annually (160 hours/month x 12)</t>
  </si>
  <si>
    <t>No overtime is planned or budgeted</t>
  </si>
  <si>
    <t>Work is performed at the unclassified level</t>
  </si>
  <si>
    <t>Contractor provides tools and licenses (included under ODCs)</t>
  </si>
  <si>
    <t>Percentages and rounding follow audit-approved tolerances</t>
  </si>
  <si>
    <t xml:space="preserve">Other Direct Costs (ODCs) </t>
  </si>
  <si>
    <t>Total Estimated Cost</t>
  </si>
  <si>
    <t>Estimated Base Cost</t>
  </si>
  <si>
    <t>Estimated Option Cost</t>
  </si>
  <si>
    <t>Avg Monthly Base Cost</t>
  </si>
  <si>
    <t>Avg Monthly Option Cost</t>
  </si>
  <si>
    <t>Implements automated security controls and continuous monitoring solutions to meet compliance standards under CLIN 2. Reduces manual security testing by scripting scans and integrating with CI/CD pipelines.</t>
  </si>
  <si>
    <t>Budgeted for 4 quarterly in-person meetings per year at $1,500 each. Includes airfare, lodging, and per diem in accordance with the Federal Travel Regulation (FTR). Applies to both base and option periods.</t>
  </si>
  <si>
    <t>Security tools, management, and development tools for 5 team members budgeted at $500 per license annually.</t>
  </si>
  <si>
    <t>AWS usage based on prior projects with similar scope and user demand, supporting CI/CD pipelines, secure storage, and testing environments estimated at $666.67 per month.</t>
  </si>
  <si>
    <t>Base Year Price</t>
  </si>
  <si>
    <t>Option Year Price</t>
  </si>
  <si>
    <t>Total Labor Cost</t>
  </si>
  <si>
    <t>Labor as % of Total</t>
  </si>
  <si>
    <t>Total ODCs + Fee</t>
  </si>
  <si>
    <t>ODCs as % of Total</t>
  </si>
  <si>
    <t>Number of Roles</t>
  </si>
  <si>
    <t>Time &amp; Materials</t>
  </si>
  <si>
    <t>ODC Category</t>
  </si>
  <si>
    <t>Cloud Infrastructure &amp; Security Automation Specialist</t>
  </si>
  <si>
    <t>RFP Section</t>
  </si>
  <si>
    <t>Requirements Summary</t>
  </si>
  <si>
    <t>Response / Compliance</t>
  </si>
  <si>
    <t>Document or Tab</t>
  </si>
  <si>
    <t>Section B - Supplies or Services and Prices</t>
  </si>
  <si>
    <t>Provide CLIN-Level pricing with labor and ODCs separated</t>
  </si>
  <si>
    <t>Compliant - CLIN pricing table includes labor categories, ODCs, and fees for both base and option years</t>
  </si>
  <si>
    <t>CLIN Pricing Tab</t>
  </si>
  <si>
    <t>Section C - Statement of Work</t>
  </si>
  <si>
    <t>Includes labor resources that align with tasks in the SOW</t>
  </si>
  <si>
    <t>Compliant - Labor categories and estimated hours justified in BOE and mapped to CLINs</t>
  </si>
  <si>
    <t>Section L - Instructions, Conditions, and Notices to Offerors</t>
  </si>
  <si>
    <t>Compliant - Pricing Volume submitted with cost model, assumptions, and justification</t>
  </si>
  <si>
    <t>Section M - Evaluation Criteria</t>
  </si>
  <si>
    <t>Cost will be evaluated for realism and completeness</t>
  </si>
  <si>
    <t>Compliant - Rates and hours are justified based on market data and past performance</t>
  </si>
  <si>
    <t>BOE Tab + Inputs Tab</t>
  </si>
  <si>
    <t>Section B - Option Periods</t>
  </si>
  <si>
    <t>Include pricing for base and one option year</t>
  </si>
  <si>
    <t>Labor Pricing, ODCs, CLIN Pricing Tabs</t>
  </si>
  <si>
    <t>Section G - Deliverables</t>
  </si>
  <si>
    <t>Compliant - Full traceability between RFT, cost elements, and supporting documents provided</t>
  </si>
  <si>
    <t>Submit a complete pricing volume with all assumptions, rationale, and cost backup</t>
  </si>
  <si>
    <t>Provide supporting documentation for proposed cost elements</t>
  </si>
  <si>
    <t>RFP Matrix</t>
  </si>
  <si>
    <t>Compliant - Pricing model includes both base and option year details for all CLINs</t>
  </si>
  <si>
    <t>Description/Basis of Estimate</t>
  </si>
  <si>
    <t>Supports the provisioning, scaling, and maintenance of cloud services and virtualized infrastructure in accordance with FedRAMP and security policies. Ensures that cloud resources are reliable, secure, and cost-optimized under CLIN 2.</t>
  </si>
  <si>
    <t>Project is fully remote except for 4 in-person quarterly meetings</t>
  </si>
  <si>
    <t>Two Full-time (FTE) engineering roles responsible designing, implementing, and maintaining  automated deployment pipelines an infrastructure-as-code (IaC) environments that support continuous integration and continuous delivery (CI/CD) under CLIN 1.</t>
  </si>
  <si>
    <t>Total ODCs without fee</t>
  </si>
  <si>
    <t>Total ODCs with fee</t>
  </si>
  <si>
    <t>BOE Tab + BOE Narrative</t>
  </si>
  <si>
    <t xml:space="preserve">Pricing Volume Narrative </t>
  </si>
  <si>
    <t>Pricing Model Workbook + BOE Narrative + RFP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</si>
</sst>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9" fontId="0" fillId="0" borderId="1" xfId="2" applyFont="1" applyBorder="1"/>
    <xf numFmtId="44" fontId="0" fillId="0" borderId="1" xfId="1" applyFont="1" applyBorder="1"/>
    <xf numFmtId="44" fontId="0" fillId="0" borderId="1" xfId="1" applyFont="1" applyBorder="1" applyAlignment="1">
      <alignment wrapText="1"/>
    </xf>
    <xf numFmtId="44" fontId="0" fillId="0" borderId="0" xfId="0" applyNumberFormat="1"/>
    <xf numFmtId="2" fontId="0" fillId="0" borderId="0" xfId="0" applyNumberFormat="1"/>
    <xf numFmtId="44" fontId="0" fillId="0" borderId="1" xfId="0" applyNumberFormat="1" applyBorder="1"/>
    <xf numFmtId="1" fontId="0" fillId="0" borderId="1" xfId="0" applyNumberFormat="1" applyBorder="1"/>
    <xf numFmtId="9" fontId="0" fillId="0" borderId="1" xfId="0" applyNumberFormat="1" applyBorder="1"/>
    <xf numFmtId="44" fontId="2" fillId="0" borderId="1" xfId="0" applyNumberFormat="1" applyFont="1" applyBorder="1"/>
    <xf numFmtId="44" fontId="0" fillId="0" borderId="1" xfId="0" applyNumberForma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9" fontId="2" fillId="0" borderId="1" xfId="0" applyNumberFormat="1" applyFont="1" applyBorder="1"/>
    <xf numFmtId="0" fontId="2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6" borderId="1" xfId="0" applyFont="1" applyFill="1" applyBorder="1" applyAlignment="1">
      <alignment horizontal="center"/>
    </xf>
    <xf numFmtId="44" fontId="0" fillId="6" borderId="1" xfId="0" applyNumberFormat="1" applyFill="1" applyBorder="1"/>
    <xf numFmtId="0" fontId="2" fillId="7" borderId="1" xfId="0" applyFont="1" applyFill="1" applyBorder="1" applyAlignment="1">
      <alignment horizontal="center"/>
    </xf>
    <xf numFmtId="44" fontId="0" fillId="7" borderId="1" xfId="0" applyNumberFormat="1" applyFill="1" applyBorder="1"/>
    <xf numFmtId="0" fontId="2" fillId="8" borderId="1" xfId="0" applyFont="1" applyFill="1" applyBorder="1" applyAlignment="1">
      <alignment horizontal="center"/>
    </xf>
    <xf numFmtId="44" fontId="0" fillId="8" borderId="1" xfId="0" applyNumberFormat="1" applyFill="1" applyBorder="1"/>
    <xf numFmtId="0" fontId="2" fillId="9" borderId="1" xfId="0" applyFont="1" applyFill="1" applyBorder="1" applyAlignment="1">
      <alignment horizontal="center"/>
    </xf>
    <xf numFmtId="44" fontId="0" fillId="9" borderId="1" xfId="0" applyNumberFormat="1" applyFill="1" applyBorder="1"/>
    <xf numFmtId="0" fontId="2" fillId="10" borderId="1" xfId="0" applyFont="1" applyFill="1" applyBorder="1" applyAlignment="1">
      <alignment horizontal="center"/>
    </xf>
    <xf numFmtId="10" fontId="0" fillId="10" borderId="1" xfId="2" applyNumberFormat="1" applyFont="1" applyFill="1" applyBorder="1"/>
    <xf numFmtId="0" fontId="2" fillId="3" borderId="1" xfId="0" applyFont="1" applyFill="1" applyBorder="1" applyAlignment="1">
      <alignment horizontal="center"/>
    </xf>
    <xf numFmtId="10" fontId="0" fillId="3" borderId="1" xfId="2" applyNumberFormat="1" applyFont="1" applyFill="1" applyBorder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/>
    <xf numFmtId="164" fontId="0" fillId="11" borderId="1" xfId="0" applyNumberFormat="1" applyFill="1" applyBorder="1"/>
    <xf numFmtId="0" fontId="0" fillId="12" borderId="1" xfId="0" applyFill="1" applyBorder="1" applyAlignment="1">
      <alignment wrapText="1"/>
    </xf>
    <xf numFmtId="44" fontId="0" fillId="12" borderId="1" xfId="0" applyNumberFormat="1" applyFill="1" applyBorder="1" applyAlignment="1">
      <alignment wrapText="1"/>
    </xf>
    <xf numFmtId="0" fontId="0" fillId="12" borderId="1" xfId="0" applyFill="1" applyBorder="1"/>
    <xf numFmtId="0" fontId="0" fillId="13" borderId="1" xfId="0" applyFill="1" applyBorder="1" applyAlignment="1">
      <alignment wrapText="1"/>
    </xf>
    <xf numFmtId="44" fontId="0" fillId="13" borderId="1" xfId="0" applyNumberFormat="1" applyFill="1" applyBorder="1" applyAlignment="1">
      <alignment wrapText="1"/>
    </xf>
    <xf numFmtId="44" fontId="0" fillId="12" borderId="1" xfId="0" applyNumberFormat="1" applyFill="1" applyBorder="1"/>
    <xf numFmtId="0" fontId="2" fillId="13" borderId="1" xfId="0" applyFont="1" applyFill="1" applyBorder="1"/>
    <xf numFmtId="44" fontId="2" fillId="13" borderId="1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CC"/>
      <color rgb="FFFFFF66"/>
      <color rgb="FFFFFF99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CLIN</a:t>
            </a:r>
            <a:r>
              <a:rPr lang="en-US" b="1" baseline="0"/>
              <a:t> Cost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61263266004792E-2"/>
          <c:y val="0.17171296296296296"/>
          <c:w val="0.85176345144356957"/>
          <c:h val="0.721258019830854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'CLIN Pricing'!$J$3</c:f>
              <c:strCache>
                <c:ptCount val="1"/>
                <c:pt idx="0">
                  <c:v>Total Base CLIN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'CLIN Pricing'!$J$4:$J$7</c:f>
              <c:numCache>
                <c:formatCode>_("$"* #,##0.00_);_("$"* \(#,##0.00\);_("$"* "-"??_);_(@_)</c:formatCode>
                <c:ptCount val="4"/>
                <c:pt idx="0">
                  <c:v>1254528.0000000005</c:v>
                </c:pt>
                <c:pt idx="1">
                  <c:v>1254528.0000000002</c:v>
                </c:pt>
                <c:pt idx="2">
                  <c:v>872289</c:v>
                </c:pt>
                <c:pt idx="3">
                  <c:v>18150.044000000002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E-4C51-8B24-140ABEA4F96F}"/>
            </c:ext>
          </c:extLst>
        </c:ser>
        <c:ser>
          <c:idx val="1"/>
          <c:order val="1"/>
          <c:tx>
            <c:strRef>
              <c:f>'CLIN Pricing'!$K$3</c:f>
              <c:strCache>
                <c:ptCount val="1"/>
                <c:pt idx="0">
                  <c:v>Total Option CLIN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'CLIN Pricing'!$K$4:$K$7</c:f>
              <c:numCache>
                <c:formatCode>_("$"* #,##0.00_);_("$"* \(#,##0.00\);_("$"* "-"??_);_(@_)</c:formatCode>
                <c:ptCount val="4"/>
                <c:pt idx="0">
                  <c:v>1292163.8400000003</c:v>
                </c:pt>
                <c:pt idx="1">
                  <c:v>1292163.8400000003</c:v>
                </c:pt>
                <c:pt idx="2">
                  <c:v>898457.67000000016</c:v>
                </c:pt>
                <c:pt idx="3">
                  <c:v>18150.044000000002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8E-4C51-8B24-140ABEA4F9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6439512"/>
        <c:axId val="596439872"/>
      </c:barChart>
      <c:catAx>
        <c:axId val="5964395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39872"/>
        <c:crosses val="autoZero"/>
        <c:auto val="1"/>
        <c:lblAlgn val="ctr"/>
        <c:lblOffset val="100"/>
        <c:noMultiLvlLbl val="0"/>
      </c:catAx>
      <c:valAx>
        <c:axId val="59643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3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86692628095393"/>
          <c:y val="0.13504556722076408"/>
          <c:w val="0.22478208693232446"/>
          <c:h val="0.122664419969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by Labor Category (Base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C9-4851-949F-1FC3128E72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C9-4851-949F-1FC3128E72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C9-4851-949F-1FC3128E72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C9-4851-949F-1FC3128E72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C9-4851-949F-1FC3128E72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'Labor Pricing'!$A$4:$A$8</c:f>
              <c:strCache>
                <c:ptCount val="5"/>
                <c:pt idx="0">
                  <c:v>DevOps Engineer</c:v>
                </c:pt>
                <c:pt idx="1">
                  <c:v>Cloud Infrastructure Engineer</c:v>
                </c:pt>
                <c:pt idx="2">
                  <c:v>Security Automation Specialist</c:v>
                </c:pt>
                <c:pt idx="3">
                  <c:v>Agile Scrum Master</c:v>
                </c:pt>
                <c:pt idx="4">
                  <c:v>Technical Writer</c:v>
                </c:pt>
              </c:strCache>
            </c:strRef>
          </c:cat>
          <c:val>
            <c:numRef>
              <c:f>'Labor Pricing'!$L$4:$L$8</c:f>
              <c:numCache>
                <c:formatCode>_("$"* #,##0.00_);_("$"* \(#,##0.00\);_("$"* "-"??_);_(@_)</c:formatCode>
                <c:ptCount val="5"/>
                <c:pt idx="0">
                  <c:v>1254528.0000000005</c:v>
                </c:pt>
                <c:pt idx="1">
                  <c:v>588060.00000000023</c:v>
                </c:pt>
                <c:pt idx="2">
                  <c:v>666468</c:v>
                </c:pt>
                <c:pt idx="3">
                  <c:v>686070</c:v>
                </c:pt>
                <c:pt idx="4">
                  <c:v>186219.00000000003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B-4124-BD4D-1C04BB9AC0D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by Labor Category (Option</a:t>
            </a:r>
            <a:r>
              <a:rPr lang="en-US" baseline="0"/>
              <a:t>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25-4776-AC58-75670EFE5C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25-4776-AC58-75670EFE5C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25-4776-AC58-75670EFE5C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25-4776-AC58-75670EFE5C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25-4776-AC58-75670EFE5C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'Labor Pricing'!$A$4:$A$8</c:f>
              <c:strCache>
                <c:ptCount val="5"/>
                <c:pt idx="0">
                  <c:v>DevOps Engineer</c:v>
                </c:pt>
                <c:pt idx="1">
                  <c:v>Cloud Infrastructure Engineer</c:v>
                </c:pt>
                <c:pt idx="2">
                  <c:v>Security Automation Specialist</c:v>
                </c:pt>
                <c:pt idx="3">
                  <c:v>Agile Scrum Master</c:v>
                </c:pt>
                <c:pt idx="4">
                  <c:v>Technical Writer</c:v>
                </c:pt>
              </c:strCache>
            </c:strRef>
          </c:cat>
          <c:val>
            <c:numRef>
              <c:f>'Labor Pricing'!$M$4:$M$8</c:f>
              <c:numCache>
                <c:formatCode>_("$"* #,##0.00_);_("$"* \(#,##0.00\);_("$"* "-"??_);_(@_)</c:formatCode>
                <c:ptCount val="5"/>
                <c:pt idx="0">
                  <c:v>1292163.8400000003</c:v>
                </c:pt>
                <c:pt idx="1">
                  <c:v>605701.80000000016</c:v>
                </c:pt>
                <c:pt idx="2">
                  <c:v>686462.04</c:v>
                </c:pt>
                <c:pt idx="3">
                  <c:v>706652.10000000009</c:v>
                </c:pt>
                <c:pt idx="4">
                  <c:v>191805.57000000004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0-4939-939F-88DEE7FF16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8964</xdr:rowOff>
    </xdr:from>
    <xdr:to>
      <xdr:col>10</xdr:col>
      <xdr:colOff>205740</xdr:colOff>
      <xdr:row>31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C526FC-B9B1-474A-AEB1-27E86C3F495D}"/>
            </a:ext>
          </a:extLst>
        </xdr:cNvPr>
        <xdr:cNvSpPr txBox="1"/>
      </xdr:nvSpPr>
      <xdr:spPr>
        <a:xfrm>
          <a:off x="0" y="1913964"/>
          <a:ext cx="8901505" cy="41260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Audit</a:t>
          </a:r>
          <a:r>
            <a:rPr lang="en-US" sz="1100" b="1" baseline="0"/>
            <a:t> Notes: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1" baseline="0"/>
            <a:t>Total Cost </a:t>
          </a:r>
          <a:r>
            <a:rPr lang="en-US" sz="1100" baseline="0"/>
            <a:t>= Base Rate x Base Hours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1" baseline="0"/>
            <a:t>Option Cost </a:t>
          </a:r>
          <a:r>
            <a:rPr lang="en-US" sz="1100" baseline="0"/>
            <a:t>= Option Year Rate x Option Year Hours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1" baseline="0"/>
            <a:t>Fully Burdened Base Cost Calculation: </a:t>
          </a:r>
          <a:r>
            <a:rPr lang="en-US"/>
            <a:t>Fully Burdened Base Cost = Total Base</a:t>
          </a:r>
          <a:r>
            <a:rPr lang="en-US" baseline="0"/>
            <a:t> Labor</a:t>
          </a:r>
          <a:r>
            <a:rPr lang="en-US"/>
            <a:t> Cost × (1 + Fringe %) × (1 + Overhead %) × (1 + G&amp;A %) × (1 + Fee %)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Fully Burdened Option Cost Calculation: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Fully Burdened Cost = Base Toal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Labor Cost × (1 + Fringe %) × (1 + Overhead %) × (1 + G&amp;A %) × (1 + Fee %)</a:t>
          </a:r>
          <a:endParaRPr lang="en-US" sz="1100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1" baseline="0"/>
            <a:t>Burden Application: </a:t>
          </a:r>
          <a:r>
            <a:rPr lang="en-US" sz="1100" baseline="0"/>
            <a:t>Each rate is applied sequentially, compounding the previous total. Each rate is applied in the following order:</a:t>
          </a:r>
        </a:p>
        <a:p>
          <a:pPr marL="0" indent="0">
            <a:buFontTx/>
            <a:buNone/>
          </a:pPr>
          <a:r>
            <a:rPr lang="en-US" sz="1100" baseline="0"/>
            <a:t>	1. </a:t>
          </a:r>
          <a:r>
            <a:rPr lang="en-US" sz="1100" b="1" baseline="0"/>
            <a:t>Fringe </a:t>
          </a:r>
          <a:r>
            <a:rPr lang="en-US" sz="1100" b="0" baseline="0"/>
            <a:t>on total labor cost</a:t>
          </a:r>
        </a:p>
        <a:p>
          <a:pPr marL="0" indent="0">
            <a:buFontTx/>
            <a:buNone/>
          </a:pPr>
          <a:r>
            <a:rPr lang="en-US" sz="1100" b="0" baseline="0"/>
            <a:t>	2. </a:t>
          </a:r>
          <a:r>
            <a:rPr lang="en-US" sz="1100" b="1" baseline="0"/>
            <a:t>Overhead </a:t>
          </a:r>
          <a:r>
            <a:rPr lang="en-US" sz="1100" b="0" baseline="0"/>
            <a:t>on (Labor + Fringe)</a:t>
          </a:r>
        </a:p>
        <a:p>
          <a:pPr marL="0" indent="0">
            <a:buFontTx/>
            <a:buNone/>
          </a:pPr>
          <a:r>
            <a:rPr lang="en-US" sz="1100" b="0" baseline="0"/>
            <a:t>	3. </a:t>
          </a:r>
          <a:r>
            <a:rPr lang="en-US" sz="1100" b="1" baseline="0"/>
            <a:t>G&amp;A</a:t>
          </a:r>
          <a:r>
            <a:rPr lang="en-US" sz="1100" b="0" baseline="0"/>
            <a:t> on total cost input (Labor + Fringe + OH)</a:t>
          </a:r>
        </a:p>
        <a:p>
          <a:pPr marL="0" indent="0">
            <a:buFontTx/>
            <a:buNone/>
          </a:pPr>
          <a:r>
            <a:rPr lang="en-US" sz="1100" b="0" baseline="0"/>
            <a:t>	4. </a:t>
          </a:r>
          <a:r>
            <a:rPr lang="en-US" sz="1100" b="1" baseline="0"/>
            <a:t>Fee</a:t>
          </a:r>
          <a:r>
            <a:rPr lang="en-US" sz="1100" b="0" baseline="0"/>
            <a:t> on final cost after G&amp;A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1" baseline="0"/>
            <a:t>Rate Source/Justification</a:t>
          </a:r>
          <a:r>
            <a:rPr lang="en-US" sz="1100" b="0" baseline="0"/>
            <a:t>: All burden rates are </a:t>
          </a:r>
          <a:r>
            <a:rPr lang="en-US" sz="1100" baseline="0"/>
            <a:t>based on historical company data, previous proposals, and internal indirect rate structures. BOE justifications for each labor category can be found on the Basis fo Estimate (BOE) tab.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b="1"/>
            <a:t>CLIN Reference: </a:t>
          </a:r>
          <a:r>
            <a:rPr lang="en-US"/>
            <a:t>Labor categories and loaded rates from this tab are mapped directly to CLIN pricing in the CLIN tab. Quantities and labor mix are defined by CLIN requirements.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1" baseline="0"/>
            <a:t>Loaded Base Hourly Rate </a:t>
          </a:r>
          <a:r>
            <a:rPr lang="en-US" sz="1100" baseline="0"/>
            <a:t>= Fully Burdened  Base Cost / Base hours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1" baseline="0"/>
            <a:t>Loaded Option Hourly Rate </a:t>
          </a:r>
          <a:r>
            <a:rPr lang="en-US" sz="1100" baseline="0"/>
            <a:t>= Fully Burdened Option Cost / Option Year Hours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9</xdr:row>
      <xdr:rowOff>60960</xdr:rowOff>
    </xdr:from>
    <xdr:to>
      <xdr:col>3</xdr:col>
      <xdr:colOff>1409700</xdr:colOff>
      <xdr:row>19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0EDBFD-D247-46B7-903F-2F713775C1CD}"/>
            </a:ext>
          </a:extLst>
        </xdr:cNvPr>
        <xdr:cNvSpPr txBox="1"/>
      </xdr:nvSpPr>
      <xdr:spPr>
        <a:xfrm>
          <a:off x="30480" y="2255520"/>
          <a:ext cx="6080760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Audit</a:t>
          </a:r>
          <a:r>
            <a:rPr lang="en-US" sz="1100" b="1" baseline="0"/>
            <a:t> Notes: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1" baseline="0"/>
            <a:t>Total Base Cost </a:t>
          </a:r>
          <a:r>
            <a:rPr lang="en-US" sz="1100" baseline="0"/>
            <a:t>= Quantity Base Year x Estimated Base Unit Cost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Option Cost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Quantity Option Year x Estimated Option Unit Cost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baseline="0"/>
            <a:t>Costs are estimated based on historical data, market research, and vendor quotes where applicable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="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baseline="0"/>
            <a:t>Justifications for each line item are detailed in the </a:t>
          </a:r>
          <a:r>
            <a:rPr lang="en-US" sz="1100" b="1" baseline="0"/>
            <a:t>BOE tab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="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1" baseline="0"/>
            <a:t>A 10% Fee on total ODCs</a:t>
          </a:r>
          <a:r>
            <a:rPr lang="en-US" sz="1100" b="0" baseline="0"/>
            <a:t> is applied in the </a:t>
          </a:r>
          <a:r>
            <a:rPr lang="en-US" sz="1100" b="1" baseline="0"/>
            <a:t>Total &amp; Pricing tab</a:t>
          </a:r>
          <a:r>
            <a:rPr lang="en-US" sz="1100" b="0" baseline="0"/>
            <a:t> per company T&amp;M policy.</a:t>
          </a:r>
          <a:endParaRPr lang="en-US" sz="1100" b="1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5</xdr:col>
      <xdr:colOff>30480</xdr:colOff>
      <xdr:row>30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2A796F-E809-465C-A158-5221DA973264}"/>
            </a:ext>
          </a:extLst>
        </xdr:cNvPr>
        <xdr:cNvSpPr txBox="1"/>
      </xdr:nvSpPr>
      <xdr:spPr>
        <a:xfrm>
          <a:off x="0" y="2377440"/>
          <a:ext cx="6652260" cy="3116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Audit</a:t>
          </a:r>
          <a:r>
            <a:rPr lang="en-US" sz="1100" b="1" baseline="0"/>
            <a:t> Notes: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1" baseline="0"/>
            <a:t>Fully Burdened Base Labor Cost </a:t>
          </a:r>
          <a:r>
            <a:rPr lang="en-US" sz="1100" b="0" baseline="0"/>
            <a:t>is the sum of all labor categories, incorporating fringe, overhead, G&amp;A, and profit (Fee), as calculated in the </a:t>
          </a:r>
          <a:r>
            <a:rPr lang="en-US" sz="1100" b="1" baseline="0"/>
            <a:t>Labor Pricing tab </a:t>
          </a:r>
          <a:r>
            <a:rPr lang="en-US" sz="1100" b="0" baseline="0"/>
            <a:t>for the base year</a:t>
          </a:r>
          <a:r>
            <a:rPr lang="en-US" sz="1100" b="1" baseline="0"/>
            <a:t>.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Fully Burdened Option Labor Cost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the sum of all labor categories, incorporating fringe, overhead, G&amp;A, and profit (Fee), as calculated in the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Labor Pricing tab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option year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="1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1" baseline="0"/>
            <a:t>Base ODCs </a:t>
          </a:r>
          <a:r>
            <a:rPr lang="en-US" sz="1100" b="0" baseline="0"/>
            <a:t>are drawn from the </a:t>
          </a:r>
          <a:r>
            <a:rPr lang="en-US" sz="1100" b="1" baseline="0"/>
            <a:t>ODCs tab </a:t>
          </a:r>
          <a:r>
            <a:rPr lang="en-US" sz="1100" b="0" baseline="0"/>
            <a:t>and exclude fee.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Option ODCs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are drawn from the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ODCs tab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exclude fee.</a:t>
          </a:r>
          <a:endParaRPr lang="en-US" sz="1100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="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baseline="0"/>
            <a:t>A </a:t>
          </a:r>
          <a:r>
            <a:rPr lang="en-US" sz="1100" b="1" baseline="0"/>
            <a:t>10% profit/fee </a:t>
          </a:r>
          <a:r>
            <a:rPr lang="en-US" sz="1100" b="0" baseline="0"/>
            <a:t>is applied only to ODCs total in this tab.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="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1" baseline="0"/>
            <a:t>Subtotal Base Contract Price </a:t>
          </a:r>
          <a:r>
            <a:rPr lang="en-US" sz="1100" b="0" baseline="0"/>
            <a:t>reflects the sum of Fully Burdened Base Labor, Base ODCs, and fee on Base ODCs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Subtotal Option Contract Price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reflects the sum of Fully Burdened Option Labor, Option ODCs, and fee on Option ODCs </a:t>
          </a:r>
          <a:endParaRPr lang="en-US" sz="1100">
            <a:effectLst/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1" baseline="0"/>
            <a:t>Total Contract Price </a:t>
          </a:r>
          <a:r>
            <a:rPr lang="en-US" sz="1100" b="0" baseline="0"/>
            <a:t>reflects the sum of the Subtotal of Base Contract Price and Subtotal of Option Contract Price</a:t>
          </a:r>
          <a:endParaRPr lang="en-US" sz="1100" b="1" baseline="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="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baseline="0"/>
            <a:t>All rates, assumptions, and calculations are further supported in the </a:t>
          </a:r>
          <a:r>
            <a:rPr lang="en-US" sz="1100" b="1" baseline="0"/>
            <a:t>Inputs</a:t>
          </a:r>
          <a:r>
            <a:rPr lang="en-US" sz="1100" b="0" baseline="0"/>
            <a:t> and </a:t>
          </a:r>
          <a:r>
            <a:rPr lang="en-US" sz="1100" b="1" baseline="0"/>
            <a:t>BOE</a:t>
          </a:r>
          <a:r>
            <a:rPr lang="en-US" sz="1100" b="0" baseline="0"/>
            <a:t> </a:t>
          </a:r>
          <a:r>
            <a:rPr lang="en-US" sz="1100" b="1" baseline="0"/>
            <a:t>tabs</a:t>
          </a:r>
          <a:r>
            <a:rPr lang="en-US" sz="1100" b="0" baseline="0"/>
            <a:t>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="1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3</xdr:col>
      <xdr:colOff>991961</xdr:colOff>
      <xdr:row>19</xdr:row>
      <xdr:rowOff>174171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C2FE55-FA45-4C3F-9E27-DD0B85BDAE3A}"/>
            </a:ext>
          </a:extLst>
        </xdr:cNvPr>
        <xdr:cNvSpPr txBox="1"/>
      </xdr:nvSpPr>
      <xdr:spPr>
        <a:xfrm>
          <a:off x="0" y="2035629"/>
          <a:ext cx="6402161" cy="18396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Audit</a:t>
          </a:r>
          <a:r>
            <a:rPr lang="en-US" sz="1100" b="1" baseline="0"/>
            <a:t> Notes: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baseline="0"/>
            <a:t>Totals are broken down into base year and option years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baseline="0"/>
            <a:t>Grand total is the sum of the Total Base CLIN Price and the Total Option CLIN Price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Totals reconcile exactly with the Total &amp; Pricing tab to ensure traceability and audit alignment.</a:t>
          </a:r>
          <a:endParaRPr lang="en-US" sz="1100" b="0" baseline="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="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baseline="0"/>
            <a:t>CLIN structure aligns with major workstreams and cost allocations.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baseline="0"/>
            <a:t>Labor costs are allocated by CLIN based on labor category assignment from the Labor Pricing tab.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baseline="0"/>
            <a:t>CLIN 4 consolidates all Other Direct Costs (ODCs) and applies a 10% fee per the Total &amp; Pricing tab.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baseline="0"/>
            <a:t>Fee is not applied to labor as it is already fully burdened. Fee applied only to ODCs as a 10% markup.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baseline="0"/>
            <a:t>Labor category mappings to CLINs are summarized in the BOE tab for additional justification.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123713</xdr:colOff>
      <xdr:row>6</xdr:row>
      <xdr:rowOff>5603</xdr:rowOff>
    </xdr:from>
    <xdr:to>
      <xdr:col>9</xdr:col>
      <xdr:colOff>236220</xdr:colOff>
      <xdr:row>17</xdr:row>
      <xdr:rowOff>5603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0C129-A964-AED6-CCEE-8749191E3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174972</xdr:rowOff>
    </xdr:from>
    <xdr:to>
      <xdr:col>3</xdr:col>
      <xdr:colOff>314597</xdr:colOff>
      <xdr:row>34</xdr:row>
      <xdr:rowOff>14377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6390B5-7171-974D-E859-FADCFF848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364417</xdr:colOff>
      <xdr:row>19</xdr:row>
      <xdr:rowOff>186595</xdr:rowOff>
    </xdr:from>
    <xdr:to>
      <xdr:col>7</xdr:col>
      <xdr:colOff>441706</xdr:colOff>
      <xdr:row>34</xdr:row>
      <xdr:rowOff>59453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869C88-28F6-0986-24D6-CB38E5DAB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BEC6-F420-4811-81D4-FAF7EEB1A8A3}">
  <dimension ref="A1:D9"/>
  <sheetViews>
    <sheetView zoomScale="85" zoomScaleNormal="85" workbookViewId="0">
      <selection activeCell="J10" sqref="J10"/>
    </sheetView>
  </sheetViews>
  <sheetFormatPr defaultRowHeight="15" x14ac:dyDescent="0.25"/>
  <cols>
    <col min="1" max="1" width="20.7109375" customWidth="1"/>
    <col min="2" max="2" width="23" customWidth="1"/>
    <col min="3" max="3" width="33.42578125" customWidth="1"/>
    <col min="4" max="4" width="14.7109375" bestFit="1" customWidth="1"/>
  </cols>
  <sheetData>
    <row r="1" spans="1:4" x14ac:dyDescent="0.25">
      <c r="A1" s="1" t="s">
        <v>203</v>
      </c>
    </row>
    <row r="3" spans="1:4" x14ac:dyDescent="0.25">
      <c r="A3" s="3" t="s">
        <v>179</v>
      </c>
      <c r="B3" s="3" t="s">
        <v>180</v>
      </c>
      <c r="C3" s="3" t="s">
        <v>181</v>
      </c>
      <c r="D3" s="3" t="s">
        <v>182</v>
      </c>
    </row>
    <row r="4" spans="1:4" ht="60" x14ac:dyDescent="0.25">
      <c r="A4" s="6" t="s">
        <v>183</v>
      </c>
      <c r="B4" s="6" t="s">
        <v>184</v>
      </c>
      <c r="C4" s="6" t="s">
        <v>185</v>
      </c>
      <c r="D4" s="6" t="s">
        <v>186</v>
      </c>
    </row>
    <row r="5" spans="1:4" ht="45" x14ac:dyDescent="0.25">
      <c r="A5" s="6" t="s">
        <v>187</v>
      </c>
      <c r="B5" s="6" t="s">
        <v>188</v>
      </c>
      <c r="C5" s="6" t="s">
        <v>189</v>
      </c>
      <c r="D5" s="6" t="s">
        <v>211</v>
      </c>
    </row>
    <row r="6" spans="1:4" ht="60" x14ac:dyDescent="0.25">
      <c r="A6" s="6" t="s">
        <v>190</v>
      </c>
      <c r="B6" s="6" t="s">
        <v>201</v>
      </c>
      <c r="C6" s="6" t="s">
        <v>191</v>
      </c>
      <c r="D6" s="6" t="s">
        <v>212</v>
      </c>
    </row>
    <row r="7" spans="1:4" ht="45" x14ac:dyDescent="0.25">
      <c r="A7" s="6" t="s">
        <v>192</v>
      </c>
      <c r="B7" s="6" t="s">
        <v>193</v>
      </c>
      <c r="C7" s="6" t="s">
        <v>194</v>
      </c>
      <c r="D7" s="6" t="s">
        <v>195</v>
      </c>
    </row>
    <row r="8" spans="1:4" ht="45" x14ac:dyDescent="0.25">
      <c r="A8" s="6" t="s">
        <v>196</v>
      </c>
      <c r="B8" s="6" t="s">
        <v>197</v>
      </c>
      <c r="C8" s="6" t="s">
        <v>204</v>
      </c>
      <c r="D8" s="6" t="s">
        <v>198</v>
      </c>
    </row>
    <row r="9" spans="1:4" ht="60" x14ac:dyDescent="0.25">
      <c r="A9" s="6" t="s">
        <v>199</v>
      </c>
      <c r="B9" s="6" t="s">
        <v>202</v>
      </c>
      <c r="C9" s="6" t="s">
        <v>200</v>
      </c>
      <c r="D9" s="6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2264-899A-4ACE-B481-80A989A342B2}">
  <dimension ref="A1:F40"/>
  <sheetViews>
    <sheetView topLeftCell="A20" zoomScale="70" zoomScaleNormal="70" workbookViewId="0">
      <selection activeCell="S22" sqref="S22"/>
    </sheetView>
  </sheetViews>
  <sheetFormatPr defaultRowHeight="15" x14ac:dyDescent="0.25"/>
  <cols>
    <col min="1" max="1" width="31.7109375" bestFit="1" customWidth="1"/>
    <col min="2" max="2" width="30.5703125" bestFit="1" customWidth="1"/>
    <col min="3" max="3" width="32.5703125" bestFit="1" customWidth="1"/>
    <col min="4" max="4" width="28.85546875" style="2" bestFit="1" customWidth="1"/>
    <col min="5" max="5" width="23.7109375" customWidth="1"/>
    <col min="6" max="6" width="28.28515625" bestFit="1" customWidth="1"/>
  </cols>
  <sheetData>
    <row r="1" spans="1:6" x14ac:dyDescent="0.25">
      <c r="A1" s="20" t="s">
        <v>0</v>
      </c>
    </row>
    <row r="3" spans="1:6" x14ac:dyDescent="0.25">
      <c r="A3" s="17" t="s">
        <v>1</v>
      </c>
    </row>
    <row r="4" spans="1:6" x14ac:dyDescent="0.25">
      <c r="A4" s="17" t="s">
        <v>2</v>
      </c>
      <c r="B4" s="17" t="s">
        <v>3</v>
      </c>
      <c r="C4" s="17" t="s">
        <v>4</v>
      </c>
      <c r="D4" s="18" t="s">
        <v>5</v>
      </c>
    </row>
    <row r="5" spans="1:6" x14ac:dyDescent="0.25">
      <c r="A5" s="5" t="s">
        <v>64</v>
      </c>
      <c r="B5" s="5" t="s">
        <v>65</v>
      </c>
      <c r="C5" s="5" t="s">
        <v>66</v>
      </c>
      <c r="D5" s="6" t="s">
        <v>67</v>
      </c>
    </row>
    <row r="6" spans="1:6" ht="30" x14ac:dyDescent="0.25">
      <c r="A6" s="5" t="s">
        <v>6</v>
      </c>
      <c r="B6" s="5">
        <v>24</v>
      </c>
      <c r="C6" s="5" t="s">
        <v>10</v>
      </c>
      <c r="D6" s="6" t="s">
        <v>11</v>
      </c>
    </row>
    <row r="7" spans="1:6" ht="30" x14ac:dyDescent="0.25">
      <c r="A7" s="5" t="s">
        <v>7</v>
      </c>
      <c r="B7" s="5">
        <v>1920</v>
      </c>
      <c r="C7" s="5" t="s">
        <v>12</v>
      </c>
      <c r="D7" s="6" t="s">
        <v>15</v>
      </c>
    </row>
    <row r="8" spans="1:6" x14ac:dyDescent="0.25">
      <c r="A8" s="5" t="s">
        <v>8</v>
      </c>
      <c r="B8" s="5">
        <v>5</v>
      </c>
      <c r="C8" s="5" t="s">
        <v>13</v>
      </c>
      <c r="D8" s="6" t="s">
        <v>14</v>
      </c>
    </row>
    <row r="9" spans="1:6" x14ac:dyDescent="0.25">
      <c r="A9" s="5" t="s">
        <v>9</v>
      </c>
      <c r="B9" s="5">
        <v>8</v>
      </c>
      <c r="C9" s="5" t="s">
        <v>12</v>
      </c>
      <c r="D9" s="6" t="s">
        <v>14</v>
      </c>
    </row>
    <row r="11" spans="1:6" x14ac:dyDescent="0.25">
      <c r="A11" s="19" t="s">
        <v>16</v>
      </c>
    </row>
    <row r="12" spans="1:6" x14ac:dyDescent="0.25">
      <c r="A12" s="17" t="s">
        <v>17</v>
      </c>
      <c r="B12" s="17" t="s">
        <v>18</v>
      </c>
      <c r="C12" s="17" t="s">
        <v>19</v>
      </c>
      <c r="D12" s="18" t="s">
        <v>20</v>
      </c>
      <c r="E12" s="17" t="s">
        <v>4</v>
      </c>
      <c r="F12" s="17" t="s">
        <v>5</v>
      </c>
    </row>
    <row r="13" spans="1:6" x14ac:dyDescent="0.25">
      <c r="A13" s="5" t="s">
        <v>21</v>
      </c>
      <c r="B13" s="5" t="s">
        <v>25</v>
      </c>
      <c r="C13" s="8">
        <v>160</v>
      </c>
      <c r="D13" s="9">
        <f>C13*B25+C13</f>
        <v>164.8</v>
      </c>
      <c r="E13" s="5" t="s">
        <v>27</v>
      </c>
      <c r="F13" s="5" t="s">
        <v>73</v>
      </c>
    </row>
    <row r="14" spans="1:6" x14ac:dyDescent="0.25">
      <c r="A14" s="5" t="s">
        <v>74</v>
      </c>
      <c r="B14" s="5" t="s">
        <v>25</v>
      </c>
      <c r="C14" s="8">
        <v>150</v>
      </c>
      <c r="D14" s="9">
        <f>C14*B25+C14</f>
        <v>154.5</v>
      </c>
      <c r="E14" s="5" t="s">
        <v>27</v>
      </c>
      <c r="F14" s="5" t="s">
        <v>73</v>
      </c>
    </row>
    <row r="15" spans="1:6" x14ac:dyDescent="0.25">
      <c r="A15" s="5" t="s">
        <v>22</v>
      </c>
      <c r="B15" s="5" t="s">
        <v>25</v>
      </c>
      <c r="C15" s="8">
        <v>170</v>
      </c>
      <c r="D15" s="9">
        <f>C15*B25+C15</f>
        <v>175.1</v>
      </c>
      <c r="E15" s="5" t="s">
        <v>27</v>
      </c>
      <c r="F15" s="5" t="s">
        <v>73</v>
      </c>
    </row>
    <row r="16" spans="1:6" x14ac:dyDescent="0.25">
      <c r="A16" s="5" t="s">
        <v>23</v>
      </c>
      <c r="B16" s="5" t="s">
        <v>25</v>
      </c>
      <c r="C16" s="8">
        <v>175</v>
      </c>
      <c r="D16" s="9">
        <f>C16*B25+C16</f>
        <v>180.25</v>
      </c>
      <c r="E16" s="5" t="s">
        <v>27</v>
      </c>
      <c r="F16" s="5" t="s">
        <v>73</v>
      </c>
    </row>
    <row r="17" spans="1:6" x14ac:dyDescent="0.25">
      <c r="A17" s="5" t="s">
        <v>24</v>
      </c>
      <c r="B17" s="5" t="s">
        <v>26</v>
      </c>
      <c r="C17" s="8">
        <v>95</v>
      </c>
      <c r="D17" s="9">
        <f>C17*B25+C17</f>
        <v>97.85</v>
      </c>
      <c r="E17" s="5" t="s">
        <v>27</v>
      </c>
      <c r="F17" s="5" t="s">
        <v>62</v>
      </c>
    </row>
    <row r="19" spans="1:6" x14ac:dyDescent="0.25">
      <c r="A19" s="19" t="s">
        <v>28</v>
      </c>
    </row>
    <row r="20" spans="1:6" x14ac:dyDescent="0.25">
      <c r="A20" s="17" t="s">
        <v>29</v>
      </c>
      <c r="B20" s="17" t="s">
        <v>30</v>
      </c>
      <c r="C20" s="17" t="s">
        <v>31</v>
      </c>
      <c r="D20" s="18" t="s">
        <v>5</v>
      </c>
    </row>
    <row r="21" spans="1:6" ht="30" x14ac:dyDescent="0.25">
      <c r="A21" s="5" t="s">
        <v>32</v>
      </c>
      <c r="B21" s="7">
        <v>0.25</v>
      </c>
      <c r="C21" s="5" t="s">
        <v>36</v>
      </c>
      <c r="D21" s="6" t="s">
        <v>75</v>
      </c>
    </row>
    <row r="22" spans="1:6" ht="30" x14ac:dyDescent="0.25">
      <c r="A22" s="5" t="s">
        <v>33</v>
      </c>
      <c r="B22" s="7">
        <v>0.35</v>
      </c>
      <c r="C22" s="5" t="s">
        <v>37</v>
      </c>
      <c r="D22" s="6" t="s">
        <v>40</v>
      </c>
    </row>
    <row r="23" spans="1:6" ht="30" x14ac:dyDescent="0.25">
      <c r="A23" s="5" t="s">
        <v>34</v>
      </c>
      <c r="B23" s="7">
        <v>0.1</v>
      </c>
      <c r="C23" s="5" t="s">
        <v>38</v>
      </c>
      <c r="D23" s="6" t="s">
        <v>41</v>
      </c>
    </row>
    <row r="24" spans="1:6" ht="60" x14ac:dyDescent="0.25">
      <c r="A24" s="5" t="s">
        <v>35</v>
      </c>
      <c r="B24" s="7">
        <v>0.1</v>
      </c>
      <c r="C24" s="5" t="s">
        <v>39</v>
      </c>
      <c r="D24" s="6" t="s">
        <v>70</v>
      </c>
    </row>
    <row r="25" spans="1:6" ht="45" x14ac:dyDescent="0.25">
      <c r="A25" s="5" t="s">
        <v>63</v>
      </c>
      <c r="B25" s="7">
        <v>0.03</v>
      </c>
      <c r="C25" s="6" t="s">
        <v>68</v>
      </c>
      <c r="D25" s="6" t="s">
        <v>69</v>
      </c>
    </row>
    <row r="27" spans="1:6" x14ac:dyDescent="0.25">
      <c r="A27" s="19" t="s">
        <v>42</v>
      </c>
    </row>
    <row r="28" spans="1:6" x14ac:dyDescent="0.25">
      <c r="A28" s="17" t="s">
        <v>43</v>
      </c>
      <c r="B28" s="17" t="s">
        <v>54</v>
      </c>
      <c r="C28" s="17" t="s">
        <v>55</v>
      </c>
      <c r="D28" s="17" t="s">
        <v>44</v>
      </c>
      <c r="E28" s="18" t="s">
        <v>5</v>
      </c>
    </row>
    <row r="29" spans="1:6" ht="60" x14ac:dyDescent="0.25">
      <c r="A29" s="5" t="s">
        <v>45</v>
      </c>
      <c r="B29" s="8">
        <v>1500</v>
      </c>
      <c r="C29" s="8">
        <v>1500</v>
      </c>
      <c r="D29" s="6" t="s">
        <v>56</v>
      </c>
      <c r="E29" s="6" t="s">
        <v>59</v>
      </c>
    </row>
    <row r="30" spans="1:6" ht="45" x14ac:dyDescent="0.25">
      <c r="A30" s="5" t="s">
        <v>46</v>
      </c>
      <c r="B30" s="8">
        <v>500</v>
      </c>
      <c r="C30" s="8">
        <v>500</v>
      </c>
      <c r="D30" s="6" t="s">
        <v>57</v>
      </c>
      <c r="E30" s="6" t="s">
        <v>60</v>
      </c>
    </row>
    <row r="31" spans="1:6" ht="45" x14ac:dyDescent="0.25">
      <c r="A31" s="5" t="s">
        <v>76</v>
      </c>
      <c r="B31" s="8">
        <v>666.67</v>
      </c>
      <c r="C31" s="8">
        <v>666.67</v>
      </c>
      <c r="D31" s="6" t="s">
        <v>58</v>
      </c>
      <c r="E31" s="6" t="s">
        <v>61</v>
      </c>
    </row>
    <row r="33" spans="1:4" x14ac:dyDescent="0.25">
      <c r="A33" s="19" t="s">
        <v>47</v>
      </c>
    </row>
    <row r="34" spans="1:4" x14ac:dyDescent="0.25">
      <c r="A34" s="17" t="s">
        <v>17</v>
      </c>
      <c r="B34" s="17" t="s">
        <v>48</v>
      </c>
      <c r="C34" s="17" t="s">
        <v>49</v>
      </c>
      <c r="D34" s="18" t="s">
        <v>50</v>
      </c>
    </row>
    <row r="35" spans="1:4" ht="60" x14ac:dyDescent="0.25">
      <c r="A35" s="5" t="s">
        <v>21</v>
      </c>
      <c r="B35" s="5">
        <v>3840</v>
      </c>
      <c r="C35" s="5">
        <v>3840</v>
      </c>
      <c r="D35" s="6" t="s">
        <v>51</v>
      </c>
    </row>
    <row r="36" spans="1:4" ht="30" x14ac:dyDescent="0.25">
      <c r="A36" s="5" t="s">
        <v>74</v>
      </c>
      <c r="B36" s="5">
        <v>1920</v>
      </c>
      <c r="C36" s="5">
        <v>1920</v>
      </c>
      <c r="D36" s="6" t="s">
        <v>52</v>
      </c>
    </row>
    <row r="37" spans="1:4" ht="30" x14ac:dyDescent="0.25">
      <c r="A37" s="5" t="s">
        <v>22</v>
      </c>
      <c r="B37" s="5">
        <v>1920</v>
      </c>
      <c r="C37" s="5">
        <v>1920</v>
      </c>
      <c r="D37" s="6" t="s">
        <v>52</v>
      </c>
    </row>
    <row r="38" spans="1:4" ht="30" x14ac:dyDescent="0.25">
      <c r="A38" s="5" t="s">
        <v>23</v>
      </c>
      <c r="B38" s="5">
        <v>1920</v>
      </c>
      <c r="C38" s="5">
        <v>1920</v>
      </c>
      <c r="D38" s="6" t="s">
        <v>52</v>
      </c>
    </row>
    <row r="39" spans="1:4" ht="30" x14ac:dyDescent="0.25">
      <c r="A39" s="5" t="s">
        <v>24</v>
      </c>
      <c r="B39" s="5">
        <v>960</v>
      </c>
      <c r="C39" s="5">
        <v>960</v>
      </c>
      <c r="D39" s="6" t="s">
        <v>53</v>
      </c>
    </row>
    <row r="40" spans="1:4" ht="30" x14ac:dyDescent="0.25">
      <c r="A40" s="3" t="s">
        <v>71</v>
      </c>
      <c r="B40" s="3">
        <v>6.5</v>
      </c>
      <c r="C40" s="3">
        <v>6.5</v>
      </c>
      <c r="D40" s="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4FC42-1500-4201-958C-02D2BDB3659A}">
  <dimension ref="A1:O9"/>
  <sheetViews>
    <sheetView zoomScale="85" zoomScaleNormal="85" workbookViewId="0">
      <selection activeCell="V29" sqref="V29"/>
    </sheetView>
  </sheetViews>
  <sheetFormatPr defaultRowHeight="15" x14ac:dyDescent="0.25"/>
  <cols>
    <col min="1" max="1" width="28.140625" bestFit="1" customWidth="1"/>
    <col min="2" max="2" width="9.85546875" bestFit="1" customWidth="1"/>
    <col min="3" max="3" width="10.85546875" bestFit="1" customWidth="1"/>
    <col min="4" max="4" width="15.28515625" bestFit="1" customWidth="1"/>
    <col min="5" max="5" width="16.28515625" bestFit="1" customWidth="1"/>
    <col min="6" max="6" width="14.140625" bestFit="1" customWidth="1"/>
    <col min="7" max="7" width="15.7109375" bestFit="1" customWidth="1"/>
    <col min="8" max="8" width="6.140625" bestFit="1" customWidth="1"/>
    <col min="9" max="9" width="9.140625" bestFit="1" customWidth="1"/>
    <col min="10" max="10" width="4.7109375" bestFit="1" customWidth="1"/>
    <col min="11" max="11" width="4.5703125" bestFit="1" customWidth="1"/>
    <col min="12" max="12" width="22.7109375" bestFit="1" customWidth="1"/>
    <col min="13" max="13" width="24.28515625" bestFit="1" customWidth="1"/>
    <col min="14" max="14" width="22.28515625" bestFit="1" customWidth="1"/>
    <col min="15" max="15" width="23.7109375" bestFit="1" customWidth="1"/>
  </cols>
  <sheetData>
    <row r="1" spans="1:15" x14ac:dyDescent="0.25">
      <c r="A1" s="20" t="s">
        <v>77</v>
      </c>
    </row>
    <row r="3" spans="1:15" x14ac:dyDescent="0.25">
      <c r="A3" s="17" t="s">
        <v>17</v>
      </c>
      <c r="B3" s="17" t="s">
        <v>78</v>
      </c>
      <c r="C3" s="17" t="s">
        <v>89</v>
      </c>
      <c r="D3" s="17" t="s">
        <v>88</v>
      </c>
      <c r="E3" s="17" t="s">
        <v>90</v>
      </c>
      <c r="F3" s="17" t="s">
        <v>86</v>
      </c>
      <c r="G3" s="17" t="s">
        <v>87</v>
      </c>
      <c r="H3" s="17" t="s">
        <v>32</v>
      </c>
      <c r="I3" s="17" t="s">
        <v>79</v>
      </c>
      <c r="J3" s="17" t="s">
        <v>80</v>
      </c>
      <c r="K3" s="17" t="s">
        <v>81</v>
      </c>
      <c r="L3" s="17" t="s">
        <v>83</v>
      </c>
      <c r="M3" s="17" t="s">
        <v>82</v>
      </c>
      <c r="N3" s="17" t="s">
        <v>84</v>
      </c>
      <c r="O3" s="17" t="s">
        <v>85</v>
      </c>
    </row>
    <row r="4" spans="1:15" x14ac:dyDescent="0.25">
      <c r="A4" s="5" t="str">
        <f>Inputs!A13</f>
        <v>DevOps Engineer</v>
      </c>
      <c r="B4" s="12">
        <f>Inputs!C13</f>
        <v>160</v>
      </c>
      <c r="C4" s="13">
        <f>Inputs!B35</f>
        <v>3840</v>
      </c>
      <c r="D4" s="12">
        <f>Inputs!D13</f>
        <v>164.8</v>
      </c>
      <c r="E4" s="13">
        <f>Inputs!C35</f>
        <v>3840</v>
      </c>
      <c r="F4" s="12">
        <f>B4*C4</f>
        <v>614400</v>
      </c>
      <c r="G4" s="12">
        <f>D4*E4</f>
        <v>632832</v>
      </c>
      <c r="H4" s="14">
        <f>Inputs!B21</f>
        <v>0.25</v>
      </c>
      <c r="I4" s="14">
        <f>Inputs!B22</f>
        <v>0.35</v>
      </c>
      <c r="J4" s="14">
        <f>Inputs!B23</f>
        <v>0.1</v>
      </c>
      <c r="K4" s="14">
        <f>Inputs!B24</f>
        <v>0.1</v>
      </c>
      <c r="L4" s="12">
        <f>F4*(1+H4)*(1+I4)*(1+J4)*(1+K4)</f>
        <v>1254528.0000000005</v>
      </c>
      <c r="M4" s="12">
        <f>G4*(1+H4)*(1+I4)*(1+J4)*(1+K4)</f>
        <v>1292163.8400000003</v>
      </c>
      <c r="N4" s="12">
        <f>L4/C4</f>
        <v>326.7000000000001</v>
      </c>
      <c r="O4" s="12">
        <f>M4/E4</f>
        <v>336.50100000000009</v>
      </c>
    </row>
    <row r="5" spans="1:15" x14ac:dyDescent="0.25">
      <c r="A5" s="5" t="str">
        <f>Inputs!A14</f>
        <v>Cloud Infrastructure Engineer</v>
      </c>
      <c r="B5" s="12">
        <f>Inputs!C14</f>
        <v>150</v>
      </c>
      <c r="C5" s="13">
        <f>Inputs!B36</f>
        <v>1920</v>
      </c>
      <c r="D5" s="12">
        <f>Inputs!D14</f>
        <v>154.5</v>
      </c>
      <c r="E5" s="13">
        <f>Inputs!C36</f>
        <v>1920</v>
      </c>
      <c r="F5" s="12">
        <f t="shared" ref="F5:F8" si="0">B5*C5</f>
        <v>288000</v>
      </c>
      <c r="G5" s="12">
        <f t="shared" ref="G5:G8" si="1">D5*E5</f>
        <v>296640</v>
      </c>
      <c r="H5" s="14">
        <f>Inputs!B21</f>
        <v>0.25</v>
      </c>
      <c r="I5" s="14">
        <f>Inputs!B22</f>
        <v>0.35</v>
      </c>
      <c r="J5" s="14">
        <f>Inputs!B23</f>
        <v>0.1</v>
      </c>
      <c r="K5" s="14">
        <f>Inputs!B24</f>
        <v>0.1</v>
      </c>
      <c r="L5" s="12">
        <f t="shared" ref="L5:L8" si="2">F5*(1+H5)*(1+I5)*(1+J5)*(1+K5)</f>
        <v>588060.00000000023</v>
      </c>
      <c r="M5" s="12">
        <f t="shared" ref="M5:M8" si="3">G5*(1+H5)*(1+I5)*(1+J5)*(1+K5)</f>
        <v>605701.80000000016</v>
      </c>
      <c r="N5" s="12">
        <f t="shared" ref="N5:N8" si="4">L5/C5</f>
        <v>306.28125000000011</v>
      </c>
      <c r="O5" s="12">
        <f t="shared" ref="O5:O8" si="5">M5/E5</f>
        <v>315.46968750000008</v>
      </c>
    </row>
    <row r="6" spans="1:15" x14ac:dyDescent="0.25">
      <c r="A6" s="5" t="str">
        <f>Inputs!A15</f>
        <v>Security Automation Specialist</v>
      </c>
      <c r="B6" s="12">
        <f>Inputs!C15</f>
        <v>170</v>
      </c>
      <c r="C6" s="13">
        <f>Inputs!B37</f>
        <v>1920</v>
      </c>
      <c r="D6" s="12">
        <f>Inputs!D15</f>
        <v>175.1</v>
      </c>
      <c r="E6" s="13">
        <f>Inputs!C37</f>
        <v>1920</v>
      </c>
      <c r="F6" s="12">
        <f t="shared" si="0"/>
        <v>326400</v>
      </c>
      <c r="G6" s="12">
        <f t="shared" si="1"/>
        <v>336192</v>
      </c>
      <c r="H6" s="14">
        <f>Inputs!B21</f>
        <v>0.25</v>
      </c>
      <c r="I6" s="14">
        <f>Inputs!B22</f>
        <v>0.35</v>
      </c>
      <c r="J6" s="14">
        <f>Inputs!B23</f>
        <v>0.1</v>
      </c>
      <c r="K6" s="14">
        <f>Inputs!B24</f>
        <v>0.1</v>
      </c>
      <c r="L6" s="12">
        <f t="shared" si="2"/>
        <v>666468</v>
      </c>
      <c r="M6" s="12">
        <f t="shared" si="3"/>
        <v>686462.04</v>
      </c>
      <c r="N6" s="12">
        <f t="shared" si="4"/>
        <v>347.11874999999998</v>
      </c>
      <c r="O6" s="12">
        <f t="shared" si="5"/>
        <v>357.53231250000005</v>
      </c>
    </row>
    <row r="7" spans="1:15" x14ac:dyDescent="0.25">
      <c r="A7" s="5" t="str">
        <f>Inputs!A16</f>
        <v>Agile Scrum Master</v>
      </c>
      <c r="B7" s="12">
        <f>Inputs!C16</f>
        <v>175</v>
      </c>
      <c r="C7" s="13">
        <f>Inputs!B38</f>
        <v>1920</v>
      </c>
      <c r="D7" s="12">
        <f>Inputs!D16</f>
        <v>180.25</v>
      </c>
      <c r="E7" s="13">
        <f>Inputs!C38</f>
        <v>1920</v>
      </c>
      <c r="F7" s="12">
        <f t="shared" si="0"/>
        <v>336000</v>
      </c>
      <c r="G7" s="12">
        <f t="shared" si="1"/>
        <v>346080</v>
      </c>
      <c r="H7" s="14">
        <f>Inputs!B21</f>
        <v>0.25</v>
      </c>
      <c r="I7" s="14">
        <f>Inputs!B22</f>
        <v>0.35</v>
      </c>
      <c r="J7" s="14">
        <f>Inputs!B23</f>
        <v>0.1</v>
      </c>
      <c r="K7" s="14">
        <f>Inputs!B24</f>
        <v>0.1</v>
      </c>
      <c r="L7" s="12">
        <f t="shared" si="2"/>
        <v>686070</v>
      </c>
      <c r="M7" s="12">
        <f t="shared" si="3"/>
        <v>706652.10000000009</v>
      </c>
      <c r="N7" s="12">
        <f t="shared" si="4"/>
        <v>357.328125</v>
      </c>
      <c r="O7" s="12">
        <f t="shared" si="5"/>
        <v>368.04796875000005</v>
      </c>
    </row>
    <row r="8" spans="1:15" x14ac:dyDescent="0.25">
      <c r="A8" s="5" t="str">
        <f>Inputs!A17</f>
        <v>Technical Writer</v>
      </c>
      <c r="B8" s="12">
        <f>Inputs!C17</f>
        <v>95</v>
      </c>
      <c r="C8" s="13">
        <f>Inputs!B39</f>
        <v>960</v>
      </c>
      <c r="D8" s="12">
        <f>Inputs!D17</f>
        <v>97.85</v>
      </c>
      <c r="E8" s="13">
        <f>Inputs!C39</f>
        <v>960</v>
      </c>
      <c r="F8" s="12">
        <f t="shared" si="0"/>
        <v>91200</v>
      </c>
      <c r="G8" s="12">
        <f t="shared" si="1"/>
        <v>93936</v>
      </c>
      <c r="H8" s="14">
        <f>Inputs!B21</f>
        <v>0.25</v>
      </c>
      <c r="I8" s="14">
        <f>Inputs!B22</f>
        <v>0.35</v>
      </c>
      <c r="J8" s="14">
        <f>Inputs!B23</f>
        <v>0.1</v>
      </c>
      <c r="K8" s="14">
        <f>Inputs!B24</f>
        <v>0.1</v>
      </c>
      <c r="L8" s="12">
        <f t="shared" si="2"/>
        <v>186219.00000000003</v>
      </c>
      <c r="M8" s="12">
        <f t="shared" si="3"/>
        <v>191805.57000000004</v>
      </c>
      <c r="N8" s="12">
        <f t="shared" si="4"/>
        <v>193.97812500000003</v>
      </c>
      <c r="O8" s="12">
        <f t="shared" si="5"/>
        <v>199.79746875000004</v>
      </c>
    </row>
    <row r="9" spans="1:15" x14ac:dyDescent="0.25">
      <c r="A9" s="3" t="s">
        <v>116</v>
      </c>
      <c r="B9" s="5"/>
      <c r="C9" s="5"/>
      <c r="D9" s="5"/>
      <c r="E9" s="5"/>
      <c r="F9" s="15">
        <f>SUM(F4:F8)</f>
        <v>1656000</v>
      </c>
      <c r="G9" s="15">
        <f>SUM(G4:G8)</f>
        <v>1705680</v>
      </c>
      <c r="H9" s="5"/>
      <c r="I9" s="5"/>
      <c r="J9" s="5"/>
      <c r="K9" s="5"/>
      <c r="L9" s="15">
        <f>SUM(L4:L8)</f>
        <v>3381345.0000000009</v>
      </c>
      <c r="M9" s="15">
        <f>SUM(M4:M8)</f>
        <v>3482785.3500000006</v>
      </c>
      <c r="N9" s="5"/>
      <c r="O9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399D-0306-4B5F-983D-1973F14BA103}">
  <dimension ref="A1:I8"/>
  <sheetViews>
    <sheetView workbookViewId="0">
      <selection activeCell="F32" sqref="F32"/>
    </sheetView>
  </sheetViews>
  <sheetFormatPr defaultRowHeight="15" x14ac:dyDescent="0.25"/>
  <cols>
    <col min="1" max="1" width="24.7109375" bestFit="1" customWidth="1"/>
    <col min="2" max="2" width="24.5703125" bestFit="1" customWidth="1"/>
    <col min="3" max="3" width="18.140625" bestFit="1" customWidth="1"/>
    <col min="4" max="4" width="20" bestFit="1" customWidth="1"/>
    <col min="5" max="5" width="24.140625" bestFit="1" customWidth="1"/>
    <col min="6" max="6" width="26.140625" bestFit="1" customWidth="1"/>
    <col min="7" max="7" width="15.42578125" bestFit="1" customWidth="1"/>
    <col min="8" max="8" width="17.42578125" bestFit="1" customWidth="1"/>
    <col min="9" max="9" width="16" bestFit="1" customWidth="1"/>
  </cols>
  <sheetData>
    <row r="1" spans="1:9" x14ac:dyDescent="0.25">
      <c r="A1" s="20" t="s">
        <v>91</v>
      </c>
    </row>
    <row r="3" spans="1:9" x14ac:dyDescent="0.25">
      <c r="A3" s="17" t="s">
        <v>92</v>
      </c>
      <c r="B3" s="17" t="s">
        <v>93</v>
      </c>
      <c r="C3" s="17" t="s">
        <v>96</v>
      </c>
      <c r="D3" s="17" t="s">
        <v>97</v>
      </c>
      <c r="E3" s="17" t="s">
        <v>54</v>
      </c>
      <c r="F3" s="17" t="s">
        <v>55</v>
      </c>
      <c r="G3" s="17" t="s">
        <v>94</v>
      </c>
      <c r="H3" s="17" t="s">
        <v>95</v>
      </c>
      <c r="I3" s="17" t="s">
        <v>103</v>
      </c>
    </row>
    <row r="4" spans="1:9" x14ac:dyDescent="0.25">
      <c r="A4" s="5" t="str">
        <f>Inputs!A29</f>
        <v>Travel</v>
      </c>
      <c r="B4" s="5" t="s">
        <v>98</v>
      </c>
      <c r="C4" s="5">
        <v>4</v>
      </c>
      <c r="D4" s="5">
        <v>4</v>
      </c>
      <c r="E4" s="16">
        <f>Inputs!B29</f>
        <v>1500</v>
      </c>
      <c r="F4" s="16">
        <f>Inputs!C29</f>
        <v>1500</v>
      </c>
      <c r="G4" s="16">
        <f t="shared" ref="G4:H6" si="0">E4*C4</f>
        <v>6000</v>
      </c>
      <c r="H4" s="16">
        <f t="shared" si="0"/>
        <v>6000</v>
      </c>
      <c r="I4" s="12"/>
    </row>
    <row r="5" spans="1:9" ht="30" x14ac:dyDescent="0.25">
      <c r="A5" s="5" t="str">
        <f>Inputs!A30</f>
        <v>Software Licenses</v>
      </c>
      <c r="B5" s="6" t="s">
        <v>99</v>
      </c>
      <c r="C5" s="5">
        <v>5</v>
      </c>
      <c r="D5" s="5">
        <v>5</v>
      </c>
      <c r="E5" s="16">
        <f>Inputs!B30</f>
        <v>500</v>
      </c>
      <c r="F5" s="16">
        <f>Inputs!C30</f>
        <v>500</v>
      </c>
      <c r="G5" s="16">
        <f t="shared" si="0"/>
        <v>2500</v>
      </c>
      <c r="H5" s="16">
        <f t="shared" si="0"/>
        <v>2500</v>
      </c>
      <c r="I5" s="5"/>
    </row>
    <row r="6" spans="1:9" ht="45" x14ac:dyDescent="0.25">
      <c r="A6" s="5" t="str">
        <f>Inputs!A31</f>
        <v>Cloud Infrastructure</v>
      </c>
      <c r="B6" s="6" t="s">
        <v>100</v>
      </c>
      <c r="C6" s="5">
        <v>12</v>
      </c>
      <c r="D6" s="5">
        <v>12</v>
      </c>
      <c r="E6" s="16">
        <f>Inputs!B31</f>
        <v>666.67</v>
      </c>
      <c r="F6" s="16">
        <f>Inputs!C31</f>
        <v>666.67</v>
      </c>
      <c r="G6" s="16">
        <f t="shared" si="0"/>
        <v>8000.0399999999991</v>
      </c>
      <c r="H6" s="16">
        <f t="shared" si="0"/>
        <v>8000.0399999999991</v>
      </c>
      <c r="I6" s="5"/>
    </row>
    <row r="7" spans="1:9" x14ac:dyDescent="0.25">
      <c r="A7" s="5" t="s">
        <v>101</v>
      </c>
      <c r="B7" s="3"/>
      <c r="C7" s="3"/>
      <c r="D7" s="3"/>
      <c r="E7" s="3"/>
      <c r="F7" s="3"/>
      <c r="G7" s="15">
        <f>SUM(G4:G6)</f>
        <v>16500.04</v>
      </c>
      <c r="H7" s="15">
        <f>SUM(H4:H6)</f>
        <v>16500.04</v>
      </c>
      <c r="I7" s="5"/>
    </row>
    <row r="8" spans="1:9" x14ac:dyDescent="0.25">
      <c r="A8" s="3" t="s">
        <v>102</v>
      </c>
      <c r="B8" s="5"/>
      <c r="C8" s="5"/>
      <c r="D8" s="5"/>
      <c r="E8" s="5"/>
      <c r="F8" s="5"/>
      <c r="G8" s="5"/>
      <c r="H8" s="5"/>
      <c r="I8" s="15">
        <f>SUM(G7:H7)</f>
        <v>33000.080000000002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7EF1-0BE5-4419-83D1-0AB75A7526D4}">
  <dimension ref="A1:C12"/>
  <sheetViews>
    <sheetView workbookViewId="0">
      <selection activeCell="M21" sqref="M21"/>
    </sheetView>
  </sheetViews>
  <sheetFormatPr defaultRowHeight="15" x14ac:dyDescent="0.25"/>
  <cols>
    <col min="1" max="1" width="35.85546875" bestFit="1" customWidth="1"/>
    <col min="2" max="2" width="14.28515625" bestFit="1" customWidth="1"/>
    <col min="3" max="3" width="36.5703125" bestFit="1" customWidth="1"/>
  </cols>
  <sheetData>
    <row r="1" spans="1:3" x14ac:dyDescent="0.25">
      <c r="A1" s="20" t="s">
        <v>104</v>
      </c>
    </row>
    <row r="3" spans="1:3" x14ac:dyDescent="0.25">
      <c r="A3" s="17" t="s">
        <v>105</v>
      </c>
      <c r="B3" s="17" t="s">
        <v>106</v>
      </c>
      <c r="C3" s="17" t="s">
        <v>107</v>
      </c>
    </row>
    <row r="4" spans="1:3" x14ac:dyDescent="0.25">
      <c r="A4" s="5" t="s">
        <v>108</v>
      </c>
      <c r="B4" s="12">
        <f>'Labor Pricing'!L9</f>
        <v>3381345.0000000009</v>
      </c>
      <c r="C4" s="5" t="s">
        <v>117</v>
      </c>
    </row>
    <row r="5" spans="1:3" x14ac:dyDescent="0.25">
      <c r="A5" s="5" t="s">
        <v>121</v>
      </c>
      <c r="B5" s="12">
        <f>'Labor Pricing'!M9</f>
        <v>3482785.3500000006</v>
      </c>
      <c r="C5" s="5" t="s">
        <v>118</v>
      </c>
    </row>
    <row r="6" spans="1:3" x14ac:dyDescent="0.25">
      <c r="A6" s="5" t="s">
        <v>109</v>
      </c>
      <c r="B6" s="12">
        <f>ODCs!G7</f>
        <v>16500.04</v>
      </c>
      <c r="C6" s="5" t="s">
        <v>119</v>
      </c>
    </row>
    <row r="7" spans="1:3" x14ac:dyDescent="0.25">
      <c r="A7" s="5" t="s">
        <v>110</v>
      </c>
      <c r="B7" s="12">
        <f>ODCs!H7</f>
        <v>16500.04</v>
      </c>
      <c r="C7" s="5" t="s">
        <v>120</v>
      </c>
    </row>
    <row r="8" spans="1:3" x14ac:dyDescent="0.25">
      <c r="A8" s="5" t="s">
        <v>112</v>
      </c>
      <c r="B8" s="12">
        <f>Inputs!B24*'Total &amp; Pricing'!B6</f>
        <v>1650.0040000000001</v>
      </c>
      <c r="C8" s="5" t="s">
        <v>126</v>
      </c>
    </row>
    <row r="9" spans="1:3" x14ac:dyDescent="0.25">
      <c r="A9" s="5" t="s">
        <v>111</v>
      </c>
      <c r="B9" s="8">
        <f>Inputs!B24*B7</f>
        <v>1650.0040000000001</v>
      </c>
      <c r="C9" s="5" t="s">
        <v>125</v>
      </c>
    </row>
    <row r="10" spans="1:3" x14ac:dyDescent="0.25">
      <c r="A10" s="5" t="s">
        <v>113</v>
      </c>
      <c r="B10" s="12">
        <f>B4+B6+B8</f>
        <v>3399495.0440000012</v>
      </c>
      <c r="C10" s="5" t="s">
        <v>122</v>
      </c>
    </row>
    <row r="11" spans="1:3" x14ac:dyDescent="0.25">
      <c r="A11" s="5" t="s">
        <v>114</v>
      </c>
      <c r="B11" s="12">
        <f>B5+B7+B9</f>
        <v>3500935.3940000008</v>
      </c>
      <c r="C11" s="5" t="s">
        <v>123</v>
      </c>
    </row>
    <row r="12" spans="1:3" x14ac:dyDescent="0.25">
      <c r="A12" s="3" t="s">
        <v>115</v>
      </c>
      <c r="B12" s="15">
        <f>B10+B11</f>
        <v>6900430.4380000019</v>
      </c>
      <c r="C12" s="5" t="s">
        <v>124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8435-F7FA-4A48-A701-0DBCB8806DE6}">
  <dimension ref="A1:N9"/>
  <sheetViews>
    <sheetView zoomScale="70" zoomScaleNormal="70" workbookViewId="0">
      <selection activeCell="C25" sqref="C24:C25"/>
    </sheetView>
  </sheetViews>
  <sheetFormatPr defaultRowHeight="15" x14ac:dyDescent="0.25"/>
  <cols>
    <col min="1" max="1" width="15.7109375" bestFit="1" customWidth="1"/>
    <col min="2" max="2" width="44" bestFit="1" customWidth="1"/>
    <col min="3" max="3" width="36.28515625" bestFit="1" customWidth="1"/>
    <col min="4" max="4" width="20.5703125" bestFit="1" customWidth="1"/>
    <col min="5" max="5" width="22.5703125" bestFit="1" customWidth="1"/>
    <col min="6" max="6" width="16" bestFit="1" customWidth="1"/>
    <col min="7" max="7" width="16.42578125" bestFit="1" customWidth="1"/>
    <col min="8" max="8" width="23.140625" bestFit="1" customWidth="1"/>
    <col min="9" max="9" width="25" bestFit="1" customWidth="1"/>
    <col min="10" max="10" width="26.85546875" bestFit="1" customWidth="1"/>
    <col min="11" max="11" width="28.7109375" bestFit="1" customWidth="1"/>
    <col min="12" max="12" width="19.5703125" bestFit="1" customWidth="1"/>
    <col min="13" max="13" width="21.5703125" bestFit="1" customWidth="1"/>
    <col min="14" max="14" width="32.85546875" bestFit="1" customWidth="1"/>
  </cols>
  <sheetData>
    <row r="1" spans="1:14" x14ac:dyDescent="0.25">
      <c r="A1" s="20" t="s">
        <v>127</v>
      </c>
    </row>
    <row r="3" spans="1:14" s="20" customFormat="1" x14ac:dyDescent="0.25">
      <c r="A3" s="17" t="s">
        <v>128</v>
      </c>
      <c r="B3" s="17" t="s">
        <v>93</v>
      </c>
      <c r="C3" s="17" t="s">
        <v>16</v>
      </c>
      <c r="D3" s="17" t="s">
        <v>36</v>
      </c>
      <c r="E3" s="17" t="s">
        <v>133</v>
      </c>
      <c r="F3" s="17" t="s">
        <v>136</v>
      </c>
      <c r="G3" s="17" t="s">
        <v>137</v>
      </c>
      <c r="H3" s="17" t="s">
        <v>112</v>
      </c>
      <c r="I3" s="17" t="s">
        <v>111</v>
      </c>
      <c r="J3" s="17" t="s">
        <v>138</v>
      </c>
      <c r="K3" s="17" t="s">
        <v>139</v>
      </c>
      <c r="L3" s="17" t="s">
        <v>140</v>
      </c>
      <c r="M3" s="17" t="s">
        <v>141</v>
      </c>
      <c r="N3" s="17" t="s">
        <v>143</v>
      </c>
    </row>
    <row r="4" spans="1:14" x14ac:dyDescent="0.25">
      <c r="A4" s="5">
        <v>1</v>
      </c>
      <c r="B4" s="6" t="s">
        <v>130</v>
      </c>
      <c r="C4" s="5" t="s">
        <v>132</v>
      </c>
      <c r="D4" s="12">
        <f>'Labor Pricing'!L4</f>
        <v>1254528.0000000005</v>
      </c>
      <c r="E4" s="12">
        <f>'Labor Pricing'!M4</f>
        <v>1292163.8400000003</v>
      </c>
      <c r="F4" s="12"/>
      <c r="G4" s="5"/>
      <c r="H4" s="5"/>
      <c r="I4" s="5"/>
      <c r="J4" s="12">
        <f t="shared" ref="J4:K6" si="0">D4</f>
        <v>1254528.0000000005</v>
      </c>
      <c r="K4" s="12">
        <f t="shared" si="0"/>
        <v>1292163.8400000003</v>
      </c>
      <c r="L4" s="7">
        <f>J4/J8</f>
        <v>0.36903363110183141</v>
      </c>
      <c r="M4" s="7">
        <f>K4/K8</f>
        <v>0.3690910269908283</v>
      </c>
      <c r="N4" s="5"/>
    </row>
    <row r="5" spans="1:14" ht="30" x14ac:dyDescent="0.25">
      <c r="A5" s="5">
        <v>2</v>
      </c>
      <c r="B5" s="6" t="s">
        <v>178</v>
      </c>
      <c r="C5" s="6" t="s">
        <v>134</v>
      </c>
      <c r="D5" s="12">
        <f>'Labor Pricing'!L5+'Labor Pricing'!L6</f>
        <v>1254528.0000000002</v>
      </c>
      <c r="E5" s="12">
        <f>'Labor Pricing'!M5+'Labor Pricing'!M6</f>
        <v>1292163.8400000003</v>
      </c>
      <c r="F5" s="5"/>
      <c r="G5" s="5"/>
      <c r="H5" s="5"/>
      <c r="I5" s="5"/>
      <c r="J5" s="12">
        <f t="shared" si="0"/>
        <v>1254528.0000000002</v>
      </c>
      <c r="K5" s="12">
        <f t="shared" si="0"/>
        <v>1292163.8400000003</v>
      </c>
      <c r="L5" s="7">
        <f>J5/J8</f>
        <v>0.36903363110183129</v>
      </c>
      <c r="M5" s="7">
        <f>K5/K8</f>
        <v>0.3690910269908283</v>
      </c>
      <c r="N5" s="5"/>
    </row>
    <row r="6" spans="1:14" x14ac:dyDescent="0.25">
      <c r="A6" s="5">
        <v>3</v>
      </c>
      <c r="B6" s="6" t="s">
        <v>131</v>
      </c>
      <c r="C6" s="5" t="s">
        <v>135</v>
      </c>
      <c r="D6" s="12">
        <f>'Labor Pricing'!L7+'Labor Pricing'!L8</f>
        <v>872289</v>
      </c>
      <c r="E6" s="12">
        <f>'Labor Pricing'!M7+'Labor Pricing'!M8</f>
        <v>898457.67000000016</v>
      </c>
      <c r="F6" s="5"/>
      <c r="G6" s="5"/>
      <c r="H6" s="5"/>
      <c r="I6" s="5"/>
      <c r="J6" s="12">
        <f t="shared" si="0"/>
        <v>872289</v>
      </c>
      <c r="K6" s="12">
        <f t="shared" si="0"/>
        <v>898457.67000000016</v>
      </c>
      <c r="L6" s="7">
        <f>J6/J8</f>
        <v>0.25659369662549203</v>
      </c>
      <c r="M6" s="7">
        <f>K6/K8</f>
        <v>0.25663360470456026</v>
      </c>
      <c r="N6" s="5"/>
    </row>
    <row r="7" spans="1:14" x14ac:dyDescent="0.25">
      <c r="A7" s="5">
        <v>4</v>
      </c>
      <c r="B7" s="6" t="s">
        <v>129</v>
      </c>
      <c r="C7" s="5"/>
      <c r="D7" s="5"/>
      <c r="E7" s="5"/>
      <c r="F7" s="12">
        <f>ODCs!G7</f>
        <v>16500.04</v>
      </c>
      <c r="G7" s="12">
        <f>ODCs!H7</f>
        <v>16500.04</v>
      </c>
      <c r="H7" s="12">
        <f>'Total &amp; Pricing'!B8</f>
        <v>1650.0040000000001</v>
      </c>
      <c r="I7" s="12">
        <f>'Total &amp; Pricing'!B9</f>
        <v>1650.0040000000001</v>
      </c>
      <c r="J7" s="12">
        <f>F7+H7</f>
        <v>18150.044000000002</v>
      </c>
      <c r="K7" s="12">
        <f>G7+I7</f>
        <v>18150.044000000002</v>
      </c>
      <c r="L7" s="7">
        <f>J7/J8</f>
        <v>5.3390411708451359E-3</v>
      </c>
      <c r="M7" s="7">
        <f>K7/K8</f>
        <v>5.1843413137831812E-3</v>
      </c>
      <c r="N7" s="5"/>
    </row>
    <row r="8" spans="1:14" s="1" customFormat="1" x14ac:dyDescent="0.25">
      <c r="A8" s="3"/>
      <c r="B8" s="3" t="s">
        <v>144</v>
      </c>
      <c r="C8" s="3"/>
      <c r="D8" s="15">
        <f>SUM(D4:D6)</f>
        <v>3381345.0000000009</v>
      </c>
      <c r="E8" s="15">
        <f>SUM(E4:E6)</f>
        <v>3482785.3500000006</v>
      </c>
      <c r="F8" s="15">
        <f>SUM(F4:F7)</f>
        <v>16500.04</v>
      </c>
      <c r="G8" s="15">
        <f t="shared" ref="G8:J8" si="1">SUM(G4:G7)</f>
        <v>16500.04</v>
      </c>
      <c r="H8" s="15">
        <f t="shared" si="1"/>
        <v>1650.0040000000001</v>
      </c>
      <c r="I8" s="15">
        <f t="shared" si="1"/>
        <v>1650.0040000000001</v>
      </c>
      <c r="J8" s="15">
        <f t="shared" si="1"/>
        <v>3399495.0440000012</v>
      </c>
      <c r="K8" s="15">
        <f>SUM(K4:K7)</f>
        <v>3500935.3940000008</v>
      </c>
      <c r="L8" s="21">
        <f>SUM(L4:L7)</f>
        <v>0.99999999999999989</v>
      </c>
      <c r="M8" s="21">
        <f>SUM(M4:M7)</f>
        <v>1</v>
      </c>
      <c r="N8" s="3"/>
    </row>
    <row r="9" spans="1:14" x14ac:dyDescent="0.25">
      <c r="A9" s="5"/>
      <c r="B9" s="3" t="s">
        <v>142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5">
        <f>J8+K8</f>
        <v>6900430.4380000019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7A47-E4F9-44BC-A919-7EB603E55991}">
  <dimension ref="A1:G22"/>
  <sheetViews>
    <sheetView topLeftCell="A5" zoomScale="70" zoomScaleNormal="70" workbookViewId="0">
      <selection activeCell="A15" sqref="A15:XFD15"/>
    </sheetView>
  </sheetViews>
  <sheetFormatPr defaultRowHeight="15" x14ac:dyDescent="0.25"/>
  <cols>
    <col min="1" max="1" width="61.42578125" bestFit="1" customWidth="1"/>
    <col min="2" max="2" width="35.42578125" bestFit="1" customWidth="1"/>
    <col min="3" max="3" width="29.5703125" bestFit="1" customWidth="1"/>
    <col min="4" max="4" width="28.7109375" bestFit="1" customWidth="1"/>
    <col min="5" max="5" width="33.85546875" bestFit="1" customWidth="1"/>
    <col min="6" max="6" width="44" bestFit="1" customWidth="1"/>
    <col min="7" max="7" width="27.28515625" bestFit="1" customWidth="1"/>
  </cols>
  <sheetData>
    <row r="1" spans="1:6" x14ac:dyDescent="0.25">
      <c r="A1" s="17" t="s">
        <v>145</v>
      </c>
    </row>
    <row r="3" spans="1:6" x14ac:dyDescent="0.25">
      <c r="A3" s="17" t="s">
        <v>17</v>
      </c>
      <c r="B3" s="17" t="s">
        <v>147</v>
      </c>
      <c r="C3" s="17" t="s">
        <v>148</v>
      </c>
      <c r="D3" s="17" t="s">
        <v>149</v>
      </c>
      <c r="E3" s="17" t="s">
        <v>150</v>
      </c>
      <c r="F3" s="17" t="s">
        <v>146</v>
      </c>
    </row>
    <row r="4" spans="1:6" ht="90" x14ac:dyDescent="0.25">
      <c r="A4" s="5" t="str">
        <f>Inputs!A13</f>
        <v>DevOps Engineer</v>
      </c>
      <c r="B4" s="5">
        <f>Inputs!B35</f>
        <v>3840</v>
      </c>
      <c r="C4" s="5">
        <f>B4/12</f>
        <v>320</v>
      </c>
      <c r="D4" s="5">
        <f>Inputs!C35</f>
        <v>3840</v>
      </c>
      <c r="E4" s="5">
        <f>D4/12</f>
        <v>320</v>
      </c>
      <c r="F4" s="6" t="s">
        <v>208</v>
      </c>
    </row>
    <row r="5" spans="1:6" ht="90" x14ac:dyDescent="0.25">
      <c r="A5" s="5" t="str">
        <f>Inputs!A14</f>
        <v>Cloud Infrastructure Engineer</v>
      </c>
      <c r="B5" s="5">
        <f>Inputs!B36</f>
        <v>1920</v>
      </c>
      <c r="C5" s="5">
        <f t="shared" ref="C5:C8" si="0">B5/12</f>
        <v>160</v>
      </c>
      <c r="D5" s="5">
        <f>Inputs!C36</f>
        <v>1920</v>
      </c>
      <c r="E5" s="5">
        <f t="shared" ref="E5:E8" si="1">D5/12</f>
        <v>160</v>
      </c>
      <c r="F5" s="6" t="s">
        <v>206</v>
      </c>
    </row>
    <row r="6" spans="1:6" ht="75" x14ac:dyDescent="0.25">
      <c r="A6" s="5" t="str">
        <f>Inputs!A15</f>
        <v>Security Automation Specialist</v>
      </c>
      <c r="B6" s="5">
        <f>Inputs!B37</f>
        <v>1920</v>
      </c>
      <c r="C6" s="5">
        <f t="shared" si="0"/>
        <v>160</v>
      </c>
      <c r="D6" s="5">
        <f>Inputs!C37</f>
        <v>1920</v>
      </c>
      <c r="E6" s="5">
        <f t="shared" si="1"/>
        <v>160</v>
      </c>
      <c r="F6" s="6" t="s">
        <v>165</v>
      </c>
    </row>
    <row r="7" spans="1:6" ht="90" x14ac:dyDescent="0.25">
      <c r="A7" s="5" t="str">
        <f>Inputs!A16</f>
        <v>Agile Scrum Master</v>
      </c>
      <c r="B7" s="5">
        <f>Inputs!B38</f>
        <v>1920</v>
      </c>
      <c r="C7" s="5">
        <f t="shared" si="0"/>
        <v>160</v>
      </c>
      <c r="D7" s="5">
        <f>Inputs!C38</f>
        <v>1920</v>
      </c>
      <c r="E7" s="5">
        <f t="shared" si="1"/>
        <v>160</v>
      </c>
      <c r="F7" s="6" t="s">
        <v>151</v>
      </c>
    </row>
    <row r="8" spans="1:6" ht="75" x14ac:dyDescent="0.25">
      <c r="A8" s="5" t="str">
        <f>Inputs!A17</f>
        <v>Technical Writer</v>
      </c>
      <c r="B8" s="5">
        <f>Inputs!B39</f>
        <v>960</v>
      </c>
      <c r="C8" s="5">
        <f t="shared" si="0"/>
        <v>80</v>
      </c>
      <c r="D8" s="5">
        <f>Inputs!C39</f>
        <v>960</v>
      </c>
      <c r="E8" s="5">
        <f t="shared" si="1"/>
        <v>80</v>
      </c>
      <c r="F8" s="6" t="s">
        <v>152</v>
      </c>
    </row>
    <row r="10" spans="1:6" x14ac:dyDescent="0.25">
      <c r="A10" s="17" t="s">
        <v>153</v>
      </c>
    </row>
    <row r="11" spans="1:6" x14ac:dyDescent="0.25">
      <c r="A11" s="5" t="s">
        <v>154</v>
      </c>
    </row>
    <row r="12" spans="1:6" x14ac:dyDescent="0.25">
      <c r="A12" s="5" t="s">
        <v>207</v>
      </c>
    </row>
    <row r="13" spans="1:6" x14ac:dyDescent="0.25">
      <c r="A13" s="5" t="s">
        <v>155</v>
      </c>
    </row>
    <row r="14" spans="1:6" x14ac:dyDescent="0.25">
      <c r="A14" s="5" t="s">
        <v>156</v>
      </c>
    </row>
    <row r="15" spans="1:6" x14ac:dyDescent="0.25">
      <c r="A15" s="5" t="s">
        <v>157</v>
      </c>
    </row>
    <row r="16" spans="1:6" x14ac:dyDescent="0.25">
      <c r="A16" s="5" t="s">
        <v>158</v>
      </c>
    </row>
    <row r="18" spans="1:7" x14ac:dyDescent="0.25">
      <c r="A18" s="17" t="s">
        <v>159</v>
      </c>
      <c r="B18" s="17" t="s">
        <v>205</v>
      </c>
      <c r="C18" s="17" t="s">
        <v>161</v>
      </c>
      <c r="D18" s="17" t="s">
        <v>162</v>
      </c>
      <c r="E18" s="17" t="s">
        <v>163</v>
      </c>
      <c r="F18" s="17" t="s">
        <v>164</v>
      </c>
      <c r="G18" s="17" t="s">
        <v>160</v>
      </c>
    </row>
    <row r="19" spans="1:7" ht="90" x14ac:dyDescent="0.25">
      <c r="A19" s="5" t="str">
        <f>Inputs!A29</f>
        <v>Travel</v>
      </c>
      <c r="B19" s="6" t="s">
        <v>166</v>
      </c>
      <c r="C19" s="12">
        <f>ODCs!G4</f>
        <v>6000</v>
      </c>
      <c r="D19" s="12">
        <f>ODCs!H4</f>
        <v>6000</v>
      </c>
      <c r="E19" s="12">
        <f>C19/12</f>
        <v>500</v>
      </c>
      <c r="F19" s="12">
        <f>D19/12</f>
        <v>500</v>
      </c>
      <c r="G19" s="12">
        <f>C19+D19</f>
        <v>12000</v>
      </c>
    </row>
    <row r="20" spans="1:7" ht="60" x14ac:dyDescent="0.25">
      <c r="A20" s="5" t="str">
        <f>Inputs!A30</f>
        <v>Software Licenses</v>
      </c>
      <c r="B20" s="6" t="s">
        <v>167</v>
      </c>
      <c r="C20" s="12">
        <f>ODCs!G5</f>
        <v>2500</v>
      </c>
      <c r="D20" s="12">
        <f>ODCs!H5</f>
        <v>2500</v>
      </c>
      <c r="E20" s="12">
        <f t="shared" ref="E20:E21" si="2">C20/12</f>
        <v>208.33333333333334</v>
      </c>
      <c r="F20" s="12">
        <f t="shared" ref="F20:F21" si="3">D20/12</f>
        <v>208.33333333333334</v>
      </c>
      <c r="G20" s="12">
        <f>C20+D20</f>
        <v>5000</v>
      </c>
    </row>
    <row r="21" spans="1:7" ht="75" x14ac:dyDescent="0.25">
      <c r="A21" s="5" t="str">
        <f>Inputs!A31</f>
        <v>Cloud Infrastructure</v>
      </c>
      <c r="B21" s="6" t="s">
        <v>168</v>
      </c>
      <c r="C21" s="12">
        <f>ODCs!G6</f>
        <v>8000.0399999999991</v>
      </c>
      <c r="D21" s="12">
        <f>ODCs!H6</f>
        <v>8000.0399999999991</v>
      </c>
      <c r="E21" s="12">
        <f t="shared" si="2"/>
        <v>666.67</v>
      </c>
      <c r="F21" s="12">
        <f t="shared" si="3"/>
        <v>666.67</v>
      </c>
      <c r="G21" s="12">
        <f>C21+D21</f>
        <v>16000.079999999998</v>
      </c>
    </row>
    <row r="22" spans="1:7" x14ac:dyDescent="0.25">
      <c r="E22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93E3-EC26-4C9D-B601-B8E5C859DCCD}">
  <dimension ref="A1:E18"/>
  <sheetViews>
    <sheetView tabSelected="1" zoomScale="70" zoomScaleNormal="70" workbookViewId="0">
      <selection activeCell="T33" sqref="T33"/>
    </sheetView>
  </sheetViews>
  <sheetFormatPr defaultRowHeight="15" x14ac:dyDescent="0.25"/>
  <cols>
    <col min="1" max="1" width="24.28515625" bestFit="1" customWidth="1"/>
    <col min="2" max="2" width="24.85546875" bestFit="1" customWidth="1"/>
    <col min="3" max="3" width="23.5703125" customWidth="1"/>
    <col min="4" max="4" width="22.140625" customWidth="1"/>
    <col min="5" max="5" width="20.5703125" bestFit="1" customWidth="1"/>
    <col min="6" max="6" width="9.85546875" bestFit="1" customWidth="1"/>
    <col min="7" max="7" width="15.85546875" bestFit="1" customWidth="1"/>
    <col min="8" max="8" width="15.7109375" bestFit="1" customWidth="1"/>
  </cols>
  <sheetData>
    <row r="1" spans="1:5" x14ac:dyDescent="0.25">
      <c r="A1" s="27" t="s">
        <v>64</v>
      </c>
      <c r="B1" s="29" t="s">
        <v>115</v>
      </c>
      <c r="C1" s="31" t="s">
        <v>169</v>
      </c>
      <c r="D1" s="33" t="s">
        <v>170</v>
      </c>
      <c r="E1" s="29" t="s">
        <v>171</v>
      </c>
    </row>
    <row r="2" spans="1:5" x14ac:dyDescent="0.25">
      <c r="A2" s="28" t="s">
        <v>176</v>
      </c>
      <c r="B2" s="30">
        <f>'Total &amp; Pricing'!B12</f>
        <v>6900430.4380000019</v>
      </c>
      <c r="C2" s="32">
        <f>'Total &amp; Pricing'!B10</f>
        <v>3399495.0440000012</v>
      </c>
      <c r="D2" s="34">
        <f>'Total &amp; Pricing'!B11</f>
        <v>3500935.3940000008</v>
      </c>
      <c r="E2" s="30">
        <f>SUM('Labor Pricing'!L9:M9)</f>
        <v>6864130.3500000015</v>
      </c>
    </row>
    <row r="4" spans="1:5" x14ac:dyDescent="0.25">
      <c r="A4" s="35" t="s">
        <v>173</v>
      </c>
      <c r="B4" s="37" t="s">
        <v>172</v>
      </c>
      <c r="C4" s="39" t="s">
        <v>174</v>
      </c>
      <c r="D4" s="41" t="s">
        <v>175</v>
      </c>
      <c r="E4" s="41" t="s">
        <v>71</v>
      </c>
    </row>
    <row r="5" spans="1:5" x14ac:dyDescent="0.25">
      <c r="A5" s="36">
        <f>ODCs!I8</f>
        <v>33000.080000000002</v>
      </c>
      <c r="B5" s="38">
        <f>E2/B2</f>
        <v>0.9947394458467258</v>
      </c>
      <c r="C5" s="40">
        <f>A5/B2</f>
        <v>4.7823219575219194E-3</v>
      </c>
      <c r="D5" s="42">
        <v>5</v>
      </c>
      <c r="E5" s="43">
        <f>SUM(Inputs!B35:B40)/1920</f>
        <v>5.5033854166666663</v>
      </c>
    </row>
    <row r="6" spans="1:5" x14ac:dyDescent="0.25">
      <c r="C6" s="11"/>
    </row>
    <row r="7" spans="1:5" x14ac:dyDescent="0.25">
      <c r="A7" s="22" t="s">
        <v>128</v>
      </c>
      <c r="B7" s="22" t="s">
        <v>93</v>
      </c>
      <c r="C7" s="22" t="s">
        <v>16</v>
      </c>
    </row>
    <row r="8" spans="1:5" ht="30" x14ac:dyDescent="0.25">
      <c r="A8" s="23">
        <v>1</v>
      </c>
      <c r="B8" s="24" t="str">
        <f>'CLIN Pricing'!B4</f>
        <v>DevOps Engineering Support</v>
      </c>
      <c r="C8" s="23" t="str">
        <f>'CLIN Pricing'!C4</f>
        <v>Dev Ops Engineer</v>
      </c>
    </row>
    <row r="9" spans="1:5" ht="45" x14ac:dyDescent="0.25">
      <c r="A9" s="25">
        <v>2</v>
      </c>
      <c r="B9" s="26" t="str">
        <f>'CLIN Pricing'!B5</f>
        <v>Cloud Infrastructure &amp; Security Automation Specialist</v>
      </c>
      <c r="C9" s="26" t="str">
        <f>'CLIN Pricing'!C5</f>
        <v>Cloud Infrastructure Engineer, Security Automation Specialist</v>
      </c>
    </row>
    <row r="10" spans="1:5" ht="30" x14ac:dyDescent="0.25">
      <c r="A10" s="23">
        <v>3</v>
      </c>
      <c r="B10" s="24" t="str">
        <f>'CLIN Pricing'!B6</f>
        <v>Agile Support &amp; Documentation</v>
      </c>
      <c r="C10" s="24" t="str">
        <f>'CLIN Pricing'!C6</f>
        <v>Agile Scrum Master, Technical Writer</v>
      </c>
    </row>
    <row r="11" spans="1:5" x14ac:dyDescent="0.25">
      <c r="A11" s="25">
        <v>4</v>
      </c>
      <c r="B11" s="26" t="str">
        <f>'CLIN Pricing'!B7</f>
        <v>ODCs</v>
      </c>
      <c r="C11" s="25"/>
    </row>
    <row r="13" spans="1:5" x14ac:dyDescent="0.25">
      <c r="A13" s="35" t="s">
        <v>177</v>
      </c>
      <c r="B13" s="35" t="s">
        <v>93</v>
      </c>
      <c r="C13" s="35" t="s">
        <v>39</v>
      </c>
    </row>
    <row r="14" spans="1:5" x14ac:dyDescent="0.25">
      <c r="A14" s="47" t="str">
        <f>ODCs!A4</f>
        <v>Travel</v>
      </c>
      <c r="B14" s="47" t="str">
        <f>ODCs!B4</f>
        <v>Site Visits (4 trips per year)</v>
      </c>
      <c r="C14" s="48">
        <f>ODCs!G4+ODCs!H4</f>
        <v>12000</v>
      </c>
    </row>
    <row r="15" spans="1:5" ht="30" x14ac:dyDescent="0.25">
      <c r="A15" s="44" t="str">
        <f>ODCs!A5</f>
        <v>Software Licenses</v>
      </c>
      <c r="B15" s="44" t="str">
        <f>ODCs!B5</f>
        <v>Commercial tools for Dev, QA, and Security</v>
      </c>
      <c r="C15" s="45">
        <f>ODCs!G5+ODCs!H5</f>
        <v>5000</v>
      </c>
    </row>
    <row r="16" spans="1:5" ht="45" x14ac:dyDescent="0.25">
      <c r="A16" s="47" t="str">
        <f>ODCs!A6</f>
        <v>Cloud Infrastructure</v>
      </c>
      <c r="B16" s="47" t="str">
        <f>ODCs!B6</f>
        <v>Hosting, virtual environments, data storage</v>
      </c>
      <c r="C16" s="48">
        <f>ODCs!G6+ODCs!H6</f>
        <v>16000.079999999998</v>
      </c>
    </row>
    <row r="17" spans="1:3" x14ac:dyDescent="0.25">
      <c r="A17" s="44" t="s">
        <v>209</v>
      </c>
      <c r="B17" s="46"/>
      <c r="C17" s="49">
        <f>SUM(C14:C16)</f>
        <v>33000.080000000002</v>
      </c>
    </row>
    <row r="18" spans="1:3" x14ac:dyDescent="0.25">
      <c r="A18" s="50" t="s">
        <v>210</v>
      </c>
      <c r="B18" s="50"/>
      <c r="C18" s="51">
        <f>SUM('Total &amp; Pricing'!$B$6:$B$9)</f>
        <v>36300.088000000003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RFP Matrix</vt:lpstr>
      <vt:lpstr>Inputs</vt:lpstr>
      <vt:lpstr>Labor Pricing</vt:lpstr>
      <vt:lpstr>ODCs</vt:lpstr>
      <vt:lpstr>Total &amp; Pricing</vt:lpstr>
      <vt:lpstr>CLIN Pricing</vt:lpstr>
      <vt:lpstr>Basis of Estimate (BOE)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Rosaline Franklin</dc:creator>
  <cp:lastModifiedBy>Rosaline Franklin</cp:lastModifiedBy>
  <dcterms:created xsi:type="dcterms:W3CDTF">2025-05-28T17:32:12Z</dcterms:created>
  <dcterms:modified xsi:type="dcterms:W3CDTF">2025-06-04T17:09:16Z</dcterms:modified>
</cp:coreProperties>
</file>