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twjla\OneDrive\Desktop\"/>
    </mc:Choice>
  </mc:AlternateContent>
  <xr:revisionPtr revIDLastSave="0" documentId="8_{99F9B5CF-2AB4-4C7D-AC4D-63A3A77028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  <sheet name="Pune" sheetId="2" r:id="rId2"/>
    <sheet name="Aurangabad" sheetId="3" r:id="rId3"/>
    <sheet name="Sangli" sheetId="4" r:id="rId4"/>
    <sheet name="Mumbai" sheetId="5" r:id="rId5"/>
    <sheet name="Nagpur" sheetId="6" r:id="rId6"/>
    <sheet name="Kolhapur" sheetId="7" r:id="rId7"/>
    <sheet name="Mangao" sheetId="8" r:id="rId8"/>
    <sheet name="Jalgao" sheetId="9" r:id="rId9"/>
    <sheet name="Yavatmal" sheetId="10" r:id="rId10"/>
    <sheet name="Chiplun" sheetId="11" r:id="rId11"/>
    <sheet name="Ratnagiri" sheetId="12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12" l="1"/>
  <c r="P16" i="12"/>
  <c r="J16" i="12"/>
  <c r="F16" i="12"/>
  <c r="D16" i="12"/>
  <c r="C16" i="12"/>
  <c r="B16" i="12"/>
  <c r="R15" i="12"/>
  <c r="P15" i="12"/>
  <c r="J15" i="12"/>
  <c r="F15" i="12"/>
  <c r="D15" i="12"/>
  <c r="C15" i="12"/>
  <c r="B15" i="12"/>
  <c r="R14" i="12"/>
  <c r="P14" i="12"/>
  <c r="J14" i="12"/>
  <c r="F14" i="12"/>
  <c r="D14" i="12"/>
  <c r="C14" i="12"/>
  <c r="B14" i="12"/>
  <c r="R13" i="12"/>
  <c r="P13" i="12"/>
  <c r="J13" i="12"/>
  <c r="F13" i="12"/>
  <c r="D13" i="12"/>
  <c r="C13" i="12"/>
  <c r="B13" i="12"/>
  <c r="R12" i="12"/>
  <c r="P12" i="12"/>
  <c r="J12" i="12"/>
  <c r="F12" i="12"/>
  <c r="D12" i="12"/>
  <c r="C12" i="12"/>
  <c r="B12" i="12"/>
  <c r="R11" i="12"/>
  <c r="P11" i="12"/>
  <c r="J11" i="12"/>
  <c r="F11" i="12"/>
  <c r="D11" i="12"/>
  <c r="C11" i="12"/>
  <c r="B11" i="12"/>
  <c r="R10" i="12"/>
  <c r="P10" i="12"/>
  <c r="J10" i="12"/>
  <c r="F10" i="12"/>
  <c r="D10" i="12"/>
  <c r="C10" i="12"/>
  <c r="B10" i="12"/>
  <c r="R9" i="12"/>
  <c r="P9" i="12"/>
  <c r="J9" i="12"/>
  <c r="F9" i="12"/>
  <c r="D9" i="12"/>
  <c r="C9" i="12"/>
  <c r="B9" i="12"/>
  <c r="R8" i="12"/>
  <c r="P8" i="12"/>
  <c r="J8" i="12"/>
  <c r="F8" i="12"/>
  <c r="D8" i="12"/>
  <c r="C8" i="12"/>
  <c r="B8" i="12"/>
  <c r="R7" i="12"/>
  <c r="Q7" i="12"/>
  <c r="P7" i="12"/>
  <c r="O7" i="12"/>
  <c r="N7" i="12"/>
  <c r="M7" i="12"/>
  <c r="L7" i="12"/>
  <c r="K7" i="12"/>
  <c r="J7" i="12"/>
  <c r="I7" i="12"/>
  <c r="G7" i="12"/>
  <c r="F7" i="12"/>
  <c r="E7" i="12"/>
  <c r="D7" i="12"/>
  <c r="C7" i="12"/>
  <c r="B7" i="12"/>
  <c r="A7" i="12"/>
  <c r="R6" i="12"/>
  <c r="P6" i="12"/>
  <c r="O6" i="12"/>
  <c r="N6" i="12"/>
  <c r="C6" i="12"/>
  <c r="B6" i="12"/>
  <c r="A6" i="12"/>
  <c r="R5" i="12"/>
  <c r="P5" i="12"/>
  <c r="O5" i="12"/>
  <c r="N5" i="12"/>
  <c r="D5" i="12"/>
  <c r="C5" i="12"/>
  <c r="B5" i="12"/>
  <c r="A5" i="12"/>
  <c r="R4" i="12"/>
  <c r="P4" i="12"/>
  <c r="O4" i="12"/>
  <c r="N4" i="12"/>
  <c r="J4" i="12"/>
  <c r="C4" i="12"/>
  <c r="B4" i="12"/>
  <c r="A4" i="12"/>
  <c r="R3" i="12"/>
  <c r="Q3" i="12"/>
  <c r="P3" i="12"/>
  <c r="O3" i="12"/>
  <c r="N3" i="12"/>
  <c r="J3" i="12"/>
  <c r="C3" i="12"/>
  <c r="B3" i="12"/>
  <c r="A3" i="12"/>
  <c r="R2" i="12"/>
  <c r="Q2" i="12"/>
  <c r="P2" i="12"/>
  <c r="O2" i="12"/>
  <c r="N2" i="12"/>
  <c r="J2" i="12"/>
  <c r="C2" i="12"/>
  <c r="B2" i="12"/>
  <c r="A2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R25" i="11"/>
  <c r="P25" i="11"/>
  <c r="J25" i="11"/>
  <c r="F25" i="11"/>
  <c r="D25" i="11"/>
  <c r="C25" i="11"/>
  <c r="B25" i="11"/>
  <c r="R24" i="11"/>
  <c r="P24" i="11"/>
  <c r="J24" i="11"/>
  <c r="F24" i="11"/>
  <c r="D24" i="11"/>
  <c r="C24" i="11"/>
  <c r="B24" i="11"/>
  <c r="R23" i="11"/>
  <c r="P23" i="11"/>
  <c r="J23" i="11"/>
  <c r="F23" i="11"/>
  <c r="D23" i="11"/>
  <c r="C23" i="11"/>
  <c r="B23" i="11"/>
  <c r="R22" i="11"/>
  <c r="J22" i="11"/>
  <c r="F22" i="11"/>
  <c r="D22" i="11"/>
  <c r="C22" i="11"/>
  <c r="B22" i="11"/>
  <c r="R21" i="11"/>
  <c r="P21" i="11"/>
  <c r="J21" i="11"/>
  <c r="F21" i="11"/>
  <c r="D21" i="11"/>
  <c r="C21" i="11"/>
  <c r="B21" i="11"/>
  <c r="R20" i="11"/>
  <c r="P20" i="11"/>
  <c r="J20" i="11"/>
  <c r="F20" i="11"/>
  <c r="D20" i="11"/>
  <c r="C20" i="11"/>
  <c r="B20" i="11"/>
  <c r="R19" i="11"/>
  <c r="P19" i="11"/>
  <c r="J19" i="11"/>
  <c r="F19" i="11"/>
  <c r="D19" i="11"/>
  <c r="C19" i="11"/>
  <c r="B19" i="11"/>
  <c r="R18" i="11"/>
  <c r="P18" i="11"/>
  <c r="J18" i="11"/>
  <c r="F18" i="11"/>
  <c r="D18" i="11"/>
  <c r="C18" i="11"/>
  <c r="B18" i="11"/>
  <c r="R17" i="11"/>
  <c r="P17" i="11"/>
  <c r="J17" i="11"/>
  <c r="F17" i="11"/>
  <c r="D17" i="11"/>
  <c r="C17" i="11"/>
  <c r="B17" i="11"/>
  <c r="R16" i="11"/>
  <c r="P16" i="11"/>
  <c r="J16" i="11"/>
  <c r="F16" i="11"/>
  <c r="D16" i="11"/>
  <c r="C16" i="11"/>
  <c r="B16" i="11"/>
  <c r="R15" i="11"/>
  <c r="P15" i="11"/>
  <c r="O15" i="11"/>
  <c r="N15" i="11"/>
  <c r="M15" i="11"/>
  <c r="L15" i="11"/>
  <c r="J15" i="11"/>
  <c r="I15" i="11"/>
  <c r="F15" i="11"/>
  <c r="D15" i="11"/>
  <c r="C15" i="11"/>
  <c r="B15" i="11"/>
  <c r="A15" i="11"/>
  <c r="R14" i="11"/>
  <c r="Q14" i="11"/>
  <c r="P14" i="11"/>
  <c r="O14" i="11"/>
  <c r="N14" i="11"/>
  <c r="M14" i="11"/>
  <c r="L14" i="11"/>
  <c r="K14" i="11"/>
  <c r="J14" i="11"/>
  <c r="I14" i="11"/>
  <c r="H14" i="11"/>
  <c r="F14" i="11"/>
  <c r="D14" i="11"/>
  <c r="C14" i="11"/>
  <c r="B14" i="11"/>
  <c r="A14" i="11"/>
  <c r="R13" i="11"/>
  <c r="Q13" i="11"/>
  <c r="P13" i="11"/>
  <c r="O13" i="11"/>
  <c r="N13" i="11"/>
  <c r="L13" i="11"/>
  <c r="K13" i="11"/>
  <c r="J13" i="11"/>
  <c r="I13" i="11"/>
  <c r="H13" i="11"/>
  <c r="G13" i="11"/>
  <c r="F13" i="11"/>
  <c r="D13" i="11"/>
  <c r="C13" i="11"/>
  <c r="B13" i="11"/>
  <c r="A13" i="11"/>
  <c r="R12" i="11"/>
  <c r="O12" i="11"/>
  <c r="N12" i="11"/>
  <c r="M12" i="11"/>
  <c r="L12" i="11"/>
  <c r="J12" i="11"/>
  <c r="I12" i="11"/>
  <c r="H12" i="11"/>
  <c r="F12" i="11"/>
  <c r="D12" i="11"/>
  <c r="C12" i="11"/>
  <c r="B12" i="11"/>
  <c r="A12" i="11"/>
  <c r="R11" i="11"/>
  <c r="Q11" i="11"/>
  <c r="P11" i="11"/>
  <c r="O11" i="11"/>
  <c r="N11" i="11"/>
  <c r="J11" i="11"/>
  <c r="D11" i="11"/>
  <c r="C11" i="11"/>
  <c r="B11" i="11"/>
  <c r="A11" i="11"/>
  <c r="R10" i="11"/>
  <c r="P10" i="11"/>
  <c r="O10" i="11"/>
  <c r="N10" i="11"/>
  <c r="J10" i="11"/>
  <c r="C10" i="11"/>
  <c r="B10" i="11"/>
  <c r="A10" i="11"/>
  <c r="R9" i="11"/>
  <c r="P9" i="11"/>
  <c r="O9" i="11"/>
  <c r="N9" i="11"/>
  <c r="C9" i="11"/>
  <c r="B9" i="11"/>
  <c r="A9" i="11"/>
  <c r="R8" i="11"/>
  <c r="Q8" i="11"/>
  <c r="P8" i="11"/>
  <c r="O8" i="11"/>
  <c r="N8" i="11"/>
  <c r="J8" i="11"/>
  <c r="C8" i="11"/>
  <c r="B8" i="11"/>
  <c r="A8" i="11"/>
  <c r="R7" i="11"/>
  <c r="Q7" i="11"/>
  <c r="P7" i="11"/>
  <c r="O7" i="11"/>
  <c r="N7" i="11"/>
  <c r="M7" i="11"/>
  <c r="L7" i="11"/>
  <c r="K7" i="11"/>
  <c r="J7" i="11"/>
  <c r="I7" i="11"/>
  <c r="F7" i="11"/>
  <c r="C7" i="11"/>
  <c r="B7" i="11"/>
  <c r="A7" i="11"/>
  <c r="R6" i="11"/>
  <c r="P6" i="11"/>
  <c r="O6" i="11"/>
  <c r="N6" i="11"/>
  <c r="J6" i="11"/>
  <c r="C6" i="11"/>
  <c r="B6" i="11"/>
  <c r="A6" i="11"/>
  <c r="R5" i="11"/>
  <c r="Q5" i="11"/>
  <c r="P5" i="11"/>
  <c r="O5" i="11"/>
  <c r="N5" i="11"/>
  <c r="M5" i="11"/>
  <c r="L5" i="11"/>
  <c r="K5" i="11"/>
  <c r="J5" i="11"/>
  <c r="I5" i="11"/>
  <c r="H5" i="11"/>
  <c r="F5" i="11"/>
  <c r="D5" i="11"/>
  <c r="C5" i="11"/>
  <c r="B5" i="11"/>
  <c r="A5" i="11"/>
  <c r="R4" i="11"/>
  <c r="Q4" i="11"/>
  <c r="P4" i="11"/>
  <c r="O4" i="11"/>
  <c r="N4" i="11"/>
  <c r="J4" i="11"/>
  <c r="D4" i="11"/>
  <c r="C4" i="11"/>
  <c r="B4" i="11"/>
  <c r="A4" i="11"/>
  <c r="R3" i="11"/>
  <c r="Q3" i="11"/>
  <c r="P3" i="11"/>
  <c r="O3" i="11"/>
  <c r="N3" i="11"/>
  <c r="M3" i="11"/>
  <c r="L3" i="11"/>
  <c r="K3" i="11"/>
  <c r="J3" i="11"/>
  <c r="I3" i="11"/>
  <c r="H3" i="11"/>
  <c r="F3" i="11"/>
  <c r="D3" i="11"/>
  <c r="C3" i="11"/>
  <c r="B3" i="11"/>
  <c r="A3" i="11"/>
  <c r="R2" i="11"/>
  <c r="Q2" i="11"/>
  <c r="P2" i="11"/>
  <c r="O2" i="11"/>
  <c r="N2" i="11"/>
  <c r="L2" i="11"/>
  <c r="K2" i="11"/>
  <c r="J2" i="11"/>
  <c r="I2" i="11"/>
  <c r="H2" i="11"/>
  <c r="F2" i="11"/>
  <c r="D2" i="11"/>
  <c r="C2" i="11"/>
  <c r="B2" i="11"/>
  <c r="A2" i="11"/>
  <c r="R5" i="10"/>
  <c r="J5" i="10"/>
  <c r="F5" i="10"/>
  <c r="D5" i="10"/>
  <c r="C5" i="10"/>
  <c r="B5" i="10"/>
  <c r="R4" i="10"/>
  <c r="P4" i="10"/>
  <c r="O4" i="10"/>
  <c r="N4" i="10"/>
  <c r="F4" i="10"/>
  <c r="D4" i="10"/>
  <c r="C4" i="10"/>
  <c r="B4" i="10"/>
  <c r="A4" i="10"/>
  <c r="R3" i="10"/>
  <c r="P3" i="10"/>
  <c r="O3" i="10"/>
  <c r="N3" i="10"/>
  <c r="F3" i="10"/>
  <c r="D3" i="10"/>
  <c r="C3" i="10"/>
  <c r="B3" i="10"/>
  <c r="A3" i="10"/>
  <c r="R2" i="10"/>
  <c r="Q2" i="10"/>
  <c r="P2" i="10"/>
  <c r="O2" i="10"/>
  <c r="N2" i="10"/>
  <c r="M2" i="10"/>
  <c r="L2" i="10"/>
  <c r="K2" i="10"/>
  <c r="J2" i="10"/>
  <c r="I2" i="10"/>
  <c r="F2" i="10"/>
  <c r="D2" i="10"/>
  <c r="C2" i="10"/>
  <c r="B2" i="10"/>
  <c r="A2" i="10"/>
  <c r="A2" i="9"/>
  <c r="R3" i="8"/>
  <c r="P3" i="8"/>
  <c r="O3" i="8"/>
  <c r="N3" i="8"/>
  <c r="F3" i="8"/>
  <c r="D3" i="8"/>
  <c r="C3" i="8"/>
  <c r="B3" i="8"/>
  <c r="A3" i="8"/>
  <c r="R2" i="8"/>
  <c r="O2" i="8"/>
  <c r="N2" i="8"/>
  <c r="M2" i="8"/>
  <c r="K2" i="8"/>
  <c r="J2" i="8"/>
  <c r="D2" i="8"/>
  <c r="C2" i="8"/>
  <c r="B2" i="8"/>
  <c r="A2" i="8"/>
  <c r="R2" i="7"/>
  <c r="P2" i="7"/>
  <c r="J2" i="7"/>
  <c r="F2" i="7"/>
  <c r="D2" i="7"/>
  <c r="C2" i="7"/>
  <c r="B2" i="7"/>
  <c r="A2" i="7"/>
  <c r="R29" i="6"/>
  <c r="J29" i="6"/>
  <c r="F29" i="6"/>
  <c r="D29" i="6"/>
  <c r="C29" i="6"/>
  <c r="B29" i="6"/>
  <c r="R28" i="6"/>
  <c r="P28" i="6"/>
  <c r="J28" i="6"/>
  <c r="F28" i="6"/>
  <c r="D28" i="6"/>
  <c r="C28" i="6"/>
  <c r="B28" i="6"/>
  <c r="R27" i="6"/>
  <c r="J27" i="6"/>
  <c r="F27" i="6"/>
  <c r="D27" i="6"/>
  <c r="C27" i="6"/>
  <c r="B27" i="6"/>
  <c r="R26" i="6"/>
  <c r="J26" i="6"/>
  <c r="F26" i="6"/>
  <c r="D26" i="6"/>
  <c r="C26" i="6"/>
  <c r="B26" i="6"/>
  <c r="R25" i="6"/>
  <c r="P25" i="6"/>
  <c r="J25" i="6"/>
  <c r="F25" i="6"/>
  <c r="D25" i="6"/>
  <c r="C25" i="6"/>
  <c r="B25" i="6"/>
  <c r="R24" i="6"/>
  <c r="P24" i="6"/>
  <c r="J24" i="6"/>
  <c r="F24" i="6"/>
  <c r="D24" i="6"/>
  <c r="C24" i="6"/>
  <c r="B24" i="6"/>
  <c r="R23" i="6"/>
  <c r="P23" i="6"/>
  <c r="J23" i="6"/>
  <c r="F23" i="6"/>
  <c r="D23" i="6"/>
  <c r="C23" i="6"/>
  <c r="B23" i="6"/>
  <c r="R22" i="6"/>
  <c r="P22" i="6"/>
  <c r="J22" i="6"/>
  <c r="F22" i="6"/>
  <c r="D22" i="6"/>
  <c r="C22" i="6"/>
  <c r="B22" i="6"/>
  <c r="R21" i="6"/>
  <c r="P21" i="6"/>
  <c r="O21" i="6"/>
  <c r="N21" i="6"/>
  <c r="F21" i="6"/>
  <c r="D21" i="6"/>
  <c r="C21" i="6"/>
  <c r="B21" i="6"/>
  <c r="A21" i="6"/>
  <c r="R20" i="6"/>
  <c r="P20" i="6"/>
  <c r="O20" i="6"/>
  <c r="N20" i="6"/>
  <c r="F20" i="6"/>
  <c r="D20" i="6"/>
  <c r="C20" i="6"/>
  <c r="B20" i="6"/>
  <c r="A20" i="6"/>
  <c r="R19" i="6"/>
  <c r="P19" i="6"/>
  <c r="O19" i="6"/>
  <c r="N19" i="6"/>
  <c r="F19" i="6"/>
  <c r="C19" i="6"/>
  <c r="B19" i="6"/>
  <c r="A19" i="6"/>
  <c r="R18" i="6"/>
  <c r="P18" i="6"/>
  <c r="O18" i="6"/>
  <c r="N18" i="6"/>
  <c r="F18" i="6"/>
  <c r="D18" i="6"/>
  <c r="C18" i="6"/>
  <c r="B18" i="6"/>
  <c r="A18" i="6"/>
  <c r="R17" i="6"/>
  <c r="P17" i="6"/>
  <c r="O17" i="6"/>
  <c r="N17" i="6"/>
  <c r="F17" i="6"/>
  <c r="D17" i="6"/>
  <c r="C17" i="6"/>
  <c r="B17" i="6"/>
  <c r="A17" i="6"/>
  <c r="R16" i="6"/>
  <c r="P16" i="6"/>
  <c r="O16" i="6"/>
  <c r="N16" i="6"/>
  <c r="H16" i="6"/>
  <c r="F16" i="6"/>
  <c r="D16" i="6"/>
  <c r="C16" i="6"/>
  <c r="B16" i="6"/>
  <c r="A16" i="6"/>
  <c r="R15" i="6"/>
  <c r="P15" i="6"/>
  <c r="O15" i="6"/>
  <c r="N15" i="6"/>
  <c r="F15" i="6"/>
  <c r="D15" i="6"/>
  <c r="C15" i="6"/>
  <c r="B15" i="6"/>
  <c r="A15" i="6"/>
  <c r="R14" i="6"/>
  <c r="P14" i="6"/>
  <c r="O14" i="6"/>
  <c r="N14" i="6"/>
  <c r="G14" i="6"/>
  <c r="F14" i="6"/>
  <c r="D14" i="6"/>
  <c r="C14" i="6"/>
  <c r="B14" i="6"/>
  <c r="A14" i="6"/>
  <c r="R13" i="6"/>
  <c r="P13" i="6"/>
  <c r="O13" i="6"/>
  <c r="N13" i="6"/>
  <c r="F13" i="6"/>
  <c r="D13" i="6"/>
  <c r="C13" i="6"/>
  <c r="B13" i="6"/>
  <c r="A13" i="6"/>
  <c r="R12" i="6"/>
  <c r="P12" i="6"/>
  <c r="O12" i="6"/>
  <c r="N12" i="6"/>
  <c r="F12" i="6"/>
  <c r="D12" i="6"/>
  <c r="C12" i="6"/>
  <c r="B12" i="6"/>
  <c r="A12" i="6"/>
  <c r="R11" i="6"/>
  <c r="P11" i="6"/>
  <c r="O11" i="6"/>
  <c r="N11" i="6"/>
  <c r="H11" i="6"/>
  <c r="F11" i="6"/>
  <c r="D11" i="6"/>
  <c r="C11" i="6"/>
  <c r="B11" i="6"/>
  <c r="A11" i="6"/>
  <c r="R10" i="6"/>
  <c r="P10" i="6"/>
  <c r="O10" i="6"/>
  <c r="N10" i="6"/>
  <c r="H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F9" i="6"/>
  <c r="D9" i="6"/>
  <c r="C9" i="6"/>
  <c r="B9" i="6"/>
  <c r="A9" i="6"/>
  <c r="R8" i="6"/>
  <c r="Q8" i="6"/>
  <c r="P8" i="6"/>
  <c r="O8" i="6"/>
  <c r="N8" i="6"/>
  <c r="M8" i="6"/>
  <c r="L8" i="6"/>
  <c r="K8" i="6"/>
  <c r="J8" i="6"/>
  <c r="H8" i="6"/>
  <c r="G8" i="6"/>
  <c r="F8" i="6"/>
  <c r="E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P6" i="6"/>
  <c r="O6" i="6"/>
  <c r="L6" i="6"/>
  <c r="J6" i="6"/>
  <c r="I6" i="6"/>
  <c r="F6" i="6"/>
  <c r="D6" i="6"/>
  <c r="C6" i="6"/>
  <c r="B6" i="6"/>
  <c r="A6" i="6"/>
  <c r="R5" i="6"/>
  <c r="Q5" i="6"/>
  <c r="L5" i="6"/>
  <c r="J5" i="6"/>
  <c r="I5" i="6"/>
  <c r="F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D3" i="6"/>
  <c r="C3" i="6"/>
  <c r="B3" i="6"/>
  <c r="A3" i="6"/>
  <c r="R2" i="6"/>
  <c r="P2" i="6"/>
  <c r="O2" i="6"/>
  <c r="N2" i="6"/>
  <c r="J2" i="6"/>
  <c r="D2" i="6"/>
  <c r="C2" i="6"/>
  <c r="B2" i="6"/>
  <c r="A2" i="6"/>
  <c r="R18" i="5"/>
  <c r="P18" i="5"/>
  <c r="J18" i="5"/>
  <c r="F18" i="5"/>
  <c r="D18" i="5"/>
  <c r="C18" i="5"/>
  <c r="B18" i="5"/>
  <c r="R17" i="5"/>
  <c r="P17" i="5"/>
  <c r="J17" i="5"/>
  <c r="F17" i="5"/>
  <c r="D17" i="5"/>
  <c r="C17" i="5"/>
  <c r="B17" i="5"/>
  <c r="R16" i="5"/>
  <c r="P16" i="5"/>
  <c r="J16" i="5"/>
  <c r="F16" i="5"/>
  <c r="D16" i="5"/>
  <c r="C16" i="5"/>
  <c r="B16" i="5"/>
  <c r="R15" i="5"/>
  <c r="P15" i="5"/>
  <c r="J15" i="5"/>
  <c r="F15" i="5"/>
  <c r="D15" i="5"/>
  <c r="C15" i="5"/>
  <c r="B15" i="5"/>
  <c r="R14" i="5"/>
  <c r="P14" i="5"/>
  <c r="J14" i="5"/>
  <c r="F14" i="5"/>
  <c r="D14" i="5"/>
  <c r="C14" i="5"/>
  <c r="B14" i="5"/>
  <c r="R13" i="5"/>
  <c r="P13" i="5"/>
  <c r="J13" i="5"/>
  <c r="F13" i="5"/>
  <c r="D13" i="5"/>
  <c r="C13" i="5"/>
  <c r="B13" i="5"/>
  <c r="R12" i="5"/>
  <c r="P12" i="5"/>
  <c r="J12" i="5"/>
  <c r="F12" i="5"/>
  <c r="D12" i="5"/>
  <c r="C12" i="5"/>
  <c r="B12" i="5"/>
  <c r="R11" i="5"/>
  <c r="P11" i="5"/>
  <c r="J11" i="5"/>
  <c r="F11" i="5"/>
  <c r="D11" i="5"/>
  <c r="C11" i="5"/>
  <c r="B11" i="5"/>
  <c r="R10" i="5"/>
  <c r="P10" i="5"/>
  <c r="O10" i="5"/>
  <c r="N10" i="5"/>
  <c r="C10" i="5"/>
  <c r="B10" i="5"/>
  <c r="A10" i="5"/>
  <c r="R9" i="5"/>
  <c r="P9" i="5"/>
  <c r="O9" i="5"/>
  <c r="N9" i="5"/>
  <c r="K9" i="5"/>
  <c r="J9" i="5"/>
  <c r="F9" i="5"/>
  <c r="D9" i="5"/>
  <c r="C9" i="5"/>
  <c r="B9" i="5"/>
  <c r="A9" i="5"/>
  <c r="R8" i="5"/>
  <c r="F8" i="5"/>
  <c r="C8" i="5"/>
  <c r="B8" i="5"/>
  <c r="A8" i="5"/>
  <c r="R7" i="5"/>
  <c r="F7" i="5"/>
  <c r="D7" i="5"/>
  <c r="C7" i="5"/>
  <c r="B7" i="5"/>
  <c r="A7" i="5"/>
  <c r="R6" i="5"/>
  <c r="F6" i="5"/>
  <c r="D6" i="5"/>
  <c r="C6" i="5"/>
  <c r="B6" i="5"/>
  <c r="A6" i="5"/>
  <c r="R5" i="5"/>
  <c r="G5" i="5"/>
  <c r="F5" i="5"/>
  <c r="D5" i="5"/>
  <c r="C5" i="5"/>
  <c r="B5" i="5"/>
  <c r="A5" i="5"/>
  <c r="R4" i="5"/>
  <c r="J4" i="5"/>
  <c r="C4" i="5"/>
  <c r="B4" i="5"/>
  <c r="A4" i="5"/>
  <c r="R3" i="5"/>
  <c r="F3" i="5"/>
  <c r="E3" i="5"/>
  <c r="C3" i="5"/>
  <c r="B3" i="5"/>
  <c r="A3" i="5"/>
  <c r="R2" i="5"/>
  <c r="P2" i="5"/>
  <c r="O2" i="5"/>
  <c r="N2" i="5"/>
  <c r="D2" i="5"/>
  <c r="C2" i="5"/>
  <c r="B2" i="5"/>
  <c r="A2" i="5"/>
  <c r="R5" i="4"/>
  <c r="P5" i="4"/>
  <c r="J5" i="4"/>
  <c r="F5" i="4"/>
  <c r="D5" i="4"/>
  <c r="C5" i="4"/>
  <c r="B5" i="4"/>
  <c r="R4" i="4"/>
  <c r="P4" i="4"/>
  <c r="O4" i="4"/>
  <c r="N4" i="4"/>
  <c r="J4" i="4"/>
  <c r="F4" i="4"/>
  <c r="D4" i="4"/>
  <c r="C4" i="4"/>
  <c r="B4" i="4"/>
  <c r="A4" i="4"/>
  <c r="R3" i="4"/>
  <c r="P3" i="4"/>
  <c r="O3" i="4"/>
  <c r="N3" i="4"/>
  <c r="J3" i="4"/>
  <c r="F3" i="4"/>
  <c r="D3" i="4"/>
  <c r="C3" i="4"/>
  <c r="B3" i="4"/>
  <c r="A3" i="4"/>
  <c r="R2" i="4"/>
  <c r="P2" i="4"/>
  <c r="O2" i="4"/>
  <c r="N2" i="4"/>
  <c r="D2" i="4"/>
  <c r="C2" i="4"/>
  <c r="B2" i="4"/>
  <c r="A2" i="4"/>
  <c r="R2" i="3"/>
  <c r="F2" i="3"/>
  <c r="E2" i="3"/>
  <c r="C2" i="3"/>
  <c r="B2" i="3"/>
  <c r="A2" i="3"/>
  <c r="R45" i="2"/>
  <c r="P45" i="2"/>
  <c r="D45" i="2"/>
  <c r="C45" i="2"/>
  <c r="B45" i="2"/>
  <c r="R44" i="2"/>
  <c r="P44" i="2"/>
  <c r="J44" i="2"/>
  <c r="F44" i="2"/>
  <c r="D44" i="2"/>
  <c r="C44" i="2"/>
  <c r="B44" i="2"/>
  <c r="R43" i="2"/>
  <c r="P43" i="2"/>
  <c r="J43" i="2"/>
  <c r="F43" i="2"/>
  <c r="D43" i="2"/>
  <c r="C43" i="2"/>
  <c r="B43" i="2"/>
  <c r="R42" i="2"/>
  <c r="J42" i="2"/>
  <c r="F42" i="2"/>
  <c r="C42" i="2"/>
  <c r="B42" i="2"/>
  <c r="R41" i="2"/>
  <c r="P41" i="2"/>
  <c r="J41" i="2"/>
  <c r="F41" i="2"/>
  <c r="D41" i="2"/>
  <c r="C41" i="2"/>
  <c r="B41" i="2"/>
  <c r="R40" i="2"/>
  <c r="P40" i="2"/>
  <c r="J40" i="2"/>
  <c r="F40" i="2"/>
  <c r="D40" i="2"/>
  <c r="C40" i="2"/>
  <c r="B40" i="2"/>
  <c r="R39" i="2"/>
  <c r="P39" i="2"/>
  <c r="J39" i="2"/>
  <c r="F39" i="2"/>
  <c r="D39" i="2"/>
  <c r="C39" i="2"/>
  <c r="B39" i="2"/>
  <c r="R38" i="2"/>
  <c r="P38" i="2"/>
  <c r="J38" i="2"/>
  <c r="F38" i="2"/>
  <c r="D38" i="2"/>
  <c r="C38" i="2"/>
  <c r="B38" i="2"/>
  <c r="R37" i="2"/>
  <c r="P37" i="2"/>
  <c r="J37" i="2"/>
  <c r="F37" i="2"/>
  <c r="D37" i="2"/>
  <c r="C37" i="2"/>
  <c r="B37" i="2"/>
  <c r="R36" i="2"/>
  <c r="P36" i="2"/>
  <c r="J36" i="2"/>
  <c r="F36" i="2"/>
  <c r="D36" i="2"/>
  <c r="C36" i="2"/>
  <c r="B36" i="2"/>
  <c r="R35" i="2"/>
  <c r="P35" i="2"/>
  <c r="J35" i="2"/>
  <c r="F35" i="2"/>
  <c r="D35" i="2"/>
  <c r="C35" i="2"/>
  <c r="B35" i="2"/>
  <c r="R34" i="2"/>
  <c r="P34" i="2"/>
  <c r="J34" i="2"/>
  <c r="F34" i="2"/>
  <c r="D34" i="2"/>
  <c r="C34" i="2"/>
  <c r="B34" i="2"/>
  <c r="R33" i="2"/>
  <c r="P33" i="2"/>
  <c r="J33" i="2"/>
  <c r="F33" i="2"/>
  <c r="D33" i="2"/>
  <c r="C33" i="2"/>
  <c r="B33" i="2"/>
  <c r="R32" i="2"/>
  <c r="P32" i="2"/>
  <c r="J32" i="2"/>
  <c r="F32" i="2"/>
  <c r="D32" i="2"/>
  <c r="C32" i="2"/>
  <c r="B32" i="2"/>
  <c r="R31" i="2"/>
  <c r="P31" i="2"/>
  <c r="O31" i="2"/>
  <c r="N31" i="2"/>
  <c r="D31" i="2"/>
  <c r="C31" i="2"/>
  <c r="B31" i="2"/>
  <c r="A31" i="2"/>
  <c r="R30" i="2"/>
  <c r="P30" i="2"/>
  <c r="O30" i="2"/>
  <c r="N30" i="2"/>
  <c r="D30" i="2"/>
  <c r="C30" i="2"/>
  <c r="B30" i="2"/>
  <c r="A30" i="2"/>
  <c r="R29" i="2"/>
  <c r="P29" i="2"/>
  <c r="O29" i="2"/>
  <c r="N29" i="2"/>
  <c r="D29" i="2"/>
  <c r="C29" i="2"/>
  <c r="B29" i="2"/>
  <c r="A29" i="2"/>
  <c r="R28" i="2"/>
  <c r="Q28" i="2"/>
  <c r="O28" i="2"/>
  <c r="N28" i="2"/>
  <c r="L28" i="2"/>
  <c r="J28" i="2"/>
  <c r="I28" i="2"/>
  <c r="H28" i="2"/>
  <c r="F28" i="2"/>
  <c r="C28" i="2"/>
  <c r="B28" i="2"/>
  <c r="A28" i="2"/>
  <c r="R27" i="2"/>
  <c r="P27" i="2"/>
  <c r="O27" i="2"/>
  <c r="N27" i="2"/>
  <c r="J27" i="2"/>
  <c r="F27" i="2"/>
  <c r="D27" i="2"/>
  <c r="C27" i="2"/>
  <c r="B27" i="2"/>
  <c r="A27" i="2"/>
  <c r="R26" i="2"/>
  <c r="P26" i="2"/>
  <c r="O26" i="2"/>
  <c r="N26" i="2"/>
  <c r="G26" i="2"/>
  <c r="F26" i="2"/>
  <c r="D26" i="2"/>
  <c r="C26" i="2"/>
  <c r="B26" i="2"/>
  <c r="A26" i="2"/>
  <c r="R25" i="2"/>
  <c r="P25" i="2"/>
  <c r="O25" i="2"/>
  <c r="N25" i="2"/>
  <c r="H25" i="2"/>
  <c r="F25" i="2"/>
  <c r="D25" i="2"/>
  <c r="C25" i="2"/>
  <c r="B25" i="2"/>
  <c r="A25" i="2"/>
  <c r="R24" i="2"/>
  <c r="Q24" i="2"/>
  <c r="P24" i="2"/>
  <c r="O24" i="2"/>
  <c r="N24" i="2"/>
  <c r="L24" i="2"/>
  <c r="K24" i="2"/>
  <c r="J24" i="2"/>
  <c r="I24" i="2"/>
  <c r="G24" i="2"/>
  <c r="F24" i="2"/>
  <c r="E24" i="2"/>
  <c r="D24" i="2"/>
  <c r="C24" i="2"/>
  <c r="B24" i="2"/>
  <c r="A24" i="2"/>
  <c r="R23" i="2"/>
  <c r="J23" i="2"/>
  <c r="D23" i="2"/>
  <c r="C23" i="2"/>
  <c r="B23" i="2"/>
  <c r="A23" i="2"/>
  <c r="R22" i="2"/>
  <c r="Q22" i="2"/>
  <c r="P22" i="2"/>
  <c r="O22" i="2"/>
  <c r="N22" i="2"/>
  <c r="M22" i="2"/>
  <c r="L22" i="2"/>
  <c r="J22" i="2"/>
  <c r="I22" i="2"/>
  <c r="H22" i="2"/>
  <c r="F22" i="2"/>
  <c r="E22" i="2"/>
  <c r="D22" i="2"/>
  <c r="C22" i="2"/>
  <c r="B22" i="2"/>
  <c r="A22" i="2"/>
  <c r="R21" i="2"/>
  <c r="O21" i="2"/>
  <c r="N21" i="2"/>
  <c r="J21" i="2"/>
  <c r="H21" i="2"/>
  <c r="F21" i="2"/>
  <c r="D21" i="2"/>
  <c r="C21" i="2"/>
  <c r="B21" i="2"/>
  <c r="A21" i="2"/>
  <c r="R20" i="2"/>
  <c r="P20" i="2"/>
  <c r="O20" i="2"/>
  <c r="N20" i="2"/>
  <c r="J20" i="2"/>
  <c r="F20" i="2"/>
  <c r="D20" i="2"/>
  <c r="C20" i="2"/>
  <c r="B20" i="2"/>
  <c r="A20" i="2"/>
  <c r="R19" i="2"/>
  <c r="P19" i="2"/>
  <c r="O19" i="2"/>
  <c r="N19" i="2"/>
  <c r="J19" i="2"/>
  <c r="H19" i="2"/>
  <c r="F19" i="2"/>
  <c r="E19" i="2"/>
  <c r="D19" i="2"/>
  <c r="C19" i="2"/>
  <c r="B19" i="2"/>
  <c r="A19" i="2"/>
  <c r="R18" i="2"/>
  <c r="P18" i="2"/>
  <c r="O18" i="2"/>
  <c r="N18" i="2"/>
  <c r="J18" i="2"/>
  <c r="C18" i="2"/>
  <c r="B18" i="2"/>
  <c r="A18" i="2"/>
  <c r="R17" i="2"/>
  <c r="O17" i="2"/>
  <c r="N17" i="2"/>
  <c r="J17" i="2"/>
  <c r="C17" i="2"/>
  <c r="B17" i="2"/>
  <c r="A17" i="2"/>
  <c r="R16" i="2"/>
  <c r="P16" i="2"/>
  <c r="O16" i="2"/>
  <c r="N16" i="2"/>
  <c r="J16" i="2"/>
  <c r="C16" i="2"/>
  <c r="B16" i="2"/>
  <c r="A16" i="2"/>
  <c r="R15" i="2"/>
  <c r="P15" i="2"/>
  <c r="O15" i="2"/>
  <c r="N15" i="2"/>
  <c r="J15" i="2"/>
  <c r="C15" i="2"/>
  <c r="B15" i="2"/>
  <c r="A15" i="2"/>
  <c r="R14" i="2"/>
  <c r="P14" i="2"/>
  <c r="O14" i="2"/>
  <c r="N14" i="2"/>
  <c r="J14" i="2"/>
  <c r="C14" i="2"/>
  <c r="B14" i="2"/>
  <c r="A14" i="2"/>
  <c r="R13" i="2"/>
  <c r="Q13" i="2"/>
  <c r="P13" i="2"/>
  <c r="O13" i="2"/>
  <c r="N13" i="2"/>
  <c r="M13" i="2"/>
  <c r="L13" i="2"/>
  <c r="K13" i="2"/>
  <c r="J13" i="2"/>
  <c r="I13" i="2"/>
  <c r="H13" i="2"/>
  <c r="F13" i="2"/>
  <c r="D13" i="2"/>
  <c r="C13" i="2"/>
  <c r="B13" i="2"/>
  <c r="A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D12" i="2"/>
  <c r="C12" i="2"/>
  <c r="B12" i="2"/>
  <c r="A12" i="2"/>
  <c r="R11" i="2"/>
  <c r="Q11" i="2"/>
  <c r="P11" i="2"/>
  <c r="O11" i="2"/>
  <c r="N11" i="2"/>
  <c r="L11" i="2"/>
  <c r="K11" i="2"/>
  <c r="J11" i="2"/>
  <c r="I11" i="2"/>
  <c r="H11" i="2"/>
  <c r="G11" i="2"/>
  <c r="F11" i="2"/>
  <c r="E11" i="2"/>
  <c r="C11" i="2"/>
  <c r="B11" i="2"/>
  <c r="A11" i="2"/>
  <c r="R10" i="2"/>
  <c r="P10" i="2"/>
  <c r="O10" i="2"/>
  <c r="N10" i="2"/>
  <c r="K10" i="2"/>
  <c r="J10" i="2"/>
  <c r="D10" i="2"/>
  <c r="C10" i="2"/>
  <c r="B10" i="2"/>
  <c r="A10" i="2"/>
  <c r="R9" i="2"/>
  <c r="Q9" i="2"/>
  <c r="P9" i="2"/>
  <c r="O9" i="2"/>
  <c r="N9" i="2"/>
  <c r="M9" i="2"/>
  <c r="L9" i="2"/>
  <c r="K9" i="2"/>
  <c r="J9" i="2"/>
  <c r="I9" i="2"/>
  <c r="H9" i="2"/>
  <c r="F9" i="2"/>
  <c r="C9" i="2"/>
  <c r="B9" i="2"/>
  <c r="A9" i="2"/>
  <c r="R8" i="2"/>
  <c r="P8" i="2"/>
  <c r="O8" i="2"/>
  <c r="N8" i="2"/>
  <c r="F8" i="2"/>
  <c r="D8" i="2"/>
  <c r="C8" i="2"/>
  <c r="B8" i="2"/>
  <c r="A8" i="2"/>
  <c r="R7" i="2"/>
  <c r="Q7" i="2"/>
  <c r="P7" i="2"/>
  <c r="O7" i="2"/>
  <c r="N7" i="2"/>
  <c r="M7" i="2"/>
  <c r="L7" i="2"/>
  <c r="K7" i="2"/>
  <c r="J7" i="2"/>
  <c r="I7" i="2"/>
  <c r="H7" i="2"/>
  <c r="G7" i="2"/>
  <c r="F7" i="2"/>
  <c r="C7" i="2"/>
  <c r="B7" i="2"/>
  <c r="A7" i="2"/>
  <c r="R6" i="2"/>
  <c r="Q6" i="2"/>
  <c r="O6" i="2"/>
  <c r="N6" i="2"/>
  <c r="L6" i="2"/>
  <c r="K6" i="2"/>
  <c r="J6" i="2"/>
  <c r="I6" i="2"/>
  <c r="H6" i="2"/>
  <c r="F6" i="2"/>
  <c r="D6" i="2"/>
  <c r="C6" i="2"/>
  <c r="B6" i="2"/>
  <c r="A6" i="2"/>
  <c r="R5" i="2"/>
  <c r="Q5" i="2"/>
  <c r="P5" i="2"/>
  <c r="O5" i="2"/>
  <c r="N5" i="2"/>
  <c r="M5" i="2"/>
  <c r="L5" i="2"/>
  <c r="K5" i="2"/>
  <c r="J5" i="2"/>
  <c r="I5" i="2"/>
  <c r="H5" i="2"/>
  <c r="G5" i="2"/>
  <c r="F5" i="2"/>
  <c r="D5" i="2"/>
  <c r="C5" i="2"/>
  <c r="B5" i="2"/>
  <c r="A5" i="2"/>
  <c r="R4" i="2"/>
  <c r="Q4" i="2"/>
  <c r="P4" i="2"/>
  <c r="O4" i="2"/>
  <c r="N4" i="2"/>
  <c r="L4" i="2"/>
  <c r="J4" i="2"/>
  <c r="I4" i="2"/>
  <c r="F4" i="2"/>
  <c r="E4" i="2"/>
  <c r="D4" i="2"/>
  <c r="C4" i="2"/>
  <c r="B4" i="2"/>
  <c r="A4" i="2"/>
  <c r="R3" i="2"/>
  <c r="Q3" i="2"/>
  <c r="P3" i="2"/>
  <c r="O3" i="2"/>
  <c r="N3" i="2"/>
  <c r="M3" i="2"/>
  <c r="L3" i="2"/>
  <c r="K3" i="2"/>
  <c r="J3" i="2"/>
  <c r="I3" i="2"/>
  <c r="H3" i="2"/>
  <c r="F3" i="2"/>
  <c r="E3" i="2"/>
  <c r="C3" i="2"/>
  <c r="B3" i="2"/>
  <c r="A3" i="2"/>
  <c r="R2" i="2"/>
  <c r="Q2" i="2"/>
  <c r="P2" i="2"/>
  <c r="O2" i="2"/>
  <c r="N2" i="2"/>
  <c r="M2" i="2"/>
  <c r="L2" i="2"/>
  <c r="K2" i="2"/>
  <c r="J2" i="2"/>
  <c r="F2" i="2"/>
  <c r="D2" i="2"/>
  <c r="C2" i="2"/>
  <c r="B2" i="2"/>
  <c r="A2" i="2"/>
  <c r="C110" i="1"/>
  <c r="C85" i="1"/>
  <c r="C81" i="1"/>
  <c r="C80" i="1"/>
</calcChain>
</file>

<file path=xl/sharedStrings.xml><?xml version="1.0" encoding="utf-8"?>
<sst xmlns="http://schemas.openxmlformats.org/spreadsheetml/2006/main" count="1080" uniqueCount="638">
  <si>
    <t>Timestamp</t>
  </si>
  <si>
    <t>Name of company</t>
  </si>
  <si>
    <t>Address</t>
  </si>
  <si>
    <t>Telephone number</t>
  </si>
  <si>
    <t>Fax number</t>
  </si>
  <si>
    <t>E-Mail address</t>
  </si>
  <si>
    <t>Web site address</t>
  </si>
  <si>
    <t>GST NO.</t>
  </si>
  <si>
    <t>PAN NO.</t>
  </si>
  <si>
    <t>Name &amp; Title of company representative</t>
  </si>
  <si>
    <t>Director E-mail</t>
  </si>
  <si>
    <t>Date compony was established</t>
  </si>
  <si>
    <t>Gross annual sale for the last three year</t>
  </si>
  <si>
    <t>Legal structure</t>
  </si>
  <si>
    <t>Types of business/Commodity service</t>
  </si>
  <si>
    <t>Details on service or goods your company supplies</t>
  </si>
  <si>
    <t>Banking Information (Bank name, Address, Beneficiary name, Bank account number)</t>
  </si>
  <si>
    <t>Location</t>
  </si>
  <si>
    <t xml:space="preserve">VAIDYA FURNITURE </t>
  </si>
  <si>
    <t>Shop No-1706, Mahalaxmi complex, main bazar Peth road, above union bank, Chiplun -415605</t>
  </si>
  <si>
    <t xml:space="preserve">vaidyasfurniture@gmail.com </t>
  </si>
  <si>
    <t>27ADGPV2694A1ZE</t>
  </si>
  <si>
    <t>ADGPV2694A</t>
  </si>
  <si>
    <t xml:space="preserve">Mr. Shubham Gajanan Vaidya - Proprietor </t>
  </si>
  <si>
    <t xml:space="preserve">vaidyasshubh@gmail.com </t>
  </si>
  <si>
    <t>Solo Properitership</t>
  </si>
  <si>
    <t>RETAILER</t>
  </si>
  <si>
    <t>ALL TYPE OF FURNITURE AND INTERIOR WORK</t>
  </si>
  <si>
    <t>Bank Name: HDFC BANK
Bank Adress: Manohar arcade, Chiplun 415605
Beneficiary Name: VAIDYA FURNITURE
Bank Account No.: 50200024076682
Bank IFSC code: HDFC0002177</t>
  </si>
  <si>
    <t>Chiplun</t>
  </si>
  <si>
    <t>TM INFRAPROJECTS</t>
  </si>
  <si>
    <t>At/po narayangoan tal- junnar,dist- pune 410511</t>
  </si>
  <si>
    <t>tushar08.makar@gmail.com</t>
  </si>
  <si>
    <t>Tushar Ashok Makar</t>
  </si>
  <si>
    <t>Option 1</t>
  </si>
  <si>
    <t>Partnership</t>
  </si>
  <si>
    <t>Consultant</t>
  </si>
  <si>
    <t>Structural Designes and site visits</t>
  </si>
  <si>
    <t>Hdfc</t>
  </si>
  <si>
    <t>Pune</t>
  </si>
  <si>
    <t>saidattaply and hardware</t>
  </si>
  <si>
    <t>Shop now,sara residency, near kirti elegant society, mhalunge ,pune 45</t>
  </si>
  <si>
    <t>+919921122333</t>
  </si>
  <si>
    <t>saidattaply@gmail.com</t>
  </si>
  <si>
    <t>27AAHHG1930J1ZB</t>
  </si>
  <si>
    <t>AAHHG1930J</t>
  </si>
  <si>
    <t>Ganesh chandrakant kate</t>
  </si>
  <si>
    <t>kateganesh333@gmail.com</t>
  </si>
  <si>
    <t>Option 2</t>
  </si>
  <si>
    <t>All material related furniture i.e.plywood, laminte,veneer, hardwood,decorative pannel,exterior facad,verious types of woods,etc.</t>
  </si>
  <si>
    <t>Saideep marketing
Current ac no 119904180000210
Ifs code SVCB0000119
Branch satara sadar bazar</t>
  </si>
  <si>
    <t xml:space="preserve">Shree Krushna Electricals </t>
  </si>
  <si>
    <t>49/3/2, Shramik Nagar, Dhanori, Vidya Nagar, Pune - 411015</t>
  </si>
  <si>
    <t xml:space="preserve">Not available </t>
  </si>
  <si>
    <t>sachinsalvi8487@gmail.com</t>
  </si>
  <si>
    <t>DENPS2506M</t>
  </si>
  <si>
    <t>Sachin Krushna Salvi</t>
  </si>
  <si>
    <t>Professional services</t>
  </si>
  <si>
    <t xml:space="preserve">All types of electrical and maintenance work </t>
  </si>
  <si>
    <t>ICICI Bank
056601511109</t>
  </si>
  <si>
    <t xml:space="preserve">Aarya enterprises </t>
  </si>
  <si>
    <t>Pethmap chiplun near old marathi school</t>
  </si>
  <si>
    <t>aaryaenterprises1022@gmail.com</t>
  </si>
  <si>
    <t>27EBPPP3727P1ZO</t>
  </si>
  <si>
    <t>EBPPP3727P</t>
  </si>
  <si>
    <t xml:space="preserve">Civil construction and building material supplier’s </t>
  </si>
  <si>
    <t>Sohampathare33@gmail.com</t>
  </si>
  <si>
    <t>Construction contractor</t>
  </si>
  <si>
    <t xml:space="preserve">All type of civil materials and labour supply with qualified engineers and supervisors </t>
  </si>
  <si>
    <t>Union bank of india
Chiplun
Soham sachin pathare
377202010997270</t>
  </si>
  <si>
    <t>S S ELECTRONICS</t>
  </si>
  <si>
    <t>RAJIV GANDHI NAGAR UPPER BIBVEWADI PUNE 411037</t>
  </si>
  <si>
    <t>sselectronicspune2020@gmail.com</t>
  </si>
  <si>
    <t>27AEDFS9963H1ZF</t>
  </si>
  <si>
    <t>AEDFS9963H</t>
  </si>
  <si>
    <t>SANDESH MAHADIK</t>
  </si>
  <si>
    <t>mahadik.sandesh777@gmail.com</t>
  </si>
  <si>
    <t>HDFC BANK
S NO-571/CRYSTAL ROOM NEAR SURYAPRABHA GARDEN KENJALE NAGAR BIBVEWADI PUNE 411037
S S ELECTRONICS
AC NO-50200050185962</t>
  </si>
  <si>
    <t xml:space="preserve">Global Pest Solutions </t>
  </si>
  <si>
    <t>1002, Kasba Peth , Kumbharwada , Pune 411011</t>
  </si>
  <si>
    <t>02027277755</t>
  </si>
  <si>
    <t>gaurav@globalpests.com</t>
  </si>
  <si>
    <t>www.globalpests.com</t>
  </si>
  <si>
    <t>27DOFPS1832L1ZJ</t>
  </si>
  <si>
    <t>DOFPS1832L</t>
  </si>
  <si>
    <t xml:space="preserve">Gaurav Somwanshi </t>
  </si>
  <si>
    <t>Gaurav@globalpests.com</t>
  </si>
  <si>
    <t>Option 3</t>
  </si>
  <si>
    <t xml:space="preserve">PEST CONTROL SERVICES </t>
  </si>
  <si>
    <t>Bank Of Maharashtra
BOM00000322
AC NO - 60304212459</t>
  </si>
  <si>
    <t>Mangesh ukirde</t>
  </si>
  <si>
    <t>Dhairi raikad mala</t>
  </si>
  <si>
    <t>mangeshukirde@gmail.com</t>
  </si>
  <si>
    <t>Interior work</t>
  </si>
  <si>
    <t>Aalekhya Associates</t>
  </si>
  <si>
    <t>Zelhi Niwas Shrikrushna nagar Akurdi Pune 411035</t>
  </si>
  <si>
    <t>+91 7057061118</t>
  </si>
  <si>
    <t>info.aalekhyaassociates@gmail.com</t>
  </si>
  <si>
    <t>27FGUPP6661R1ZX</t>
  </si>
  <si>
    <t>FGUPP6661R</t>
  </si>
  <si>
    <t xml:space="preserve">Service Provider </t>
  </si>
  <si>
    <t>ar.patilmayur@gmail.com</t>
  </si>
  <si>
    <t>Carpentry Work ,Plumbing, Civil work,all types of Interior Work</t>
  </si>
  <si>
    <t xml:space="preserve">Union Bank </t>
  </si>
  <si>
    <t>Sunlight</t>
  </si>
  <si>
    <t>Jai Ganesh vision akurdi Pune 35</t>
  </si>
  <si>
    <t xml:space="preserve">Sunlight - electrical work </t>
  </si>
  <si>
    <t>prashant@sunlightelectrcials.net</t>
  </si>
  <si>
    <t>Corporation</t>
  </si>
  <si>
    <t xml:space="preserve">Electrical work </t>
  </si>
  <si>
    <t>Chaya Enterprises</t>
  </si>
  <si>
    <t>D/248 shukrawar peth near akra maruti chowk behind archana hotel pune 411002</t>
  </si>
  <si>
    <t>9822213117/9579293816</t>
  </si>
  <si>
    <t>-</t>
  </si>
  <si>
    <t>janardhan.chaya@gmail.com</t>
  </si>
  <si>
    <t>27AJFPG6338R1ZL</t>
  </si>
  <si>
    <t>AJFPG6338R</t>
  </si>
  <si>
    <t>Janardhan Gavande Director of (Chaya Enterprises-total solution in signage)</t>
  </si>
  <si>
    <t>Manufacturer</t>
  </si>
  <si>
    <t>Manufacturing of Signages</t>
  </si>
  <si>
    <t>ICICI bank, Aundh branch,Chaya Enterprises,007305004545</t>
  </si>
  <si>
    <t>Avinash electrician</t>
  </si>
  <si>
    <t>At post muradpur, kumbharwadi, chiplun 415605</t>
  </si>
  <si>
    <t>Avinash salvi</t>
  </si>
  <si>
    <t>All type of electrician work</t>
  </si>
  <si>
    <t>Avinash Ashok Salvi 
A/C=141110110002885
IFSC No=BKID0001411</t>
  </si>
  <si>
    <t>Shantanu refrigeration</t>
  </si>
  <si>
    <t>Sno 26, hingane khurd, sinhagad road pune 411051</t>
  </si>
  <si>
    <t>avinashpanchal1668@gmail.com</t>
  </si>
  <si>
    <t>27AKVPP9626L1Z1</t>
  </si>
  <si>
    <t>AKVPP9626L</t>
  </si>
  <si>
    <t>Avinash panchal</t>
  </si>
  <si>
    <t>A. C &amp; refrigeration</t>
  </si>
  <si>
    <t>Bank of baroda</t>
  </si>
  <si>
    <t>Purva kitchen</t>
  </si>
  <si>
    <t>At post pag Naka, near sukai devi temple, chiplun 415605</t>
  </si>
  <si>
    <t>+91 99706 23895</t>
  </si>
  <si>
    <t>Gajanan bondkar</t>
  </si>
  <si>
    <t>Electrician work, plumbing work, fabrication work</t>
  </si>
  <si>
    <t>ABS INOVO</t>
  </si>
  <si>
    <t>At post 101, Vashishti Darshan, peth map</t>
  </si>
  <si>
    <t>08149305044</t>
  </si>
  <si>
    <t>basitsarnaik@gmail.com</t>
  </si>
  <si>
    <t>LJRPS3259J</t>
  </si>
  <si>
    <t xml:space="preserve">AbdulBasit Rauf Sarnaik </t>
  </si>
  <si>
    <t>absinovo@gmail.com</t>
  </si>
  <si>
    <t xml:space="preserve">Architectural and Structural engineering Services </t>
  </si>
  <si>
    <t>Canara Bank, chiplun</t>
  </si>
  <si>
    <t>CHiplun</t>
  </si>
  <si>
    <t>Hitesh glass work</t>
  </si>
  <si>
    <t>Kavlitali, near bahadurshekh Naka chiplun 415605</t>
  </si>
  <si>
    <t>+9190755 45519</t>
  </si>
  <si>
    <t>Hitesh jadhav</t>
  </si>
  <si>
    <t xml:space="preserve">All types of glass work, fabrication work &amp; ACP paneling </t>
  </si>
  <si>
    <t>Bank Name- kotak bank 
AC. NO. - 1212534901
IFSC Code- KKBK0001987</t>
  </si>
  <si>
    <t xml:space="preserve">Prashant Photos </t>
  </si>
  <si>
    <t>Kumbharwadi, muradpur, chiplun 415605</t>
  </si>
  <si>
    <t>90966 66923</t>
  </si>
  <si>
    <t>Printing work</t>
  </si>
  <si>
    <t>Snehankit Supplier</t>
  </si>
  <si>
    <t>At. Post- margatamhane 415702, Tal.-Guhagar, District _- Ratnagiri</t>
  </si>
  <si>
    <t>+91 83799 01314</t>
  </si>
  <si>
    <t>Shashikant belvalkar</t>
  </si>
  <si>
    <t xml:space="preserve">All type of construction material supplier </t>
  </si>
  <si>
    <t>Suyog Santosh belavalkar 
AC number 60246198265 
MAHB 0000511</t>
  </si>
  <si>
    <t>Ratnagiri</t>
  </si>
  <si>
    <t>Sadhicha cushioning work</t>
  </si>
  <si>
    <t>Main bazarpeth chiplun, dist. Ratnagiri 415605</t>
  </si>
  <si>
    <t>+91 98609 79063</t>
  </si>
  <si>
    <t>Manik Shinde</t>
  </si>
  <si>
    <t>All type of carpet and curtain work</t>
  </si>
  <si>
    <t>Ac. NO. - 11285633606
IFSC CODE-  SBIN0000350
Name - Manik Shinde</t>
  </si>
  <si>
    <t>Nagpur</t>
  </si>
  <si>
    <t>Affan Plumbing Work</t>
  </si>
  <si>
    <t>At post muradpur, Mapari mahalla, chiplun 415605</t>
  </si>
  <si>
    <t>+91 78757 20016</t>
  </si>
  <si>
    <t>Affan bagkar</t>
  </si>
  <si>
    <t>All type of plumbing work</t>
  </si>
  <si>
    <t xml:space="preserve">Ganesh Katedeshmukh </t>
  </si>
  <si>
    <t>Carpaintery material</t>
  </si>
  <si>
    <t>Woodpecker furnitures</t>
  </si>
  <si>
    <t xml:space="preserve">Tejas chikne </t>
  </si>
  <si>
    <t>Franchise</t>
  </si>
  <si>
    <t>All furniture</t>
  </si>
  <si>
    <t xml:space="preserve">Dinesh Electrician </t>
  </si>
  <si>
    <t>Dinesh</t>
  </si>
  <si>
    <t xml:space="preserve">Sai Krupa Electrician </t>
  </si>
  <si>
    <t>PURUSHOTTAM RAMGARE</t>
  </si>
  <si>
    <t>ALL TYPES OF ELECTRICAL AND MAITAINANCE WORKS</t>
  </si>
  <si>
    <t>HOLDER NAME :- PURUSHOTTAM RAMAGRE NAME:- PURUSHOTTAM RAMAGARE
ACCOUNT NO :- 129203100004855
IFSC CODE :- SRCB0000129 (SARASWAT BANK CHIPLUN)</t>
  </si>
  <si>
    <t xml:space="preserve">Royal Technology </t>
  </si>
  <si>
    <t>Bappu waghmare</t>
  </si>
  <si>
    <t>Mumbai</t>
  </si>
  <si>
    <t>Nikita traders</t>
  </si>
  <si>
    <t xml:space="preserve">At. Post- Deoghar, guhagar, District- Ratnagiri </t>
  </si>
  <si>
    <t xml:space="preserve">All type of construction  material  supplier </t>
  </si>
  <si>
    <t>Ratnagir</t>
  </si>
  <si>
    <t xml:space="preserve">Pravin S. Kadam </t>
  </si>
  <si>
    <t>City point, flat no. 04, markandi, chiplun  415605</t>
  </si>
  <si>
    <t>+91 98229 87467</t>
  </si>
  <si>
    <t>Pravin kadam</t>
  </si>
  <si>
    <t>All type of gardening work</t>
  </si>
  <si>
    <t>SHAIMUKHTIYAR HUSENSAB MAKANDAR</t>
  </si>
  <si>
    <t>At post vaduj</t>
  </si>
  <si>
    <t>+91 95619 20047</t>
  </si>
  <si>
    <t>Complete  construction work</t>
  </si>
  <si>
    <t>Satara</t>
  </si>
  <si>
    <t>Bare electrician</t>
  </si>
  <si>
    <t xml:space="preserve">Main bazarpeth, tali, guhagar </t>
  </si>
  <si>
    <t>Poonam trading co.</t>
  </si>
  <si>
    <t>Plot no. 270/2,, bhavani peth near sonawane hospital, Pune 411002</t>
  </si>
  <si>
    <t>02026454923</t>
  </si>
  <si>
    <t xml:space="preserve">Hardware, plywood &amp; building material suppliers </t>
  </si>
  <si>
    <t xml:space="preserve">Hardware and plywood </t>
  </si>
  <si>
    <t>Kismat laminates</t>
  </si>
  <si>
    <t>123 timber market, bhavani peth, Pune 411042</t>
  </si>
  <si>
    <t>020 26442500</t>
  </si>
  <si>
    <t>laminates @yahoo.com</t>
  </si>
  <si>
    <t>27AAJCT0945R1ZL</t>
  </si>
  <si>
    <t xml:space="preserve">Plywood </t>
  </si>
  <si>
    <t xml:space="preserve">Plywood, laminate </t>
  </si>
  <si>
    <t>Shiv electricals</t>
  </si>
  <si>
    <t>Loni satation ambika mata road near Kulkarni hospital road haveli Pune 412201</t>
  </si>
  <si>
    <t>shivac4111@gmail.com</t>
  </si>
  <si>
    <t>Electrical work</t>
  </si>
  <si>
    <t xml:space="preserve">Electrical supplies </t>
  </si>
  <si>
    <t xml:space="preserve">Rainbow furnishings </t>
  </si>
  <si>
    <t>1/1 Lalwani estate Pune Satara road, near adinath society Pune 37</t>
  </si>
  <si>
    <t>agarwalritesh77@gmail.com</t>
  </si>
  <si>
    <t>27AAEFRO642K1Z6</t>
  </si>
  <si>
    <t>Vinyl</t>
  </si>
  <si>
    <t>shree media</t>
  </si>
  <si>
    <t>Vireshwar colony ,chiplun</t>
  </si>
  <si>
    <t>media9099@gmail.com</t>
  </si>
  <si>
    <t>27ENRPS8573J3ZQ</t>
  </si>
  <si>
    <t>ENRPS8573J</t>
  </si>
  <si>
    <t>Rahul</t>
  </si>
  <si>
    <t>Balaji Aluminium And Glass</t>
  </si>
  <si>
    <t>Khatpe Complex, shop no. 5, opp Vandevi Mandir, Karvenagar, Pune- 411052</t>
  </si>
  <si>
    <t>balajialuminumandglass@gmail.com</t>
  </si>
  <si>
    <t>27AKEPK5628G1Z4</t>
  </si>
  <si>
    <t>AKEPK5628G</t>
  </si>
  <si>
    <t>Jitendra P Khatavkar</t>
  </si>
  <si>
    <t>All types of glasses and mirrors, aluminium windows, door partitions, structure, steel window fabrication, garware films</t>
  </si>
  <si>
    <t>BOM, Karvenagar, Balaji Aluminium and glass, 60168256091</t>
  </si>
  <si>
    <t>mahesh2867@rediffmail.com</t>
  </si>
  <si>
    <t xml:space="preserve">Painting work </t>
  </si>
  <si>
    <t>N.S. CONSTRUCTION</t>
  </si>
  <si>
    <t>SOMALWADA NAGPUR</t>
  </si>
  <si>
    <t>nsconstruction225@gmail.com</t>
  </si>
  <si>
    <t>ECAPK8880C</t>
  </si>
  <si>
    <t>BUILDING CONSTRUCTION &amp; BUILDING SOLUTIONS</t>
  </si>
  <si>
    <t>aditya.kachore2.ak@gmail.com</t>
  </si>
  <si>
    <t xml:space="preserve">Vendor Availability, material supply vendors, consultant &amp; management. </t>
  </si>
  <si>
    <t>BANK NAME :- INDIAN BANK 
ADDRESS:- MANISH NAGAR  BARNCH
BENEIFICIARY NAME:- N S CONSRUCTION
ACCOUNT NUMBER:- 7296814750</t>
  </si>
  <si>
    <t xml:space="preserve">ABDUL GAFFAR KHAN </t>
  </si>
  <si>
    <t xml:space="preserve">NAGPUR </t>
  </si>
  <si>
    <t>GAFFAR KAHN</t>
  </si>
  <si>
    <t xml:space="preserve">PLASTER OF PARIS AND GYPSUM WORK EXPERT </t>
  </si>
  <si>
    <t>BANK NAME :- STATE BANK OF INDIA 
ADDRESS:- KINGSWAY S.V. PATEL MARG,NAGPUR 440001
BENEFICIARY NAME :- ABDUL GAFFAR ABDUL RAUF KHAN 
A/C NUMBER:- 11172415485</t>
  </si>
  <si>
    <t xml:space="preserve">UJWALA PLYWOOD </t>
  </si>
  <si>
    <t>Plot No.55, Agney Layout, Sahakar Nagar, Nagpur, Maharashtra - 440022</t>
  </si>
  <si>
    <t>kadesatyajit@gmail.com</t>
  </si>
  <si>
    <t>27IVFPK3107J1ZG</t>
  </si>
  <si>
    <t>IVFPK3107J</t>
  </si>
  <si>
    <t>Mr. SATYAJIT KADE</t>
  </si>
  <si>
    <t>kadesatyajit@yahoo.com</t>
  </si>
  <si>
    <t>All plywood materials and hardware</t>
  </si>
  <si>
    <t>The Yavatmal Urban Co-op. Bank Ltd. Yavatmal, Dev Nagar, Khamla Road, Nagpur, Account number - 22021001742, IFSC Code - IBKL0041Y23</t>
  </si>
  <si>
    <t>Yavatmal</t>
  </si>
  <si>
    <t>City furniture</t>
  </si>
  <si>
    <t>Dangat Estat ,Morya Height Building,Near Mumbai Banglore Highway,near Hotel Swarna Warje,Pune-411058</t>
  </si>
  <si>
    <t>Wahid khan</t>
  </si>
  <si>
    <t>Venus Lights</t>
  </si>
  <si>
    <t>Shop No 32,mangaldas Road,Devkaran Mansion ,princess  STREET Lohar chawl Mumbai</t>
  </si>
  <si>
    <t>lights_j@hotmail.com</t>
  </si>
  <si>
    <t>Venuslights@hotmail.com</t>
  </si>
  <si>
    <t>Nilesh Thore</t>
  </si>
  <si>
    <t xml:space="preserve">AMS PROJECT CONSULTANT PRIVATE LIMITED </t>
  </si>
  <si>
    <t xml:space="preserve">Pune maharashtra </t>
  </si>
  <si>
    <t>pune@amsindia.co.in</t>
  </si>
  <si>
    <t>27AAHCA0292L1ZI</t>
  </si>
  <si>
    <t xml:space="preserve">All interior and construction services </t>
  </si>
  <si>
    <t>Kachore electrical &amp; zoomber</t>
  </si>
  <si>
    <t>27AGWPK9473H1Z1</t>
  </si>
  <si>
    <t xml:space="preserve">Electrical services </t>
  </si>
  <si>
    <t xml:space="preserve">Neel tradelink </t>
  </si>
  <si>
    <t xml:space="preserve">Nagpur </t>
  </si>
  <si>
    <t>snsvee1971@gmail.com</t>
  </si>
  <si>
    <t>27AWFPSS709R2ZL</t>
  </si>
  <si>
    <t>Material and labour supplier</t>
  </si>
  <si>
    <t xml:space="preserve">Mahavir enterprises </t>
  </si>
  <si>
    <t>Shivajinagar, pune</t>
  </si>
  <si>
    <t>cement@mahavirenterprises.net</t>
  </si>
  <si>
    <t>www.mahavirenterprises.net</t>
  </si>
  <si>
    <t>Cement, ceramics &amp; sanitary wares</t>
  </si>
  <si>
    <t>Sangli</t>
  </si>
  <si>
    <t>amolgiri0555@gmail.com</t>
  </si>
  <si>
    <t>Kadegaon</t>
  </si>
  <si>
    <t xml:space="preserve">Nineleaves_theplantstore </t>
  </si>
  <si>
    <t xml:space="preserve">In premises of New Era bakery balewadi </t>
  </si>
  <si>
    <t xml:space="preserve">87675 16428 </t>
  </si>
  <si>
    <t>nineleaves.tps@gmail.com</t>
  </si>
  <si>
    <t xml:space="preserve">27ANSPN8157E1ZF </t>
  </si>
  <si>
    <t xml:space="preserve">ANSPN8157E </t>
  </si>
  <si>
    <t xml:space="preserve">Mrs.Neha Akshay Dabhade </t>
  </si>
  <si>
    <t xml:space="preserve">Cosmos bank </t>
  </si>
  <si>
    <t xml:space="preserve">NAVNEET CONSTRUCTION </t>
  </si>
  <si>
    <t>125 Misal layout, Jaripatka Nagpur</t>
  </si>
  <si>
    <t>+919881610615</t>
  </si>
  <si>
    <t>navneetkjbf@gmail.com</t>
  </si>
  <si>
    <t>ABRPU8572F</t>
  </si>
  <si>
    <t xml:space="preserve">Navneet Upadhye </t>
  </si>
  <si>
    <t xml:space="preserve">Building Construction </t>
  </si>
  <si>
    <t xml:space="preserve">HDFC Bank, Navneet Upadhye </t>
  </si>
  <si>
    <t>Asaivansh solution</t>
  </si>
  <si>
    <t>301, Galaxy tower, Opp. Ghodbandar road, wagbill road, Thane 400607</t>
  </si>
  <si>
    <t>asaivansh@gmail.com</t>
  </si>
  <si>
    <t>Rohan mengle</t>
  </si>
  <si>
    <t>Rohan.mengle@asaivansh.com</t>
  </si>
  <si>
    <t xml:space="preserve">Interior design and consulting </t>
  </si>
  <si>
    <t>Dadakrupa glass solutions</t>
  </si>
  <si>
    <t>Plot no. 11, Near Subhash nagar metro station hingna road, nag.16</t>
  </si>
  <si>
    <t>dadakrupaglass@gmail.com</t>
  </si>
  <si>
    <t xml:space="preserve">Glass supplier </t>
  </si>
  <si>
    <t>S M Electricals</t>
  </si>
  <si>
    <t>Jay malhar nivas shivneri nagar, Lane-22 kondhwa, pune- 48</t>
  </si>
  <si>
    <t>smelctricals@gmail.com</t>
  </si>
  <si>
    <t xml:space="preserve">All electrical material </t>
  </si>
  <si>
    <t>Finewood concepts pvt ltd</t>
  </si>
  <si>
    <t>MIDC industrial area, Hingama nagar 440016</t>
  </si>
  <si>
    <t>sales@finewood.in</t>
  </si>
  <si>
    <t>www.finewood.in</t>
  </si>
  <si>
    <t xml:space="preserve">Readymade furniture </t>
  </si>
  <si>
    <t xml:space="preserve">Vivek refrigeration </t>
  </si>
  <si>
    <t>Behind Arya samaj mandir, near lodhipura, central Avenue, nagpur-44018</t>
  </si>
  <si>
    <t>Vhsjsks</t>
  </si>
  <si>
    <t xml:space="preserve">Electronic purchase </t>
  </si>
  <si>
    <t>Thakrani timbers</t>
  </si>
  <si>
    <t>At.post - nagpur</t>
  </si>
  <si>
    <t>SG hmm dh</t>
  </si>
  <si>
    <t>27ADPPP0862P1ZQ</t>
  </si>
  <si>
    <t xml:space="preserve">Plywood and hardware supply </t>
  </si>
  <si>
    <t>Rudra traders</t>
  </si>
  <si>
    <t xml:space="preserve">Rulkar road, Mahal , nagpur </t>
  </si>
  <si>
    <t>rudra.amirish@gmail.com</t>
  </si>
  <si>
    <t xml:space="preserve">CABLE AND CABLE </t>
  </si>
  <si>
    <t>Electronic market, telipura sitabuldi, nagpur-12</t>
  </si>
  <si>
    <t>sales@cablencable.com</t>
  </si>
  <si>
    <t>Fiber &amp; copper networking products CCTV cameras &amp; surveillance productas</t>
  </si>
  <si>
    <t xml:space="preserve">Wahid trading corporation </t>
  </si>
  <si>
    <t>Mirza lane , khadan, behind agrasen square central Avenue, nagpur 440018</t>
  </si>
  <si>
    <t>0712-6603756</t>
  </si>
  <si>
    <t>sales@wahidpipes.com</t>
  </si>
  <si>
    <t>Electrical material, cable,wire</t>
  </si>
  <si>
    <t xml:space="preserve">Stone campus </t>
  </si>
  <si>
    <t>Raja Ram nagar, chinch bhawan, wardha road nagpur - 441108</t>
  </si>
  <si>
    <t>Hi dujd</t>
  </si>
  <si>
    <t xml:space="preserve">Granite material </t>
  </si>
  <si>
    <t>Mahajan traders</t>
  </si>
  <si>
    <t xml:space="preserve">Aadiwasi society beltarodi road, Manish nagar nagpur </t>
  </si>
  <si>
    <t>MahajanTraders.nagpur@gmail.com</t>
  </si>
  <si>
    <t xml:space="preserve">Plumbing materials </t>
  </si>
  <si>
    <t>Sunlight electrical &amp; engineering pvt ltd</t>
  </si>
  <si>
    <t>Jaiganesh vision , Akurdi</t>
  </si>
  <si>
    <t>All electrical work</t>
  </si>
  <si>
    <t xml:space="preserve">Sai systems </t>
  </si>
  <si>
    <t>Baner park, DP road, Aundh, pune 411007</t>
  </si>
  <si>
    <t xml:space="preserve">Fire alarm, access control, PA system, sparkler modified </t>
  </si>
  <si>
    <t xml:space="preserve">Matrix architectural solutions </t>
  </si>
  <si>
    <t>Veer savarkar road, Godrej hill side colony, Vikhroli (W), Mumbai 400079</t>
  </si>
  <si>
    <t>022 62558585</t>
  </si>
  <si>
    <t xml:space="preserve">Glass door, fitting </t>
  </si>
  <si>
    <t xml:space="preserve">Konarc air-conditioning solutions </t>
  </si>
  <si>
    <t>Sheetal datta apartment, Deep banglor chowk, shivaji nagar, model colony Pune - 411016</t>
  </si>
  <si>
    <t xml:space="preserve">HVAC CONTRACTOR </t>
  </si>
  <si>
    <t xml:space="preserve">Sankesh Shinde Paint </t>
  </si>
  <si>
    <t xml:space="preserve">At Post Chelli pura AURANGABAD </t>
  </si>
  <si>
    <t xml:space="preserve">Shinde Paint </t>
  </si>
  <si>
    <t xml:space="preserve">All painting services
</t>
  </si>
  <si>
    <t>Trimurti Constructions</t>
  </si>
  <si>
    <t>santoshlokhande4147@gmail.com</t>
  </si>
  <si>
    <t>Santosh Lokhande</t>
  </si>
  <si>
    <t>Infrasructure all services</t>
  </si>
  <si>
    <t>Dhanraj Construction</t>
  </si>
  <si>
    <t>Nashik</t>
  </si>
  <si>
    <t>patildhananjay727@gmail.com</t>
  </si>
  <si>
    <t>Dhananjay sudhakar patil</t>
  </si>
  <si>
    <t>Construction &amp; land selling</t>
  </si>
  <si>
    <t>Shree Enterprises</t>
  </si>
  <si>
    <t>smehul93@gmail.com</t>
  </si>
  <si>
    <t>Deepak Wagh</t>
  </si>
  <si>
    <t>Civil work</t>
  </si>
  <si>
    <t>Vaishnavi Enterprises</t>
  </si>
  <si>
    <t>pramodballal71@gmail.com</t>
  </si>
  <si>
    <t>Pramod Ballal</t>
  </si>
  <si>
    <t>Painting , Carpenter and Civil work</t>
  </si>
  <si>
    <t>Studio environ</t>
  </si>
  <si>
    <t>Navi Mumbai</t>
  </si>
  <si>
    <t>adityaapatil07@gmail.com</t>
  </si>
  <si>
    <t>Aaditya patil</t>
  </si>
  <si>
    <t>architecture firms</t>
  </si>
  <si>
    <t>Sparsha enterprises</t>
  </si>
  <si>
    <t>anupamachanne@gmail.com</t>
  </si>
  <si>
    <t>Anupama channe</t>
  </si>
  <si>
    <t>ASA TRADING COMPANY</t>
  </si>
  <si>
    <t>Sindhudurg &amp; Goa</t>
  </si>
  <si>
    <t>shailesh.acharya351@gmail.com</t>
  </si>
  <si>
    <t>Shailesh Uday Acharya</t>
  </si>
  <si>
    <t>Aggregate Trading</t>
  </si>
  <si>
    <t>Shree shemkari infra</t>
  </si>
  <si>
    <t>Mangaon</t>
  </si>
  <si>
    <t>arjunsolanki2010@hotmail.com</t>
  </si>
  <si>
    <t>Arjun solanki</t>
  </si>
  <si>
    <t>Infrastructure supply</t>
  </si>
  <si>
    <t>Tinfra asia pvt ltd</t>
  </si>
  <si>
    <t>All india pan</t>
  </si>
  <si>
    <t>tinfraasiapvtltd@gmail.com</t>
  </si>
  <si>
    <t>Infrastructure</t>
  </si>
  <si>
    <t>Vighnesh Ramling gaikwad</t>
  </si>
  <si>
    <t>vighneshgaikwad7385@gmail.com</t>
  </si>
  <si>
    <t>Vighnesh gaikwad</t>
  </si>
  <si>
    <t>Vastu Shastra</t>
  </si>
  <si>
    <t>snehalkadu2021@yahoo.com</t>
  </si>
  <si>
    <t>Souravi Shinde</t>
  </si>
  <si>
    <t>Vastu Shastra Consultancy</t>
  </si>
  <si>
    <t>Saish Home decore (pop &amp; pvc )</t>
  </si>
  <si>
    <t>A/p ner. ,tel- khatav ,dist - satara</t>
  </si>
  <si>
    <t>saish5121@gmail.com</t>
  </si>
  <si>
    <t>saish sanjay chavan</t>
  </si>
  <si>
    <t>Interior &amp; infrastructure</t>
  </si>
  <si>
    <t>PARIJAT CONSTRUCTION</t>
  </si>
  <si>
    <t>Islampur</t>
  </si>
  <si>
    <t>sagar.pisal1044@gmail.com</t>
  </si>
  <si>
    <t>SAGAR PISAL</t>
  </si>
  <si>
    <t>Infra services</t>
  </si>
  <si>
    <t>SWARAJYA CONSTRUCTION ARAG ( SANGLI)</t>
  </si>
  <si>
    <t>ARAG (SANGLI)</t>
  </si>
  <si>
    <t>milindpawar9654@gmail.com</t>
  </si>
  <si>
    <t>MILIND SHANKAR PAWAR</t>
  </si>
  <si>
    <t>MEDIUM</t>
  </si>
  <si>
    <t>Building contractor</t>
  </si>
  <si>
    <t>Construction side and business</t>
  </si>
  <si>
    <t>atulsuyawanshi@gmail.com</t>
  </si>
  <si>
    <t>Rahul suryawanshi</t>
  </si>
  <si>
    <t>Construction side</t>
  </si>
  <si>
    <t>neelam india infra pvt ltd</t>
  </si>
  <si>
    <t>Amravati</t>
  </si>
  <si>
    <t>neelamindiainfrapvtltd@gmail.com</t>
  </si>
  <si>
    <t>Vikas ambalkar</t>
  </si>
  <si>
    <t>Construction</t>
  </si>
  <si>
    <t>Royal electricals Ralegaon</t>
  </si>
  <si>
    <t>Ralegaon Dist: Yavatmal</t>
  </si>
  <si>
    <t>cvairagade13@gmail.com</t>
  </si>
  <si>
    <t>Chetan Vairagade</t>
  </si>
  <si>
    <t>Existing business electrical all equipment</t>
  </si>
  <si>
    <t>Shree Vishwakarma construction</t>
  </si>
  <si>
    <t>Ralegaon Yavatmal</t>
  </si>
  <si>
    <t>123akashraut@gmail.com</t>
  </si>
  <si>
    <t>Akash Raut</t>
  </si>
  <si>
    <t>Shree Vishwakarma construction &amp; JCB</t>
  </si>
  <si>
    <t>Kesharwani Civil Works</t>
  </si>
  <si>
    <t>Yavatmal District</t>
  </si>
  <si>
    <t>kesharwanishubham291@gmail.com</t>
  </si>
  <si>
    <t>Shubham Vijayprakash Kesharwani</t>
  </si>
  <si>
    <t>Private Firm</t>
  </si>
  <si>
    <t>Rohit enterprises</t>
  </si>
  <si>
    <t>Maharashtra</t>
  </si>
  <si>
    <t>rohitkhandagale5@gmail.com</t>
  </si>
  <si>
    <t>Rohit</t>
  </si>
  <si>
    <t>Isbha Land developers LLP</t>
  </si>
  <si>
    <t>Pune , Panchgani, Wai</t>
  </si>
  <si>
    <t>3g.gaikwad@gmail.com</t>
  </si>
  <si>
    <t>Altaf Shabbir Shaikh</t>
  </si>
  <si>
    <t>Construction, Land developers</t>
  </si>
  <si>
    <t>NAVNEET CONSTRUCTION</t>
  </si>
  <si>
    <t>Nagpur, Wardha</t>
  </si>
  <si>
    <t>Navneet Upadhye</t>
  </si>
  <si>
    <t>Construction, Planning, Building drawings and Design</t>
  </si>
  <si>
    <t>aakruti constructions</t>
  </si>
  <si>
    <t>navi mumbai</t>
  </si>
  <si>
    <t>akshay45200@gmail.com</t>
  </si>
  <si>
    <t>akshay jadhav</t>
  </si>
  <si>
    <t>civil work</t>
  </si>
  <si>
    <t>Aakruti construction</t>
  </si>
  <si>
    <t>Panvel to vashi</t>
  </si>
  <si>
    <t>akshay4520@gmail.com</t>
  </si>
  <si>
    <t>Akshaykumar jadhav</t>
  </si>
  <si>
    <t>Labour Supplier</t>
  </si>
  <si>
    <t>Jejuri/Shirwal</t>
  </si>
  <si>
    <t>vishaldagade1708@gmail.com</t>
  </si>
  <si>
    <t>Vishal Dagade</t>
  </si>
  <si>
    <t>Required Company To Labour Supplying</t>
  </si>
  <si>
    <t>Mauli briquette Udyog</t>
  </si>
  <si>
    <t>Ap.ringane,gangovaadi,Tal.lanja,Dist.Ratnagiri</t>
  </si>
  <si>
    <t>Panchalv245@gmail.com</t>
  </si>
  <si>
    <t>Vishal Vijay panchal</t>
  </si>
  <si>
    <t>Biomass briquette</t>
  </si>
  <si>
    <t>Hey concrete</t>
  </si>
  <si>
    <t>info@heyconcrete.com</t>
  </si>
  <si>
    <t>Raj</t>
  </si>
  <si>
    <t>Building materials</t>
  </si>
  <si>
    <t>AMOL CONSTRUCTION</t>
  </si>
  <si>
    <t>HINGANGAON KHURD</t>
  </si>
  <si>
    <t>AMOL BAJIRAO GOSAVI</t>
  </si>
  <si>
    <t>CIVIL CONSTRUCTION AND DEVELOPERS</t>
  </si>
  <si>
    <t>Design &amp; Bath Studio</t>
  </si>
  <si>
    <t>Khed - Dist Ratnagiri</t>
  </si>
  <si>
    <t>designandbathstudio@gmail.com</t>
  </si>
  <si>
    <t>BHUMIT PATEL</t>
  </si>
  <si>
    <t>Home Décor &amp; interior</t>
  </si>
  <si>
    <t>Design Elements</t>
  </si>
  <si>
    <t>lokhandeshubham9000@gmail.com</t>
  </si>
  <si>
    <t>Shubham Santosh Lokhande</t>
  </si>
  <si>
    <t>Interior Designer</t>
  </si>
  <si>
    <t>RVI DESIGN AND INTERIORS PVT LTD</t>
  </si>
  <si>
    <t>srvkrma@gmail.com</t>
  </si>
  <si>
    <t>Rohit Vishvakarma</t>
  </si>
  <si>
    <t>INTERIORS</t>
  </si>
  <si>
    <t>interior design &amp; cilvil work engineering</t>
  </si>
  <si>
    <t>maheshsutar0094@gmail.com</t>
  </si>
  <si>
    <t>mahesh sutar</t>
  </si>
  <si>
    <t>Om Sai Enterprises</t>
  </si>
  <si>
    <t>Interior Decorator and storage solutions</t>
  </si>
  <si>
    <t>omsaienterprises039@gmail.com</t>
  </si>
  <si>
    <t>Yogesh Mahajan</t>
  </si>
  <si>
    <t>Vinod Enterprises</t>
  </si>
  <si>
    <t>Interior decorator</t>
  </si>
  <si>
    <t>vinodenterprises@gmail.com</t>
  </si>
  <si>
    <t>Vinod Namaye</t>
  </si>
  <si>
    <t>Aamodha Design Studio</t>
  </si>
  <si>
    <t>hjadhav51@gmail.com</t>
  </si>
  <si>
    <t>Harsh Pramod Jadhav</t>
  </si>
  <si>
    <t>Architect</t>
  </si>
  <si>
    <t>Sainath estate agency and interior</t>
  </si>
  <si>
    <t>Estate agency and interior</t>
  </si>
  <si>
    <t>dilipballe@gmail.com</t>
  </si>
  <si>
    <t>Dilip Balle</t>
  </si>
  <si>
    <t>Prathamesh home mart</t>
  </si>
  <si>
    <t>Interior</t>
  </si>
  <si>
    <t>info@phmgroups.com</t>
  </si>
  <si>
    <t>Prathamesh</t>
  </si>
  <si>
    <t>Rajvaibhav interior decorator and fabrication</t>
  </si>
  <si>
    <t>Interior decorator and fabrication</t>
  </si>
  <si>
    <t>Datta pokharkar</t>
  </si>
  <si>
    <t>SN construction</t>
  </si>
  <si>
    <t>nshantanu50@gmail.com</t>
  </si>
  <si>
    <t>Shantanu naik</t>
  </si>
  <si>
    <t>Building and construction 
 Interior design</t>
  </si>
  <si>
    <t>SV creations</t>
  </si>
  <si>
    <t>katraj,Pune</t>
  </si>
  <si>
    <t>swapnil.raikar19@gmail.com</t>
  </si>
  <si>
    <t>Mr. Swapnil Raikar</t>
  </si>
  <si>
    <t>keygenes Security Private Limited</t>
  </si>
  <si>
    <t>keygenes24@gmail.com</t>
  </si>
  <si>
    <t>Mr. Prashant Kolte</t>
  </si>
  <si>
    <t>security services like camera,door bell securities</t>
  </si>
  <si>
    <t>Painting orders,wall painting</t>
  </si>
  <si>
    <t>shiraleshashikant1962@gmail.com</t>
  </si>
  <si>
    <t>Shirale Shashikant Sitaram</t>
  </si>
  <si>
    <t>Paintings,canvas painting, special wall in home /building</t>
  </si>
  <si>
    <t>gayatrisakat2312@gmail.com</t>
  </si>
  <si>
    <t>Gayatri sakat</t>
  </si>
  <si>
    <t>3D interior</t>
  </si>
  <si>
    <t>3dinterior@gmail.com</t>
  </si>
  <si>
    <t>Sonal Kumbhar</t>
  </si>
  <si>
    <t>Interior designing</t>
  </si>
  <si>
    <t>SL17 Intererior design</t>
  </si>
  <si>
    <t>Kolhapur,pune</t>
  </si>
  <si>
    <t>shreedharlokhande.17@gmail.com</t>
  </si>
  <si>
    <t>Shreedhar Lokhande</t>
  </si>
  <si>
    <t>Residencial and commercial Interior design contractor</t>
  </si>
  <si>
    <t>Dream touch interiors</t>
  </si>
  <si>
    <t>prajyotm16@gmail.com</t>
  </si>
  <si>
    <t>Prajyot udaykumar majgaonkar</t>
  </si>
  <si>
    <t>Jain Doors</t>
  </si>
  <si>
    <t>Washim</t>
  </si>
  <si>
    <t>nandanmalve7875115069@gmail.com</t>
  </si>
  <si>
    <t>Deven Bagrecha</t>
  </si>
  <si>
    <t>Each and every type of wooden furnishing materials supplier</t>
  </si>
  <si>
    <t>Nirmiti sofa</t>
  </si>
  <si>
    <t>Ashwin laddha</t>
  </si>
  <si>
    <t>All sofa and cushion handloom</t>
  </si>
  <si>
    <t>Harish Fevicol</t>
  </si>
  <si>
    <t>Chintu</t>
  </si>
  <si>
    <t>Plywood supplier</t>
  </si>
  <si>
    <t>Interior Design &amp; construction work</t>
  </si>
  <si>
    <t>Karanjade</t>
  </si>
  <si>
    <t>sevanandmotghare2015@gmail.com</t>
  </si>
  <si>
    <t>Sevanand Motghare</t>
  </si>
  <si>
    <t>Renovation,3D design</t>
  </si>
  <si>
    <t>VD and associates</t>
  </si>
  <si>
    <t>Thane (Maharashtra)</t>
  </si>
  <si>
    <t>vishal.sonavane@gmail.com</t>
  </si>
  <si>
    <t>Dr. Vishal Sonavane</t>
  </si>
  <si>
    <t>Architect and designing consultant</t>
  </si>
  <si>
    <t>SP Furniture</t>
  </si>
  <si>
    <t>Kudal, Sindhudurg</t>
  </si>
  <si>
    <t>satishpatil1386@gmail.com</t>
  </si>
  <si>
    <t>Satish Namdeo Patil</t>
  </si>
  <si>
    <t>Wooden Furniture</t>
  </si>
  <si>
    <t>Ratangiri</t>
  </si>
  <si>
    <t>PG SALES</t>
  </si>
  <si>
    <t>KHED</t>
  </si>
  <si>
    <t>prathamgilda@gmail.com</t>
  </si>
  <si>
    <t>PRATHAMESH</t>
  </si>
  <si>
    <t>WHOLE &amp; RETAIL TRADING</t>
  </si>
  <si>
    <t>Garage/ welding</t>
  </si>
  <si>
    <t>Marghtamhane</t>
  </si>
  <si>
    <t>prabhakar32chavan@gmail.com</t>
  </si>
  <si>
    <t>Prabhakar Mahadev chavan</t>
  </si>
  <si>
    <t>Fabrication</t>
  </si>
  <si>
    <t>Vijay enterprises</t>
  </si>
  <si>
    <t>Arogya mandir ratnagiri</t>
  </si>
  <si>
    <t>rohishnikam33@gmail.com</t>
  </si>
  <si>
    <t>Rohish vijay nikam</t>
  </si>
  <si>
    <t>Interior meterials</t>
  </si>
  <si>
    <t>Sawali Enterprises</t>
  </si>
  <si>
    <t>Guhagar</t>
  </si>
  <si>
    <t>prathameshpomendkar@gmail.com</t>
  </si>
  <si>
    <t>Prathamesh Krishnakant Pomendkar</t>
  </si>
  <si>
    <t>Welding works</t>
  </si>
  <si>
    <t>Pava technologies Pvt Ltd</t>
  </si>
  <si>
    <t>Kolhapur kaneri</t>
  </si>
  <si>
    <t>avadhutmali21@pava.in</t>
  </si>
  <si>
    <t>Avadhut sudam mali</t>
  </si>
  <si>
    <t>Hotel kitchen equipment &amp; exhaust systems</t>
  </si>
  <si>
    <t>Kolhapur</t>
  </si>
  <si>
    <t>Bhagwati paints and cpatings</t>
  </si>
  <si>
    <t>Mahesh Pandurang Chalke</t>
  </si>
  <si>
    <t>Manufacturing. Of paints</t>
  </si>
  <si>
    <t>P.M.PARDESHI AND ASSOCIATES</t>
  </si>
  <si>
    <t>Interior &amp; Construction services</t>
  </si>
  <si>
    <t>h</t>
  </si>
  <si>
    <t>Name of compony</t>
  </si>
  <si>
    <t>Name &amp; Title of compony representative</t>
  </si>
  <si>
    <t>Details on service or goods your compony supplies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</si>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</sst>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&quot;/&quot;yy&quot;  , &quot;h&quot;:&quot;mm&quot; &quot;AM/PM"/>
  </numFmts>
  <fonts count="10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Calibri"/>
    </font>
    <font>
      <u/>
      <sz val="10"/>
      <color rgb="FF0000FF"/>
      <name val="Arial"/>
    </font>
    <font>
      <sz val="11"/>
      <color rgb="FF000000"/>
      <name val="Calibri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3" fillId="0" borderId="1" xfId="0" quotePrefix="1" applyFont="1" applyBorder="1" applyAlignment="1">
      <alignment horizontal="left"/>
    </xf>
    <xf numFmtId="0" fontId="5" fillId="0" borderId="1" xfId="0" applyFont="1" applyBorder="1"/>
    <xf numFmtId="3" fontId="3" fillId="0" borderId="1" xfId="0" applyNumberFormat="1" applyFont="1" applyBorder="1" applyAlignment="1">
      <alignment horizontal="left"/>
    </xf>
    <xf numFmtId="3" fontId="4" fillId="0" borderId="2" xfId="0" applyNumberFormat="1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8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newood.in/" TargetMode="External"/><Relationship Id="rId2" Type="http://schemas.openxmlformats.org/officeDocument/2006/relationships/hyperlink" Target="http://www.mahavirenterprises.net/" TargetMode="External"/><Relationship Id="rId1" Type="http://schemas.openxmlformats.org/officeDocument/2006/relationships/hyperlink" Target="http://www.globalpes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havirenterprises.net/" TargetMode="External"/><Relationship Id="rId2" Type="http://schemas.openxmlformats.org/officeDocument/2006/relationships/hyperlink" Target="http://www.panchavaticoolcare.com/" TargetMode="External"/><Relationship Id="rId1" Type="http://schemas.openxmlformats.org/officeDocument/2006/relationships/hyperlink" Target="http://www.globalpests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inewood.in/" TargetMode="External"/><Relationship Id="rId1" Type="http://schemas.openxmlformats.org/officeDocument/2006/relationships/hyperlink" Target="http://www.decordef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63"/>
  <sheetViews>
    <sheetView tabSelected="1" workbookViewId="0">
      <pane ySplit="1" topLeftCell="A44" activePane="bottomLeft" state="frozen"/>
      <selection pane="bottomLeft" activeCell="A59" sqref="A59:XFD59"/>
    </sheetView>
  </sheetViews>
  <sheetFormatPr defaultColWidth="12.6640625" defaultRowHeight="15.75" customHeight="1" x14ac:dyDescent="0.25"/>
  <cols>
    <col min="1" max="1" width="31.33203125" customWidth="1"/>
    <col min="2" max="2" width="30.33203125" customWidth="1"/>
    <col min="3" max="4" width="18.88671875" customWidth="1"/>
    <col min="5" max="5" width="32.109375" customWidth="1"/>
    <col min="6" max="8" width="18.88671875" customWidth="1"/>
    <col min="9" max="9" width="30.21875" customWidth="1"/>
    <col min="10" max="13" width="18.88671875" customWidth="1"/>
    <col min="14" max="14" width="29" customWidth="1"/>
    <col min="15" max="15" width="44.6640625" customWidth="1"/>
    <col min="16" max="16" width="39" customWidth="1"/>
    <col min="17" max="22" width="18.88671875" customWidth="1"/>
  </cols>
  <sheetData>
    <row r="1" spans="1:22" ht="46.8" x14ac:dyDescent="0.3">
      <c r="A1" s="1" t="s">
        <v>1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1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1" t="s">
        <v>15</v>
      </c>
      <c r="P1" s="2" t="s">
        <v>16</v>
      </c>
      <c r="Q1" s="3" t="s">
        <v>17</v>
      </c>
      <c r="R1" s="3"/>
      <c r="S1" s="3"/>
      <c r="T1" s="3"/>
      <c r="U1" s="3"/>
      <c r="V1" s="3"/>
    </row>
    <row r="2" spans="1:22" ht="24.75" customHeight="1" x14ac:dyDescent="0.25">
      <c r="A2" s="4" t="s">
        <v>18</v>
      </c>
      <c r="B2" s="5" t="s">
        <v>19</v>
      </c>
      <c r="C2" s="4">
        <v>7219856668</v>
      </c>
      <c r="D2" s="6"/>
      <c r="E2" s="4" t="s">
        <v>20</v>
      </c>
      <c r="F2" s="7"/>
      <c r="G2" s="6" t="s">
        <v>21</v>
      </c>
      <c r="H2" s="6" t="s">
        <v>22</v>
      </c>
      <c r="I2" s="7" t="s">
        <v>23</v>
      </c>
      <c r="J2" s="7" t="s">
        <v>24</v>
      </c>
      <c r="K2" s="8">
        <v>41915</v>
      </c>
      <c r="L2" s="7"/>
      <c r="M2" s="7" t="s">
        <v>25</v>
      </c>
      <c r="N2" s="7" t="s">
        <v>26</v>
      </c>
      <c r="O2" s="7" t="s">
        <v>27</v>
      </c>
      <c r="P2" s="9" t="s">
        <v>28</v>
      </c>
      <c r="Q2" s="10" t="s">
        <v>29</v>
      </c>
      <c r="R2" s="7"/>
      <c r="S2" s="7"/>
      <c r="T2" s="7"/>
      <c r="U2" s="7"/>
      <c r="V2" s="7"/>
    </row>
    <row r="3" spans="1:22" ht="26.4" x14ac:dyDescent="0.25">
      <c r="A3" s="4" t="s">
        <v>30</v>
      </c>
      <c r="B3" s="5" t="s">
        <v>31</v>
      </c>
      <c r="C3" s="4">
        <v>8788146968</v>
      </c>
      <c r="D3" s="6"/>
      <c r="E3" s="4" t="s">
        <v>32</v>
      </c>
      <c r="F3" s="7"/>
      <c r="G3" s="6"/>
      <c r="H3" s="6"/>
      <c r="I3" s="7" t="s">
        <v>33</v>
      </c>
      <c r="J3" s="7" t="s">
        <v>32</v>
      </c>
      <c r="K3" s="8">
        <v>44278</v>
      </c>
      <c r="L3" s="7" t="s">
        <v>34</v>
      </c>
      <c r="M3" s="7" t="s">
        <v>35</v>
      </c>
      <c r="N3" s="7" t="s">
        <v>36</v>
      </c>
      <c r="O3" s="7" t="s">
        <v>37</v>
      </c>
      <c r="P3" s="9" t="s">
        <v>38</v>
      </c>
      <c r="Q3" s="11" t="s">
        <v>39</v>
      </c>
      <c r="R3" s="7"/>
      <c r="S3" s="7"/>
      <c r="T3" s="7"/>
      <c r="U3" s="7"/>
      <c r="V3" s="7"/>
    </row>
    <row r="4" spans="1:22" ht="27.75" customHeight="1" x14ac:dyDescent="0.25">
      <c r="A4" s="4" t="s">
        <v>40</v>
      </c>
      <c r="B4" s="5" t="s">
        <v>41</v>
      </c>
      <c r="C4" s="4" t="s">
        <v>42</v>
      </c>
      <c r="D4" s="6">
        <v>9370222333</v>
      </c>
      <c r="E4" s="4" t="s">
        <v>43</v>
      </c>
      <c r="F4" s="7"/>
      <c r="G4" s="6" t="s">
        <v>44</v>
      </c>
      <c r="H4" s="6" t="s">
        <v>45</v>
      </c>
      <c r="I4" s="7" t="s">
        <v>46</v>
      </c>
      <c r="J4" s="7" t="s">
        <v>47</v>
      </c>
      <c r="K4" s="8">
        <v>42990</v>
      </c>
      <c r="L4" s="7" t="s">
        <v>48</v>
      </c>
      <c r="M4" s="7" t="s">
        <v>25</v>
      </c>
      <c r="N4" s="7" t="s">
        <v>26</v>
      </c>
      <c r="O4" s="7" t="s">
        <v>49</v>
      </c>
      <c r="P4" s="9" t="s">
        <v>50</v>
      </c>
      <c r="Q4" s="11" t="s">
        <v>39</v>
      </c>
      <c r="R4" s="7"/>
      <c r="S4" s="7"/>
      <c r="T4" s="7"/>
      <c r="U4" s="7"/>
      <c r="V4" s="7"/>
    </row>
    <row r="5" spans="1:22" ht="26.4" x14ac:dyDescent="0.25">
      <c r="A5" s="4" t="s">
        <v>51</v>
      </c>
      <c r="B5" s="5" t="s">
        <v>52</v>
      </c>
      <c r="C5" s="4">
        <v>8237313286</v>
      </c>
      <c r="D5" s="6" t="s">
        <v>53</v>
      </c>
      <c r="E5" s="4" t="s">
        <v>54</v>
      </c>
      <c r="F5" s="7"/>
      <c r="G5" s="6"/>
      <c r="H5" s="6" t="s">
        <v>55</v>
      </c>
      <c r="I5" s="7" t="s">
        <v>56</v>
      </c>
      <c r="J5" s="7"/>
      <c r="K5" s="8">
        <v>41129</v>
      </c>
      <c r="L5" s="7"/>
      <c r="M5" s="7" t="s">
        <v>25</v>
      </c>
      <c r="N5" s="7" t="s">
        <v>57</v>
      </c>
      <c r="O5" s="7" t="s">
        <v>58</v>
      </c>
      <c r="P5" s="9" t="s">
        <v>59</v>
      </c>
      <c r="Q5" s="11" t="s">
        <v>39</v>
      </c>
      <c r="R5" s="7"/>
      <c r="S5" s="7"/>
      <c r="T5" s="7"/>
      <c r="U5" s="7"/>
      <c r="V5" s="7"/>
    </row>
    <row r="6" spans="1:22" ht="24.75" customHeight="1" x14ac:dyDescent="0.25">
      <c r="A6" s="4" t="s">
        <v>60</v>
      </c>
      <c r="B6" s="5" t="s">
        <v>61</v>
      </c>
      <c r="C6" s="4">
        <v>7709242493</v>
      </c>
      <c r="D6" s="6"/>
      <c r="E6" s="4" t="s">
        <v>62</v>
      </c>
      <c r="F6" s="7"/>
      <c r="G6" s="6" t="s">
        <v>63</v>
      </c>
      <c r="H6" s="6" t="s">
        <v>64</v>
      </c>
      <c r="I6" s="7" t="s">
        <v>65</v>
      </c>
      <c r="J6" s="7" t="s">
        <v>66</v>
      </c>
      <c r="K6" s="8">
        <v>35483</v>
      </c>
      <c r="L6" s="7" t="s">
        <v>48</v>
      </c>
      <c r="M6" s="7" t="s">
        <v>25</v>
      </c>
      <c r="N6" s="7" t="s">
        <v>67</v>
      </c>
      <c r="O6" s="7" t="s">
        <v>68</v>
      </c>
      <c r="P6" s="9" t="s">
        <v>69</v>
      </c>
      <c r="Q6" s="11" t="s">
        <v>29</v>
      </c>
      <c r="R6" s="7"/>
      <c r="S6" s="7"/>
      <c r="T6" s="7"/>
      <c r="U6" s="7"/>
      <c r="V6" s="7"/>
    </row>
    <row r="7" spans="1:22" ht="28.5" customHeight="1" x14ac:dyDescent="0.25">
      <c r="A7" s="4" t="s">
        <v>70</v>
      </c>
      <c r="B7" s="5" t="s">
        <v>71</v>
      </c>
      <c r="C7" s="4">
        <v>9552442726</v>
      </c>
      <c r="D7" s="6"/>
      <c r="E7" s="4" t="s">
        <v>72</v>
      </c>
      <c r="F7" s="7"/>
      <c r="G7" s="6" t="s">
        <v>73</v>
      </c>
      <c r="H7" s="6" t="s">
        <v>74</v>
      </c>
      <c r="I7" s="7" t="s">
        <v>75</v>
      </c>
      <c r="J7" s="7" t="s">
        <v>76</v>
      </c>
      <c r="K7" s="8">
        <v>44011</v>
      </c>
      <c r="L7" s="7"/>
      <c r="M7" s="7" t="s">
        <v>35</v>
      </c>
      <c r="N7" s="7" t="s">
        <v>26</v>
      </c>
      <c r="O7" s="7"/>
      <c r="P7" s="9" t="s">
        <v>77</v>
      </c>
      <c r="Q7" s="11" t="s">
        <v>39</v>
      </c>
      <c r="R7" s="7"/>
      <c r="S7" s="7"/>
      <c r="T7" s="7"/>
      <c r="U7" s="7"/>
      <c r="V7" s="7"/>
    </row>
    <row r="8" spans="1:22" ht="21.75" customHeight="1" x14ac:dyDescent="0.25">
      <c r="A8" s="4" t="s">
        <v>78</v>
      </c>
      <c r="B8" s="5" t="s">
        <v>79</v>
      </c>
      <c r="C8" s="12" t="s">
        <v>80</v>
      </c>
      <c r="D8" s="6"/>
      <c r="E8" s="4" t="s">
        <v>81</v>
      </c>
      <c r="F8" s="13" t="s">
        <v>82</v>
      </c>
      <c r="G8" s="6" t="s">
        <v>83</v>
      </c>
      <c r="H8" s="6" t="s">
        <v>84</v>
      </c>
      <c r="I8" s="7" t="s">
        <v>85</v>
      </c>
      <c r="J8" s="7" t="s">
        <v>86</v>
      </c>
      <c r="K8" s="8">
        <v>43104</v>
      </c>
      <c r="L8" s="7" t="s">
        <v>87</v>
      </c>
      <c r="M8" s="7" t="s">
        <v>25</v>
      </c>
      <c r="N8" s="7" t="s">
        <v>57</v>
      </c>
      <c r="O8" s="7" t="s">
        <v>88</v>
      </c>
      <c r="P8" s="9" t="s">
        <v>89</v>
      </c>
      <c r="Q8" s="11" t="s">
        <v>39</v>
      </c>
      <c r="R8" s="7"/>
      <c r="S8" s="7"/>
      <c r="T8" s="7"/>
      <c r="U8" s="7"/>
      <c r="V8" s="7"/>
    </row>
    <row r="9" spans="1:22" ht="13.2" x14ac:dyDescent="0.25">
      <c r="A9" s="4" t="s">
        <v>90</v>
      </c>
      <c r="B9" s="5" t="s">
        <v>91</v>
      </c>
      <c r="C9" s="4">
        <v>8149165165</v>
      </c>
      <c r="D9" s="6"/>
      <c r="E9" s="4" t="s">
        <v>92</v>
      </c>
      <c r="F9" s="7"/>
      <c r="G9" s="6"/>
      <c r="H9" s="6"/>
      <c r="I9" s="7"/>
      <c r="J9" s="7"/>
      <c r="K9" s="7"/>
      <c r="L9" s="7"/>
      <c r="M9" s="7" t="s">
        <v>25</v>
      </c>
      <c r="N9" s="7" t="s">
        <v>67</v>
      </c>
      <c r="O9" s="7" t="s">
        <v>93</v>
      </c>
      <c r="P9" s="9"/>
      <c r="Q9" s="11" t="s">
        <v>39</v>
      </c>
      <c r="R9" s="7"/>
      <c r="S9" s="7"/>
      <c r="T9" s="7"/>
      <c r="U9" s="7"/>
      <c r="V9" s="7"/>
    </row>
    <row r="10" spans="1:22" ht="26.4" x14ac:dyDescent="0.25">
      <c r="A10" s="4" t="s">
        <v>94</v>
      </c>
      <c r="B10" s="5" t="s">
        <v>95</v>
      </c>
      <c r="C10" s="4" t="s">
        <v>96</v>
      </c>
      <c r="D10" s="6"/>
      <c r="E10" s="4" t="s">
        <v>97</v>
      </c>
      <c r="F10" s="7"/>
      <c r="G10" s="6" t="s">
        <v>98</v>
      </c>
      <c r="H10" s="6" t="s">
        <v>99</v>
      </c>
      <c r="I10" s="7" t="s">
        <v>100</v>
      </c>
      <c r="J10" s="7" t="s">
        <v>101</v>
      </c>
      <c r="K10" s="8">
        <v>44795</v>
      </c>
      <c r="L10" s="7" t="s">
        <v>34</v>
      </c>
      <c r="M10" s="7" t="s">
        <v>25</v>
      </c>
      <c r="N10" s="7" t="s">
        <v>57</v>
      </c>
      <c r="O10" s="7" t="s">
        <v>102</v>
      </c>
      <c r="P10" s="9" t="s">
        <v>103</v>
      </c>
      <c r="Q10" s="11" t="s">
        <v>39</v>
      </c>
      <c r="R10" s="7"/>
      <c r="S10" s="7"/>
      <c r="T10" s="7"/>
      <c r="U10" s="7"/>
      <c r="V10" s="7"/>
    </row>
    <row r="11" spans="1:22" ht="13.2" x14ac:dyDescent="0.25">
      <c r="A11" s="4" t="s">
        <v>104</v>
      </c>
      <c r="B11" s="5" t="s">
        <v>105</v>
      </c>
      <c r="C11" s="4">
        <v>7499059328</v>
      </c>
      <c r="D11" s="6"/>
      <c r="E11" s="4"/>
      <c r="F11" s="7"/>
      <c r="G11" s="6"/>
      <c r="H11" s="6"/>
      <c r="I11" s="7" t="s">
        <v>106</v>
      </c>
      <c r="J11" s="7" t="s">
        <v>107</v>
      </c>
      <c r="K11" s="7"/>
      <c r="L11" s="7"/>
      <c r="M11" s="7" t="s">
        <v>108</v>
      </c>
      <c r="N11" s="7" t="s">
        <v>57</v>
      </c>
      <c r="O11" s="7" t="s">
        <v>109</v>
      </c>
      <c r="P11" s="9"/>
      <c r="Q11" s="11" t="s">
        <v>39</v>
      </c>
      <c r="R11" s="7"/>
      <c r="S11" s="7"/>
      <c r="T11" s="7"/>
      <c r="U11" s="7"/>
      <c r="V11" s="7"/>
    </row>
    <row r="12" spans="1:22" ht="39.6" x14ac:dyDescent="0.25">
      <c r="A12" s="4" t="s">
        <v>110</v>
      </c>
      <c r="B12" s="5" t="s">
        <v>111</v>
      </c>
      <c r="C12" s="4" t="s">
        <v>112</v>
      </c>
      <c r="D12" s="6" t="s">
        <v>113</v>
      </c>
      <c r="E12" s="4" t="s">
        <v>114</v>
      </c>
      <c r="F12" s="7" t="s">
        <v>113</v>
      </c>
      <c r="G12" s="6" t="s">
        <v>115</v>
      </c>
      <c r="H12" s="6" t="s">
        <v>116</v>
      </c>
      <c r="I12" s="7" t="s">
        <v>117</v>
      </c>
      <c r="J12" s="7" t="s">
        <v>114</v>
      </c>
      <c r="K12" s="8">
        <v>38622</v>
      </c>
      <c r="L12" s="7"/>
      <c r="M12" s="7" t="s">
        <v>25</v>
      </c>
      <c r="N12" s="7" t="s">
        <v>118</v>
      </c>
      <c r="O12" s="7" t="s">
        <v>119</v>
      </c>
      <c r="P12" s="9" t="s">
        <v>120</v>
      </c>
      <c r="Q12" s="11" t="s">
        <v>39</v>
      </c>
      <c r="R12" s="7"/>
      <c r="S12" s="7"/>
      <c r="T12" s="7"/>
      <c r="U12" s="7"/>
      <c r="V12" s="7"/>
    </row>
    <row r="13" spans="1:22" ht="25.5" customHeight="1" x14ac:dyDescent="0.25">
      <c r="A13" s="4" t="s">
        <v>121</v>
      </c>
      <c r="B13" s="5" t="s">
        <v>122</v>
      </c>
      <c r="C13" s="4">
        <v>9766896189</v>
      </c>
      <c r="D13" s="6"/>
      <c r="E13" s="4"/>
      <c r="F13" s="7"/>
      <c r="G13" s="6"/>
      <c r="H13" s="6"/>
      <c r="I13" s="7" t="s">
        <v>123</v>
      </c>
      <c r="J13" s="7"/>
      <c r="K13" s="7"/>
      <c r="L13" s="7"/>
      <c r="M13" s="7" t="s">
        <v>25</v>
      </c>
      <c r="N13" s="7" t="s">
        <v>67</v>
      </c>
      <c r="O13" s="7" t="s">
        <v>124</v>
      </c>
      <c r="P13" s="9" t="s">
        <v>125</v>
      </c>
      <c r="Q13" s="11" t="s">
        <v>29</v>
      </c>
      <c r="R13" s="7"/>
      <c r="S13" s="7"/>
      <c r="T13" s="7"/>
      <c r="U13" s="7"/>
      <c r="V13" s="7"/>
    </row>
    <row r="14" spans="1:22" ht="26.4" x14ac:dyDescent="0.25">
      <c r="A14" s="4" t="s">
        <v>126</v>
      </c>
      <c r="B14" s="5" t="s">
        <v>127</v>
      </c>
      <c r="C14" s="4">
        <v>9890136972</v>
      </c>
      <c r="D14" s="6"/>
      <c r="E14" s="4" t="s">
        <v>128</v>
      </c>
      <c r="F14" s="7"/>
      <c r="G14" s="6" t="s">
        <v>129</v>
      </c>
      <c r="H14" s="6" t="s">
        <v>130</v>
      </c>
      <c r="I14" s="7" t="s">
        <v>131</v>
      </c>
      <c r="J14" s="7" t="s">
        <v>128</v>
      </c>
      <c r="K14" s="8">
        <v>42248</v>
      </c>
      <c r="L14" s="7" t="s">
        <v>34</v>
      </c>
      <c r="M14" s="7" t="s">
        <v>25</v>
      </c>
      <c r="N14" s="7" t="s">
        <v>67</v>
      </c>
      <c r="O14" s="7" t="s">
        <v>132</v>
      </c>
      <c r="P14" s="9" t="s">
        <v>133</v>
      </c>
      <c r="Q14" s="11" t="s">
        <v>39</v>
      </c>
      <c r="R14" s="7"/>
      <c r="S14" s="7"/>
      <c r="T14" s="7"/>
      <c r="U14" s="7"/>
      <c r="V14" s="7"/>
    </row>
    <row r="15" spans="1:22" ht="26.4" x14ac:dyDescent="0.25">
      <c r="A15" s="4" t="s">
        <v>134</v>
      </c>
      <c r="B15" s="5" t="s">
        <v>135</v>
      </c>
      <c r="C15" s="4" t="s">
        <v>136</v>
      </c>
      <c r="D15" s="6"/>
      <c r="E15" s="4"/>
      <c r="F15" s="7"/>
      <c r="G15" s="6"/>
      <c r="H15" s="6"/>
      <c r="I15" s="7" t="s">
        <v>137</v>
      </c>
      <c r="J15" s="7"/>
      <c r="K15" s="7"/>
      <c r="L15" s="7"/>
      <c r="M15" s="7" t="s">
        <v>25</v>
      </c>
      <c r="N15" s="7" t="s">
        <v>57</v>
      </c>
      <c r="O15" s="7" t="s">
        <v>138</v>
      </c>
      <c r="P15" s="9"/>
      <c r="Q15" s="11" t="s">
        <v>29</v>
      </c>
      <c r="R15" s="7"/>
      <c r="S15" s="7"/>
      <c r="T15" s="7"/>
      <c r="U15" s="7"/>
      <c r="V15" s="7"/>
    </row>
    <row r="16" spans="1:22" ht="26.4" x14ac:dyDescent="0.25">
      <c r="A16" s="4" t="s">
        <v>139</v>
      </c>
      <c r="B16" s="5" t="s">
        <v>140</v>
      </c>
      <c r="C16" s="12" t="s">
        <v>141</v>
      </c>
      <c r="D16" s="6"/>
      <c r="E16" s="4" t="s">
        <v>142</v>
      </c>
      <c r="F16" s="7"/>
      <c r="G16" s="6"/>
      <c r="H16" s="6" t="s">
        <v>143</v>
      </c>
      <c r="I16" s="7" t="s">
        <v>144</v>
      </c>
      <c r="J16" s="7" t="s">
        <v>145</v>
      </c>
      <c r="K16" s="8">
        <v>43620</v>
      </c>
      <c r="L16" s="7" t="s">
        <v>34</v>
      </c>
      <c r="M16" s="7" t="s">
        <v>25</v>
      </c>
      <c r="N16" s="7" t="s">
        <v>36</v>
      </c>
      <c r="O16" s="7" t="s">
        <v>146</v>
      </c>
      <c r="P16" s="9" t="s">
        <v>147</v>
      </c>
      <c r="Q16" s="11" t="s">
        <v>29</v>
      </c>
      <c r="R16" s="7"/>
      <c r="S16" s="7"/>
      <c r="T16" s="7"/>
      <c r="U16" s="7"/>
      <c r="V16" s="7"/>
    </row>
    <row r="17" spans="1:22" ht="21" customHeight="1" x14ac:dyDescent="0.25">
      <c r="A17" s="4" t="s">
        <v>149</v>
      </c>
      <c r="B17" s="5" t="s">
        <v>150</v>
      </c>
      <c r="C17" s="4" t="s">
        <v>151</v>
      </c>
      <c r="D17" s="6"/>
      <c r="E17" s="4"/>
      <c r="F17" s="7"/>
      <c r="G17" s="6"/>
      <c r="H17" s="6"/>
      <c r="I17" s="7" t="s">
        <v>152</v>
      </c>
      <c r="J17" s="7"/>
      <c r="K17" s="7"/>
      <c r="L17" s="7"/>
      <c r="M17" s="7" t="s">
        <v>25</v>
      </c>
      <c r="N17" s="7" t="s">
        <v>57</v>
      </c>
      <c r="O17" s="7" t="s">
        <v>153</v>
      </c>
      <c r="P17" s="9" t="s">
        <v>154</v>
      </c>
      <c r="Q17" s="11" t="s">
        <v>29</v>
      </c>
      <c r="R17" s="7"/>
      <c r="S17" s="7"/>
      <c r="T17" s="7"/>
      <c r="U17" s="7"/>
      <c r="V17" s="7"/>
    </row>
    <row r="18" spans="1:22" ht="26.4" x14ac:dyDescent="0.25">
      <c r="A18" s="4" t="s">
        <v>155</v>
      </c>
      <c r="B18" s="5" t="s">
        <v>156</v>
      </c>
      <c r="C18" s="4" t="s">
        <v>157</v>
      </c>
      <c r="D18" s="6"/>
      <c r="E18" s="4"/>
      <c r="F18" s="7"/>
      <c r="G18" s="6"/>
      <c r="H18" s="6"/>
      <c r="I18" s="7"/>
      <c r="J18" s="7"/>
      <c r="K18" s="7"/>
      <c r="L18" s="7"/>
      <c r="M18" s="7" t="s">
        <v>25</v>
      </c>
      <c r="N18" s="7" t="s">
        <v>57</v>
      </c>
      <c r="O18" s="7" t="s">
        <v>158</v>
      </c>
      <c r="P18" s="9"/>
      <c r="Q18" s="11" t="s">
        <v>29</v>
      </c>
      <c r="R18" s="7"/>
      <c r="S18" s="7"/>
      <c r="T18" s="7"/>
      <c r="U18" s="7"/>
      <c r="V18" s="7"/>
    </row>
    <row r="19" spans="1:22" ht="20.25" customHeight="1" x14ac:dyDescent="0.25">
      <c r="A19" s="4" t="s">
        <v>159</v>
      </c>
      <c r="B19" s="5" t="s">
        <v>160</v>
      </c>
      <c r="C19" s="4" t="s">
        <v>161</v>
      </c>
      <c r="D19" s="6"/>
      <c r="E19" s="4"/>
      <c r="F19" s="7"/>
      <c r="G19" s="6"/>
      <c r="H19" s="6"/>
      <c r="I19" s="7" t="s">
        <v>162</v>
      </c>
      <c r="J19" s="7"/>
      <c r="K19" s="7"/>
      <c r="L19" s="7"/>
      <c r="M19" s="7" t="s">
        <v>25</v>
      </c>
      <c r="N19" s="7" t="s">
        <v>67</v>
      </c>
      <c r="O19" s="7" t="s">
        <v>163</v>
      </c>
      <c r="P19" s="9" t="s">
        <v>164</v>
      </c>
      <c r="Q19" s="11" t="s">
        <v>165</v>
      </c>
      <c r="R19" s="7"/>
      <c r="S19" s="7"/>
      <c r="T19" s="7"/>
      <c r="U19" s="7"/>
      <c r="V19" s="7"/>
    </row>
    <row r="20" spans="1:22" ht="18" customHeight="1" x14ac:dyDescent="0.25">
      <c r="A20" s="4" t="s">
        <v>166</v>
      </c>
      <c r="B20" s="5" t="s">
        <v>167</v>
      </c>
      <c r="C20" s="4" t="s">
        <v>168</v>
      </c>
      <c r="D20" s="6"/>
      <c r="E20" s="4"/>
      <c r="F20" s="7"/>
      <c r="G20" s="6"/>
      <c r="H20" s="6"/>
      <c r="I20" s="7" t="s">
        <v>169</v>
      </c>
      <c r="J20" s="7"/>
      <c r="K20" s="7"/>
      <c r="L20" s="7"/>
      <c r="M20" s="7" t="s">
        <v>25</v>
      </c>
      <c r="N20" s="7" t="s">
        <v>57</v>
      </c>
      <c r="O20" s="7" t="s">
        <v>170</v>
      </c>
      <c r="P20" s="9" t="s">
        <v>171</v>
      </c>
      <c r="Q20" s="11" t="s">
        <v>165</v>
      </c>
      <c r="R20" s="7"/>
      <c r="S20" s="7"/>
      <c r="T20" s="7"/>
      <c r="U20" s="7"/>
      <c r="V20" s="7"/>
    </row>
    <row r="21" spans="1:22" ht="26.4" x14ac:dyDescent="0.25">
      <c r="A21" s="4" t="s">
        <v>173</v>
      </c>
      <c r="B21" s="5" t="s">
        <v>174</v>
      </c>
      <c r="C21" s="4" t="s">
        <v>175</v>
      </c>
      <c r="D21" s="6"/>
      <c r="E21" s="4"/>
      <c r="F21" s="7"/>
      <c r="G21" s="6"/>
      <c r="H21" s="6"/>
      <c r="I21" s="7" t="s">
        <v>176</v>
      </c>
      <c r="J21" s="7"/>
      <c r="K21" s="7"/>
      <c r="L21" s="7"/>
      <c r="M21" s="7" t="s">
        <v>25</v>
      </c>
      <c r="N21" s="7" t="s">
        <v>57</v>
      </c>
      <c r="O21" s="7" t="s">
        <v>177</v>
      </c>
      <c r="P21" s="9"/>
      <c r="Q21" s="11" t="s">
        <v>29</v>
      </c>
      <c r="R21" s="7"/>
      <c r="S21" s="7"/>
      <c r="T21" s="7"/>
      <c r="U21" s="7"/>
      <c r="V21" s="7"/>
    </row>
    <row r="22" spans="1:22" ht="13.2" x14ac:dyDescent="0.25">
      <c r="A22" s="7" t="s">
        <v>178</v>
      </c>
      <c r="B22" s="7"/>
      <c r="C22" s="6"/>
      <c r="D22" s="6"/>
      <c r="E22" s="4"/>
      <c r="F22" s="7"/>
      <c r="G22" s="6"/>
      <c r="H22" s="6"/>
      <c r="I22" s="7" t="s">
        <v>178</v>
      </c>
      <c r="J22" s="7"/>
      <c r="K22" s="7"/>
      <c r="L22" s="7" t="s">
        <v>34</v>
      </c>
      <c r="M22" s="7" t="s">
        <v>25</v>
      </c>
      <c r="N22" s="7" t="s">
        <v>26</v>
      </c>
      <c r="O22" s="7" t="s">
        <v>179</v>
      </c>
      <c r="P22" s="7"/>
      <c r="Q22" s="7"/>
      <c r="R22" s="7"/>
      <c r="S22" s="7"/>
      <c r="T22" s="7"/>
      <c r="U22" s="7"/>
      <c r="V22" s="7"/>
    </row>
    <row r="23" spans="1:22" ht="13.2" x14ac:dyDescent="0.25">
      <c r="A23" s="4" t="s">
        <v>180</v>
      </c>
      <c r="B23" s="5" t="s">
        <v>39</v>
      </c>
      <c r="C23" s="4"/>
      <c r="D23" s="6"/>
      <c r="E23" s="4"/>
      <c r="F23" s="7"/>
      <c r="G23" s="6"/>
      <c r="H23" s="6"/>
      <c r="I23" s="7" t="s">
        <v>181</v>
      </c>
      <c r="J23" s="7"/>
      <c r="K23" s="7"/>
      <c r="L23" s="7"/>
      <c r="M23" s="7" t="s">
        <v>182</v>
      </c>
      <c r="N23" s="7" t="s">
        <v>26</v>
      </c>
      <c r="O23" s="7" t="s">
        <v>183</v>
      </c>
      <c r="P23" s="9"/>
      <c r="Q23" s="11" t="s">
        <v>39</v>
      </c>
      <c r="R23" s="7"/>
      <c r="S23" s="7"/>
      <c r="T23" s="7"/>
      <c r="U23" s="7"/>
      <c r="V23" s="7"/>
    </row>
    <row r="24" spans="1:22" ht="13.2" x14ac:dyDescent="0.25">
      <c r="A24" s="4" t="s">
        <v>184</v>
      </c>
      <c r="B24" s="5" t="s">
        <v>39</v>
      </c>
      <c r="C24" s="4"/>
      <c r="D24" s="6"/>
      <c r="E24" s="4"/>
      <c r="F24" s="7"/>
      <c r="G24" s="6"/>
      <c r="H24" s="6"/>
      <c r="I24" s="7" t="s">
        <v>185</v>
      </c>
      <c r="J24" s="7"/>
      <c r="K24" s="7"/>
      <c r="L24" s="7"/>
      <c r="M24" s="7" t="s">
        <v>25</v>
      </c>
      <c r="N24" s="7" t="s">
        <v>57</v>
      </c>
      <c r="O24" s="7" t="s">
        <v>109</v>
      </c>
      <c r="P24" s="9"/>
      <c r="Q24" s="11" t="s">
        <v>39</v>
      </c>
      <c r="R24" s="7"/>
      <c r="S24" s="7"/>
      <c r="T24" s="7"/>
      <c r="U24" s="7"/>
      <c r="V24" s="7"/>
    </row>
    <row r="25" spans="1:22" ht="17.25" customHeight="1" x14ac:dyDescent="0.25">
      <c r="A25" s="4" t="s">
        <v>186</v>
      </c>
      <c r="B25" s="5" t="s">
        <v>29</v>
      </c>
      <c r="C25" s="4">
        <v>8237313286</v>
      </c>
      <c r="D25" s="6"/>
      <c r="E25" s="4"/>
      <c r="F25" s="7"/>
      <c r="G25" s="6"/>
      <c r="H25" s="6"/>
      <c r="I25" s="7" t="s">
        <v>187</v>
      </c>
      <c r="J25" s="7"/>
      <c r="K25" s="7"/>
      <c r="L25" s="7"/>
      <c r="M25" s="7" t="s">
        <v>25</v>
      </c>
      <c r="N25" s="7" t="s">
        <v>57</v>
      </c>
      <c r="O25" s="7" t="s">
        <v>188</v>
      </c>
      <c r="P25" s="9" t="s">
        <v>189</v>
      </c>
      <c r="Q25" s="11" t="s">
        <v>29</v>
      </c>
      <c r="R25" s="7"/>
      <c r="S25" s="7"/>
      <c r="T25" s="7"/>
      <c r="U25" s="7"/>
      <c r="V25" s="7"/>
    </row>
    <row r="26" spans="1:22" ht="13.2" x14ac:dyDescent="0.25">
      <c r="A26" s="4" t="s">
        <v>190</v>
      </c>
      <c r="B26" s="5" t="s">
        <v>39</v>
      </c>
      <c r="C26" s="4"/>
      <c r="D26" s="6"/>
      <c r="E26" s="4"/>
      <c r="F26" s="7"/>
      <c r="G26" s="6"/>
      <c r="H26" s="6"/>
      <c r="I26" s="7" t="s">
        <v>191</v>
      </c>
      <c r="J26" s="7"/>
      <c r="K26" s="7"/>
      <c r="L26" s="7"/>
      <c r="M26" s="7" t="s">
        <v>35</v>
      </c>
      <c r="N26" s="7" t="s">
        <v>57</v>
      </c>
      <c r="O26" s="7"/>
      <c r="P26" s="9"/>
      <c r="Q26" s="11" t="s">
        <v>39</v>
      </c>
      <c r="R26" s="7"/>
      <c r="S26" s="7"/>
      <c r="T26" s="7"/>
      <c r="U26" s="7"/>
      <c r="V26" s="7"/>
    </row>
    <row r="27" spans="1:22" ht="26.4" x14ac:dyDescent="0.25">
      <c r="A27" s="4" t="s">
        <v>193</v>
      </c>
      <c r="B27" s="5" t="s">
        <v>194</v>
      </c>
      <c r="C27" s="4">
        <v>9702336537</v>
      </c>
      <c r="D27" s="6"/>
      <c r="E27" s="4"/>
      <c r="F27" s="7"/>
      <c r="G27" s="6"/>
      <c r="H27" s="6"/>
      <c r="I27" s="7"/>
      <c r="J27" s="7"/>
      <c r="K27" s="7"/>
      <c r="L27" s="7"/>
      <c r="M27" s="7" t="s">
        <v>25</v>
      </c>
      <c r="N27" s="7" t="s">
        <v>57</v>
      </c>
      <c r="O27" s="7" t="s">
        <v>195</v>
      </c>
      <c r="P27" s="9"/>
      <c r="Q27" s="11" t="s">
        <v>196</v>
      </c>
      <c r="R27" s="7"/>
      <c r="S27" s="7"/>
      <c r="T27" s="7"/>
      <c r="U27" s="7"/>
      <c r="V27" s="7"/>
    </row>
    <row r="28" spans="1:22" ht="13.2" x14ac:dyDescent="0.25">
      <c r="A28" s="7" t="s">
        <v>197</v>
      </c>
      <c r="B28" s="7" t="s">
        <v>198</v>
      </c>
      <c r="C28" s="6" t="s">
        <v>199</v>
      </c>
      <c r="D28" s="6"/>
      <c r="E28" s="4"/>
      <c r="F28" s="7"/>
      <c r="G28" s="6"/>
      <c r="H28" s="6"/>
      <c r="I28" s="7" t="s">
        <v>200</v>
      </c>
      <c r="J28" s="7"/>
      <c r="K28" s="7"/>
      <c r="L28" s="7"/>
      <c r="M28" s="7" t="s">
        <v>25</v>
      </c>
      <c r="N28" s="7" t="s">
        <v>57</v>
      </c>
      <c r="O28" s="7" t="s">
        <v>201</v>
      </c>
      <c r="P28" s="7"/>
      <c r="Q28" s="7"/>
      <c r="R28" s="7"/>
      <c r="S28" s="7"/>
      <c r="T28" s="7"/>
      <c r="U28" s="7"/>
      <c r="V28" s="7"/>
    </row>
    <row r="29" spans="1:22" ht="13.2" x14ac:dyDescent="0.25">
      <c r="A29" s="4" t="s">
        <v>202</v>
      </c>
      <c r="B29" s="5" t="s">
        <v>203</v>
      </c>
      <c r="C29" s="4" t="s">
        <v>204</v>
      </c>
      <c r="D29" s="6"/>
      <c r="E29" s="4"/>
      <c r="F29" s="7"/>
      <c r="G29" s="6"/>
      <c r="H29" s="6"/>
      <c r="I29" s="7"/>
      <c r="J29" s="7"/>
      <c r="K29" s="7"/>
      <c r="L29" s="7"/>
      <c r="M29" s="7" t="s">
        <v>25</v>
      </c>
      <c r="N29" s="7" t="s">
        <v>67</v>
      </c>
      <c r="O29" s="7" t="s">
        <v>205</v>
      </c>
      <c r="P29" s="9"/>
      <c r="Q29" s="11" t="s">
        <v>206</v>
      </c>
      <c r="R29" s="7"/>
      <c r="S29" s="7"/>
      <c r="T29" s="7"/>
      <c r="U29" s="7"/>
      <c r="V29" s="7"/>
    </row>
    <row r="30" spans="1:22" ht="13.2" x14ac:dyDescent="0.25">
      <c r="A30" s="4" t="s">
        <v>207</v>
      </c>
      <c r="B30" s="5" t="s">
        <v>208</v>
      </c>
      <c r="C30" s="4">
        <v>8411081641</v>
      </c>
      <c r="D30" s="6"/>
      <c r="E30" s="4"/>
      <c r="F30" s="7"/>
      <c r="G30" s="6"/>
      <c r="H30" s="6"/>
      <c r="I30" s="7"/>
      <c r="J30" s="7"/>
      <c r="K30" s="7"/>
      <c r="L30" s="7"/>
      <c r="M30" s="7" t="s">
        <v>25</v>
      </c>
      <c r="N30" s="7" t="s">
        <v>57</v>
      </c>
      <c r="O30" s="7" t="s">
        <v>124</v>
      </c>
      <c r="P30" s="9"/>
      <c r="Q30" s="11" t="s">
        <v>165</v>
      </c>
      <c r="R30" s="7"/>
      <c r="S30" s="7"/>
      <c r="T30" s="7"/>
      <c r="U30" s="7"/>
      <c r="V30" s="7"/>
    </row>
    <row r="31" spans="1:22" ht="26.4" x14ac:dyDescent="0.25">
      <c r="A31" s="4" t="s">
        <v>209</v>
      </c>
      <c r="B31" s="5" t="s">
        <v>210</v>
      </c>
      <c r="C31" s="12" t="s">
        <v>211</v>
      </c>
      <c r="D31" s="6"/>
      <c r="E31" s="4"/>
      <c r="F31" s="7"/>
      <c r="G31" s="6"/>
      <c r="H31" s="6"/>
      <c r="I31" s="7" t="s">
        <v>212</v>
      </c>
      <c r="J31" s="7"/>
      <c r="K31" s="7"/>
      <c r="L31" s="7"/>
      <c r="M31" s="7" t="s">
        <v>25</v>
      </c>
      <c r="N31" s="7" t="s">
        <v>26</v>
      </c>
      <c r="O31" s="7" t="s">
        <v>213</v>
      </c>
      <c r="P31" s="9"/>
      <c r="Q31" s="11" t="s">
        <v>39</v>
      </c>
      <c r="R31" s="7"/>
      <c r="S31" s="7"/>
      <c r="T31" s="7"/>
      <c r="U31" s="7"/>
      <c r="V31" s="7"/>
    </row>
    <row r="32" spans="1:22" ht="26.4" x14ac:dyDescent="0.25">
      <c r="A32" s="4" t="s">
        <v>214</v>
      </c>
      <c r="B32" s="5" t="s">
        <v>215</v>
      </c>
      <c r="C32" s="4">
        <v>9860031418</v>
      </c>
      <c r="D32" s="6" t="s">
        <v>216</v>
      </c>
      <c r="E32" s="4" t="s">
        <v>217</v>
      </c>
      <c r="F32" s="7"/>
      <c r="G32" s="6" t="s">
        <v>218</v>
      </c>
      <c r="H32" s="6"/>
      <c r="I32" s="7" t="s">
        <v>219</v>
      </c>
      <c r="J32" s="7"/>
      <c r="K32" s="7"/>
      <c r="L32" s="7"/>
      <c r="M32" s="7" t="s">
        <v>25</v>
      </c>
      <c r="N32" s="7" t="s">
        <v>26</v>
      </c>
      <c r="O32" s="7" t="s">
        <v>220</v>
      </c>
      <c r="P32" s="9"/>
      <c r="Q32" s="11" t="s">
        <v>39</v>
      </c>
      <c r="R32" s="7"/>
      <c r="S32" s="7"/>
      <c r="T32" s="7"/>
      <c r="U32" s="7"/>
      <c r="V32" s="7"/>
    </row>
    <row r="33" spans="1:22" ht="39.6" x14ac:dyDescent="0.25">
      <c r="A33" s="4" t="s">
        <v>221</v>
      </c>
      <c r="B33" s="5" t="s">
        <v>222</v>
      </c>
      <c r="C33" s="4">
        <v>917537669</v>
      </c>
      <c r="D33" s="6"/>
      <c r="E33" s="4" t="s">
        <v>223</v>
      </c>
      <c r="F33" s="7"/>
      <c r="G33" s="6"/>
      <c r="H33" s="6"/>
      <c r="I33" s="7" t="s">
        <v>224</v>
      </c>
      <c r="J33" s="7"/>
      <c r="K33" s="7"/>
      <c r="L33" s="7"/>
      <c r="M33" s="7" t="s">
        <v>25</v>
      </c>
      <c r="N33" s="7" t="s">
        <v>26</v>
      </c>
      <c r="O33" s="7" t="s">
        <v>225</v>
      </c>
      <c r="P33" s="9"/>
      <c r="Q33" s="11" t="s">
        <v>39</v>
      </c>
      <c r="R33" s="7"/>
      <c r="S33" s="7"/>
      <c r="T33" s="7"/>
      <c r="U33" s="7"/>
      <c r="V33" s="7"/>
    </row>
    <row r="34" spans="1:22" ht="13.2" x14ac:dyDescent="0.25">
      <c r="A34" s="4" t="s">
        <v>226</v>
      </c>
      <c r="B34" s="4" t="s">
        <v>227</v>
      </c>
      <c r="C34" s="4">
        <v>9822079405</v>
      </c>
      <c r="D34" s="6"/>
      <c r="E34" s="4" t="s">
        <v>228</v>
      </c>
      <c r="F34" s="7"/>
      <c r="G34" s="6" t="s">
        <v>229</v>
      </c>
      <c r="H34" s="6"/>
      <c r="I34" s="7" t="s">
        <v>230</v>
      </c>
      <c r="J34" s="7"/>
      <c r="K34" s="7"/>
      <c r="L34" s="7"/>
      <c r="M34" s="7" t="s">
        <v>25</v>
      </c>
      <c r="N34" s="7" t="s">
        <v>118</v>
      </c>
      <c r="O34" s="7"/>
      <c r="P34" s="9"/>
      <c r="Q34" s="11" t="s">
        <v>39</v>
      </c>
      <c r="R34" s="7"/>
      <c r="S34" s="7"/>
      <c r="T34" s="7"/>
      <c r="U34" s="7"/>
      <c r="V34" s="7"/>
    </row>
    <row r="35" spans="1:22" ht="13.2" x14ac:dyDescent="0.25">
      <c r="A35" s="4" t="s">
        <v>231</v>
      </c>
      <c r="B35" s="5" t="s">
        <v>232</v>
      </c>
      <c r="C35" s="4">
        <v>9921894717</v>
      </c>
      <c r="D35" s="6"/>
      <c r="E35" s="4" t="s">
        <v>233</v>
      </c>
      <c r="F35" s="7"/>
      <c r="G35" s="6" t="s">
        <v>234</v>
      </c>
      <c r="H35" s="6" t="s">
        <v>235</v>
      </c>
      <c r="I35" s="7" t="s">
        <v>236</v>
      </c>
      <c r="J35" s="7"/>
      <c r="K35" s="8">
        <v>42248</v>
      </c>
      <c r="L35" s="7" t="s">
        <v>34</v>
      </c>
      <c r="M35" s="7" t="s">
        <v>25</v>
      </c>
      <c r="N35" s="7" t="s">
        <v>26</v>
      </c>
      <c r="O35" s="7"/>
      <c r="P35" s="9"/>
      <c r="Q35" s="11" t="s">
        <v>29</v>
      </c>
      <c r="R35" s="7"/>
      <c r="S35" s="7"/>
      <c r="T35" s="7"/>
      <c r="U35" s="7"/>
      <c r="V35" s="7"/>
    </row>
    <row r="36" spans="1:22" ht="39.6" x14ac:dyDescent="0.25">
      <c r="A36" s="4" t="s">
        <v>237</v>
      </c>
      <c r="B36" s="5" t="s">
        <v>238</v>
      </c>
      <c r="C36" s="4">
        <v>9822029020</v>
      </c>
      <c r="D36" s="6" t="s">
        <v>113</v>
      </c>
      <c r="E36" s="4" t="s">
        <v>239</v>
      </c>
      <c r="F36" s="7"/>
      <c r="G36" s="6" t="s">
        <v>240</v>
      </c>
      <c r="H36" s="6" t="s">
        <v>241</v>
      </c>
      <c r="I36" s="7" t="s">
        <v>242</v>
      </c>
      <c r="J36" s="7"/>
      <c r="K36" s="8">
        <v>41095</v>
      </c>
      <c r="L36" s="7" t="s">
        <v>34</v>
      </c>
      <c r="M36" s="7" t="s">
        <v>25</v>
      </c>
      <c r="N36" s="7" t="s">
        <v>26</v>
      </c>
      <c r="O36" s="7" t="s">
        <v>243</v>
      </c>
      <c r="P36" s="9" t="s">
        <v>244</v>
      </c>
      <c r="Q36" s="11" t="s">
        <v>39</v>
      </c>
      <c r="R36" s="7"/>
      <c r="S36" s="7"/>
      <c r="T36" s="7"/>
      <c r="U36" s="7"/>
      <c r="V36" s="7"/>
    </row>
    <row r="37" spans="1:22" ht="27" customHeight="1" x14ac:dyDescent="0.25">
      <c r="A37" s="4" t="s">
        <v>247</v>
      </c>
      <c r="B37" s="5" t="s">
        <v>248</v>
      </c>
      <c r="C37" s="4">
        <v>9028912285</v>
      </c>
      <c r="D37" s="6" t="s">
        <v>113</v>
      </c>
      <c r="E37" s="4" t="s">
        <v>249</v>
      </c>
      <c r="F37" s="7" t="s">
        <v>113</v>
      </c>
      <c r="G37" s="6" t="s">
        <v>113</v>
      </c>
      <c r="H37" s="6" t="s">
        <v>250</v>
      </c>
      <c r="I37" s="7" t="s">
        <v>251</v>
      </c>
      <c r="J37" s="7" t="s">
        <v>252</v>
      </c>
      <c r="K37" s="8">
        <v>44791</v>
      </c>
      <c r="L37" s="7" t="s">
        <v>34</v>
      </c>
      <c r="M37" s="7" t="s">
        <v>25</v>
      </c>
      <c r="N37" s="7" t="s">
        <v>67</v>
      </c>
      <c r="O37" s="7" t="s">
        <v>253</v>
      </c>
      <c r="P37" s="9" t="s">
        <v>254</v>
      </c>
      <c r="Q37" s="11" t="s">
        <v>172</v>
      </c>
      <c r="R37" s="7"/>
      <c r="S37" s="7"/>
      <c r="T37" s="7"/>
      <c r="U37" s="7"/>
      <c r="V37" s="7"/>
    </row>
    <row r="38" spans="1:22" ht="22.5" customHeight="1" x14ac:dyDescent="0.25">
      <c r="A38" s="4" t="s">
        <v>255</v>
      </c>
      <c r="B38" s="5" t="s">
        <v>256</v>
      </c>
      <c r="C38" s="14"/>
      <c r="D38" s="6" t="s">
        <v>113</v>
      </c>
      <c r="E38" s="4" t="s">
        <v>113</v>
      </c>
      <c r="F38" s="7" t="s">
        <v>113</v>
      </c>
      <c r="G38" s="6" t="s">
        <v>113</v>
      </c>
      <c r="H38" s="6"/>
      <c r="I38" s="7" t="s">
        <v>257</v>
      </c>
      <c r="J38" s="7" t="s">
        <v>113</v>
      </c>
      <c r="K38" s="8">
        <v>37906</v>
      </c>
      <c r="L38" s="7" t="s">
        <v>34</v>
      </c>
      <c r="M38" s="7" t="s">
        <v>25</v>
      </c>
      <c r="N38" s="7" t="s">
        <v>57</v>
      </c>
      <c r="O38" s="7" t="s">
        <v>258</v>
      </c>
      <c r="P38" s="9" t="s">
        <v>259</v>
      </c>
      <c r="Q38" s="15" t="s">
        <v>172</v>
      </c>
      <c r="R38" s="7"/>
      <c r="S38" s="7"/>
      <c r="T38" s="7"/>
      <c r="U38" s="7"/>
      <c r="V38" s="7"/>
    </row>
    <row r="39" spans="1:22" ht="52.8" x14ac:dyDescent="0.25">
      <c r="A39" s="38" t="s">
        <v>260</v>
      </c>
      <c r="B39" s="5" t="s">
        <v>261</v>
      </c>
      <c r="C39" s="4">
        <v>8007375777</v>
      </c>
      <c r="D39" s="6"/>
      <c r="E39" s="4" t="s">
        <v>262</v>
      </c>
      <c r="F39" s="7"/>
      <c r="G39" s="6" t="s">
        <v>263</v>
      </c>
      <c r="H39" s="6" t="s">
        <v>264</v>
      </c>
      <c r="I39" s="7" t="s">
        <v>265</v>
      </c>
      <c r="J39" s="7" t="s">
        <v>266</v>
      </c>
      <c r="K39" s="8">
        <v>40969</v>
      </c>
      <c r="L39" s="7" t="s">
        <v>34</v>
      </c>
      <c r="M39" s="7" t="s">
        <v>25</v>
      </c>
      <c r="N39" s="7" t="s">
        <v>26</v>
      </c>
      <c r="O39" s="7" t="s">
        <v>267</v>
      </c>
      <c r="P39" s="9" t="s">
        <v>268</v>
      </c>
      <c r="Q39" s="11" t="s">
        <v>172</v>
      </c>
      <c r="R39" s="7"/>
      <c r="S39" s="7"/>
      <c r="T39" s="7"/>
      <c r="U39" s="7"/>
      <c r="V39" s="7"/>
    </row>
    <row r="40" spans="1:22" ht="52.8" x14ac:dyDescent="0.25">
      <c r="A40" s="38" t="s">
        <v>270</v>
      </c>
      <c r="B40" s="5" t="s">
        <v>271</v>
      </c>
      <c r="C40" s="4">
        <v>9373600299</v>
      </c>
      <c r="D40" s="6"/>
      <c r="E40" s="4"/>
      <c r="F40" s="7"/>
      <c r="G40" s="6"/>
      <c r="H40" s="6"/>
      <c r="I40" s="7" t="s">
        <v>272</v>
      </c>
      <c r="J40" s="7"/>
      <c r="K40" s="7"/>
      <c r="L40" s="7"/>
      <c r="M40" s="7"/>
      <c r="N40" s="7"/>
      <c r="O40" s="7"/>
      <c r="P40" s="9"/>
      <c r="Q40" s="11" t="s">
        <v>39</v>
      </c>
      <c r="R40" s="7"/>
      <c r="S40" s="7"/>
      <c r="T40" s="7"/>
      <c r="U40" s="7"/>
      <c r="V40" s="7"/>
    </row>
    <row r="41" spans="1:22" ht="39.6" x14ac:dyDescent="0.25">
      <c r="A41" s="38" t="s">
        <v>273</v>
      </c>
      <c r="B41" s="5" t="s">
        <v>274</v>
      </c>
      <c r="C41" s="4">
        <v>9029545937</v>
      </c>
      <c r="D41" s="6"/>
      <c r="E41" s="4" t="s">
        <v>275</v>
      </c>
      <c r="F41" s="7" t="s">
        <v>276</v>
      </c>
      <c r="G41" s="6"/>
      <c r="H41" s="6"/>
      <c r="I41" s="7"/>
      <c r="J41" s="7"/>
      <c r="K41" s="7"/>
      <c r="L41" s="7"/>
      <c r="M41" s="7"/>
      <c r="N41" s="7"/>
      <c r="O41" s="7"/>
      <c r="P41" s="9"/>
      <c r="Q41" s="11" t="s">
        <v>192</v>
      </c>
      <c r="R41" s="7"/>
      <c r="S41" s="7"/>
      <c r="T41" s="7"/>
      <c r="U41" s="7"/>
      <c r="V41" s="7"/>
    </row>
    <row r="42" spans="1:22" ht="18" customHeight="1" x14ac:dyDescent="0.25">
      <c r="A42" s="4" t="s">
        <v>278</v>
      </c>
      <c r="B42" s="5" t="s">
        <v>279</v>
      </c>
      <c r="C42" s="4">
        <v>8237207753</v>
      </c>
      <c r="D42" s="7"/>
      <c r="E42" s="7" t="s">
        <v>280</v>
      </c>
      <c r="F42" s="7"/>
      <c r="G42" s="7" t="s">
        <v>281</v>
      </c>
      <c r="H42" s="7"/>
      <c r="I42" s="7"/>
      <c r="J42" s="7"/>
      <c r="K42" s="7"/>
      <c r="L42" s="7"/>
      <c r="M42" s="7" t="s">
        <v>25</v>
      </c>
      <c r="N42" s="7" t="s">
        <v>57</v>
      </c>
      <c r="O42" s="7" t="s">
        <v>282</v>
      </c>
      <c r="P42" s="9"/>
      <c r="Q42" s="11" t="s">
        <v>39</v>
      </c>
      <c r="R42" s="7"/>
      <c r="S42" s="7"/>
      <c r="T42" s="7"/>
      <c r="U42" s="7"/>
      <c r="V42" s="7"/>
    </row>
    <row r="43" spans="1:22" ht="16.8" customHeight="1" x14ac:dyDescent="0.25">
      <c r="A43" s="4" t="s">
        <v>283</v>
      </c>
      <c r="B43" s="5" t="s">
        <v>172</v>
      </c>
      <c r="C43" s="4">
        <v>9326733388</v>
      </c>
      <c r="D43" s="7"/>
      <c r="E43" s="7"/>
      <c r="F43" s="7"/>
      <c r="G43" s="7" t="s">
        <v>284</v>
      </c>
      <c r="H43" s="7"/>
      <c r="I43" s="7"/>
      <c r="J43" s="7"/>
      <c r="K43" s="7"/>
      <c r="L43" s="7"/>
      <c r="M43" s="7" t="s">
        <v>25</v>
      </c>
      <c r="N43" s="7" t="s">
        <v>26</v>
      </c>
      <c r="O43" s="7" t="s">
        <v>285</v>
      </c>
      <c r="P43" s="9"/>
      <c r="Q43" s="11" t="s">
        <v>172</v>
      </c>
      <c r="R43" s="7"/>
      <c r="S43" s="7"/>
      <c r="T43" s="7"/>
      <c r="U43" s="7"/>
      <c r="V43" s="7"/>
    </row>
    <row r="44" spans="1:22" ht="20.399999999999999" customHeight="1" x14ac:dyDescent="0.25">
      <c r="A44" s="4" t="s">
        <v>286</v>
      </c>
      <c r="B44" s="5" t="s">
        <v>287</v>
      </c>
      <c r="C44" s="4">
        <v>9823022293</v>
      </c>
      <c r="D44" s="7"/>
      <c r="E44" s="7" t="s">
        <v>288</v>
      </c>
      <c r="F44" s="7"/>
      <c r="G44" s="7" t="s">
        <v>289</v>
      </c>
      <c r="H44" s="7"/>
      <c r="I44" s="7"/>
      <c r="J44" s="7"/>
      <c r="K44" s="7"/>
      <c r="L44" s="7"/>
      <c r="M44" s="7" t="s">
        <v>25</v>
      </c>
      <c r="N44" s="7" t="s">
        <v>67</v>
      </c>
      <c r="O44" s="7" t="s">
        <v>290</v>
      </c>
      <c r="P44" s="9"/>
      <c r="Q44" s="11" t="s">
        <v>172</v>
      </c>
      <c r="R44" s="7"/>
      <c r="S44" s="7"/>
      <c r="T44" s="7"/>
      <c r="U44" s="7"/>
      <c r="V44" s="7"/>
    </row>
    <row r="45" spans="1:22" ht="15" customHeight="1" x14ac:dyDescent="0.25">
      <c r="A45" s="4" t="s">
        <v>291</v>
      </c>
      <c r="B45" s="5" t="s">
        <v>292</v>
      </c>
      <c r="C45" s="4">
        <v>7720093852</v>
      </c>
      <c r="D45" s="7"/>
      <c r="E45" s="7" t="s">
        <v>293</v>
      </c>
      <c r="F45" s="13" t="s">
        <v>294</v>
      </c>
      <c r="G45" s="7"/>
      <c r="H45" s="7"/>
      <c r="I45" s="7"/>
      <c r="J45" s="7"/>
      <c r="K45" s="7"/>
      <c r="L45" s="7"/>
      <c r="M45" s="7" t="s">
        <v>25</v>
      </c>
      <c r="N45" s="7" t="s">
        <v>26</v>
      </c>
      <c r="O45" s="7" t="s">
        <v>295</v>
      </c>
      <c r="P45" s="9"/>
      <c r="Q45" s="11" t="s">
        <v>39</v>
      </c>
      <c r="R45" s="7"/>
      <c r="S45" s="7"/>
      <c r="T45" s="7"/>
      <c r="U45" s="7"/>
      <c r="V45" s="7"/>
    </row>
    <row r="46" spans="1:22" ht="13.2" x14ac:dyDescent="0.25">
      <c r="A46" s="19" t="s">
        <v>299</v>
      </c>
      <c r="B46" s="19" t="s">
        <v>300</v>
      </c>
      <c r="C46" s="19" t="s">
        <v>301</v>
      </c>
      <c r="E46" s="19" t="s">
        <v>302</v>
      </c>
      <c r="G46" s="19" t="s">
        <v>303</v>
      </c>
      <c r="H46" s="19" t="s">
        <v>304</v>
      </c>
      <c r="I46" s="19" t="s">
        <v>305</v>
      </c>
      <c r="K46" s="20">
        <v>43879</v>
      </c>
      <c r="M46" s="19" t="s">
        <v>25</v>
      </c>
      <c r="N46" s="19" t="s">
        <v>26</v>
      </c>
      <c r="P46" s="21" t="s">
        <v>306</v>
      </c>
      <c r="Q46" s="22" t="s">
        <v>39</v>
      </c>
    </row>
    <row r="47" spans="1:22" ht="13.2" x14ac:dyDescent="0.25">
      <c r="A47" s="19" t="s">
        <v>307</v>
      </c>
      <c r="B47" s="19" t="s">
        <v>308</v>
      </c>
      <c r="C47" s="19" t="s">
        <v>309</v>
      </c>
      <c r="E47" s="19" t="s">
        <v>310</v>
      </c>
      <c r="H47" s="19" t="s">
        <v>311</v>
      </c>
      <c r="I47" s="19" t="s">
        <v>312</v>
      </c>
      <c r="K47" s="20">
        <v>44562</v>
      </c>
      <c r="L47" s="19" t="s">
        <v>34</v>
      </c>
      <c r="M47" s="19" t="s">
        <v>35</v>
      </c>
      <c r="N47" s="19" t="s">
        <v>67</v>
      </c>
      <c r="O47" s="19" t="s">
        <v>313</v>
      </c>
      <c r="P47" s="19" t="s">
        <v>314</v>
      </c>
    </row>
    <row r="48" spans="1:22" ht="13.2" x14ac:dyDescent="0.25">
      <c r="A48" s="19" t="s">
        <v>315</v>
      </c>
      <c r="B48" s="19" t="s">
        <v>316</v>
      </c>
      <c r="C48" s="19">
        <v>8655537887</v>
      </c>
      <c r="E48" s="19" t="s">
        <v>317</v>
      </c>
      <c r="I48" s="19" t="s">
        <v>318</v>
      </c>
      <c r="J48" s="19" t="s">
        <v>319</v>
      </c>
      <c r="M48" s="19" t="s">
        <v>25</v>
      </c>
      <c r="N48" s="19" t="s">
        <v>57</v>
      </c>
      <c r="O48" s="19" t="s">
        <v>320</v>
      </c>
      <c r="Q48" s="19" t="s">
        <v>192</v>
      </c>
    </row>
    <row r="49" spans="1:22" ht="13.2" x14ac:dyDescent="0.25">
      <c r="A49" s="19" t="s">
        <v>321</v>
      </c>
      <c r="B49" s="19" t="s">
        <v>322</v>
      </c>
      <c r="C49" s="19">
        <v>8983048201</v>
      </c>
      <c r="E49" s="19" t="s">
        <v>323</v>
      </c>
      <c r="M49" s="19" t="s">
        <v>25</v>
      </c>
      <c r="N49" s="19" t="s">
        <v>26</v>
      </c>
      <c r="O49" s="19" t="s">
        <v>324</v>
      </c>
      <c r="Q49" s="19" t="s">
        <v>172</v>
      </c>
    </row>
    <row r="50" spans="1:22" ht="13.2" x14ac:dyDescent="0.25">
      <c r="A50" s="19" t="s">
        <v>325</v>
      </c>
      <c r="B50" s="19" t="s">
        <v>326</v>
      </c>
      <c r="C50" s="19">
        <v>8380001113</v>
      </c>
      <c r="E50" s="19" t="s">
        <v>327</v>
      </c>
      <c r="M50" s="19" t="s">
        <v>25</v>
      </c>
      <c r="N50" s="19" t="s">
        <v>26</v>
      </c>
      <c r="O50" s="19" t="s">
        <v>328</v>
      </c>
      <c r="Q50" s="19" t="s">
        <v>172</v>
      </c>
    </row>
    <row r="51" spans="1:22" ht="13.2" x14ac:dyDescent="0.25">
      <c r="A51" s="19" t="s">
        <v>329</v>
      </c>
      <c r="B51" s="19" t="s">
        <v>330</v>
      </c>
      <c r="C51" s="19">
        <v>9373256650</v>
      </c>
      <c r="E51" s="19" t="s">
        <v>331</v>
      </c>
      <c r="F51" s="23" t="s">
        <v>332</v>
      </c>
      <c r="M51" s="19" t="s">
        <v>35</v>
      </c>
      <c r="N51" s="19" t="s">
        <v>118</v>
      </c>
      <c r="O51" s="19" t="s">
        <v>333</v>
      </c>
      <c r="Q51" s="19" t="s">
        <v>172</v>
      </c>
    </row>
    <row r="52" spans="1:22" ht="13.2" x14ac:dyDescent="0.25">
      <c r="A52" s="19" t="s">
        <v>334</v>
      </c>
      <c r="B52" s="19" t="s">
        <v>335</v>
      </c>
      <c r="C52" s="19">
        <v>9923168907</v>
      </c>
      <c r="E52" s="19" t="s">
        <v>336</v>
      </c>
      <c r="M52" s="19" t="s">
        <v>25</v>
      </c>
      <c r="N52" s="19" t="s">
        <v>26</v>
      </c>
      <c r="O52" s="19" t="s">
        <v>337</v>
      </c>
      <c r="Q52" s="19" t="s">
        <v>172</v>
      </c>
    </row>
    <row r="53" spans="1:22" ht="13.2" x14ac:dyDescent="0.25">
      <c r="A53" s="19" t="s">
        <v>338</v>
      </c>
      <c r="B53" s="19" t="s">
        <v>339</v>
      </c>
      <c r="C53" s="19">
        <v>9822945496</v>
      </c>
      <c r="E53" s="19" t="s">
        <v>340</v>
      </c>
      <c r="G53" s="19" t="s">
        <v>341</v>
      </c>
      <c r="M53" s="19" t="s">
        <v>25</v>
      </c>
      <c r="N53" s="19" t="s">
        <v>26</v>
      </c>
      <c r="O53" s="19" t="s">
        <v>342</v>
      </c>
      <c r="Q53" s="19" t="s">
        <v>172</v>
      </c>
    </row>
    <row r="54" spans="1:22" ht="13.2" x14ac:dyDescent="0.25">
      <c r="A54" s="19" t="s">
        <v>343</v>
      </c>
      <c r="B54" s="19" t="s">
        <v>344</v>
      </c>
      <c r="C54" s="19">
        <v>9850850301</v>
      </c>
      <c r="E54" s="19" t="s">
        <v>345</v>
      </c>
      <c r="M54" s="19" t="s">
        <v>25</v>
      </c>
      <c r="N54" s="19" t="s">
        <v>26</v>
      </c>
      <c r="O54" s="19" t="s">
        <v>246</v>
      </c>
      <c r="Q54" s="19" t="s">
        <v>172</v>
      </c>
    </row>
    <row r="55" spans="1:22" ht="13.2" x14ac:dyDescent="0.25">
      <c r="A55" s="19" t="s">
        <v>346</v>
      </c>
      <c r="B55" s="19" t="s">
        <v>347</v>
      </c>
      <c r="C55" s="19">
        <v>8888807609</v>
      </c>
      <c r="E55" s="19" t="s">
        <v>348</v>
      </c>
      <c r="M55" s="19" t="s">
        <v>25</v>
      </c>
      <c r="N55" s="19" t="s">
        <v>26</v>
      </c>
      <c r="O55" s="19" t="s">
        <v>349</v>
      </c>
      <c r="Q55" s="19" t="s">
        <v>172</v>
      </c>
    </row>
    <row r="56" spans="1:22" ht="13.2" x14ac:dyDescent="0.25">
      <c r="A56" s="19" t="s">
        <v>350</v>
      </c>
      <c r="B56" s="19" t="s">
        <v>351</v>
      </c>
      <c r="C56" s="19" t="s">
        <v>352</v>
      </c>
      <c r="E56" s="19" t="s">
        <v>353</v>
      </c>
      <c r="M56" s="19" t="s">
        <v>25</v>
      </c>
      <c r="N56" s="19" t="s">
        <v>57</v>
      </c>
      <c r="O56" s="19" t="s">
        <v>354</v>
      </c>
      <c r="Q56" s="19" t="s">
        <v>172</v>
      </c>
    </row>
    <row r="57" spans="1:22" ht="13.2" x14ac:dyDescent="0.25">
      <c r="A57" s="19" t="s">
        <v>355</v>
      </c>
      <c r="B57" s="19" t="s">
        <v>356</v>
      </c>
      <c r="C57" s="19">
        <v>9422441788</v>
      </c>
      <c r="E57" s="19" t="s">
        <v>357</v>
      </c>
      <c r="M57" s="19" t="s">
        <v>25</v>
      </c>
      <c r="N57" s="19" t="s">
        <v>26</v>
      </c>
      <c r="O57" s="19" t="s">
        <v>358</v>
      </c>
      <c r="Q57" s="19" t="s">
        <v>172</v>
      </c>
    </row>
    <row r="58" spans="1:22" ht="13.2" x14ac:dyDescent="0.25">
      <c r="A58" s="19" t="s">
        <v>359</v>
      </c>
      <c r="B58" s="19" t="s">
        <v>360</v>
      </c>
      <c r="C58" s="19">
        <v>9373105187</v>
      </c>
      <c r="E58" s="19" t="s">
        <v>361</v>
      </c>
      <c r="M58" s="19" t="s">
        <v>25</v>
      </c>
      <c r="N58" s="19" t="s">
        <v>26</v>
      </c>
      <c r="O58" s="19" t="s">
        <v>362</v>
      </c>
      <c r="Q58" s="19" t="s">
        <v>172</v>
      </c>
    </row>
    <row r="59" spans="1:22" ht="13.2" x14ac:dyDescent="0.25">
      <c r="A59" s="19" t="s">
        <v>363</v>
      </c>
      <c r="B59" s="19" t="s">
        <v>364</v>
      </c>
      <c r="C59" s="19">
        <v>9921291555</v>
      </c>
      <c r="M59" s="19" t="s">
        <v>25</v>
      </c>
      <c r="N59" s="19" t="s">
        <v>57</v>
      </c>
      <c r="O59" s="19" t="s">
        <v>365</v>
      </c>
      <c r="Q59" s="19" t="s">
        <v>39</v>
      </c>
    </row>
    <row r="60" spans="1:22" ht="13.2" x14ac:dyDescent="0.25">
      <c r="A60" s="19" t="s">
        <v>366</v>
      </c>
      <c r="B60" s="19" t="s">
        <v>367</v>
      </c>
      <c r="C60" s="19">
        <v>9890639621</v>
      </c>
      <c r="M60" s="19" t="s">
        <v>25</v>
      </c>
      <c r="N60" s="19" t="s">
        <v>57</v>
      </c>
      <c r="O60" s="19" t="s">
        <v>368</v>
      </c>
      <c r="Q60" s="19" t="s">
        <v>39</v>
      </c>
    </row>
    <row r="61" spans="1:22" ht="13.2" x14ac:dyDescent="0.25">
      <c r="A61" s="19" t="s">
        <v>369</v>
      </c>
      <c r="B61" s="19" t="s">
        <v>370</v>
      </c>
      <c r="C61" s="19" t="s">
        <v>371</v>
      </c>
      <c r="M61" s="19" t="s">
        <v>25</v>
      </c>
      <c r="N61" s="19" t="s">
        <v>118</v>
      </c>
      <c r="O61" s="19" t="s">
        <v>372</v>
      </c>
      <c r="Q61" s="19" t="s">
        <v>192</v>
      </c>
    </row>
    <row r="62" spans="1:22" ht="13.2" x14ac:dyDescent="0.25">
      <c r="A62" s="19" t="s">
        <v>373</v>
      </c>
      <c r="B62" s="19" t="s">
        <v>374</v>
      </c>
      <c r="C62" s="19">
        <v>9503548111</v>
      </c>
      <c r="M62" s="19" t="s">
        <v>25</v>
      </c>
      <c r="N62" s="19" t="s">
        <v>57</v>
      </c>
      <c r="O62" s="19" t="s">
        <v>375</v>
      </c>
      <c r="Q62" s="19" t="s">
        <v>39</v>
      </c>
    </row>
    <row r="63" spans="1:22" ht="13.2" x14ac:dyDescent="0.25">
      <c r="A63" s="19" t="s">
        <v>376</v>
      </c>
      <c r="B63" s="19" t="s">
        <v>377</v>
      </c>
      <c r="C63" s="19">
        <v>9503169909</v>
      </c>
      <c r="I63" s="19" t="s">
        <v>378</v>
      </c>
      <c r="N63" s="19" t="s">
        <v>57</v>
      </c>
      <c r="O63" s="19" t="s">
        <v>379</v>
      </c>
    </row>
    <row r="64" spans="1:22" ht="13.8" x14ac:dyDescent="0.3">
      <c r="A64" s="16" t="s">
        <v>380</v>
      </c>
      <c r="B64" s="18" t="s">
        <v>298</v>
      </c>
      <c r="C64" s="16">
        <v>9970224464</v>
      </c>
      <c r="D64" s="6"/>
      <c r="E64" s="17" t="s">
        <v>381</v>
      </c>
      <c r="F64" s="7"/>
      <c r="G64" s="6"/>
      <c r="H64" s="6"/>
      <c r="I64" s="17" t="s">
        <v>382</v>
      </c>
      <c r="J64" s="7"/>
      <c r="K64" s="7"/>
      <c r="L64" s="7"/>
      <c r="M64" s="7"/>
      <c r="N64" s="7"/>
      <c r="O64" s="16" t="s">
        <v>383</v>
      </c>
      <c r="P64" s="9"/>
      <c r="Q64" s="11" t="s">
        <v>296</v>
      </c>
      <c r="R64" s="7"/>
      <c r="S64" s="7"/>
      <c r="T64" s="7"/>
      <c r="U64" s="7"/>
      <c r="V64" s="7"/>
    </row>
    <row r="65" spans="1:22" ht="14.4" x14ac:dyDescent="0.3">
      <c r="A65" s="16" t="s">
        <v>384</v>
      </c>
      <c r="B65" s="18" t="s">
        <v>385</v>
      </c>
      <c r="C65" s="16">
        <v>7977591873</v>
      </c>
      <c r="D65" s="6"/>
      <c r="E65" s="17" t="s">
        <v>386</v>
      </c>
      <c r="F65" s="7"/>
      <c r="G65" s="6"/>
      <c r="H65" s="6"/>
      <c r="I65" s="17" t="s">
        <v>387</v>
      </c>
      <c r="J65" s="7"/>
      <c r="K65" s="7"/>
      <c r="L65" s="7"/>
      <c r="M65" s="7"/>
      <c r="N65" s="7"/>
      <c r="O65" s="24" t="s">
        <v>388</v>
      </c>
      <c r="P65" s="9"/>
      <c r="Q65" s="11" t="s">
        <v>385</v>
      </c>
      <c r="R65" s="7"/>
      <c r="S65" s="7"/>
      <c r="T65" s="7"/>
      <c r="U65" s="7"/>
      <c r="V65" s="7"/>
    </row>
    <row r="66" spans="1:22" ht="14.4" x14ac:dyDescent="0.3">
      <c r="A66" s="16" t="s">
        <v>389</v>
      </c>
      <c r="B66" s="18"/>
      <c r="C66" s="16">
        <v>9768541132</v>
      </c>
      <c r="D66" s="6"/>
      <c r="E66" s="17" t="s">
        <v>390</v>
      </c>
      <c r="F66" s="7"/>
      <c r="G66" s="6"/>
      <c r="H66" s="6"/>
      <c r="I66" s="17" t="s">
        <v>391</v>
      </c>
      <c r="J66" s="7"/>
      <c r="K66" s="7"/>
      <c r="L66" s="7"/>
      <c r="M66" s="7"/>
      <c r="N66" s="7"/>
      <c r="O66" s="24" t="s">
        <v>392</v>
      </c>
      <c r="P66" s="9"/>
      <c r="Q66" s="11"/>
      <c r="R66" s="7"/>
      <c r="S66" s="7"/>
      <c r="T66" s="7"/>
      <c r="U66" s="7"/>
      <c r="V66" s="7"/>
    </row>
    <row r="67" spans="1:22" ht="13.8" x14ac:dyDescent="0.3">
      <c r="A67" s="16" t="s">
        <v>393</v>
      </c>
      <c r="B67" s="18" t="s">
        <v>192</v>
      </c>
      <c r="C67" s="16">
        <v>9821915651</v>
      </c>
      <c r="D67" s="6"/>
      <c r="E67" s="17" t="s">
        <v>394</v>
      </c>
      <c r="F67" s="7"/>
      <c r="G67" s="6"/>
      <c r="H67" s="6"/>
      <c r="I67" s="17" t="s">
        <v>395</v>
      </c>
      <c r="J67" s="7"/>
      <c r="K67" s="7"/>
      <c r="L67" s="7"/>
      <c r="M67" s="7"/>
      <c r="N67" s="7"/>
      <c r="O67" s="16" t="s">
        <v>396</v>
      </c>
      <c r="P67" s="9"/>
      <c r="Q67" s="4" t="s">
        <v>148</v>
      </c>
      <c r="R67" s="7"/>
      <c r="S67" s="7"/>
      <c r="T67" s="7"/>
      <c r="U67" s="7"/>
      <c r="V67" s="7"/>
    </row>
    <row r="68" spans="1:22" ht="13.8" x14ac:dyDescent="0.3">
      <c r="A68" s="16" t="s">
        <v>397</v>
      </c>
      <c r="B68" s="18" t="s">
        <v>398</v>
      </c>
      <c r="C68" s="16">
        <v>7775965644</v>
      </c>
      <c r="D68" s="6"/>
      <c r="E68" s="17" t="s">
        <v>399</v>
      </c>
      <c r="F68" s="7"/>
      <c r="G68" s="6"/>
      <c r="H68" s="6"/>
      <c r="I68" s="17" t="s">
        <v>400</v>
      </c>
      <c r="J68" s="7"/>
      <c r="K68" s="7"/>
      <c r="L68" s="7"/>
      <c r="M68" s="7"/>
      <c r="N68" s="7"/>
      <c r="O68" s="16" t="s">
        <v>401</v>
      </c>
      <c r="P68" s="9"/>
      <c r="Q68" s="4" t="s">
        <v>29</v>
      </c>
      <c r="R68" s="7"/>
      <c r="S68" s="7"/>
      <c r="T68" s="7"/>
      <c r="U68" s="7"/>
      <c r="V68" s="7"/>
    </row>
    <row r="69" spans="1:22" ht="13.8" x14ac:dyDescent="0.3">
      <c r="A69" s="16" t="s">
        <v>402</v>
      </c>
      <c r="B69" s="18" t="s">
        <v>398</v>
      </c>
      <c r="C69" s="16">
        <v>8108166699</v>
      </c>
      <c r="D69" s="6"/>
      <c r="E69" s="17" t="s">
        <v>403</v>
      </c>
      <c r="F69" s="7"/>
      <c r="G69" s="6"/>
      <c r="H69" s="6"/>
      <c r="I69" s="17" t="s">
        <v>404</v>
      </c>
      <c r="J69" s="7"/>
      <c r="K69" s="7"/>
      <c r="L69" s="7"/>
      <c r="M69" s="7"/>
      <c r="N69" s="7"/>
      <c r="O69" s="16" t="s">
        <v>392</v>
      </c>
      <c r="P69" s="9"/>
      <c r="Q69" s="4" t="s">
        <v>29</v>
      </c>
      <c r="R69" s="7"/>
      <c r="S69" s="7"/>
      <c r="T69" s="7"/>
      <c r="U69" s="7"/>
      <c r="V69" s="7"/>
    </row>
    <row r="70" spans="1:22" ht="13.8" x14ac:dyDescent="0.3">
      <c r="A70" s="16" t="s">
        <v>405</v>
      </c>
      <c r="B70" s="18" t="s">
        <v>406</v>
      </c>
      <c r="C70" s="16">
        <v>9975556663</v>
      </c>
      <c r="D70" s="6"/>
      <c r="E70" s="17" t="s">
        <v>407</v>
      </c>
      <c r="F70" s="7"/>
      <c r="G70" s="6"/>
      <c r="H70" s="6"/>
      <c r="I70" s="17" t="s">
        <v>408</v>
      </c>
      <c r="J70" s="7"/>
      <c r="K70" s="7"/>
      <c r="L70" s="7"/>
      <c r="M70" s="7"/>
      <c r="N70" s="7"/>
      <c r="O70" s="16" t="s">
        <v>409</v>
      </c>
      <c r="P70" s="9"/>
      <c r="Q70" s="4" t="s">
        <v>165</v>
      </c>
      <c r="R70" s="7"/>
      <c r="S70" s="7"/>
      <c r="T70" s="7"/>
      <c r="U70" s="7"/>
      <c r="V70" s="7"/>
    </row>
    <row r="71" spans="1:22" ht="13.8" x14ac:dyDescent="0.3">
      <c r="A71" s="16" t="s">
        <v>410</v>
      </c>
      <c r="B71" s="18" t="s">
        <v>411</v>
      </c>
      <c r="C71" s="16">
        <v>9769059060</v>
      </c>
      <c r="D71" s="6"/>
      <c r="E71" s="17" t="s">
        <v>412</v>
      </c>
      <c r="F71" s="7"/>
      <c r="G71" s="6"/>
      <c r="H71" s="6"/>
      <c r="I71" s="17" t="s">
        <v>413</v>
      </c>
      <c r="J71" s="7"/>
      <c r="K71" s="7"/>
      <c r="L71" s="7"/>
      <c r="M71" s="7"/>
      <c r="N71" s="7"/>
      <c r="O71" s="16" t="s">
        <v>414</v>
      </c>
      <c r="P71" s="9"/>
      <c r="Q71" s="4" t="s">
        <v>165</v>
      </c>
      <c r="R71" s="7"/>
      <c r="S71" s="7"/>
      <c r="T71" s="7"/>
      <c r="U71" s="7"/>
      <c r="V71" s="7"/>
    </row>
    <row r="72" spans="1:22" ht="13.8" x14ac:dyDescent="0.3">
      <c r="A72" s="25" t="s">
        <v>415</v>
      </c>
      <c r="B72" s="26" t="s">
        <v>416</v>
      </c>
      <c r="C72" s="25">
        <v>7709650503</v>
      </c>
      <c r="D72" s="6"/>
      <c r="E72" s="27" t="s">
        <v>417</v>
      </c>
      <c r="F72" s="7"/>
      <c r="G72" s="6"/>
      <c r="H72" s="6"/>
      <c r="I72" s="27" t="s">
        <v>277</v>
      </c>
      <c r="J72" s="7"/>
      <c r="K72" s="7"/>
      <c r="L72" s="7"/>
      <c r="M72" s="7"/>
      <c r="N72" s="7"/>
      <c r="O72" s="25" t="s">
        <v>418</v>
      </c>
      <c r="P72" s="9"/>
      <c r="Q72" s="4" t="s">
        <v>165</v>
      </c>
      <c r="R72" s="7"/>
      <c r="S72" s="7"/>
      <c r="T72" s="7"/>
      <c r="U72" s="7"/>
      <c r="V72" s="7"/>
    </row>
    <row r="73" spans="1:22" ht="13.8" x14ac:dyDescent="0.3">
      <c r="A73" s="25" t="s">
        <v>419</v>
      </c>
      <c r="B73" s="26" t="s">
        <v>39</v>
      </c>
      <c r="C73" s="25">
        <v>7385452088</v>
      </c>
      <c r="D73" s="6"/>
      <c r="E73" s="27" t="s">
        <v>420</v>
      </c>
      <c r="F73" s="7"/>
      <c r="G73" s="6"/>
      <c r="H73" s="6"/>
      <c r="I73" s="27" t="s">
        <v>421</v>
      </c>
      <c r="J73" s="7"/>
      <c r="K73" s="7"/>
      <c r="L73" s="7"/>
      <c r="M73" s="7"/>
      <c r="N73" s="7"/>
      <c r="O73" s="25" t="s">
        <v>418</v>
      </c>
      <c r="P73" s="9"/>
      <c r="Q73" s="4" t="s">
        <v>172</v>
      </c>
      <c r="R73" s="7"/>
      <c r="S73" s="7"/>
      <c r="T73" s="7"/>
      <c r="U73" s="7"/>
      <c r="V73" s="7"/>
    </row>
    <row r="74" spans="1:22" ht="13.8" x14ac:dyDescent="0.3">
      <c r="A74" s="25" t="s">
        <v>422</v>
      </c>
      <c r="B74" s="26" t="s">
        <v>39</v>
      </c>
      <c r="C74" s="25">
        <v>9822325911</v>
      </c>
      <c r="D74" s="6"/>
      <c r="E74" s="27" t="s">
        <v>423</v>
      </c>
      <c r="F74" s="7"/>
      <c r="G74" s="6"/>
      <c r="H74" s="6"/>
      <c r="I74" s="27" t="s">
        <v>424</v>
      </c>
      <c r="J74" s="7"/>
      <c r="K74" s="7"/>
      <c r="L74" s="7"/>
      <c r="M74" s="7"/>
      <c r="N74" s="7"/>
      <c r="O74" s="25" t="s">
        <v>425</v>
      </c>
      <c r="P74" s="9"/>
      <c r="Q74" s="4" t="s">
        <v>29</v>
      </c>
      <c r="R74" s="7"/>
      <c r="S74" s="7"/>
      <c r="T74" s="7"/>
      <c r="U74" s="7"/>
      <c r="V74" s="7"/>
    </row>
    <row r="75" spans="1:22" ht="13.8" x14ac:dyDescent="0.3">
      <c r="A75" s="25" t="s">
        <v>426</v>
      </c>
      <c r="B75" s="26" t="s">
        <v>427</v>
      </c>
      <c r="C75" s="25">
        <v>8669244392</v>
      </c>
      <c r="D75" s="6"/>
      <c r="E75" s="27" t="s">
        <v>428</v>
      </c>
      <c r="F75" s="7"/>
      <c r="G75" s="6"/>
      <c r="H75" s="6"/>
      <c r="I75" s="27" t="s">
        <v>429</v>
      </c>
      <c r="J75" s="7"/>
      <c r="K75" s="7"/>
      <c r="L75" s="7"/>
      <c r="M75" s="7"/>
      <c r="N75" s="7"/>
      <c r="O75" s="25" t="s">
        <v>430</v>
      </c>
      <c r="P75" s="9"/>
      <c r="Q75" s="4" t="s">
        <v>39</v>
      </c>
      <c r="R75" s="7"/>
      <c r="S75" s="7"/>
      <c r="T75" s="7"/>
      <c r="U75" s="7"/>
      <c r="V75" s="7"/>
    </row>
    <row r="76" spans="1:22" ht="13.8" x14ac:dyDescent="0.3">
      <c r="A76" s="25" t="s">
        <v>431</v>
      </c>
      <c r="B76" s="26" t="s">
        <v>432</v>
      </c>
      <c r="C76" s="25">
        <v>7709933705</v>
      </c>
      <c r="D76" s="6"/>
      <c r="E76" s="27" t="s">
        <v>433</v>
      </c>
      <c r="F76" s="7"/>
      <c r="G76" s="6"/>
      <c r="H76" s="6"/>
      <c r="I76" s="27" t="s">
        <v>434</v>
      </c>
      <c r="J76" s="7"/>
      <c r="K76" s="7"/>
      <c r="L76" s="7"/>
      <c r="M76" s="7"/>
      <c r="N76" s="7"/>
      <c r="O76" s="25" t="s">
        <v>435</v>
      </c>
      <c r="P76" s="9"/>
      <c r="Q76" s="4" t="s">
        <v>39</v>
      </c>
      <c r="R76" s="7"/>
      <c r="S76" s="7"/>
      <c r="T76" s="7"/>
      <c r="U76" s="7"/>
      <c r="V76" s="7"/>
    </row>
    <row r="77" spans="1:22" ht="13.8" x14ac:dyDescent="0.3">
      <c r="A77" s="25" t="s">
        <v>436</v>
      </c>
      <c r="B77" s="26" t="s">
        <v>437</v>
      </c>
      <c r="C77" s="25">
        <v>8483949197</v>
      </c>
      <c r="D77" s="6"/>
      <c r="E77" s="27" t="s">
        <v>438</v>
      </c>
      <c r="F77" s="7"/>
      <c r="G77" s="6"/>
      <c r="H77" s="6"/>
      <c r="I77" s="27" t="s">
        <v>439</v>
      </c>
      <c r="J77" s="7"/>
      <c r="K77" s="7"/>
      <c r="L77" s="7"/>
      <c r="M77" s="7"/>
      <c r="N77" s="7"/>
      <c r="O77" s="25" t="s">
        <v>440</v>
      </c>
      <c r="P77" s="9"/>
      <c r="Q77" s="4" t="s">
        <v>39</v>
      </c>
      <c r="R77" s="7"/>
      <c r="S77" s="7"/>
      <c r="T77" s="7"/>
      <c r="U77" s="7"/>
      <c r="V77" s="7"/>
    </row>
    <row r="78" spans="1:22" ht="13.8" x14ac:dyDescent="0.3">
      <c r="A78" s="25" t="s">
        <v>441</v>
      </c>
      <c r="B78" s="26" t="s">
        <v>442</v>
      </c>
      <c r="C78" s="25">
        <v>8767820785</v>
      </c>
      <c r="D78" s="6"/>
      <c r="E78" s="27" t="s">
        <v>443</v>
      </c>
      <c r="F78" s="7"/>
      <c r="G78" s="6"/>
      <c r="H78" s="6"/>
      <c r="I78" s="27" t="s">
        <v>444</v>
      </c>
      <c r="J78" s="7"/>
      <c r="K78" s="7"/>
      <c r="L78" s="7"/>
      <c r="M78" s="7"/>
      <c r="N78" s="7"/>
      <c r="O78" s="25" t="s">
        <v>445</v>
      </c>
      <c r="P78" s="9"/>
      <c r="Q78" s="4" t="s">
        <v>29</v>
      </c>
      <c r="R78" s="7"/>
      <c r="S78" s="7"/>
      <c r="T78" s="7"/>
      <c r="U78" s="7"/>
      <c r="V78" s="7"/>
    </row>
    <row r="79" spans="1:22" ht="13.8" x14ac:dyDescent="0.3">
      <c r="A79" s="25" t="s">
        <v>446</v>
      </c>
      <c r="B79" s="26" t="s">
        <v>447</v>
      </c>
      <c r="C79" s="25">
        <v>9923757711</v>
      </c>
      <c r="D79" s="6"/>
      <c r="E79" s="27" t="s">
        <v>448</v>
      </c>
      <c r="F79" s="7"/>
      <c r="G79" s="6"/>
      <c r="H79" s="6"/>
      <c r="I79" s="27" t="s">
        <v>449</v>
      </c>
      <c r="J79" s="7"/>
      <c r="K79" s="7"/>
      <c r="L79" s="7"/>
      <c r="M79" s="7"/>
      <c r="N79" s="7"/>
      <c r="O79" s="25" t="s">
        <v>450</v>
      </c>
      <c r="P79" s="9"/>
      <c r="Q79" s="4" t="s">
        <v>39</v>
      </c>
      <c r="R79" s="7"/>
      <c r="S79" s="7"/>
      <c r="T79" s="7"/>
      <c r="U79" s="7"/>
      <c r="V79" s="7"/>
    </row>
    <row r="80" spans="1:22" ht="13.8" x14ac:dyDescent="0.3">
      <c r="A80" s="25" t="s">
        <v>451</v>
      </c>
      <c r="B80" s="26" t="s">
        <v>452</v>
      </c>
      <c r="C80" s="25">
        <f>919730042977</f>
        <v>919730042977</v>
      </c>
      <c r="D80" s="6"/>
      <c r="E80" s="27" t="s">
        <v>453</v>
      </c>
      <c r="F80" s="7"/>
      <c r="G80" s="6"/>
      <c r="H80" s="6"/>
      <c r="I80" s="27" t="s">
        <v>454</v>
      </c>
      <c r="J80" s="7"/>
      <c r="K80" s="7"/>
      <c r="L80" s="7"/>
      <c r="M80" s="7"/>
      <c r="N80" s="7"/>
      <c r="O80" s="25" t="s">
        <v>455</v>
      </c>
      <c r="P80" s="9"/>
      <c r="Q80" s="4" t="s">
        <v>192</v>
      </c>
      <c r="R80" s="7"/>
      <c r="S80" s="7"/>
      <c r="T80" s="7"/>
      <c r="U80" s="7"/>
      <c r="V80" s="7"/>
    </row>
    <row r="81" spans="1:22" ht="13.8" x14ac:dyDescent="0.3">
      <c r="A81" s="25" t="s">
        <v>456</v>
      </c>
      <c r="B81" s="26" t="s">
        <v>457</v>
      </c>
      <c r="C81" s="25">
        <f>919359284079</f>
        <v>919359284079</v>
      </c>
      <c r="D81" s="6"/>
      <c r="E81" s="27" t="s">
        <v>458</v>
      </c>
      <c r="F81" s="7"/>
      <c r="G81" s="6"/>
      <c r="H81" s="6"/>
      <c r="I81" s="27" t="s">
        <v>459</v>
      </c>
      <c r="J81" s="7"/>
      <c r="K81" s="7"/>
      <c r="L81" s="7"/>
      <c r="M81" s="7"/>
      <c r="N81" s="7"/>
      <c r="O81" s="25" t="s">
        <v>460</v>
      </c>
      <c r="P81" s="9"/>
      <c r="Q81" s="4" t="s">
        <v>196</v>
      </c>
      <c r="R81" s="7"/>
      <c r="S81" s="7"/>
      <c r="T81" s="7"/>
      <c r="U81" s="7"/>
      <c r="V81" s="7"/>
    </row>
    <row r="82" spans="1:22" ht="13.8" x14ac:dyDescent="0.3">
      <c r="A82" s="25" t="s">
        <v>461</v>
      </c>
      <c r="B82" s="26" t="s">
        <v>462</v>
      </c>
      <c r="C82" s="25">
        <v>9834907638</v>
      </c>
      <c r="D82" s="6"/>
      <c r="E82" s="27" t="s">
        <v>463</v>
      </c>
      <c r="F82" s="7"/>
      <c r="G82" s="6"/>
      <c r="H82" s="6"/>
      <c r="I82" s="27" t="s">
        <v>464</v>
      </c>
      <c r="J82" s="7"/>
      <c r="K82" s="7"/>
      <c r="L82" s="7"/>
      <c r="M82" s="7"/>
      <c r="N82" s="7"/>
      <c r="O82" s="25" t="s">
        <v>465</v>
      </c>
      <c r="P82" s="9"/>
      <c r="Q82" s="4" t="s">
        <v>206</v>
      </c>
      <c r="R82" s="7"/>
      <c r="S82" s="7"/>
      <c r="T82" s="7"/>
      <c r="U82" s="7"/>
      <c r="V82" s="7"/>
    </row>
    <row r="83" spans="1:22" ht="13.8" x14ac:dyDescent="0.3">
      <c r="A83" s="25" t="s">
        <v>466</v>
      </c>
      <c r="B83" s="26" t="s">
        <v>467</v>
      </c>
      <c r="C83" s="25">
        <v>9172823534</v>
      </c>
      <c r="D83" s="6"/>
      <c r="E83" s="27" t="s">
        <v>468</v>
      </c>
      <c r="F83" s="7"/>
      <c r="G83" s="6"/>
      <c r="H83" s="6"/>
      <c r="I83" s="27" t="s">
        <v>469</v>
      </c>
      <c r="J83" s="7"/>
      <c r="K83" s="7"/>
      <c r="L83" s="7"/>
      <c r="M83" s="7"/>
      <c r="N83" s="7"/>
      <c r="O83" s="25" t="s">
        <v>392</v>
      </c>
      <c r="P83" s="9"/>
      <c r="Q83" s="4" t="s">
        <v>165</v>
      </c>
      <c r="R83" s="7"/>
      <c r="S83" s="7"/>
      <c r="T83" s="7"/>
      <c r="U83" s="7"/>
      <c r="V83" s="7"/>
    </row>
    <row r="84" spans="1:22" ht="13.8" x14ac:dyDescent="0.3">
      <c r="A84" s="25" t="s">
        <v>470</v>
      </c>
      <c r="B84" s="26" t="s">
        <v>471</v>
      </c>
      <c r="C84" s="25">
        <v>9890683243</v>
      </c>
      <c r="D84" s="6"/>
      <c r="E84" s="27" t="s">
        <v>472</v>
      </c>
      <c r="F84" s="7"/>
      <c r="G84" s="6"/>
      <c r="H84" s="6"/>
      <c r="I84" s="27" t="s">
        <v>473</v>
      </c>
      <c r="J84" s="7"/>
      <c r="K84" s="7"/>
      <c r="L84" s="7"/>
      <c r="M84" s="7"/>
      <c r="N84" s="7"/>
      <c r="O84" s="25" t="s">
        <v>474</v>
      </c>
      <c r="P84" s="9"/>
      <c r="Q84" s="4" t="s">
        <v>165</v>
      </c>
      <c r="R84" s="7"/>
      <c r="S84" s="7"/>
      <c r="T84" s="7"/>
      <c r="U84" s="7"/>
      <c r="V84" s="7"/>
    </row>
    <row r="85" spans="1:22" ht="13.8" x14ac:dyDescent="0.3">
      <c r="A85" s="25" t="s">
        <v>475</v>
      </c>
      <c r="B85" s="26" t="s">
        <v>476</v>
      </c>
      <c r="C85" s="25">
        <f>919881610615</f>
        <v>919881610615</v>
      </c>
      <c r="D85" s="6"/>
      <c r="E85" s="27" t="s">
        <v>310</v>
      </c>
      <c r="F85" s="7"/>
      <c r="G85" s="6"/>
      <c r="H85" s="6"/>
      <c r="I85" s="27" t="s">
        <v>477</v>
      </c>
      <c r="J85" s="7"/>
      <c r="K85" s="7"/>
      <c r="L85" s="7"/>
      <c r="M85" s="7"/>
      <c r="N85" s="7"/>
      <c r="O85" s="25" t="s">
        <v>478</v>
      </c>
      <c r="P85" s="9"/>
      <c r="Q85" s="4" t="s">
        <v>39</v>
      </c>
      <c r="R85" s="7"/>
      <c r="S85" s="7"/>
      <c r="T85" s="7"/>
      <c r="U85" s="7"/>
      <c r="V85" s="7"/>
    </row>
    <row r="86" spans="1:22" ht="13.8" x14ac:dyDescent="0.3">
      <c r="A86" s="25" t="s">
        <v>479</v>
      </c>
      <c r="B86" s="26" t="s">
        <v>480</v>
      </c>
      <c r="C86" s="25">
        <v>9172823534</v>
      </c>
      <c r="D86" s="6"/>
      <c r="E86" s="27" t="s">
        <v>481</v>
      </c>
      <c r="F86" s="7"/>
      <c r="G86" s="6"/>
      <c r="H86" s="6"/>
      <c r="I86" s="27" t="s">
        <v>482</v>
      </c>
      <c r="J86" s="7"/>
      <c r="K86" s="7"/>
      <c r="L86" s="7"/>
      <c r="M86" s="7"/>
      <c r="N86" s="7"/>
      <c r="O86" s="25" t="s">
        <v>483</v>
      </c>
      <c r="P86" s="9"/>
      <c r="Q86" s="4" t="s">
        <v>39</v>
      </c>
      <c r="R86" s="7"/>
      <c r="S86" s="7"/>
      <c r="T86" s="7"/>
      <c r="U86" s="7"/>
      <c r="V86" s="7"/>
    </row>
    <row r="87" spans="1:22" ht="13.8" x14ac:dyDescent="0.3">
      <c r="A87" s="25" t="s">
        <v>484</v>
      </c>
      <c r="B87" s="26" t="s">
        <v>485</v>
      </c>
      <c r="C87" s="25">
        <v>8976209290</v>
      </c>
      <c r="D87" s="6"/>
      <c r="E87" s="27" t="s">
        <v>486</v>
      </c>
      <c r="F87" s="7"/>
      <c r="G87" s="6"/>
      <c r="H87" s="6"/>
      <c r="I87" s="27" t="s">
        <v>487</v>
      </c>
      <c r="J87" s="7"/>
      <c r="K87" s="7"/>
      <c r="L87" s="7"/>
      <c r="M87" s="7"/>
      <c r="N87" s="7"/>
      <c r="O87" s="25" t="s">
        <v>392</v>
      </c>
      <c r="P87" s="9"/>
      <c r="Q87" s="4" t="s">
        <v>39</v>
      </c>
      <c r="R87" s="7"/>
      <c r="S87" s="7"/>
      <c r="T87" s="7"/>
      <c r="U87" s="7"/>
      <c r="V87" s="7"/>
    </row>
    <row r="88" spans="1:22" ht="13.8" x14ac:dyDescent="0.3">
      <c r="A88" s="25" t="s">
        <v>488</v>
      </c>
      <c r="B88" s="26" t="s">
        <v>489</v>
      </c>
      <c r="C88" s="25">
        <v>9021176182</v>
      </c>
      <c r="D88" s="6"/>
      <c r="E88" s="27" t="s">
        <v>490</v>
      </c>
      <c r="F88" s="7"/>
      <c r="G88" s="6"/>
      <c r="H88" s="6"/>
      <c r="I88" s="27" t="s">
        <v>491</v>
      </c>
      <c r="J88" s="7"/>
      <c r="K88" s="7"/>
      <c r="L88" s="7"/>
      <c r="M88" s="7"/>
      <c r="N88" s="7"/>
      <c r="O88" s="25" t="s">
        <v>492</v>
      </c>
      <c r="P88" s="9"/>
      <c r="Q88" s="4" t="s">
        <v>39</v>
      </c>
      <c r="R88" s="7"/>
      <c r="S88" s="7"/>
      <c r="T88" s="7"/>
      <c r="U88" s="7"/>
      <c r="V88" s="7"/>
    </row>
    <row r="89" spans="1:22" ht="27.6" x14ac:dyDescent="0.3">
      <c r="A89" s="25" t="s">
        <v>493</v>
      </c>
      <c r="B89" s="26" t="s">
        <v>494</v>
      </c>
      <c r="C89" s="25">
        <v>9421554393</v>
      </c>
      <c r="D89" s="6"/>
      <c r="E89" s="27" t="s">
        <v>495</v>
      </c>
      <c r="F89" s="7"/>
      <c r="G89" s="6"/>
      <c r="H89" s="6"/>
      <c r="I89" s="27" t="s">
        <v>496</v>
      </c>
      <c r="J89" s="7"/>
      <c r="K89" s="7"/>
      <c r="L89" s="7"/>
      <c r="M89" s="7"/>
      <c r="N89" s="7"/>
      <c r="O89" s="25" t="s">
        <v>497</v>
      </c>
      <c r="P89" s="9"/>
      <c r="Q89" s="4" t="s">
        <v>29</v>
      </c>
      <c r="R89" s="7"/>
      <c r="S89" s="7"/>
      <c r="T89" s="7"/>
      <c r="U89" s="7"/>
      <c r="V89" s="7"/>
    </row>
    <row r="90" spans="1:22" ht="13.8" x14ac:dyDescent="0.3">
      <c r="A90" s="25" t="s">
        <v>498</v>
      </c>
      <c r="B90" s="26" t="s">
        <v>39</v>
      </c>
      <c r="C90" s="25">
        <v>9413819987</v>
      </c>
      <c r="D90" s="6"/>
      <c r="E90" s="27" t="s">
        <v>499</v>
      </c>
      <c r="F90" s="7"/>
      <c r="G90" s="6"/>
      <c r="H90" s="6"/>
      <c r="I90" s="27" t="s">
        <v>500</v>
      </c>
      <c r="J90" s="7"/>
      <c r="K90" s="7"/>
      <c r="L90" s="7"/>
      <c r="M90" s="7"/>
      <c r="N90" s="7"/>
      <c r="O90" s="25" t="s">
        <v>501</v>
      </c>
      <c r="P90" s="9"/>
      <c r="Q90" s="4" t="s">
        <v>39</v>
      </c>
      <c r="R90" s="7"/>
      <c r="S90" s="7"/>
      <c r="T90" s="7"/>
      <c r="U90" s="7"/>
      <c r="V90" s="7"/>
    </row>
    <row r="91" spans="1:22" ht="14.4" x14ac:dyDescent="0.3">
      <c r="A91" s="24" t="s">
        <v>502</v>
      </c>
      <c r="B91" s="28" t="s">
        <v>503</v>
      </c>
      <c r="C91" s="24">
        <v>9657037019</v>
      </c>
      <c r="D91" s="6"/>
      <c r="E91" s="29" t="s">
        <v>297</v>
      </c>
      <c r="F91" s="7"/>
      <c r="G91" s="6"/>
      <c r="H91" s="6"/>
      <c r="I91" s="29" t="s">
        <v>504</v>
      </c>
      <c r="J91" s="7"/>
      <c r="K91" s="7"/>
      <c r="L91" s="7"/>
      <c r="M91" s="7"/>
      <c r="N91" s="7"/>
      <c r="O91" s="24" t="s">
        <v>505</v>
      </c>
      <c r="P91" s="9"/>
      <c r="Q91" s="4" t="s">
        <v>165</v>
      </c>
      <c r="R91" s="7"/>
      <c r="S91" s="7"/>
      <c r="T91" s="7"/>
      <c r="U91" s="7"/>
      <c r="V91" s="7"/>
    </row>
    <row r="92" spans="1:22" ht="13.8" x14ac:dyDescent="0.3">
      <c r="A92" s="25" t="s">
        <v>506</v>
      </c>
      <c r="B92" s="30" t="s">
        <v>507</v>
      </c>
      <c r="C92" s="25">
        <v>9096954085</v>
      </c>
      <c r="D92" s="6"/>
      <c r="E92" s="27" t="s">
        <v>508</v>
      </c>
      <c r="F92" s="7"/>
      <c r="G92" s="6"/>
      <c r="H92" s="6"/>
      <c r="I92" s="27" t="s">
        <v>509</v>
      </c>
      <c r="J92" s="7"/>
      <c r="K92" s="7"/>
      <c r="L92" s="7"/>
      <c r="M92" s="7"/>
      <c r="N92" s="7"/>
      <c r="O92" s="25" t="s">
        <v>510</v>
      </c>
      <c r="P92" s="9"/>
      <c r="Q92" s="4" t="s">
        <v>29</v>
      </c>
      <c r="R92" s="7"/>
      <c r="S92" s="7"/>
      <c r="T92" s="7"/>
      <c r="U92" s="7"/>
      <c r="V92" s="7"/>
    </row>
    <row r="93" spans="1:22" ht="13.8" x14ac:dyDescent="0.3">
      <c r="A93" s="25" t="s">
        <v>511</v>
      </c>
      <c r="B93" s="26" t="s">
        <v>298</v>
      </c>
      <c r="C93" s="25">
        <v>7840984147</v>
      </c>
      <c r="D93" s="6"/>
      <c r="E93" s="27" t="s">
        <v>512</v>
      </c>
      <c r="F93" s="7"/>
      <c r="G93" s="6"/>
      <c r="H93" s="6"/>
      <c r="I93" s="27" t="s">
        <v>513</v>
      </c>
      <c r="J93" s="7"/>
      <c r="K93" s="7"/>
      <c r="L93" s="7"/>
      <c r="M93" s="7"/>
      <c r="N93" s="7"/>
      <c r="O93" s="25" t="s">
        <v>514</v>
      </c>
      <c r="P93" s="9"/>
      <c r="Q93" s="4" t="s">
        <v>172</v>
      </c>
      <c r="R93" s="7"/>
      <c r="S93" s="7"/>
      <c r="T93" s="7"/>
      <c r="U93" s="7"/>
      <c r="V93" s="7"/>
    </row>
    <row r="94" spans="1:22" ht="13.8" x14ac:dyDescent="0.3">
      <c r="A94" s="25" t="s">
        <v>515</v>
      </c>
      <c r="B94" s="26" t="s">
        <v>39</v>
      </c>
      <c r="C94" s="25">
        <v>7972792839</v>
      </c>
      <c r="D94" s="6"/>
      <c r="E94" s="27" t="s">
        <v>516</v>
      </c>
      <c r="F94" s="7"/>
      <c r="G94" s="6"/>
      <c r="H94" s="6"/>
      <c r="I94" s="27" t="s">
        <v>517</v>
      </c>
      <c r="J94" s="7"/>
      <c r="K94" s="7"/>
      <c r="L94" s="7"/>
      <c r="M94" s="7"/>
      <c r="N94" s="7"/>
      <c r="O94" s="25" t="s">
        <v>518</v>
      </c>
      <c r="P94" s="9"/>
      <c r="Q94" s="4" t="s">
        <v>172</v>
      </c>
      <c r="R94" s="7"/>
      <c r="S94" s="7"/>
      <c r="T94" s="7"/>
      <c r="U94" s="7"/>
      <c r="V94" s="7"/>
    </row>
    <row r="95" spans="1:22" ht="13.8" x14ac:dyDescent="0.3">
      <c r="A95" s="25" t="s">
        <v>519</v>
      </c>
      <c r="B95" s="26" t="s">
        <v>480</v>
      </c>
      <c r="C95" s="25">
        <v>9594073243</v>
      </c>
      <c r="D95" s="6"/>
      <c r="E95" s="27" t="s">
        <v>520</v>
      </c>
      <c r="F95" s="7"/>
      <c r="G95" s="6"/>
      <c r="H95" s="6"/>
      <c r="I95" s="27" t="s">
        <v>521</v>
      </c>
      <c r="J95" s="7"/>
      <c r="K95" s="7"/>
      <c r="L95" s="7"/>
      <c r="M95" s="7"/>
      <c r="N95" s="7"/>
      <c r="O95" s="25" t="s">
        <v>519</v>
      </c>
      <c r="P95" s="9"/>
      <c r="Q95" s="4" t="s">
        <v>172</v>
      </c>
      <c r="R95" s="7"/>
      <c r="S95" s="7"/>
      <c r="T95" s="7"/>
      <c r="U95" s="7"/>
      <c r="V95" s="7"/>
    </row>
    <row r="96" spans="1:22" ht="27.6" x14ac:dyDescent="0.3">
      <c r="A96" s="25" t="s">
        <v>522</v>
      </c>
      <c r="B96" s="26" t="s">
        <v>523</v>
      </c>
      <c r="C96" s="25">
        <v>9082270290</v>
      </c>
      <c r="D96" s="6"/>
      <c r="E96" s="27" t="s">
        <v>524</v>
      </c>
      <c r="F96" s="7"/>
      <c r="G96" s="6"/>
      <c r="H96" s="6"/>
      <c r="I96" s="27" t="s">
        <v>525</v>
      </c>
      <c r="J96" s="7"/>
      <c r="K96" s="7"/>
      <c r="L96" s="7"/>
      <c r="M96" s="7"/>
      <c r="N96" s="7"/>
      <c r="O96" s="31"/>
      <c r="P96" s="9"/>
      <c r="Q96" s="4" t="s">
        <v>172</v>
      </c>
      <c r="R96" s="7"/>
      <c r="S96" s="7"/>
      <c r="T96" s="7"/>
      <c r="U96" s="7"/>
      <c r="V96" s="7"/>
    </row>
    <row r="97" spans="1:22" ht="14.4" x14ac:dyDescent="0.3">
      <c r="A97" s="25" t="s">
        <v>526</v>
      </c>
      <c r="B97" s="26" t="s">
        <v>527</v>
      </c>
      <c r="C97" s="25">
        <v>9172195222</v>
      </c>
      <c r="D97" s="6"/>
      <c r="E97" s="27" t="s">
        <v>528</v>
      </c>
      <c r="F97" s="7"/>
      <c r="G97" s="6"/>
      <c r="H97" s="6"/>
      <c r="I97" s="27" t="s">
        <v>529</v>
      </c>
      <c r="J97" s="7"/>
      <c r="K97" s="7"/>
      <c r="L97" s="7"/>
      <c r="M97" s="7"/>
      <c r="N97" s="7"/>
      <c r="O97" s="31"/>
      <c r="P97" s="9"/>
      <c r="Q97" s="4" t="s">
        <v>172</v>
      </c>
      <c r="R97" s="7"/>
      <c r="S97" s="7"/>
      <c r="T97" s="7"/>
      <c r="U97" s="7"/>
      <c r="V97" s="7"/>
    </row>
    <row r="98" spans="1:22" ht="13.8" x14ac:dyDescent="0.3">
      <c r="A98" s="25" t="s">
        <v>530</v>
      </c>
      <c r="B98" s="26" t="s">
        <v>192</v>
      </c>
      <c r="C98" s="25">
        <v>8828498824</v>
      </c>
      <c r="D98" s="6"/>
      <c r="E98" s="27" t="s">
        <v>531</v>
      </c>
      <c r="F98" s="7"/>
      <c r="G98" s="6"/>
      <c r="H98" s="6"/>
      <c r="I98" s="27" t="s">
        <v>532</v>
      </c>
      <c r="J98" s="7"/>
      <c r="K98" s="7"/>
      <c r="L98" s="7"/>
      <c r="M98" s="7"/>
      <c r="N98" s="7"/>
      <c r="O98" s="25" t="s">
        <v>533</v>
      </c>
      <c r="P98" s="9"/>
      <c r="Q98" s="14" t="s">
        <v>172</v>
      </c>
      <c r="R98" s="7"/>
      <c r="S98" s="7"/>
      <c r="T98" s="7"/>
      <c r="U98" s="7"/>
      <c r="V98" s="7"/>
    </row>
    <row r="99" spans="1:22" ht="14.4" x14ac:dyDescent="0.3">
      <c r="A99" s="25" t="s">
        <v>534</v>
      </c>
      <c r="B99" s="26" t="s">
        <v>535</v>
      </c>
      <c r="C99" s="25">
        <v>8779202062</v>
      </c>
      <c r="D99" s="6"/>
      <c r="E99" s="27" t="s">
        <v>536</v>
      </c>
      <c r="F99" s="7"/>
      <c r="G99" s="6"/>
      <c r="H99" s="6"/>
      <c r="I99" s="27" t="s">
        <v>537</v>
      </c>
      <c r="J99" s="7"/>
      <c r="K99" s="7"/>
      <c r="L99" s="7"/>
      <c r="M99" s="7"/>
      <c r="N99" s="7"/>
      <c r="O99" s="31"/>
      <c r="P99" s="9"/>
      <c r="Q99" s="4" t="s">
        <v>172</v>
      </c>
      <c r="R99" s="7"/>
      <c r="S99" s="7"/>
      <c r="T99" s="7"/>
      <c r="U99" s="7"/>
      <c r="V99" s="7"/>
    </row>
    <row r="100" spans="1:22" ht="14.4" x14ac:dyDescent="0.3">
      <c r="A100" s="25" t="s">
        <v>538</v>
      </c>
      <c r="B100" s="26" t="s">
        <v>539</v>
      </c>
      <c r="C100" s="25">
        <v>7045951762</v>
      </c>
      <c r="D100" s="6"/>
      <c r="E100" s="27" t="s">
        <v>540</v>
      </c>
      <c r="F100" s="7"/>
      <c r="G100" s="6"/>
      <c r="H100" s="6"/>
      <c r="I100" s="27" t="s">
        <v>541</v>
      </c>
      <c r="J100" s="7"/>
      <c r="K100" s="7"/>
      <c r="L100" s="7"/>
      <c r="M100" s="7"/>
      <c r="N100" s="7"/>
      <c r="O100" s="31"/>
      <c r="P100" s="9"/>
      <c r="Q100" s="4" t="s">
        <v>29</v>
      </c>
      <c r="R100" s="7"/>
      <c r="S100" s="7"/>
      <c r="T100" s="7"/>
      <c r="U100" s="7"/>
      <c r="V100" s="7"/>
    </row>
    <row r="101" spans="1:22" ht="14.4" x14ac:dyDescent="0.3">
      <c r="A101" s="25" t="s">
        <v>542</v>
      </c>
      <c r="B101" s="26" t="s">
        <v>543</v>
      </c>
      <c r="C101" s="25">
        <v>9867821771</v>
      </c>
      <c r="D101" s="6"/>
      <c r="E101" s="27" t="s">
        <v>390</v>
      </c>
      <c r="F101" s="7"/>
      <c r="G101" s="6"/>
      <c r="H101" s="6"/>
      <c r="I101" s="27" t="s">
        <v>544</v>
      </c>
      <c r="J101" s="7"/>
      <c r="K101" s="7"/>
      <c r="L101" s="7"/>
      <c r="M101" s="7"/>
      <c r="N101" s="7"/>
      <c r="O101" s="31"/>
      <c r="P101" s="9"/>
      <c r="Q101" s="4" t="s">
        <v>269</v>
      </c>
      <c r="R101" s="7"/>
      <c r="S101" s="7"/>
      <c r="T101" s="7"/>
      <c r="U101" s="7"/>
      <c r="V101" s="7"/>
    </row>
    <row r="102" spans="1:22" ht="18" customHeight="1" x14ac:dyDescent="0.3">
      <c r="A102" s="25" t="s">
        <v>545</v>
      </c>
      <c r="B102" s="26" t="s">
        <v>39</v>
      </c>
      <c r="C102" s="25">
        <v>8411818813</v>
      </c>
      <c r="D102" s="6"/>
      <c r="E102" s="27" t="s">
        <v>546</v>
      </c>
      <c r="F102" s="7"/>
      <c r="G102" s="6"/>
      <c r="H102" s="6"/>
      <c r="I102" s="27" t="s">
        <v>547</v>
      </c>
      <c r="J102" s="7"/>
      <c r="K102" s="7"/>
      <c r="L102" s="7"/>
      <c r="M102" s="7"/>
      <c r="N102" s="7"/>
      <c r="O102" s="25" t="s">
        <v>548</v>
      </c>
      <c r="P102" s="9"/>
      <c r="Q102" s="4" t="s">
        <v>39</v>
      </c>
      <c r="R102" s="7"/>
      <c r="S102" s="7"/>
      <c r="T102" s="7"/>
      <c r="U102" s="7"/>
      <c r="V102" s="7"/>
    </row>
    <row r="103" spans="1:22" ht="13.8" x14ac:dyDescent="0.3">
      <c r="A103" s="25" t="s">
        <v>549</v>
      </c>
      <c r="B103" s="26" t="s">
        <v>550</v>
      </c>
      <c r="C103" s="25">
        <v>9689471199</v>
      </c>
      <c r="D103" s="6"/>
      <c r="E103" s="27" t="s">
        <v>551</v>
      </c>
      <c r="F103" s="7"/>
      <c r="G103" s="6"/>
      <c r="H103" s="6"/>
      <c r="I103" s="27" t="s">
        <v>552</v>
      </c>
      <c r="J103" s="7"/>
      <c r="K103" s="7"/>
      <c r="L103" s="7"/>
      <c r="M103" s="7"/>
      <c r="N103" s="7"/>
      <c r="O103" s="25" t="s">
        <v>514</v>
      </c>
      <c r="P103" s="9"/>
      <c r="Q103" s="4" t="s">
        <v>192</v>
      </c>
      <c r="R103" s="7"/>
      <c r="S103" s="7"/>
      <c r="T103" s="7"/>
      <c r="U103" s="7"/>
      <c r="V103" s="7"/>
    </row>
    <row r="104" spans="1:22" ht="13.8" x14ac:dyDescent="0.3">
      <c r="A104" s="25" t="s">
        <v>553</v>
      </c>
      <c r="B104" s="26" t="s">
        <v>192</v>
      </c>
      <c r="C104" s="25">
        <v>9867502111</v>
      </c>
      <c r="D104" s="6"/>
      <c r="E104" s="27" t="s">
        <v>554</v>
      </c>
      <c r="F104" s="7"/>
      <c r="G104" s="6"/>
      <c r="H104" s="6"/>
      <c r="I104" s="27" t="s">
        <v>555</v>
      </c>
      <c r="J104" s="7"/>
      <c r="K104" s="7"/>
      <c r="L104" s="7"/>
      <c r="M104" s="7"/>
      <c r="N104" s="7"/>
      <c r="O104" s="25" t="s">
        <v>556</v>
      </c>
      <c r="P104" s="9"/>
      <c r="Q104" s="26" t="s">
        <v>192</v>
      </c>
      <c r="R104" s="7"/>
      <c r="S104" s="7"/>
      <c r="T104" s="7"/>
      <c r="U104" s="7"/>
      <c r="V104" s="7"/>
    </row>
    <row r="105" spans="1:22" ht="13.8" x14ac:dyDescent="0.3">
      <c r="A105" s="25" t="s">
        <v>557</v>
      </c>
      <c r="B105" s="26" t="s">
        <v>206</v>
      </c>
      <c r="C105" s="25">
        <v>7745069147</v>
      </c>
      <c r="D105" s="6"/>
      <c r="E105" s="27" t="s">
        <v>558</v>
      </c>
      <c r="F105" s="7"/>
      <c r="G105" s="6"/>
      <c r="H105" s="6"/>
      <c r="I105" s="27" t="s">
        <v>559</v>
      </c>
      <c r="J105" s="7"/>
      <c r="K105" s="7"/>
      <c r="L105" s="7"/>
      <c r="M105" s="7"/>
      <c r="N105" s="7"/>
      <c r="O105" s="25" t="s">
        <v>560</v>
      </c>
      <c r="P105" s="9"/>
      <c r="Q105" s="26" t="s">
        <v>206</v>
      </c>
      <c r="R105" s="7"/>
      <c r="S105" s="7"/>
      <c r="T105" s="7"/>
      <c r="U105" s="7"/>
      <c r="V105" s="7"/>
    </row>
    <row r="106" spans="1:22" ht="14.4" x14ac:dyDescent="0.3">
      <c r="A106" s="25" t="s">
        <v>514</v>
      </c>
      <c r="B106" s="26" t="s">
        <v>39</v>
      </c>
      <c r="C106" s="25" t="s">
        <v>637</v>
      </c>
      <c r="D106" s="6"/>
      <c r="E106" s="27" t="s">
        <v>561</v>
      </c>
      <c r="F106" s="7"/>
      <c r="G106" s="6"/>
      <c r="H106" s="6"/>
      <c r="I106" s="27" t="s">
        <v>562</v>
      </c>
      <c r="J106" s="7"/>
      <c r="K106" s="7"/>
      <c r="L106" s="7"/>
      <c r="M106" s="7"/>
      <c r="N106" s="7"/>
      <c r="O106" s="31"/>
      <c r="P106" s="9"/>
      <c r="Q106" s="26" t="s">
        <v>39</v>
      </c>
      <c r="R106" s="7"/>
      <c r="S106" s="7"/>
      <c r="T106" s="7"/>
      <c r="U106" s="7"/>
      <c r="V106" s="7"/>
    </row>
    <row r="107" spans="1:22" ht="13.8" x14ac:dyDescent="0.3">
      <c r="A107" s="25" t="s">
        <v>563</v>
      </c>
      <c r="B107" s="26" t="s">
        <v>39</v>
      </c>
      <c r="C107" s="25">
        <v>9511250623</v>
      </c>
      <c r="D107" s="6"/>
      <c r="E107" s="27" t="s">
        <v>564</v>
      </c>
      <c r="F107" s="7"/>
      <c r="G107" s="6"/>
      <c r="H107" s="6"/>
      <c r="I107" s="27" t="s">
        <v>565</v>
      </c>
      <c r="J107" s="7"/>
      <c r="K107" s="7"/>
      <c r="L107" s="7"/>
      <c r="M107" s="7"/>
      <c r="N107" s="7"/>
      <c r="O107" s="25" t="s">
        <v>566</v>
      </c>
      <c r="P107" s="9"/>
      <c r="Q107" s="26" t="s">
        <v>39</v>
      </c>
      <c r="R107" s="7"/>
      <c r="S107" s="7"/>
      <c r="T107" s="7"/>
      <c r="U107" s="7"/>
      <c r="V107" s="7"/>
    </row>
    <row r="108" spans="1:22" ht="13.8" x14ac:dyDescent="0.3">
      <c r="A108" s="16" t="s">
        <v>567</v>
      </c>
      <c r="B108" s="18" t="s">
        <v>568</v>
      </c>
      <c r="C108" s="16">
        <v>9518946423</v>
      </c>
      <c r="D108" s="6"/>
      <c r="E108" s="17" t="s">
        <v>569</v>
      </c>
      <c r="F108" s="7"/>
      <c r="G108" s="6"/>
      <c r="H108" s="6"/>
      <c r="I108" s="17" t="s">
        <v>570</v>
      </c>
      <c r="J108" s="7"/>
      <c r="K108" s="7"/>
      <c r="L108" s="7"/>
      <c r="M108" s="7"/>
      <c r="N108" s="7"/>
      <c r="O108" s="16" t="s">
        <v>571</v>
      </c>
      <c r="P108" s="9"/>
      <c r="Q108" s="4" t="s">
        <v>39</v>
      </c>
      <c r="R108" s="7"/>
      <c r="S108" s="7"/>
      <c r="T108" s="7"/>
      <c r="U108" s="7"/>
      <c r="V108" s="7"/>
    </row>
    <row r="109" spans="1:22" ht="13.8" x14ac:dyDescent="0.3">
      <c r="A109" s="16" t="s">
        <v>572</v>
      </c>
      <c r="B109" s="18" t="s">
        <v>165</v>
      </c>
      <c r="C109" s="16">
        <v>9975601221</v>
      </c>
      <c r="D109" s="6"/>
      <c r="E109" s="17" t="s">
        <v>573</v>
      </c>
      <c r="F109" s="7"/>
      <c r="G109" s="6"/>
      <c r="H109" s="6"/>
      <c r="I109" s="17" t="s">
        <v>574</v>
      </c>
      <c r="J109" s="7"/>
      <c r="K109" s="7"/>
      <c r="L109" s="7"/>
      <c r="M109" s="7"/>
      <c r="N109" s="7"/>
      <c r="O109" s="16" t="s">
        <v>566</v>
      </c>
      <c r="P109" s="9"/>
      <c r="Q109" s="4" t="s">
        <v>165</v>
      </c>
      <c r="R109" s="7"/>
      <c r="S109" s="7"/>
      <c r="T109" s="7"/>
      <c r="U109" s="7"/>
      <c r="V109" s="7"/>
    </row>
    <row r="110" spans="1:22" ht="13.8" x14ac:dyDescent="0.3">
      <c r="A110" s="16" t="s">
        <v>575</v>
      </c>
      <c r="B110" s="18" t="s">
        <v>576</v>
      </c>
      <c r="C110" s="16">
        <f>919270401501</f>
        <v>919270401501</v>
      </c>
      <c r="D110" s="6"/>
      <c r="E110" s="17" t="s">
        <v>577</v>
      </c>
      <c r="F110" s="7"/>
      <c r="G110" s="6"/>
      <c r="H110" s="6"/>
      <c r="I110" s="17" t="s">
        <v>578</v>
      </c>
      <c r="J110" s="7"/>
      <c r="K110" s="7"/>
      <c r="L110" s="7"/>
      <c r="M110" s="7"/>
      <c r="N110" s="7"/>
      <c r="O110" s="16" t="s">
        <v>579</v>
      </c>
      <c r="P110" s="9"/>
      <c r="Q110" s="14" t="s">
        <v>192</v>
      </c>
      <c r="R110" s="7"/>
      <c r="S110" s="7"/>
      <c r="T110" s="7"/>
      <c r="U110" s="7"/>
      <c r="V110" s="7"/>
    </row>
    <row r="111" spans="1:22" ht="13.8" x14ac:dyDescent="0.3">
      <c r="A111" s="16" t="s">
        <v>580</v>
      </c>
      <c r="B111" s="18" t="s">
        <v>576</v>
      </c>
      <c r="C111" s="16">
        <v>8007222202</v>
      </c>
      <c r="D111" s="6"/>
      <c r="E111" s="17" t="s">
        <v>577</v>
      </c>
      <c r="F111" s="7"/>
      <c r="G111" s="6"/>
      <c r="H111" s="6"/>
      <c r="I111" s="17" t="s">
        <v>581</v>
      </c>
      <c r="J111" s="7"/>
      <c r="K111" s="7"/>
      <c r="L111" s="7"/>
      <c r="M111" s="7"/>
      <c r="N111" s="7"/>
      <c r="O111" s="16" t="s">
        <v>582</v>
      </c>
      <c r="P111" s="9"/>
      <c r="Q111" s="4" t="s">
        <v>192</v>
      </c>
      <c r="R111" s="7"/>
      <c r="S111" s="7"/>
      <c r="T111" s="7"/>
      <c r="U111" s="7"/>
      <c r="V111" s="7"/>
    </row>
    <row r="112" spans="1:22" ht="13.8" x14ac:dyDescent="0.3">
      <c r="A112" s="16" t="s">
        <v>583</v>
      </c>
      <c r="B112" s="18" t="s">
        <v>576</v>
      </c>
      <c r="C112" s="16">
        <v>8605614606</v>
      </c>
      <c r="D112" s="6"/>
      <c r="E112" s="17" t="s">
        <v>577</v>
      </c>
      <c r="F112" s="7"/>
      <c r="G112" s="6"/>
      <c r="H112" s="6"/>
      <c r="I112" s="17" t="s">
        <v>584</v>
      </c>
      <c r="J112" s="7"/>
      <c r="K112" s="7"/>
      <c r="L112" s="7"/>
      <c r="M112" s="7"/>
      <c r="N112" s="7"/>
      <c r="O112" s="16" t="s">
        <v>585</v>
      </c>
      <c r="P112" s="9"/>
      <c r="Q112" s="4" t="s">
        <v>192</v>
      </c>
      <c r="R112" s="7"/>
      <c r="S112" s="7"/>
      <c r="T112" s="7"/>
      <c r="U112" s="7"/>
      <c r="V112" s="7"/>
    </row>
    <row r="113" spans="1:22" ht="13.8" x14ac:dyDescent="0.3">
      <c r="A113" s="16" t="s">
        <v>586</v>
      </c>
      <c r="B113" s="18" t="s">
        <v>587</v>
      </c>
      <c r="C113" s="16">
        <v>9545512169</v>
      </c>
      <c r="D113" s="6"/>
      <c r="E113" s="17" t="s">
        <v>588</v>
      </c>
      <c r="F113" s="7"/>
      <c r="G113" s="6"/>
      <c r="H113" s="6"/>
      <c r="I113" s="17" t="s">
        <v>589</v>
      </c>
      <c r="J113" s="7"/>
      <c r="K113" s="7"/>
      <c r="L113" s="7"/>
      <c r="M113" s="7"/>
      <c r="N113" s="7"/>
      <c r="O113" s="16" t="s">
        <v>590</v>
      </c>
      <c r="P113" s="9"/>
      <c r="Q113" s="4" t="s">
        <v>192</v>
      </c>
      <c r="R113" s="7"/>
      <c r="S113" s="7"/>
      <c r="T113" s="7"/>
      <c r="U113" s="7"/>
      <c r="V113" s="7"/>
    </row>
    <row r="114" spans="1:22" ht="13.8" x14ac:dyDescent="0.3">
      <c r="A114" s="16" t="s">
        <v>591</v>
      </c>
      <c r="B114" s="18" t="s">
        <v>592</v>
      </c>
      <c r="C114" s="16">
        <v>8652434222</v>
      </c>
      <c r="D114" s="6"/>
      <c r="E114" s="17" t="s">
        <v>593</v>
      </c>
      <c r="F114" s="7"/>
      <c r="G114" s="6"/>
      <c r="H114" s="6"/>
      <c r="I114" s="17" t="s">
        <v>594</v>
      </c>
      <c r="J114" s="7"/>
      <c r="K114" s="7"/>
      <c r="L114" s="7"/>
      <c r="M114" s="7"/>
      <c r="N114" s="7"/>
      <c r="O114" s="16" t="s">
        <v>595</v>
      </c>
      <c r="P114" s="9"/>
      <c r="Q114" s="4" t="s">
        <v>192</v>
      </c>
      <c r="R114" s="7"/>
      <c r="S114" s="7"/>
      <c r="T114" s="7"/>
      <c r="U114" s="7"/>
      <c r="V114" s="7"/>
    </row>
    <row r="115" spans="1:22" ht="13.8" x14ac:dyDescent="0.3">
      <c r="A115" s="25" t="s">
        <v>596</v>
      </c>
      <c r="B115" s="26" t="s">
        <v>597</v>
      </c>
      <c r="C115" s="25">
        <v>9923590367</v>
      </c>
      <c r="D115" s="6"/>
      <c r="E115" s="27" t="s">
        <v>598</v>
      </c>
      <c r="F115" s="7"/>
      <c r="G115" s="6"/>
      <c r="H115" s="6"/>
      <c r="I115" s="27" t="s">
        <v>599</v>
      </c>
      <c r="J115" s="7"/>
      <c r="K115" s="7"/>
      <c r="L115" s="7"/>
      <c r="M115" s="7"/>
      <c r="N115" s="7"/>
      <c r="O115" s="25" t="s">
        <v>600</v>
      </c>
      <c r="P115" s="9"/>
      <c r="Q115" s="4" t="s">
        <v>601</v>
      </c>
      <c r="R115" s="7"/>
      <c r="S115" s="7"/>
      <c r="T115" s="7"/>
      <c r="U115" s="7"/>
      <c r="V115" s="7"/>
    </row>
    <row r="116" spans="1:22" ht="13.8" x14ac:dyDescent="0.3">
      <c r="A116" s="25" t="s">
        <v>602</v>
      </c>
      <c r="B116" s="26" t="s">
        <v>603</v>
      </c>
      <c r="C116" s="25">
        <v>9028185894</v>
      </c>
      <c r="D116" s="6"/>
      <c r="E116" s="27" t="s">
        <v>604</v>
      </c>
      <c r="F116" s="7"/>
      <c r="G116" s="6"/>
      <c r="H116" s="6"/>
      <c r="I116" s="27" t="s">
        <v>605</v>
      </c>
      <c r="J116" s="7"/>
      <c r="K116" s="7"/>
      <c r="L116" s="7"/>
      <c r="M116" s="7"/>
      <c r="N116" s="7"/>
      <c r="O116" s="25" t="s">
        <v>606</v>
      </c>
      <c r="P116" s="9"/>
      <c r="Q116" s="4" t="s">
        <v>29</v>
      </c>
      <c r="R116" s="7"/>
      <c r="S116" s="7"/>
      <c r="T116" s="7"/>
      <c r="U116" s="7"/>
      <c r="V116" s="7"/>
    </row>
    <row r="117" spans="1:22" ht="13.8" x14ac:dyDescent="0.3">
      <c r="A117" s="25" t="s">
        <v>607</v>
      </c>
      <c r="B117" s="26" t="s">
        <v>608</v>
      </c>
      <c r="C117" s="25">
        <v>9405328064</v>
      </c>
      <c r="D117" s="6"/>
      <c r="E117" s="27" t="s">
        <v>609</v>
      </c>
      <c r="F117" s="7"/>
      <c r="G117" s="6"/>
      <c r="H117" s="6"/>
      <c r="I117" s="27" t="s">
        <v>610</v>
      </c>
      <c r="J117" s="7"/>
      <c r="K117" s="7"/>
      <c r="L117" s="7"/>
      <c r="M117" s="7"/>
      <c r="N117" s="7"/>
      <c r="O117" s="25" t="s">
        <v>611</v>
      </c>
      <c r="P117" s="9"/>
      <c r="Q117" s="4" t="s">
        <v>29</v>
      </c>
      <c r="R117" s="7"/>
      <c r="S117" s="7"/>
      <c r="T117" s="7"/>
      <c r="U117" s="7"/>
      <c r="V117" s="7"/>
    </row>
    <row r="118" spans="1:22" ht="13.8" x14ac:dyDescent="0.3">
      <c r="A118" s="25" t="s">
        <v>612</v>
      </c>
      <c r="B118" s="26" t="s">
        <v>613</v>
      </c>
      <c r="C118" s="25">
        <v>7755953528</v>
      </c>
      <c r="D118" s="6"/>
      <c r="E118" s="27" t="s">
        <v>614</v>
      </c>
      <c r="F118" s="7"/>
      <c r="G118" s="6"/>
      <c r="H118" s="6"/>
      <c r="I118" s="27" t="s">
        <v>615</v>
      </c>
      <c r="J118" s="7"/>
      <c r="K118" s="7"/>
      <c r="L118" s="7"/>
      <c r="M118" s="7"/>
      <c r="N118" s="7"/>
      <c r="O118" s="25" t="s">
        <v>616</v>
      </c>
      <c r="P118" s="9"/>
      <c r="Q118" s="4" t="s">
        <v>165</v>
      </c>
      <c r="R118" s="7"/>
      <c r="S118" s="7"/>
      <c r="T118" s="7"/>
      <c r="U118" s="7"/>
      <c r="V118" s="7"/>
    </row>
    <row r="119" spans="1:22" ht="13.8" x14ac:dyDescent="0.3">
      <c r="A119" s="25" t="s">
        <v>617</v>
      </c>
      <c r="B119" s="26" t="s">
        <v>618</v>
      </c>
      <c r="C119" s="25">
        <v>9561329260</v>
      </c>
      <c r="D119" s="6"/>
      <c r="E119" s="27" t="s">
        <v>619</v>
      </c>
      <c r="F119" s="7"/>
      <c r="G119" s="6"/>
      <c r="H119" s="6"/>
      <c r="I119" s="27" t="s">
        <v>620</v>
      </c>
      <c r="J119" s="7"/>
      <c r="K119" s="7"/>
      <c r="L119" s="7"/>
      <c r="M119" s="7"/>
      <c r="N119" s="7"/>
      <c r="O119" s="25" t="s">
        <v>621</v>
      </c>
      <c r="P119" s="9"/>
      <c r="Q119" s="4" t="s">
        <v>29</v>
      </c>
      <c r="R119" s="7"/>
      <c r="S119" s="7"/>
      <c r="T119" s="7"/>
      <c r="U119" s="7"/>
      <c r="V119" s="7"/>
    </row>
    <row r="120" spans="1:22" ht="13.8" x14ac:dyDescent="0.3">
      <c r="A120" s="25" t="s">
        <v>622</v>
      </c>
      <c r="B120" s="26" t="s">
        <v>623</v>
      </c>
      <c r="C120" s="25">
        <v>8888366635</v>
      </c>
      <c r="D120" s="6"/>
      <c r="E120" s="27" t="s">
        <v>624</v>
      </c>
      <c r="F120" s="7"/>
      <c r="G120" s="6"/>
      <c r="H120" s="6"/>
      <c r="I120" s="27" t="s">
        <v>625</v>
      </c>
      <c r="J120" s="7"/>
      <c r="K120" s="7"/>
      <c r="L120" s="7"/>
      <c r="M120" s="7"/>
      <c r="N120" s="7"/>
      <c r="O120" s="25" t="s">
        <v>626</v>
      </c>
      <c r="P120" s="9"/>
      <c r="Q120" s="4" t="s">
        <v>627</v>
      </c>
      <c r="R120" s="7"/>
      <c r="S120" s="7"/>
      <c r="T120" s="7"/>
      <c r="U120" s="7"/>
      <c r="V120" s="7"/>
    </row>
    <row r="121" spans="1:22" ht="13.8" x14ac:dyDescent="0.3">
      <c r="A121" s="25" t="s">
        <v>628</v>
      </c>
      <c r="B121" s="26" t="s">
        <v>165</v>
      </c>
      <c r="C121" s="25">
        <v>8459702382</v>
      </c>
      <c r="D121" s="6"/>
      <c r="E121" s="27" t="s">
        <v>245</v>
      </c>
      <c r="F121" s="7"/>
      <c r="G121" s="6"/>
      <c r="H121" s="6"/>
      <c r="I121" s="27" t="s">
        <v>629</v>
      </c>
      <c r="J121" s="7"/>
      <c r="K121" s="7"/>
      <c r="L121" s="7"/>
      <c r="M121" s="7"/>
      <c r="N121" s="7"/>
      <c r="O121" s="25" t="s">
        <v>630</v>
      </c>
      <c r="P121" s="9"/>
      <c r="Q121" s="4" t="s">
        <v>165</v>
      </c>
      <c r="R121" s="7"/>
      <c r="S121" s="7"/>
      <c r="T121" s="7"/>
      <c r="U121" s="7"/>
      <c r="V121" s="7"/>
    </row>
    <row r="122" spans="1:22" ht="13.2" x14ac:dyDescent="0.25">
      <c r="A122" s="4" t="s">
        <v>631</v>
      </c>
      <c r="B122" s="5" t="s">
        <v>39</v>
      </c>
      <c r="C122" s="4">
        <v>9823113116</v>
      </c>
      <c r="D122" s="6"/>
      <c r="E122" s="4"/>
      <c r="F122" s="7"/>
      <c r="G122" s="6"/>
      <c r="H122" s="6"/>
      <c r="I122" s="7"/>
      <c r="J122" s="7"/>
      <c r="K122" s="7"/>
      <c r="L122" s="7"/>
      <c r="M122" s="7"/>
      <c r="N122" s="7"/>
      <c r="O122" s="7" t="s">
        <v>632</v>
      </c>
      <c r="P122" s="9"/>
      <c r="Q122" s="4" t="s">
        <v>39</v>
      </c>
      <c r="R122" s="7"/>
      <c r="S122" s="7"/>
      <c r="T122" s="7"/>
      <c r="U122" s="7"/>
      <c r="V122" s="7"/>
    </row>
    <row r="123" spans="1:22" ht="13.2" x14ac:dyDescent="0.25">
      <c r="A123" s="4"/>
      <c r="B123" s="5"/>
      <c r="C123" s="4"/>
      <c r="D123" s="6"/>
      <c r="E123" s="4"/>
      <c r="F123" s="7"/>
      <c r="G123" s="6"/>
      <c r="H123" s="6"/>
      <c r="I123" s="7"/>
      <c r="J123" s="7"/>
      <c r="K123" s="7"/>
      <c r="L123" s="7"/>
      <c r="M123" s="7"/>
      <c r="N123" s="7"/>
      <c r="O123" s="7"/>
      <c r="P123" s="9"/>
      <c r="Q123" s="4"/>
      <c r="R123" s="7"/>
      <c r="S123" s="7"/>
      <c r="T123" s="7"/>
      <c r="U123" s="7"/>
      <c r="V123" s="7"/>
    </row>
    <row r="124" spans="1:22" ht="13.8" x14ac:dyDescent="0.3">
      <c r="A124" s="4"/>
      <c r="B124" s="5"/>
      <c r="C124" s="4"/>
      <c r="D124" s="6"/>
      <c r="E124" s="4"/>
      <c r="F124" s="7"/>
      <c r="G124" s="6"/>
      <c r="H124" s="6"/>
      <c r="I124" s="7"/>
      <c r="J124" s="7"/>
      <c r="K124" s="7"/>
      <c r="L124" s="7"/>
      <c r="M124" s="7"/>
      <c r="N124" s="7"/>
      <c r="O124" s="7"/>
      <c r="P124" s="9"/>
      <c r="Q124" s="16"/>
      <c r="R124" s="7"/>
      <c r="S124" s="7"/>
      <c r="T124" s="7"/>
      <c r="U124" s="7"/>
      <c r="V124" s="7"/>
    </row>
    <row r="125" spans="1:22" ht="13.8" x14ac:dyDescent="0.3">
      <c r="A125" s="4"/>
      <c r="B125" s="5"/>
      <c r="C125" s="4"/>
      <c r="D125" s="6"/>
      <c r="E125" s="4"/>
      <c r="F125" s="7"/>
      <c r="G125" s="6"/>
      <c r="H125" s="6"/>
      <c r="I125" s="7"/>
      <c r="J125" s="7"/>
      <c r="K125" s="7"/>
      <c r="L125" s="7"/>
      <c r="M125" s="7"/>
      <c r="N125" s="7"/>
      <c r="O125" s="7"/>
      <c r="P125" s="9"/>
      <c r="Q125" s="32"/>
      <c r="R125" s="7"/>
      <c r="S125" s="7"/>
      <c r="T125" s="7"/>
      <c r="U125" s="7"/>
      <c r="V125" s="7"/>
    </row>
    <row r="126" spans="1:22" ht="13.8" x14ac:dyDescent="0.3">
      <c r="A126" s="4"/>
      <c r="B126" s="5"/>
      <c r="C126" s="4"/>
      <c r="D126" s="6"/>
      <c r="E126" s="4"/>
      <c r="F126" s="7"/>
      <c r="G126" s="6"/>
      <c r="H126" s="6"/>
      <c r="I126" s="7"/>
      <c r="J126" s="7"/>
      <c r="K126" s="7"/>
      <c r="L126" s="7"/>
      <c r="M126" s="7"/>
      <c r="N126" s="7"/>
      <c r="O126" s="7"/>
      <c r="P126" s="9"/>
      <c r="Q126" s="32"/>
      <c r="R126" s="7"/>
      <c r="S126" s="7"/>
      <c r="T126" s="7"/>
      <c r="U126" s="7"/>
      <c r="V126" s="7"/>
    </row>
    <row r="127" spans="1:22" ht="13.2" x14ac:dyDescent="0.25">
      <c r="A127" s="4"/>
      <c r="B127" s="5"/>
      <c r="C127" s="4"/>
      <c r="D127" s="6"/>
      <c r="E127" s="4"/>
      <c r="F127" s="7"/>
      <c r="G127" s="6"/>
      <c r="H127" s="6"/>
      <c r="I127" s="7"/>
      <c r="J127" s="7"/>
      <c r="K127" s="7"/>
      <c r="L127" s="7"/>
      <c r="M127" s="7"/>
      <c r="N127" s="7"/>
      <c r="O127" s="7"/>
      <c r="P127" s="9"/>
      <c r="R127" s="7"/>
      <c r="S127" s="7"/>
      <c r="T127" s="7"/>
      <c r="U127" s="7"/>
      <c r="V127" s="7"/>
    </row>
    <row r="128" spans="1:22" ht="13.8" x14ac:dyDescent="0.3">
      <c r="A128" s="4"/>
      <c r="B128" s="5"/>
      <c r="C128" s="4"/>
      <c r="D128" s="6"/>
      <c r="E128" s="4"/>
      <c r="F128" s="7"/>
      <c r="G128" s="6"/>
      <c r="H128" s="6"/>
      <c r="I128" s="7"/>
      <c r="J128" s="7"/>
      <c r="K128" s="7"/>
      <c r="L128" s="7"/>
      <c r="M128" s="7"/>
      <c r="N128" s="7"/>
      <c r="O128" s="7"/>
      <c r="P128" s="9"/>
      <c r="Q128" s="32"/>
      <c r="R128" s="7"/>
      <c r="S128" s="7"/>
      <c r="T128" s="7"/>
      <c r="U128" s="7"/>
      <c r="V128" s="7"/>
    </row>
    <row r="129" spans="1:22" ht="13.8" x14ac:dyDescent="0.3">
      <c r="A129" s="4"/>
      <c r="B129" s="5"/>
      <c r="C129" s="4"/>
      <c r="D129" s="6"/>
      <c r="E129" s="4"/>
      <c r="F129" s="7"/>
      <c r="G129" s="6"/>
      <c r="H129" s="6"/>
      <c r="I129" s="7"/>
      <c r="J129" s="7"/>
      <c r="K129" s="7"/>
      <c r="L129" s="7"/>
      <c r="M129" s="7"/>
      <c r="N129" s="7"/>
      <c r="O129" s="7"/>
      <c r="P129" s="9"/>
      <c r="Q129" s="32"/>
      <c r="R129" s="7"/>
      <c r="S129" s="7"/>
      <c r="T129" s="7"/>
      <c r="U129" s="7"/>
      <c r="V129" s="7"/>
    </row>
    <row r="130" spans="1:22" ht="13.8" x14ac:dyDescent="0.3">
      <c r="A130" s="4"/>
      <c r="B130" s="5"/>
      <c r="C130" s="4"/>
      <c r="D130" s="6"/>
      <c r="E130" s="4"/>
      <c r="F130" s="7"/>
      <c r="G130" s="6"/>
      <c r="H130" s="6"/>
      <c r="I130" s="7"/>
      <c r="J130" s="7"/>
      <c r="K130" s="7"/>
      <c r="L130" s="7"/>
      <c r="M130" s="7"/>
      <c r="N130" s="7"/>
      <c r="O130" s="7"/>
      <c r="P130" s="9"/>
      <c r="Q130" s="32"/>
      <c r="R130" s="7"/>
      <c r="S130" s="7"/>
      <c r="T130" s="7"/>
      <c r="U130" s="7"/>
      <c r="V130" s="7"/>
    </row>
    <row r="131" spans="1:22" ht="13.2" x14ac:dyDescent="0.25">
      <c r="A131" s="4"/>
      <c r="B131" s="5"/>
      <c r="C131" s="4"/>
      <c r="D131" s="6"/>
      <c r="E131" s="4"/>
      <c r="F131" s="7"/>
      <c r="G131" s="6"/>
      <c r="H131" s="6"/>
      <c r="I131" s="7"/>
      <c r="J131" s="7"/>
      <c r="K131" s="7"/>
      <c r="L131" s="7"/>
      <c r="M131" s="7"/>
      <c r="N131" s="7"/>
      <c r="O131" s="7"/>
      <c r="P131" s="9"/>
      <c r="Q131" s="7"/>
      <c r="R131" s="7"/>
      <c r="S131" s="7"/>
      <c r="T131" s="7"/>
      <c r="U131" s="7"/>
      <c r="V131" s="7"/>
    </row>
    <row r="132" spans="1:22" ht="13.2" x14ac:dyDescent="0.25">
      <c r="A132" s="4"/>
      <c r="B132" s="5"/>
      <c r="C132" s="4"/>
      <c r="D132" s="6"/>
      <c r="E132" s="4"/>
      <c r="F132" s="7"/>
      <c r="G132" s="6"/>
      <c r="H132" s="6"/>
      <c r="I132" s="7"/>
      <c r="J132" s="7"/>
      <c r="K132" s="7"/>
      <c r="L132" s="7"/>
      <c r="M132" s="7"/>
      <c r="N132" s="7"/>
      <c r="O132" s="7"/>
      <c r="P132" s="9"/>
      <c r="Q132" s="7"/>
      <c r="R132" s="7"/>
      <c r="S132" s="7"/>
      <c r="T132" s="7"/>
      <c r="U132" s="7"/>
      <c r="V132" s="7"/>
    </row>
    <row r="133" spans="1:22" ht="13.2" x14ac:dyDescent="0.25">
      <c r="A133" s="4"/>
      <c r="B133" s="5"/>
      <c r="C133" s="4"/>
      <c r="D133" s="6"/>
      <c r="E133" s="4"/>
      <c r="F133" s="7"/>
      <c r="G133" s="6"/>
      <c r="H133" s="6"/>
      <c r="I133" s="7"/>
      <c r="J133" s="7"/>
      <c r="K133" s="7"/>
      <c r="L133" s="7"/>
      <c r="M133" s="7"/>
      <c r="N133" s="7"/>
      <c r="O133" s="7"/>
      <c r="P133" s="9"/>
      <c r="Q133" s="7"/>
      <c r="R133" s="7"/>
      <c r="S133" s="7"/>
      <c r="T133" s="7"/>
      <c r="U133" s="7"/>
      <c r="V133" s="7"/>
    </row>
    <row r="134" spans="1:22" ht="13.2" x14ac:dyDescent="0.25">
      <c r="A134" s="4"/>
      <c r="B134" s="5"/>
      <c r="C134" s="4"/>
      <c r="D134" s="6"/>
      <c r="E134" s="4"/>
      <c r="F134" s="7"/>
      <c r="G134" s="6"/>
      <c r="H134" s="6"/>
      <c r="I134" s="7"/>
      <c r="J134" s="7"/>
      <c r="K134" s="7"/>
      <c r="L134" s="7"/>
      <c r="M134" s="7"/>
      <c r="N134" s="7"/>
      <c r="O134" s="7"/>
      <c r="P134" s="9"/>
      <c r="Q134" s="7"/>
      <c r="R134" s="7"/>
      <c r="S134" s="7"/>
      <c r="T134" s="7"/>
      <c r="U134" s="7"/>
      <c r="V134" s="7"/>
    </row>
    <row r="135" spans="1:22" ht="13.2" x14ac:dyDescent="0.25">
      <c r="A135" s="4"/>
      <c r="B135" s="5"/>
      <c r="C135" s="4"/>
      <c r="D135" s="6"/>
      <c r="E135" s="4"/>
      <c r="F135" s="7"/>
      <c r="G135" s="6"/>
      <c r="H135" s="6"/>
      <c r="I135" s="7"/>
      <c r="J135" s="7"/>
      <c r="K135" s="7"/>
      <c r="L135" s="7"/>
      <c r="M135" s="7"/>
      <c r="N135" s="7"/>
      <c r="O135" s="7"/>
      <c r="P135" s="9"/>
      <c r="Q135" s="7"/>
      <c r="R135" s="7"/>
      <c r="S135" s="7"/>
      <c r="T135" s="7"/>
      <c r="U135" s="7"/>
      <c r="V135" s="7"/>
    </row>
    <row r="136" spans="1:22" ht="13.2" x14ac:dyDescent="0.25">
      <c r="A136" s="4"/>
      <c r="B136" s="5"/>
      <c r="C136" s="4"/>
      <c r="D136" s="6"/>
      <c r="E136" s="4"/>
      <c r="F136" s="7"/>
      <c r="G136" s="6"/>
      <c r="H136" s="6"/>
      <c r="I136" s="7"/>
      <c r="J136" s="7"/>
      <c r="K136" s="7"/>
      <c r="L136" s="7"/>
      <c r="M136" s="7"/>
      <c r="N136" s="7"/>
      <c r="O136" s="7"/>
      <c r="P136" s="9"/>
      <c r="Q136" s="7"/>
      <c r="R136" s="7"/>
      <c r="S136" s="7"/>
      <c r="T136" s="7"/>
      <c r="U136" s="7"/>
      <c r="V136" s="7"/>
    </row>
    <row r="137" spans="1:22" ht="13.2" x14ac:dyDescent="0.25">
      <c r="A137" s="4"/>
      <c r="B137" s="5"/>
      <c r="C137" s="4"/>
      <c r="D137" s="6"/>
      <c r="E137" s="4"/>
      <c r="F137" s="7"/>
      <c r="G137" s="6"/>
      <c r="H137" s="6"/>
      <c r="I137" s="7"/>
      <c r="J137" s="7"/>
      <c r="K137" s="7"/>
      <c r="L137" s="7"/>
      <c r="M137" s="7"/>
      <c r="N137" s="7"/>
      <c r="O137" s="7"/>
      <c r="P137" s="9"/>
      <c r="Q137" s="7"/>
      <c r="R137" s="7"/>
      <c r="S137" s="7"/>
      <c r="T137" s="7"/>
      <c r="U137" s="7"/>
      <c r="V137" s="7"/>
    </row>
    <row r="138" spans="1:22" ht="13.2" x14ac:dyDescent="0.25">
      <c r="A138" s="4"/>
      <c r="B138" s="5"/>
      <c r="C138" s="4"/>
      <c r="D138" s="6"/>
      <c r="E138" s="4"/>
      <c r="F138" s="7"/>
      <c r="G138" s="6"/>
      <c r="H138" s="6"/>
      <c r="I138" s="7"/>
      <c r="J138" s="7"/>
      <c r="K138" s="7"/>
      <c r="L138" s="7"/>
      <c r="M138" s="7"/>
      <c r="N138" s="7"/>
      <c r="O138" s="7"/>
      <c r="P138" s="9"/>
      <c r="Q138" s="7"/>
      <c r="R138" s="7"/>
      <c r="S138" s="7"/>
      <c r="T138" s="7"/>
      <c r="U138" s="7"/>
      <c r="V138" s="7"/>
    </row>
    <row r="139" spans="1:22" ht="13.2" x14ac:dyDescent="0.25">
      <c r="A139" s="4"/>
      <c r="B139" s="5"/>
      <c r="C139" s="4"/>
      <c r="D139" s="6"/>
      <c r="E139" s="4"/>
      <c r="F139" s="7"/>
      <c r="G139" s="6"/>
      <c r="H139" s="6"/>
      <c r="I139" s="7"/>
      <c r="J139" s="7"/>
      <c r="K139" s="7"/>
      <c r="L139" s="7"/>
      <c r="M139" s="7"/>
      <c r="N139" s="7"/>
      <c r="O139" s="7"/>
      <c r="P139" s="9"/>
      <c r="Q139" s="7"/>
      <c r="R139" s="7"/>
      <c r="S139" s="7"/>
      <c r="T139" s="7"/>
      <c r="U139" s="7"/>
      <c r="V139" s="7"/>
    </row>
    <row r="140" spans="1:22" ht="13.2" x14ac:dyDescent="0.25">
      <c r="A140" s="4"/>
      <c r="B140" s="5"/>
      <c r="C140" s="4"/>
      <c r="D140" s="6"/>
      <c r="E140" s="4"/>
      <c r="F140" s="7"/>
      <c r="G140" s="6"/>
      <c r="H140" s="6"/>
      <c r="I140" s="7"/>
      <c r="J140" s="7"/>
      <c r="K140" s="7"/>
      <c r="L140" s="7"/>
      <c r="M140" s="7"/>
      <c r="N140" s="7"/>
      <c r="O140" s="7"/>
      <c r="P140" s="9"/>
      <c r="Q140" s="7"/>
      <c r="R140" s="7"/>
      <c r="S140" s="7"/>
      <c r="T140" s="7"/>
      <c r="U140" s="7"/>
      <c r="V140" s="7"/>
    </row>
    <row r="141" spans="1:22" ht="13.2" x14ac:dyDescent="0.25">
      <c r="A141" s="4"/>
      <c r="B141" s="5"/>
      <c r="C141" s="4"/>
      <c r="D141" s="6"/>
      <c r="E141" s="4"/>
      <c r="F141" s="7"/>
      <c r="G141" s="6"/>
      <c r="H141" s="6"/>
      <c r="I141" s="7"/>
      <c r="J141" s="7"/>
      <c r="K141" s="7"/>
      <c r="L141" s="7"/>
      <c r="M141" s="7"/>
      <c r="N141" s="7"/>
      <c r="O141" s="7"/>
      <c r="P141" s="9"/>
      <c r="Q141" s="7"/>
      <c r="R141" s="7"/>
      <c r="S141" s="7"/>
      <c r="T141" s="7"/>
      <c r="U141" s="7"/>
      <c r="V141" s="7"/>
    </row>
    <row r="142" spans="1:22" ht="13.2" x14ac:dyDescent="0.25">
      <c r="A142" s="4"/>
      <c r="B142" s="5"/>
      <c r="C142" s="4"/>
      <c r="D142" s="6"/>
      <c r="E142" s="4"/>
      <c r="F142" s="7"/>
      <c r="G142" s="6"/>
      <c r="H142" s="6"/>
      <c r="I142" s="7"/>
      <c r="J142" s="7"/>
      <c r="K142" s="7"/>
      <c r="L142" s="7"/>
      <c r="M142" s="7"/>
      <c r="N142" s="7"/>
      <c r="O142" s="7"/>
      <c r="P142" s="9"/>
      <c r="Q142" s="7"/>
      <c r="R142" s="7"/>
      <c r="S142" s="7"/>
      <c r="T142" s="7"/>
      <c r="U142" s="7"/>
      <c r="V142" s="7"/>
    </row>
    <row r="143" spans="1:22" ht="13.2" x14ac:dyDescent="0.25">
      <c r="A143" s="4"/>
      <c r="B143" s="5"/>
      <c r="C143" s="4"/>
      <c r="D143" s="6"/>
      <c r="E143" s="4"/>
      <c r="F143" s="7"/>
      <c r="G143" s="6"/>
      <c r="H143" s="6"/>
      <c r="I143" s="7"/>
      <c r="J143" s="7"/>
      <c r="K143" s="7"/>
      <c r="L143" s="7"/>
      <c r="M143" s="7"/>
      <c r="N143" s="7"/>
      <c r="O143" s="7"/>
      <c r="P143" s="9"/>
      <c r="Q143" s="7"/>
      <c r="R143" s="7"/>
      <c r="S143" s="7"/>
      <c r="T143" s="7"/>
      <c r="U143" s="7"/>
      <c r="V143" s="7"/>
    </row>
    <row r="144" spans="1:22" ht="13.2" x14ac:dyDescent="0.25">
      <c r="A144" s="4"/>
      <c r="B144" s="5"/>
      <c r="C144" s="4"/>
      <c r="D144" s="6"/>
      <c r="E144" s="4"/>
      <c r="F144" s="7"/>
      <c r="G144" s="6"/>
      <c r="H144" s="6"/>
      <c r="I144" s="7"/>
      <c r="J144" s="7"/>
      <c r="K144" s="7"/>
      <c r="L144" s="7"/>
      <c r="M144" s="7"/>
      <c r="N144" s="7"/>
      <c r="O144" s="7"/>
      <c r="P144" s="9"/>
      <c r="Q144" s="7"/>
      <c r="R144" s="7"/>
      <c r="S144" s="7"/>
      <c r="T144" s="7"/>
      <c r="U144" s="7"/>
      <c r="V144" s="7"/>
    </row>
    <row r="145" spans="1:22" ht="13.2" x14ac:dyDescent="0.25">
      <c r="A145" s="4"/>
      <c r="B145" s="5"/>
      <c r="C145" s="4"/>
      <c r="D145" s="6"/>
      <c r="E145" s="4"/>
      <c r="F145" s="7"/>
      <c r="G145" s="6"/>
      <c r="H145" s="6"/>
      <c r="I145" s="7"/>
      <c r="J145" s="7"/>
      <c r="K145" s="7"/>
      <c r="L145" s="7"/>
      <c r="M145" s="7"/>
      <c r="N145" s="7"/>
      <c r="O145" s="7"/>
      <c r="P145" s="9"/>
      <c r="Q145" s="7"/>
      <c r="R145" s="7"/>
      <c r="S145" s="7"/>
      <c r="T145" s="7"/>
      <c r="U145" s="7"/>
      <c r="V145" s="7"/>
    </row>
    <row r="146" spans="1:22" ht="13.2" x14ac:dyDescent="0.25">
      <c r="A146" s="4"/>
      <c r="B146" s="5"/>
      <c r="C146" s="4"/>
      <c r="D146" s="6"/>
      <c r="E146" s="4"/>
      <c r="F146" s="7"/>
      <c r="G146" s="6"/>
      <c r="H146" s="6"/>
      <c r="I146" s="7"/>
      <c r="J146" s="7"/>
      <c r="K146" s="7"/>
      <c r="L146" s="7"/>
      <c r="M146" s="7"/>
      <c r="N146" s="7"/>
      <c r="O146" s="7"/>
      <c r="P146" s="9"/>
      <c r="Q146" s="7"/>
      <c r="R146" s="7"/>
      <c r="S146" s="7"/>
      <c r="T146" s="7"/>
      <c r="U146" s="7"/>
      <c r="V146" s="7"/>
    </row>
    <row r="147" spans="1:22" ht="13.2" x14ac:dyDescent="0.25">
      <c r="A147" s="4"/>
      <c r="B147" s="5"/>
      <c r="C147" s="4"/>
      <c r="D147" s="6"/>
      <c r="E147" s="4"/>
      <c r="F147" s="7"/>
      <c r="G147" s="6"/>
      <c r="H147" s="6"/>
      <c r="I147" s="7"/>
      <c r="J147" s="7"/>
      <c r="K147" s="7"/>
      <c r="L147" s="7"/>
      <c r="M147" s="7"/>
      <c r="N147" s="7"/>
      <c r="O147" s="7"/>
      <c r="P147" s="9"/>
      <c r="Q147" s="7"/>
      <c r="R147" s="7"/>
      <c r="S147" s="7"/>
      <c r="T147" s="7"/>
      <c r="U147" s="7"/>
      <c r="V147" s="7"/>
    </row>
    <row r="148" spans="1:22" ht="13.2" x14ac:dyDescent="0.25">
      <c r="A148" s="4"/>
      <c r="B148" s="5"/>
      <c r="C148" s="4"/>
      <c r="D148" s="6"/>
      <c r="E148" s="4"/>
      <c r="F148" s="7"/>
      <c r="G148" s="6"/>
      <c r="H148" s="6"/>
      <c r="I148" s="7"/>
      <c r="J148" s="7"/>
      <c r="K148" s="7"/>
      <c r="L148" s="7"/>
      <c r="M148" s="7"/>
      <c r="N148" s="7"/>
      <c r="O148" s="7"/>
      <c r="P148" s="9"/>
      <c r="Q148" s="7"/>
      <c r="R148" s="7"/>
      <c r="S148" s="7"/>
      <c r="T148" s="7"/>
      <c r="U148" s="7"/>
      <c r="V148" s="7"/>
    </row>
    <row r="149" spans="1:22" ht="13.2" x14ac:dyDescent="0.25">
      <c r="A149" s="4"/>
      <c r="B149" s="5"/>
      <c r="C149" s="4"/>
      <c r="D149" s="6"/>
      <c r="E149" s="4"/>
      <c r="F149" s="7"/>
      <c r="G149" s="6"/>
      <c r="H149" s="6"/>
      <c r="I149" s="7"/>
      <c r="J149" s="7"/>
      <c r="K149" s="7"/>
      <c r="L149" s="7"/>
      <c r="M149" s="7"/>
      <c r="N149" s="7"/>
      <c r="O149" s="7"/>
      <c r="P149" s="9"/>
      <c r="Q149" s="7"/>
      <c r="R149" s="7"/>
      <c r="S149" s="7"/>
      <c r="T149" s="7"/>
      <c r="U149" s="7"/>
      <c r="V149" s="7"/>
    </row>
    <row r="150" spans="1:22" ht="13.2" x14ac:dyDescent="0.25">
      <c r="A150" s="4"/>
      <c r="B150" s="5"/>
      <c r="C150" s="4"/>
      <c r="D150" s="6"/>
      <c r="E150" s="4"/>
      <c r="F150" s="7"/>
      <c r="G150" s="6"/>
      <c r="H150" s="6"/>
      <c r="I150" s="7"/>
      <c r="J150" s="7"/>
      <c r="K150" s="7"/>
      <c r="L150" s="7"/>
      <c r="M150" s="7"/>
      <c r="N150" s="7"/>
      <c r="O150" s="7"/>
      <c r="P150" s="9"/>
      <c r="Q150" s="7"/>
      <c r="R150" s="7"/>
      <c r="S150" s="7"/>
      <c r="T150" s="7"/>
      <c r="U150" s="7"/>
      <c r="V150" s="7"/>
    </row>
    <row r="151" spans="1:22" ht="13.2" x14ac:dyDescent="0.25">
      <c r="A151" s="4"/>
      <c r="B151" s="5"/>
      <c r="C151" s="4"/>
      <c r="D151" s="6"/>
      <c r="E151" s="4"/>
      <c r="F151" s="7"/>
      <c r="G151" s="6"/>
      <c r="H151" s="6"/>
      <c r="I151" s="7"/>
      <c r="J151" s="7"/>
      <c r="K151" s="7"/>
      <c r="L151" s="7"/>
      <c r="M151" s="7"/>
      <c r="N151" s="7"/>
      <c r="O151" s="7"/>
      <c r="P151" s="9"/>
      <c r="Q151" s="7"/>
      <c r="R151" s="7"/>
      <c r="S151" s="7"/>
      <c r="T151" s="7"/>
      <c r="U151" s="7"/>
      <c r="V151" s="7"/>
    </row>
    <row r="152" spans="1:22" ht="13.2" x14ac:dyDescent="0.25">
      <c r="A152" s="4"/>
      <c r="B152" s="5"/>
      <c r="C152" s="4"/>
      <c r="D152" s="6"/>
      <c r="E152" s="4"/>
      <c r="F152" s="7"/>
      <c r="G152" s="6"/>
      <c r="H152" s="6"/>
      <c r="I152" s="7"/>
      <c r="J152" s="7"/>
      <c r="K152" s="7"/>
      <c r="L152" s="7"/>
      <c r="M152" s="7"/>
      <c r="N152" s="7"/>
      <c r="O152" s="7"/>
      <c r="P152" s="9"/>
      <c r="Q152" s="7"/>
      <c r="R152" s="7"/>
      <c r="S152" s="7"/>
      <c r="T152" s="7"/>
      <c r="U152" s="7"/>
      <c r="V152" s="7"/>
    </row>
    <row r="153" spans="1:22" ht="13.2" x14ac:dyDescent="0.25">
      <c r="A153" s="4"/>
      <c r="B153" s="5"/>
      <c r="C153" s="4"/>
      <c r="D153" s="6"/>
      <c r="E153" s="4"/>
      <c r="F153" s="7"/>
      <c r="G153" s="6"/>
      <c r="H153" s="6"/>
      <c r="I153" s="7"/>
      <c r="J153" s="7"/>
      <c r="K153" s="7"/>
      <c r="L153" s="7"/>
      <c r="M153" s="7"/>
      <c r="N153" s="7"/>
      <c r="O153" s="7"/>
      <c r="P153" s="9"/>
      <c r="Q153" s="7"/>
      <c r="R153" s="7"/>
      <c r="S153" s="7"/>
      <c r="T153" s="7"/>
      <c r="U153" s="7"/>
      <c r="V153" s="7"/>
    </row>
    <row r="154" spans="1:22" ht="13.2" x14ac:dyDescent="0.25">
      <c r="A154" s="4"/>
      <c r="B154" s="5"/>
      <c r="C154" s="4"/>
      <c r="D154" s="6"/>
      <c r="E154" s="4"/>
      <c r="F154" s="7"/>
      <c r="G154" s="6"/>
      <c r="H154" s="6"/>
      <c r="I154" s="7"/>
      <c r="J154" s="7"/>
      <c r="K154" s="7"/>
      <c r="L154" s="7"/>
      <c r="M154" s="7"/>
      <c r="N154" s="7"/>
      <c r="O154" s="7"/>
      <c r="P154" s="9"/>
      <c r="Q154" s="7"/>
      <c r="R154" s="7"/>
      <c r="S154" s="7"/>
      <c r="T154" s="7"/>
      <c r="U154" s="7"/>
      <c r="V154" s="7"/>
    </row>
    <row r="155" spans="1:22" ht="13.2" x14ac:dyDescent="0.25">
      <c r="A155" s="4"/>
      <c r="B155" s="5"/>
      <c r="C155" s="4"/>
      <c r="D155" s="6"/>
      <c r="E155" s="4"/>
      <c r="F155" s="7"/>
      <c r="G155" s="6"/>
      <c r="H155" s="6"/>
      <c r="I155" s="7"/>
      <c r="J155" s="7"/>
      <c r="K155" s="7"/>
      <c r="L155" s="7"/>
      <c r="M155" s="7"/>
      <c r="N155" s="7"/>
      <c r="O155" s="7"/>
      <c r="P155" s="9"/>
      <c r="Q155" s="7"/>
      <c r="R155" s="7"/>
      <c r="S155" s="7"/>
      <c r="T155" s="7"/>
      <c r="U155" s="7"/>
      <c r="V155" s="7"/>
    </row>
    <row r="156" spans="1:22" ht="13.2" x14ac:dyDescent="0.25">
      <c r="A156" s="4"/>
      <c r="B156" s="5"/>
      <c r="C156" s="4"/>
      <c r="D156" s="6"/>
      <c r="E156" s="4"/>
      <c r="F156" s="7"/>
      <c r="G156" s="6"/>
      <c r="H156" s="6"/>
      <c r="I156" s="7"/>
      <c r="J156" s="7"/>
      <c r="K156" s="7"/>
      <c r="L156" s="7"/>
      <c r="M156" s="7"/>
      <c r="N156" s="7"/>
      <c r="O156" s="7"/>
      <c r="P156" s="9"/>
      <c r="Q156" s="7"/>
      <c r="R156" s="7"/>
      <c r="S156" s="7"/>
      <c r="T156" s="7"/>
      <c r="U156" s="7"/>
      <c r="V156" s="7"/>
    </row>
    <row r="157" spans="1:22" ht="13.2" x14ac:dyDescent="0.25">
      <c r="A157" s="4"/>
      <c r="B157" s="5"/>
      <c r="C157" s="4"/>
      <c r="D157" s="6"/>
      <c r="E157" s="4"/>
      <c r="F157" s="7"/>
      <c r="G157" s="6"/>
      <c r="H157" s="6"/>
      <c r="I157" s="7"/>
      <c r="J157" s="7"/>
      <c r="K157" s="7"/>
      <c r="L157" s="7"/>
      <c r="M157" s="7"/>
      <c r="N157" s="7"/>
      <c r="O157" s="7"/>
      <c r="P157" s="9"/>
      <c r="Q157" s="7"/>
      <c r="R157" s="7"/>
      <c r="S157" s="7"/>
      <c r="T157" s="7"/>
      <c r="U157" s="7"/>
      <c r="V157" s="7"/>
    </row>
    <row r="158" spans="1:22" ht="13.2" x14ac:dyDescent="0.25">
      <c r="A158" s="4"/>
      <c r="B158" s="5"/>
      <c r="C158" s="4"/>
      <c r="D158" s="6"/>
      <c r="E158" s="4"/>
      <c r="F158" s="7"/>
      <c r="G158" s="6"/>
      <c r="H158" s="6"/>
      <c r="I158" s="7"/>
      <c r="J158" s="7"/>
      <c r="K158" s="7"/>
      <c r="L158" s="7"/>
      <c r="M158" s="7"/>
      <c r="N158" s="7"/>
      <c r="O158" s="7"/>
      <c r="P158" s="9"/>
      <c r="Q158" s="7"/>
      <c r="R158" s="7"/>
      <c r="S158" s="7"/>
      <c r="T158" s="7"/>
      <c r="U158" s="7"/>
      <c r="V158" s="7"/>
    </row>
    <row r="159" spans="1:22" ht="13.2" x14ac:dyDescent="0.25">
      <c r="A159" s="4"/>
      <c r="B159" s="5"/>
      <c r="C159" s="4"/>
      <c r="D159" s="6"/>
      <c r="E159" s="4"/>
      <c r="F159" s="7"/>
      <c r="G159" s="6"/>
      <c r="H159" s="6"/>
      <c r="I159" s="7"/>
      <c r="J159" s="7"/>
      <c r="K159" s="7"/>
      <c r="L159" s="7"/>
      <c r="M159" s="7"/>
      <c r="N159" s="7"/>
      <c r="O159" s="7"/>
      <c r="P159" s="9"/>
      <c r="Q159" s="7"/>
      <c r="R159" s="7"/>
      <c r="S159" s="7"/>
      <c r="T159" s="7"/>
      <c r="U159" s="7"/>
      <c r="V159" s="7"/>
    </row>
    <row r="160" spans="1:22" ht="13.2" x14ac:dyDescent="0.25">
      <c r="A160" s="4"/>
      <c r="B160" s="5"/>
      <c r="C160" s="4"/>
      <c r="D160" s="6"/>
      <c r="E160" s="4"/>
      <c r="F160" s="7"/>
      <c r="G160" s="6"/>
      <c r="H160" s="6"/>
      <c r="I160" s="7"/>
      <c r="J160" s="7"/>
      <c r="K160" s="7"/>
      <c r="L160" s="7"/>
      <c r="M160" s="7"/>
      <c r="N160" s="7"/>
      <c r="O160" s="7"/>
      <c r="P160" s="9"/>
      <c r="Q160" s="7"/>
      <c r="R160" s="7"/>
      <c r="S160" s="7"/>
      <c r="T160" s="7"/>
      <c r="U160" s="7"/>
      <c r="V160" s="7"/>
    </row>
    <row r="161" spans="1:22" ht="13.2" x14ac:dyDescent="0.25">
      <c r="A161" s="4"/>
      <c r="B161" s="5"/>
      <c r="C161" s="4"/>
      <c r="D161" s="6"/>
      <c r="E161" s="4"/>
      <c r="F161" s="7"/>
      <c r="G161" s="6"/>
      <c r="H161" s="6"/>
      <c r="I161" s="7"/>
      <c r="J161" s="7"/>
      <c r="K161" s="7"/>
      <c r="L161" s="7"/>
      <c r="M161" s="7"/>
      <c r="N161" s="7"/>
      <c r="O161" s="7"/>
      <c r="P161" s="9"/>
      <c r="Q161" s="7"/>
      <c r="R161" s="7"/>
      <c r="S161" s="7"/>
      <c r="T161" s="7"/>
      <c r="U161" s="7"/>
      <c r="V161" s="7"/>
    </row>
    <row r="162" spans="1:22" ht="13.2" x14ac:dyDescent="0.25">
      <c r="A162" s="4"/>
      <c r="B162" s="5"/>
      <c r="C162" s="4"/>
      <c r="D162" s="6"/>
      <c r="E162" s="4"/>
      <c r="F162" s="7"/>
      <c r="G162" s="6"/>
      <c r="H162" s="6"/>
      <c r="I162" s="7"/>
      <c r="J162" s="7"/>
      <c r="K162" s="7"/>
      <c r="L162" s="7"/>
      <c r="M162" s="7"/>
      <c r="N162" s="7"/>
      <c r="O162" s="7"/>
      <c r="P162" s="9"/>
      <c r="Q162" s="7"/>
      <c r="R162" s="7"/>
      <c r="S162" s="7"/>
      <c r="T162" s="7"/>
      <c r="U162" s="7"/>
      <c r="V162" s="7"/>
    </row>
    <row r="163" spans="1:22" ht="13.2" x14ac:dyDescent="0.25">
      <c r="A163" s="4"/>
      <c r="B163" s="5"/>
      <c r="C163" s="4"/>
      <c r="D163" s="6"/>
      <c r="E163" s="4"/>
      <c r="F163" s="7"/>
      <c r="G163" s="6"/>
      <c r="H163" s="6"/>
      <c r="I163" s="7"/>
      <c r="J163" s="7"/>
      <c r="K163" s="7"/>
      <c r="L163" s="7"/>
      <c r="M163" s="7"/>
      <c r="N163" s="7"/>
      <c r="O163" s="7"/>
      <c r="P163" s="9"/>
      <c r="Q163" s="7"/>
      <c r="R163" s="7"/>
      <c r="S163" s="7"/>
      <c r="T163" s="7"/>
      <c r="U163" s="7"/>
      <c r="V163" s="7"/>
    </row>
  </sheetData>
  <hyperlinks>
    <hyperlink ref="F8" r:id="rId1" xr:uid="{00000000-0004-0000-0000-000000000000}"/>
    <hyperlink ref="F45" r:id="rId2" xr:uid="{00000000-0004-0000-0000-000003000000}"/>
    <hyperlink ref="F51" r:id="rId3" xr:uid="{00000000-0004-0000-0000-000004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5"/>
  <sheetViews>
    <sheetView workbookViewId="0"/>
  </sheetViews>
  <sheetFormatPr defaultColWidth="12.6640625" defaultRowHeight="15.75" customHeight="1" x14ac:dyDescent="0.25"/>
  <cols>
    <col min="2" max="2" width="31.21875" customWidth="1"/>
  </cols>
  <sheetData>
    <row r="1" spans="1:23" ht="15.75" customHeight="1" x14ac:dyDescent="0.3">
      <c r="A1" s="3" t="s">
        <v>0</v>
      </c>
      <c r="B1" s="3" t="s">
        <v>634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635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636</v>
      </c>
      <c r="Q1" s="3" t="s">
        <v>16</v>
      </c>
      <c r="R1" s="3"/>
      <c r="S1" s="3"/>
      <c r="T1" s="3"/>
      <c r="U1" s="3"/>
      <c r="V1" s="3"/>
      <c r="W1" s="3"/>
    </row>
    <row r="2" spans="1:23" x14ac:dyDescent="0.25">
      <c r="A2" s="33">
        <f ca="1">IFERROR(__xludf.DUMMYFUNCTION("QUERY('Form Responses 1'!A2:S1000, ""select * where R='Yavatmal'"") "),45016.8089351388)</f>
        <v>45016.808935138797</v>
      </c>
      <c r="B2" s="19" t="str">
        <f ca="1">IFERROR(__xludf.DUMMYFUNCTION("""COMPUTED_VALUE"""),"Bari electrical ")</f>
        <v xml:space="preserve">Bari electrical </v>
      </c>
      <c r="C2" s="19" t="str">
        <f ca="1">IFERROR(__xludf.DUMMYFUNCTION("""COMPUTED_VALUE"""),"Shiv Nagar ,old Umarsara yavatmal ")</f>
        <v xml:space="preserve">Shiv Nagar ,old Umarsara yavatmal </v>
      </c>
      <c r="D2" s="19">
        <f ca="1">IFERROR(__xludf.DUMMYFUNCTION("""COMPUTED_VALUE"""),9403048294)</f>
        <v>9403048294</v>
      </c>
      <c r="E2" s="19"/>
      <c r="F2" s="19" t="str">
        <f ca="1">IFERROR(__xludf.DUMMYFUNCTION("""COMPUTED_VALUE"""),"Rajendrabari1234@gmail.com")</f>
        <v>Rajendrabari1234@gmail.com</v>
      </c>
      <c r="G2" s="19"/>
      <c r="H2" s="19"/>
      <c r="I2" s="19" t="str">
        <f ca="1">IFERROR(__xludf.DUMMYFUNCTION("""COMPUTED_VALUE"""),"ADBPB6243J")</f>
        <v>ADBPB6243J</v>
      </c>
      <c r="J2" s="19" t="str">
        <f ca="1">IFERROR(__xludf.DUMMYFUNCTION("""COMPUTED_VALUE"""),"Bari Electricals")</f>
        <v>Bari Electricals</v>
      </c>
      <c r="K2" s="19" t="str">
        <f ca="1">IFERROR(__xludf.DUMMYFUNCTION("""COMPUTED_VALUE"""),"Akshad.v121199@gmail.com")</f>
        <v>Akshad.v121199@gmail.com</v>
      </c>
      <c r="L2" s="20">
        <f ca="1">IFERROR(__xludf.DUMMYFUNCTION("""COMPUTED_VALUE"""),43125)</f>
        <v>43125</v>
      </c>
      <c r="M2" s="19" t="str">
        <f ca="1">IFERROR(__xludf.DUMMYFUNCTION("""COMPUTED_VALUE"""),"Option 1")</f>
        <v>Option 1</v>
      </c>
      <c r="N2" s="19" t="str">
        <f ca="1">IFERROR(__xludf.DUMMYFUNCTION("""COMPUTED_VALUE"""),"Solo Properitership")</f>
        <v>Solo Properitership</v>
      </c>
      <c r="O2" s="19" t="str">
        <f ca="1">IFERROR(__xludf.DUMMYFUNCTION("""COMPUTED_VALUE"""),"Professional services")</f>
        <v>Professional services</v>
      </c>
      <c r="P2" s="19" t="str">
        <f ca="1">IFERROR(__xludf.DUMMYFUNCTION("""COMPUTED_VALUE"""),"All Types of Electrical Problem and Electric Supplies.")</f>
        <v>All Types of Electrical Problem and Electric Supplies.</v>
      </c>
      <c r="Q2" s="19" t="str">
        <f ca="1">IFERROR(__xludf.DUMMYFUNCTION("""COMPUTED_VALUE"""),"SBI ( Umarsara)/ Rajendra Bari / 30917374166")</f>
        <v>SBI ( Umarsara)/ Rajendra Bari / 30917374166</v>
      </c>
      <c r="R2" s="19" t="str">
        <f ca="1">IFERROR(__xludf.DUMMYFUNCTION("""COMPUTED_VALUE"""),"Yavatmal")</f>
        <v>Yavatmal</v>
      </c>
      <c r="S2" s="19"/>
    </row>
    <row r="3" spans="1:23" x14ac:dyDescent="0.25">
      <c r="A3" s="33">
        <f ca="1">IFERROR(__xludf.DUMMYFUNCTION("""COMPUTED_VALUE"""),45098.6310178587)</f>
        <v>45098.631017858701</v>
      </c>
      <c r="B3" s="19" t="str">
        <f ca="1">IFERROR(__xludf.DUMMYFUNCTION("""COMPUTED_VALUE"""),"shendurkar contractor")</f>
        <v>shendurkar contractor</v>
      </c>
      <c r="C3" s="19" t="str">
        <f ca="1">IFERROR(__xludf.DUMMYFUNCTION("""COMPUTED_VALUE"""),"mulki ramkrushna nagar,wadgaon yavatmal")</f>
        <v>mulki ramkrushna nagar,wadgaon yavatmal</v>
      </c>
      <c r="D3" s="19">
        <f ca="1">IFERROR(__xludf.DUMMYFUNCTION("""COMPUTED_VALUE"""),8390632253)</f>
        <v>8390632253</v>
      </c>
      <c r="E3" s="19"/>
      <c r="F3" s="19" t="str">
        <f ca="1">IFERROR(__xludf.DUMMYFUNCTION("""COMPUTED_VALUE"""),"sachinjaisingpure175@gmail.com")</f>
        <v>sachinjaisingpure175@gmail.com</v>
      </c>
      <c r="G3" s="19"/>
      <c r="H3" s="19"/>
      <c r="I3" s="19"/>
      <c r="J3" s="19"/>
      <c r="K3" s="19"/>
      <c r="L3" s="20"/>
      <c r="M3" s="19"/>
      <c r="N3" s="19" t="str">
        <f ca="1">IFERROR(__xludf.DUMMYFUNCTION("""COMPUTED_VALUE"""),"Solo Properitership")</f>
        <v>Solo Properitership</v>
      </c>
      <c r="O3" s="19" t="str">
        <f ca="1">IFERROR(__xludf.DUMMYFUNCTION("""COMPUTED_VALUE"""),"Construction contractor")</f>
        <v>Construction contractor</v>
      </c>
      <c r="P3" s="19" t="str">
        <f ca="1">IFERROR(__xludf.DUMMYFUNCTION("""COMPUTED_VALUE"""),"all construction accesories")</f>
        <v>all construction accesories</v>
      </c>
      <c r="Q3" s="19"/>
      <c r="R3" s="19" t="str">
        <f ca="1">IFERROR(__xludf.DUMMYFUNCTION("""COMPUTED_VALUE"""),"Yavatmal")</f>
        <v>Yavatmal</v>
      </c>
      <c r="S3" s="19"/>
    </row>
    <row r="4" spans="1:23" x14ac:dyDescent="0.25">
      <c r="A4" s="33">
        <f ca="1">IFERROR(__xludf.DUMMYFUNCTION("""COMPUTED_VALUE"""),45098.6346897685)</f>
        <v>45098.6346897685</v>
      </c>
      <c r="B4" s="19" t="str">
        <f ca="1">IFERROR(__xludf.DUMMYFUNCTION("""COMPUTED_VALUE"""),"Raju painter")</f>
        <v>Raju painter</v>
      </c>
      <c r="C4" s="19" t="str">
        <f ca="1">IFERROR(__xludf.DUMMYFUNCTION("""COMPUTED_VALUE"""),"pimpalgaon ,dhamngaon yavatmal")</f>
        <v>pimpalgaon ,dhamngaon yavatmal</v>
      </c>
      <c r="D4" s="19">
        <f ca="1">IFERROR(__xludf.DUMMYFUNCTION("""COMPUTED_VALUE"""),7875024234)</f>
        <v>7875024234</v>
      </c>
      <c r="E4" s="19"/>
      <c r="F4" s="19" t="str">
        <f ca="1">IFERROR(__xludf.DUMMYFUNCTION("""COMPUTED_VALUE"""),"sachinjaisingpure175@gmail.com")</f>
        <v>sachinjaisingpure175@gmail.com</v>
      </c>
      <c r="G4" s="19"/>
      <c r="H4" s="19"/>
      <c r="I4" s="19"/>
      <c r="J4" s="19"/>
      <c r="K4" s="19"/>
      <c r="L4" s="20"/>
      <c r="M4" s="19"/>
      <c r="N4" s="19" t="str">
        <f ca="1">IFERROR(__xludf.DUMMYFUNCTION("""COMPUTED_VALUE"""),"Solo Properitership")</f>
        <v>Solo Properitership</v>
      </c>
      <c r="O4" s="19" t="str">
        <f ca="1">IFERROR(__xludf.DUMMYFUNCTION("""COMPUTED_VALUE"""),"Professional services")</f>
        <v>Professional services</v>
      </c>
      <c r="P4" s="19" t="str">
        <f ca="1">IFERROR(__xludf.DUMMYFUNCTION("""COMPUTED_VALUE"""),"painting works")</f>
        <v>painting works</v>
      </c>
      <c r="Q4" s="19"/>
      <c r="R4" s="19" t="str">
        <f ca="1">IFERROR(__xludf.DUMMYFUNCTION("""COMPUTED_VALUE"""),"Yavatmal")</f>
        <v>Yavatmal</v>
      </c>
      <c r="S4" s="19"/>
    </row>
    <row r="5" spans="1:23" x14ac:dyDescent="0.25">
      <c r="A5" s="33"/>
      <c r="B5" s="19" t="str">
        <f ca="1">IFERROR(__xludf.DUMMYFUNCTION("""COMPUTED_VALUE"""),"Rajvaibhav interior decorator and fabrication")</f>
        <v>Rajvaibhav interior decorator and fabrication</v>
      </c>
      <c r="C5" s="19" t="str">
        <f ca="1">IFERROR(__xludf.DUMMYFUNCTION("""COMPUTED_VALUE"""),"Interior decorator and fabrication")</f>
        <v>Interior decorator and fabrication</v>
      </c>
      <c r="D5" s="19">
        <f ca="1">IFERROR(__xludf.DUMMYFUNCTION("""COMPUTED_VALUE"""),9867821771)</f>
        <v>9867821771</v>
      </c>
      <c r="E5" s="19"/>
      <c r="F5" s="19" t="str">
        <f ca="1">IFERROR(__xludf.DUMMYFUNCTION("""COMPUTED_VALUE"""),"smehul93@gmail.com")</f>
        <v>smehul93@gmail.com</v>
      </c>
      <c r="G5" s="19"/>
      <c r="H5" s="19"/>
      <c r="I5" s="19"/>
      <c r="J5" s="19" t="str">
        <f ca="1">IFERROR(__xludf.DUMMYFUNCTION("""COMPUTED_VALUE"""),"Datta pokharkar")</f>
        <v>Datta pokharkar</v>
      </c>
      <c r="K5" s="19"/>
      <c r="L5" s="20"/>
      <c r="M5" s="19"/>
      <c r="N5" s="19"/>
      <c r="O5" s="19"/>
      <c r="P5" s="19"/>
      <c r="Q5" s="19"/>
      <c r="R5" s="19" t="str">
        <f ca="1">IFERROR(__xludf.DUMMYFUNCTION("""COMPUTED_VALUE"""),"Yavatmal")</f>
        <v>Yavatmal</v>
      </c>
      <c r="S5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W1000"/>
  <sheetViews>
    <sheetView workbookViewId="0"/>
  </sheetViews>
  <sheetFormatPr defaultColWidth="12.6640625" defaultRowHeight="15.75" customHeight="1" x14ac:dyDescent="0.25"/>
  <cols>
    <col min="2" max="2" width="31.21875" customWidth="1"/>
    <col min="3" max="3" width="29.21875" customWidth="1"/>
    <col min="4" max="4" width="18.109375" customWidth="1"/>
    <col min="6" max="6" width="25.109375" customWidth="1"/>
  </cols>
  <sheetData>
    <row r="1" spans="1:23" ht="33" customHeight="1" x14ac:dyDescent="0.3">
      <c r="A1" s="3" t="s">
        <v>0</v>
      </c>
      <c r="B1" s="3" t="s">
        <v>634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635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636</v>
      </c>
      <c r="Q1" s="3" t="s">
        <v>16</v>
      </c>
      <c r="R1" s="3"/>
      <c r="S1" s="3"/>
      <c r="T1" s="3"/>
      <c r="U1" s="3"/>
      <c r="V1" s="3"/>
      <c r="W1" s="3"/>
    </row>
    <row r="2" spans="1:23" ht="38.25" customHeight="1" x14ac:dyDescent="0.25">
      <c r="A2" s="33">
        <f ca="1">IFERROR(__xludf.DUMMYFUNCTION("QUERY('Form Responses 1'!A2:S1000, ""select * where R='Chiplun'"") "),44840.7099704513)</f>
        <v>44840.709970451302</v>
      </c>
      <c r="B2" s="19" t="str">
        <f ca="1">IFERROR(__xludf.DUMMYFUNCTION("""COMPUTED_VALUE"""),"VAIDYA FURNITURE ")</f>
        <v xml:space="preserve">VAIDYA FURNITURE </v>
      </c>
      <c r="C2" s="21" t="str">
        <f ca="1">IFERROR(__xludf.DUMMYFUNCTION("""COMPUTED_VALUE"""),"Shop No-1706, Mahalaxmi complex, main bazar Peth road, above union bank, Chiplun -415605")</f>
        <v>Shop No-1706, Mahalaxmi complex, main bazar Peth road, above union bank, Chiplun -415605</v>
      </c>
      <c r="D2" s="19">
        <f ca="1">IFERROR(__xludf.DUMMYFUNCTION("""COMPUTED_VALUE"""),7219856668)</f>
        <v>7219856668</v>
      </c>
      <c r="E2" s="19"/>
      <c r="F2" s="21" t="str">
        <f ca="1">IFERROR(__xludf.DUMMYFUNCTION("""COMPUTED_VALUE"""),"vaidyasfurniture@gmail.com ")</f>
        <v xml:space="preserve">vaidyasfurniture@gmail.com </v>
      </c>
      <c r="G2" s="19"/>
      <c r="H2" s="19" t="str">
        <f ca="1">IFERROR(__xludf.DUMMYFUNCTION("""COMPUTED_VALUE"""),"27ADGPV2694A1ZE")</f>
        <v>27ADGPV2694A1ZE</v>
      </c>
      <c r="I2" s="19" t="str">
        <f ca="1">IFERROR(__xludf.DUMMYFUNCTION("""COMPUTED_VALUE"""),"ADGPV2694A")</f>
        <v>ADGPV2694A</v>
      </c>
      <c r="J2" s="21" t="str">
        <f ca="1">IFERROR(__xludf.DUMMYFUNCTION("""COMPUTED_VALUE"""),"Mr. Shubham Gajanan Vaidya - Proprietor ")</f>
        <v xml:space="preserve">Mr. Shubham Gajanan Vaidya - Proprietor </v>
      </c>
      <c r="K2" s="19" t="str">
        <f ca="1">IFERROR(__xludf.DUMMYFUNCTION("""COMPUTED_VALUE"""),"vaidyasshubh@gmail.com ")</f>
        <v xml:space="preserve">vaidyasshubh@gmail.com </v>
      </c>
      <c r="L2" s="20">
        <f ca="1">IFERROR(__xludf.DUMMYFUNCTION("""COMPUTED_VALUE"""),41915)</f>
        <v>41915</v>
      </c>
      <c r="M2" s="19"/>
      <c r="N2" s="19" t="str">
        <f ca="1">IFERROR(__xludf.DUMMYFUNCTION("""COMPUTED_VALUE"""),"Solo Properitership")</f>
        <v>Solo Properitership</v>
      </c>
      <c r="O2" s="19" t="str">
        <f ca="1">IFERROR(__xludf.DUMMYFUNCTION("""COMPUTED_VALUE"""),"RETAILER")</f>
        <v>RETAILER</v>
      </c>
      <c r="P2" s="19" t="str">
        <f ca="1">IFERROR(__xludf.DUMMYFUNCTION("""COMPUTED_VALUE"""),"ALL TYPE OF FURNITURE AND INTERIOR WORK")</f>
        <v>ALL TYPE OF FURNITURE AND INTERIOR WORK</v>
      </c>
      <c r="Q2" s="19" t="str">
        <f ca="1">IFERROR(__xludf.DUMMYFUNCTION("""COMPUTED_VALUE"""),"Bank Name: HDFC BANK
Bank Adress: Manohar arcade, Chiplun 415605
Beneficiary Name: VAIDYA FURNITURE
Bank Account No.: 50200024076682
Bank IFSC code: HDFC0002177")</f>
        <v>Bank Name: HDFC BANK
Bank Adress: Manohar arcade, Chiplun 415605
Beneficiary Name: VAIDYA FURNITURE
Bank Account No.: 50200024076682
Bank IFSC code: HDFC0002177</v>
      </c>
      <c r="R2" s="19" t="str">
        <f ca="1">IFERROR(__xludf.DUMMYFUNCTION("""COMPUTED_VALUE"""),"Chiplun")</f>
        <v>Chiplun</v>
      </c>
      <c r="S2" s="19"/>
    </row>
    <row r="3" spans="1:23" ht="30.75" customHeight="1" x14ac:dyDescent="0.25">
      <c r="A3" s="33">
        <f ca="1">IFERROR(__xludf.DUMMYFUNCTION("""COMPUTED_VALUE"""),44923.994447199)</f>
        <v>44923.994447199002</v>
      </c>
      <c r="B3" s="19" t="str">
        <f ca="1">IFERROR(__xludf.DUMMYFUNCTION("""COMPUTED_VALUE"""),"Aarya enterprises ")</f>
        <v xml:space="preserve">Aarya enterprises </v>
      </c>
      <c r="C3" s="21" t="str">
        <f ca="1">IFERROR(__xludf.DUMMYFUNCTION("""COMPUTED_VALUE"""),"Pethmap chiplun near old marathi school")</f>
        <v>Pethmap chiplun near old marathi school</v>
      </c>
      <c r="D3" s="19">
        <f ca="1">IFERROR(__xludf.DUMMYFUNCTION("""COMPUTED_VALUE"""),7709242493)</f>
        <v>7709242493</v>
      </c>
      <c r="E3" s="19"/>
      <c r="F3" s="21" t="str">
        <f ca="1">IFERROR(__xludf.DUMMYFUNCTION("""COMPUTED_VALUE"""),"aaryaenterprises1022@gmail.com")</f>
        <v>aaryaenterprises1022@gmail.com</v>
      </c>
      <c r="G3" s="19"/>
      <c r="H3" s="19" t="str">
        <f ca="1">IFERROR(__xludf.DUMMYFUNCTION("""COMPUTED_VALUE"""),"27EBPPP3727P1ZO")</f>
        <v>27EBPPP3727P1ZO</v>
      </c>
      <c r="I3" s="19" t="str">
        <f ca="1">IFERROR(__xludf.DUMMYFUNCTION("""COMPUTED_VALUE"""),"EBPPP3727P")</f>
        <v>EBPPP3727P</v>
      </c>
      <c r="J3" s="21" t="str">
        <f ca="1">IFERROR(__xludf.DUMMYFUNCTION("""COMPUTED_VALUE"""),"Civil construction and building material supplier’s ")</f>
        <v xml:space="preserve">Civil construction and building material supplier’s </v>
      </c>
      <c r="K3" s="19" t="str">
        <f ca="1">IFERROR(__xludf.DUMMYFUNCTION("""COMPUTED_VALUE"""),"Sohampathare33@gmail.com")</f>
        <v>Sohampathare33@gmail.com</v>
      </c>
      <c r="L3" s="20">
        <f ca="1">IFERROR(__xludf.DUMMYFUNCTION("""COMPUTED_VALUE"""),35483)</f>
        <v>35483</v>
      </c>
      <c r="M3" s="19" t="str">
        <f ca="1">IFERROR(__xludf.DUMMYFUNCTION("""COMPUTED_VALUE"""),"Option 2")</f>
        <v>Option 2</v>
      </c>
      <c r="N3" s="19" t="str">
        <f ca="1">IFERROR(__xludf.DUMMYFUNCTION("""COMPUTED_VALUE"""),"Solo Properitership")</f>
        <v>Solo Properitership</v>
      </c>
      <c r="O3" s="19" t="str">
        <f ca="1">IFERROR(__xludf.DUMMYFUNCTION("""COMPUTED_VALUE"""),"Construction contractor")</f>
        <v>Construction contractor</v>
      </c>
      <c r="P3" s="19" t="str">
        <f ca="1">IFERROR(__xludf.DUMMYFUNCTION("""COMPUTED_VALUE"""),"All type of civil materials and labour supply with qualified engineers and supervisors ")</f>
        <v xml:space="preserve">All type of civil materials and labour supply with qualified engineers and supervisors </v>
      </c>
      <c r="Q3" s="19" t="str">
        <f ca="1">IFERROR(__xludf.DUMMYFUNCTION("""COMPUTED_VALUE"""),"Union bank of india
Chiplun
Soham sachin pathare
377202010997270")</f>
        <v>Union bank of india
Chiplun
Soham sachin pathare
377202010997270</v>
      </c>
      <c r="R3" s="19" t="str">
        <f ca="1">IFERROR(__xludf.DUMMYFUNCTION("""COMPUTED_VALUE"""),"Chiplun")</f>
        <v>Chiplun</v>
      </c>
      <c r="S3" s="19"/>
    </row>
    <row r="4" spans="1:23" ht="26.4" x14ac:dyDescent="0.25">
      <c r="A4" s="33">
        <f ca="1">IFERROR(__xludf.DUMMYFUNCTION("""COMPUTED_VALUE"""),44954.8774556481)</f>
        <v>44954.8774556481</v>
      </c>
      <c r="B4" s="19" t="str">
        <f ca="1">IFERROR(__xludf.DUMMYFUNCTION("""COMPUTED_VALUE"""),"Avinash electrician")</f>
        <v>Avinash electrician</v>
      </c>
      <c r="C4" s="21" t="str">
        <f ca="1">IFERROR(__xludf.DUMMYFUNCTION("""COMPUTED_VALUE"""),"At post muradpur, kumbharwadi, chiplun 415605")</f>
        <v>At post muradpur, kumbharwadi, chiplun 415605</v>
      </c>
      <c r="D4" s="19">
        <f ca="1">IFERROR(__xludf.DUMMYFUNCTION("""COMPUTED_VALUE"""),9766896189)</f>
        <v>9766896189</v>
      </c>
      <c r="E4" s="19"/>
      <c r="F4" s="21"/>
      <c r="G4" s="19"/>
      <c r="H4" s="19"/>
      <c r="I4" s="19"/>
      <c r="J4" s="21" t="str">
        <f ca="1">IFERROR(__xludf.DUMMYFUNCTION("""COMPUTED_VALUE"""),"Avinash salvi")</f>
        <v>Avinash salvi</v>
      </c>
      <c r="K4" s="19"/>
      <c r="L4" s="20"/>
      <c r="M4" s="19"/>
      <c r="N4" s="19" t="str">
        <f ca="1">IFERROR(__xludf.DUMMYFUNCTION("""COMPUTED_VALUE"""),"Solo Properitership")</f>
        <v>Solo Properitership</v>
      </c>
      <c r="O4" s="19" t="str">
        <f ca="1">IFERROR(__xludf.DUMMYFUNCTION("""COMPUTED_VALUE"""),"Construction contractor")</f>
        <v>Construction contractor</v>
      </c>
      <c r="P4" s="19" t="str">
        <f ca="1">IFERROR(__xludf.DUMMYFUNCTION("""COMPUTED_VALUE"""),"All type of electrician work")</f>
        <v>All type of electrician work</v>
      </c>
      <c r="Q4" s="19" t="str">
        <f ca="1">IFERROR(__xludf.DUMMYFUNCTION("""COMPUTED_VALUE"""),"Avinash Ashok Salvi 
A/C=141110110002885
IFSC No=BKID0001411")</f>
        <v>Avinash Ashok Salvi 
A/C=141110110002885
IFSC No=BKID0001411</v>
      </c>
      <c r="R4" s="19" t="str">
        <f ca="1">IFERROR(__xludf.DUMMYFUNCTION("""COMPUTED_VALUE"""),"Chiplun")</f>
        <v>Chiplun</v>
      </c>
      <c r="S4" s="19"/>
    </row>
    <row r="5" spans="1:23" ht="33" customHeight="1" x14ac:dyDescent="0.25">
      <c r="A5" s="33">
        <f ca="1">IFERROR(__xludf.DUMMYFUNCTION("""COMPUTED_VALUE"""),44954.8803204166)</f>
        <v>44954.880320416603</v>
      </c>
      <c r="B5" s="19" t="str">
        <f ca="1">IFERROR(__xludf.DUMMYFUNCTION("""COMPUTED_VALUE"""),"Aarya enterprises ")</f>
        <v xml:space="preserve">Aarya enterprises </v>
      </c>
      <c r="C5" s="21" t="str">
        <f ca="1">IFERROR(__xludf.DUMMYFUNCTION("""COMPUTED_VALUE"""),"Pethmap chiplun near old marathi school")</f>
        <v>Pethmap chiplun near old marathi school</v>
      </c>
      <c r="D5" s="19">
        <f ca="1">IFERROR(__xludf.DUMMYFUNCTION("""COMPUTED_VALUE"""),7709242493)</f>
        <v>7709242493</v>
      </c>
      <c r="E5" s="19"/>
      <c r="F5" s="21" t="str">
        <f ca="1">IFERROR(__xludf.DUMMYFUNCTION("""COMPUTED_VALUE"""),"aaryaenterprises1022@gmail.com")</f>
        <v>aaryaenterprises1022@gmail.com</v>
      </c>
      <c r="G5" s="19"/>
      <c r="H5" s="19" t="str">
        <f ca="1">IFERROR(__xludf.DUMMYFUNCTION("""COMPUTED_VALUE"""),"27EBPPP3727P1ZO")</f>
        <v>27EBPPP3727P1ZO</v>
      </c>
      <c r="I5" s="19" t="str">
        <f ca="1">IFERROR(__xludf.DUMMYFUNCTION("""COMPUTED_VALUE"""),"EBPPP3727P")</f>
        <v>EBPPP3727P</v>
      </c>
      <c r="J5" s="21" t="str">
        <f ca="1">IFERROR(__xludf.DUMMYFUNCTION("""COMPUTED_VALUE"""),"Civil construction and building material supplier’s ")</f>
        <v xml:space="preserve">Civil construction and building material supplier’s </v>
      </c>
      <c r="K5" s="19" t="str">
        <f ca="1">IFERROR(__xludf.DUMMYFUNCTION("""COMPUTED_VALUE"""),"Sohampathare33@gmail.com")</f>
        <v>Sohampathare33@gmail.com</v>
      </c>
      <c r="L5" s="20">
        <f ca="1">IFERROR(__xludf.DUMMYFUNCTION("""COMPUTED_VALUE"""),43313)</f>
        <v>43313</v>
      </c>
      <c r="M5" s="19" t="str">
        <f ca="1">IFERROR(__xludf.DUMMYFUNCTION("""COMPUTED_VALUE"""),"Option 3")</f>
        <v>Option 3</v>
      </c>
      <c r="N5" s="19" t="str">
        <f ca="1">IFERROR(__xludf.DUMMYFUNCTION("""COMPUTED_VALUE"""),"Solo Properitership")</f>
        <v>Solo Properitership</v>
      </c>
      <c r="O5" s="19" t="str">
        <f ca="1">IFERROR(__xludf.DUMMYFUNCTION("""COMPUTED_VALUE"""),"Construction contractor")</f>
        <v>Construction contractor</v>
      </c>
      <c r="P5" s="19" t="str">
        <f ca="1">IFERROR(__xludf.DUMMYFUNCTION("""COMPUTED_VALUE"""),"All type of civil work with qualified engineers on site .including labour supply and material supply")</f>
        <v>All type of civil work with qualified engineers on site .including labour supply and material supply</v>
      </c>
      <c r="Q5" s="19" t="str">
        <f ca="1">IFERROR(__xludf.DUMMYFUNCTION("""COMPUTED_VALUE"""),"Union bank of india
Branch -chiplun
Soham sachin pathare 
377202010997270")</f>
        <v>Union bank of india
Branch -chiplun
Soham sachin pathare 
377202010997270</v>
      </c>
      <c r="R5" s="19" t="str">
        <f ca="1">IFERROR(__xludf.DUMMYFUNCTION("""COMPUTED_VALUE"""),"Chiplun")</f>
        <v>Chiplun</v>
      </c>
      <c r="S5" s="19"/>
    </row>
    <row r="6" spans="1:23" ht="26.4" x14ac:dyDescent="0.25">
      <c r="A6" s="33">
        <f ca="1">IFERROR(__xludf.DUMMYFUNCTION("""COMPUTED_VALUE"""),44954.8824588425)</f>
        <v>44954.882458842498</v>
      </c>
      <c r="B6" s="19" t="str">
        <f ca="1">IFERROR(__xludf.DUMMYFUNCTION("""COMPUTED_VALUE"""),"Purva kitchen")</f>
        <v>Purva kitchen</v>
      </c>
      <c r="C6" s="21" t="str">
        <f ca="1">IFERROR(__xludf.DUMMYFUNCTION("""COMPUTED_VALUE"""),"At post pag Naka, near sukai devi temple, chiplun 415605")</f>
        <v>At post pag Naka, near sukai devi temple, chiplun 415605</v>
      </c>
      <c r="D6" s="19"/>
      <c r="E6" s="19"/>
      <c r="F6" s="21"/>
      <c r="G6" s="19"/>
      <c r="H6" s="19"/>
      <c r="I6" s="19"/>
      <c r="J6" s="21" t="str">
        <f ca="1">IFERROR(__xludf.DUMMYFUNCTION("""COMPUTED_VALUE"""),"Gajanan bondkar")</f>
        <v>Gajanan bondkar</v>
      </c>
      <c r="K6" s="19"/>
      <c r="L6" s="20"/>
      <c r="M6" s="19"/>
      <c r="N6" s="19" t="str">
        <f ca="1">IFERROR(__xludf.DUMMYFUNCTION("""COMPUTED_VALUE"""),"Solo Properitership")</f>
        <v>Solo Properitership</v>
      </c>
      <c r="O6" s="19" t="str">
        <f ca="1">IFERROR(__xludf.DUMMYFUNCTION("""COMPUTED_VALUE"""),"Professional services")</f>
        <v>Professional services</v>
      </c>
      <c r="P6" s="19" t="str">
        <f ca="1">IFERROR(__xludf.DUMMYFUNCTION("""COMPUTED_VALUE"""),"Electrician work, plumbing work, fabrication work")</f>
        <v>Electrician work, plumbing work, fabrication work</v>
      </c>
      <c r="Q6" s="19"/>
      <c r="R6" s="19" t="str">
        <f ca="1">IFERROR(__xludf.DUMMYFUNCTION("""COMPUTED_VALUE"""),"Chiplun")</f>
        <v>Chiplun</v>
      </c>
      <c r="S6" s="19"/>
    </row>
    <row r="7" spans="1:23" ht="26.4" x14ac:dyDescent="0.25">
      <c r="A7" s="33">
        <f ca="1">IFERROR(__xludf.DUMMYFUNCTION("""COMPUTED_VALUE"""),44954.8843542939)</f>
        <v>44954.884354293899</v>
      </c>
      <c r="B7" s="19" t="str">
        <f ca="1">IFERROR(__xludf.DUMMYFUNCTION("""COMPUTED_VALUE"""),"ABS INOVO")</f>
        <v>ABS INOVO</v>
      </c>
      <c r="C7" s="21" t="str">
        <f ca="1">IFERROR(__xludf.DUMMYFUNCTION("""COMPUTED_VALUE"""),"At post 101, Vashishti Darshan, peth map")</f>
        <v>At post 101, Vashishti Darshan, peth map</v>
      </c>
      <c r="D7" s="19"/>
      <c r="E7" s="19"/>
      <c r="F7" s="21" t="str">
        <f ca="1">IFERROR(__xludf.DUMMYFUNCTION("""COMPUTED_VALUE"""),"basitsarnaik@gmail.com")</f>
        <v>basitsarnaik@gmail.com</v>
      </c>
      <c r="G7" s="19"/>
      <c r="H7" s="19"/>
      <c r="I7" s="19" t="str">
        <f ca="1">IFERROR(__xludf.DUMMYFUNCTION("""COMPUTED_VALUE"""),"LJRPS3259J")</f>
        <v>LJRPS3259J</v>
      </c>
      <c r="J7" s="21" t="str">
        <f ca="1">IFERROR(__xludf.DUMMYFUNCTION("""COMPUTED_VALUE"""),"AbdulBasit Rauf Sarnaik ")</f>
        <v xml:space="preserve">AbdulBasit Rauf Sarnaik </v>
      </c>
      <c r="K7" s="19" t="str">
        <f ca="1">IFERROR(__xludf.DUMMYFUNCTION("""COMPUTED_VALUE"""),"absinovo@gmail.com")</f>
        <v>absinovo@gmail.com</v>
      </c>
      <c r="L7" s="20">
        <f ca="1">IFERROR(__xludf.DUMMYFUNCTION("""COMPUTED_VALUE"""),43620)</f>
        <v>43620</v>
      </c>
      <c r="M7" s="19" t="str">
        <f ca="1">IFERROR(__xludf.DUMMYFUNCTION("""COMPUTED_VALUE"""),"Option 1")</f>
        <v>Option 1</v>
      </c>
      <c r="N7" s="19" t="str">
        <f ca="1">IFERROR(__xludf.DUMMYFUNCTION("""COMPUTED_VALUE"""),"Solo Properitership")</f>
        <v>Solo Properitership</v>
      </c>
      <c r="O7" s="19" t="str">
        <f ca="1">IFERROR(__xludf.DUMMYFUNCTION("""COMPUTED_VALUE"""),"Consultant")</f>
        <v>Consultant</v>
      </c>
      <c r="P7" s="19" t="str">
        <f ca="1">IFERROR(__xludf.DUMMYFUNCTION("""COMPUTED_VALUE"""),"Architectural and Structural engineering Services ")</f>
        <v xml:space="preserve">Architectural and Structural engineering Services </v>
      </c>
      <c r="Q7" s="19" t="str">
        <f ca="1">IFERROR(__xludf.DUMMYFUNCTION("""COMPUTED_VALUE"""),"Canara Bank, chiplun")</f>
        <v>Canara Bank, chiplun</v>
      </c>
      <c r="R7" s="19" t="str">
        <f ca="1">IFERROR(__xludf.DUMMYFUNCTION("""COMPUTED_VALUE"""),"Chiplun")</f>
        <v>Chiplun</v>
      </c>
      <c r="S7" s="19"/>
    </row>
    <row r="8" spans="1:23" ht="31.5" customHeight="1" x14ac:dyDescent="0.25">
      <c r="A8" s="33">
        <f ca="1">IFERROR(__xludf.DUMMYFUNCTION("""COMPUTED_VALUE"""),44954.889162662)</f>
        <v>44954.889162662002</v>
      </c>
      <c r="B8" s="19" t="str">
        <f ca="1">IFERROR(__xludf.DUMMYFUNCTION("""COMPUTED_VALUE"""),"Hitesh glass work")</f>
        <v>Hitesh glass work</v>
      </c>
      <c r="C8" s="21" t="str">
        <f ca="1">IFERROR(__xludf.DUMMYFUNCTION("""COMPUTED_VALUE"""),"Kavlitali, near bahadurshekh Naka chiplun 415605")</f>
        <v>Kavlitali, near bahadurshekh Naka chiplun 415605</v>
      </c>
      <c r="D8" s="19"/>
      <c r="E8" s="19"/>
      <c r="F8" s="21"/>
      <c r="G8" s="19"/>
      <c r="H8" s="19"/>
      <c r="I8" s="19"/>
      <c r="J8" s="21" t="str">
        <f ca="1">IFERROR(__xludf.DUMMYFUNCTION("""COMPUTED_VALUE"""),"Hitesh jadhav")</f>
        <v>Hitesh jadhav</v>
      </c>
      <c r="K8" s="19"/>
      <c r="L8" s="20"/>
      <c r="M8" s="19"/>
      <c r="N8" s="19" t="str">
        <f ca="1">IFERROR(__xludf.DUMMYFUNCTION("""COMPUTED_VALUE"""),"Solo Properitership")</f>
        <v>Solo Properitership</v>
      </c>
      <c r="O8" s="19" t="str">
        <f ca="1">IFERROR(__xludf.DUMMYFUNCTION("""COMPUTED_VALUE"""),"Professional services")</f>
        <v>Professional services</v>
      </c>
      <c r="P8" s="19" t="str">
        <f ca="1">IFERROR(__xludf.DUMMYFUNCTION("""COMPUTED_VALUE"""),"All types of glass work, fabrication work &amp; ACP paneling ")</f>
        <v xml:space="preserve">All types of glass work, fabrication work &amp; ACP paneling </v>
      </c>
      <c r="Q8" s="19" t="str">
        <f ca="1">IFERROR(__xludf.DUMMYFUNCTION("""COMPUTED_VALUE"""),"Bank Name- kotak bank 
AC. NO. - 1212534901
IFSC Code- KKBK0001987")</f>
        <v>Bank Name- kotak bank 
AC. NO. - 1212534901
IFSC Code- KKBK0001987</v>
      </c>
      <c r="R8" s="19" t="str">
        <f ca="1">IFERROR(__xludf.DUMMYFUNCTION("""COMPUTED_VALUE"""),"Chiplun")</f>
        <v>Chiplun</v>
      </c>
      <c r="S8" s="19"/>
    </row>
    <row r="9" spans="1:23" ht="26.4" x14ac:dyDescent="0.25">
      <c r="A9" s="33">
        <f ca="1">IFERROR(__xludf.DUMMYFUNCTION("""COMPUTED_VALUE"""),44954.8930376157)</f>
        <v>44954.8930376157</v>
      </c>
      <c r="B9" s="19" t="str">
        <f ca="1">IFERROR(__xludf.DUMMYFUNCTION("""COMPUTED_VALUE"""),"Prashant Photos ")</f>
        <v xml:space="preserve">Prashant Photos </v>
      </c>
      <c r="C9" s="21" t="str">
        <f ca="1">IFERROR(__xludf.DUMMYFUNCTION("""COMPUTED_VALUE"""),"Kumbharwadi, muradpur, chiplun 415605")</f>
        <v>Kumbharwadi, muradpur, chiplun 415605</v>
      </c>
      <c r="D9" s="19"/>
      <c r="E9" s="19"/>
      <c r="F9" s="21"/>
      <c r="G9" s="19"/>
      <c r="H9" s="19"/>
      <c r="I9" s="19"/>
      <c r="J9" s="21"/>
      <c r="K9" s="19"/>
      <c r="L9" s="20"/>
      <c r="M9" s="19"/>
      <c r="N9" s="19" t="str">
        <f ca="1">IFERROR(__xludf.DUMMYFUNCTION("""COMPUTED_VALUE"""),"Solo Properitership")</f>
        <v>Solo Properitership</v>
      </c>
      <c r="O9" s="19" t="str">
        <f ca="1">IFERROR(__xludf.DUMMYFUNCTION("""COMPUTED_VALUE"""),"Professional services")</f>
        <v>Professional services</v>
      </c>
      <c r="P9" s="19" t="str">
        <f ca="1">IFERROR(__xludf.DUMMYFUNCTION("""COMPUTED_VALUE"""),"Printing work")</f>
        <v>Printing work</v>
      </c>
      <c r="Q9" s="19"/>
      <c r="R9" s="19" t="str">
        <f ca="1">IFERROR(__xludf.DUMMYFUNCTION("""COMPUTED_VALUE"""),"Chiplun")</f>
        <v>Chiplun</v>
      </c>
      <c r="S9" s="19"/>
    </row>
    <row r="10" spans="1:23" ht="26.4" x14ac:dyDescent="0.25">
      <c r="A10" s="33">
        <f ca="1">IFERROR(__xludf.DUMMYFUNCTION("""COMPUTED_VALUE"""),44954.9111750693)</f>
        <v>44954.911175069399</v>
      </c>
      <c r="B10" s="19" t="str">
        <f ca="1">IFERROR(__xludf.DUMMYFUNCTION("""COMPUTED_VALUE"""),"Affan Plumbing Work")</f>
        <v>Affan Plumbing Work</v>
      </c>
      <c r="C10" s="21" t="str">
        <f ca="1">IFERROR(__xludf.DUMMYFUNCTION("""COMPUTED_VALUE"""),"At post muradpur, Mapari mahalla, chiplun 415605")</f>
        <v>At post muradpur, Mapari mahalla, chiplun 415605</v>
      </c>
      <c r="D10" s="19"/>
      <c r="E10" s="19"/>
      <c r="F10" s="21"/>
      <c r="G10" s="19"/>
      <c r="H10" s="19"/>
      <c r="I10" s="19"/>
      <c r="J10" s="21" t="str">
        <f ca="1">IFERROR(__xludf.DUMMYFUNCTION("""COMPUTED_VALUE"""),"Affan bagkar")</f>
        <v>Affan bagkar</v>
      </c>
      <c r="K10" s="19"/>
      <c r="L10" s="20"/>
      <c r="M10" s="19"/>
      <c r="N10" s="19" t="str">
        <f ca="1">IFERROR(__xludf.DUMMYFUNCTION("""COMPUTED_VALUE"""),"Solo Properitership")</f>
        <v>Solo Properitership</v>
      </c>
      <c r="O10" s="19" t="str">
        <f ca="1">IFERROR(__xludf.DUMMYFUNCTION("""COMPUTED_VALUE"""),"Professional services")</f>
        <v>Professional services</v>
      </c>
      <c r="P10" s="19" t="str">
        <f ca="1">IFERROR(__xludf.DUMMYFUNCTION("""COMPUTED_VALUE"""),"All type of plumbing work")</f>
        <v>All type of plumbing work</v>
      </c>
      <c r="Q10" s="19"/>
      <c r="R10" s="19" t="str">
        <f ca="1">IFERROR(__xludf.DUMMYFUNCTION("""COMPUTED_VALUE"""),"Chiplun")</f>
        <v>Chiplun</v>
      </c>
      <c r="S10" s="19"/>
    </row>
    <row r="11" spans="1:23" ht="24" customHeight="1" x14ac:dyDescent="0.25">
      <c r="A11" s="33">
        <f ca="1">IFERROR(__xludf.DUMMYFUNCTION("""COMPUTED_VALUE"""),44954.913543368)</f>
        <v>44954.913543367998</v>
      </c>
      <c r="B11" s="19" t="str">
        <f ca="1">IFERROR(__xludf.DUMMYFUNCTION("""COMPUTED_VALUE"""),"Sai Krupa Electrician ")</f>
        <v xml:space="preserve">Sai Krupa Electrician </v>
      </c>
      <c r="C11" s="21" t="str">
        <f ca="1">IFERROR(__xludf.DUMMYFUNCTION("""COMPUTED_VALUE"""),"Chiplun")</f>
        <v>Chiplun</v>
      </c>
      <c r="D11" s="19">
        <f ca="1">IFERROR(__xludf.DUMMYFUNCTION("""COMPUTED_VALUE"""),8237313286)</f>
        <v>8237313286</v>
      </c>
      <c r="E11" s="19"/>
      <c r="F11" s="21"/>
      <c r="G11" s="19"/>
      <c r="H11" s="19"/>
      <c r="I11" s="19"/>
      <c r="J11" s="21" t="str">
        <f ca="1">IFERROR(__xludf.DUMMYFUNCTION("""COMPUTED_VALUE"""),"PURUSHOTTAM RAMGARE")</f>
        <v>PURUSHOTTAM RAMGARE</v>
      </c>
      <c r="K11" s="19"/>
      <c r="L11" s="20"/>
      <c r="M11" s="19"/>
      <c r="N11" s="19" t="str">
        <f ca="1">IFERROR(__xludf.DUMMYFUNCTION("""COMPUTED_VALUE"""),"Solo Properitership")</f>
        <v>Solo Properitership</v>
      </c>
      <c r="O11" s="19" t="str">
        <f ca="1">IFERROR(__xludf.DUMMYFUNCTION("""COMPUTED_VALUE"""),"Professional services")</f>
        <v>Professional services</v>
      </c>
      <c r="P11" s="19" t="str">
        <f ca="1">IFERROR(__xludf.DUMMYFUNCTION("""COMPUTED_VALUE"""),"ALL TYPES OF ELECTRICAL AND MAITAINANCE WORKS")</f>
        <v>ALL TYPES OF ELECTRICAL AND MAITAINANCE WORKS</v>
      </c>
      <c r="Q11" s="19" t="str">
        <f ca="1">IFERROR(__xludf.DUMMYFUNCTION("""COMPUTED_VALUE"""),"HOLDER NAME :- PURUSHOTTAM RAMAGRE NAME:- PURUSHOTTAM RAMAGARE
ACCOUNT NO :- 129203100004855
IFSC CODE :- SRCB0000129 (SARASWAT BANK CHIPLUN)")</f>
        <v>HOLDER NAME :- PURUSHOTTAM RAMAGRE NAME:- PURUSHOTTAM RAMAGARE
ACCOUNT NO :- 129203100004855
IFSC CODE :- SRCB0000129 (SARASWAT BANK CHIPLUN)</v>
      </c>
      <c r="R11" s="19" t="str">
        <f ca="1">IFERROR(__xludf.DUMMYFUNCTION("""COMPUTED_VALUE"""),"Chiplun")</f>
        <v>Chiplun</v>
      </c>
      <c r="S11" s="19"/>
    </row>
    <row r="12" spans="1:23" ht="13.2" x14ac:dyDescent="0.25">
      <c r="A12" s="33">
        <f ca="1">IFERROR(__xludf.DUMMYFUNCTION("""COMPUTED_VALUE"""),44954.9984529166)</f>
        <v>44954.998452916603</v>
      </c>
      <c r="B12" s="19" t="str">
        <f ca="1">IFERROR(__xludf.DUMMYFUNCTION("""COMPUTED_VALUE"""),"shree media")</f>
        <v>shree media</v>
      </c>
      <c r="C12" s="21" t="str">
        <f ca="1">IFERROR(__xludf.DUMMYFUNCTION("""COMPUTED_VALUE"""),"Vireshwar colony ,chiplun")</f>
        <v>Vireshwar colony ,chiplun</v>
      </c>
      <c r="D12" s="19">
        <f ca="1">IFERROR(__xludf.DUMMYFUNCTION("""COMPUTED_VALUE"""),9921894717)</f>
        <v>9921894717</v>
      </c>
      <c r="E12" s="19"/>
      <c r="F12" s="21" t="str">
        <f ca="1">IFERROR(__xludf.DUMMYFUNCTION("""COMPUTED_VALUE"""),"media9099@gmail.com")</f>
        <v>media9099@gmail.com</v>
      </c>
      <c r="G12" s="19"/>
      <c r="H12" s="19" t="str">
        <f ca="1">IFERROR(__xludf.DUMMYFUNCTION("""COMPUTED_VALUE"""),"27ENRPS8573J3ZQ")</f>
        <v>27ENRPS8573J3ZQ</v>
      </c>
      <c r="I12" s="19" t="str">
        <f ca="1">IFERROR(__xludf.DUMMYFUNCTION("""COMPUTED_VALUE"""),"ENRPS8573J")</f>
        <v>ENRPS8573J</v>
      </c>
      <c r="J12" s="21" t="str">
        <f ca="1">IFERROR(__xludf.DUMMYFUNCTION("""COMPUTED_VALUE"""),"Rahul")</f>
        <v>Rahul</v>
      </c>
      <c r="K12" s="19"/>
      <c r="L12" s="20">
        <f ca="1">IFERROR(__xludf.DUMMYFUNCTION("""COMPUTED_VALUE"""),42248)</f>
        <v>42248</v>
      </c>
      <c r="M12" s="19" t="str">
        <f ca="1">IFERROR(__xludf.DUMMYFUNCTION("""COMPUTED_VALUE"""),"Option 1")</f>
        <v>Option 1</v>
      </c>
      <c r="N12" s="19" t="str">
        <f ca="1">IFERROR(__xludf.DUMMYFUNCTION("""COMPUTED_VALUE"""),"Solo Properitership")</f>
        <v>Solo Properitership</v>
      </c>
      <c r="O12" s="19" t="str">
        <f ca="1">IFERROR(__xludf.DUMMYFUNCTION("""COMPUTED_VALUE"""),"RETAILER")</f>
        <v>RETAILER</v>
      </c>
      <c r="P12" s="19"/>
      <c r="Q12" s="19"/>
      <c r="R12" s="19" t="str">
        <f ca="1">IFERROR(__xludf.DUMMYFUNCTION("""COMPUTED_VALUE"""),"Chiplun")</f>
        <v>Chiplun</v>
      </c>
      <c r="S12" s="19"/>
    </row>
    <row r="13" spans="1:23" ht="29.25" customHeight="1" x14ac:dyDescent="0.25">
      <c r="A13" s="33">
        <f ca="1">IFERROR(__xludf.DUMMYFUNCTION("""COMPUTED_VALUE"""),44960.3745825115)</f>
        <v>44960.374582511497</v>
      </c>
      <c r="B13" s="19" t="str">
        <f ca="1">IFERROR(__xludf.DUMMYFUNCTION("""COMPUTED_VALUE"""),"Pechkar enterprises ")</f>
        <v xml:space="preserve">Pechkar enterprises </v>
      </c>
      <c r="C13" s="21" t="str">
        <f ca="1">IFERROR(__xludf.DUMMYFUNCTION("""COMPUTED_VALUE"""),"Gowalkot Road
Owais Plaza")</f>
        <v>Gowalkot Road
Owais Plaza</v>
      </c>
      <c r="D13" s="19">
        <f ca="1">IFERROR(__xludf.DUMMYFUNCTION("""COMPUTED_VALUE"""),9769830504)</f>
        <v>9769830504</v>
      </c>
      <c r="E13" s="19"/>
      <c r="F13" s="21" t="str">
        <f ca="1">IFERROR(__xludf.DUMMYFUNCTION("""COMPUTED_VALUE"""),"pechkarmazhar.ma@gmail.com")</f>
        <v>pechkarmazhar.ma@gmail.com</v>
      </c>
      <c r="G13" s="19" t="str">
        <f ca="1">IFERROR(__xludf.DUMMYFUNCTION("""COMPUTED_VALUE"""),"Gowalkot Road")</f>
        <v>Gowalkot Road</v>
      </c>
      <c r="H13" s="19" t="str">
        <f ca="1">IFERROR(__xludf.DUMMYFUNCTION("""COMPUTED_VALUE"""),"27CNAPP7780D1ZS")</f>
        <v>27CNAPP7780D1ZS</v>
      </c>
      <c r="I13" s="19" t="str">
        <f ca="1">IFERROR(__xludf.DUMMYFUNCTION("""COMPUTED_VALUE"""),"CNAPP7780D")</f>
        <v>CNAPP7780D</v>
      </c>
      <c r="J13" s="21" t="str">
        <f ca="1">IFERROR(__xludf.DUMMYFUNCTION("""COMPUTED_VALUE"""),"Pechkar enterprises ")</f>
        <v xml:space="preserve">Pechkar enterprises </v>
      </c>
      <c r="K13" s="19" t="str">
        <f ca="1">IFERROR(__xludf.DUMMYFUNCTION("""COMPUTED_VALUE"""),"pechkarmazhar.ma@gmail.com")</f>
        <v>pechkarmazhar.ma@gmail.com</v>
      </c>
      <c r="L13" s="20">
        <f ca="1">IFERROR(__xludf.DUMMYFUNCTION("""COMPUTED_VALUE"""),43478)</f>
        <v>43478</v>
      </c>
      <c r="M13" s="19"/>
      <c r="N13" s="19" t="str">
        <f ca="1">IFERROR(__xludf.DUMMYFUNCTION("""COMPUTED_VALUE"""),"Solo Properitership")</f>
        <v>Solo Properitership</v>
      </c>
      <c r="O13" s="19" t="str">
        <f ca="1">IFERROR(__xludf.DUMMYFUNCTION("""COMPUTED_VALUE"""),"Manufacturer")</f>
        <v>Manufacturer</v>
      </c>
      <c r="P13" s="19" t="str">
        <f ca="1">IFERROR(__xludf.DUMMYFUNCTION("""COMPUTED_VALUE"""),"AAC BLOCKS ")</f>
        <v xml:space="preserve">AAC BLOCKS </v>
      </c>
      <c r="Q13" s="19" t="str">
        <f ca="1">IFERROR(__xludf.DUMMYFUNCTION("""COMPUTED_VALUE"""),"Mazhar Anwar Pechkar
Axis Bank Chiplun
Account no - 920020066845932
IFSC code - UTIB0000807")</f>
        <v>Mazhar Anwar Pechkar
Axis Bank Chiplun
Account no - 920020066845932
IFSC code - UTIB0000807</v>
      </c>
      <c r="R13" s="19" t="str">
        <f ca="1">IFERROR(__xludf.DUMMYFUNCTION("""COMPUTED_VALUE"""),"Chiplun")</f>
        <v>Chiplun</v>
      </c>
      <c r="S13" s="19"/>
    </row>
    <row r="14" spans="1:23" ht="26.4" x14ac:dyDescent="0.25">
      <c r="A14" s="33">
        <f ca="1">IFERROR(__xludf.DUMMYFUNCTION("""COMPUTED_VALUE"""),45013.742179618)</f>
        <v>45013.742179617999</v>
      </c>
      <c r="B14" s="19" t="str">
        <f ca="1">IFERROR(__xludf.DUMMYFUNCTION("""COMPUTED_VALUE"""),"Abhitej Ventures")</f>
        <v>Abhitej Ventures</v>
      </c>
      <c r="C14" s="21" t="str">
        <f ca="1">IFERROR(__xludf.DUMMYFUNCTION("""COMPUTED_VALUE"""),"Apurvai Apt. Flat no.7, opp. SBI, chinchanaka, Karad road, chiplun")</f>
        <v>Apurvai Apt. Flat no.7, opp. SBI, chinchanaka, Karad road, chiplun</v>
      </c>
      <c r="D14" s="19">
        <f ca="1">IFERROR(__xludf.DUMMYFUNCTION("""COMPUTED_VALUE"""),9011433732)</f>
        <v>9011433732</v>
      </c>
      <c r="E14" s="19"/>
      <c r="F14" s="21" t="str">
        <f ca="1">IFERROR(__xludf.DUMMYFUNCTION("""COMPUTED_VALUE"""),"abhitejventures@gmail.com")</f>
        <v>abhitejventures@gmail.com</v>
      </c>
      <c r="G14" s="19"/>
      <c r="H14" s="19" t="str">
        <f ca="1">IFERROR(__xludf.DUMMYFUNCTION("""COMPUTED_VALUE"""),"27ARSPM4070B1ZQ")</f>
        <v>27ARSPM4070B1ZQ</v>
      </c>
      <c r="I14" s="19" t="str">
        <f ca="1">IFERROR(__xludf.DUMMYFUNCTION("""COMPUTED_VALUE"""),"ARSPM4070B")</f>
        <v>ARSPM4070B</v>
      </c>
      <c r="J14" s="21" t="str">
        <f ca="1">IFERROR(__xludf.DUMMYFUNCTION("""COMPUTED_VALUE"""),"Proprietor")</f>
        <v>Proprietor</v>
      </c>
      <c r="K14" s="19" t="str">
        <f ca="1">IFERROR(__xludf.DUMMYFUNCTION("""COMPUTED_VALUE"""),"abhitejventures@gmail.com")</f>
        <v>abhitejventures@gmail.com</v>
      </c>
      <c r="L14" s="20">
        <f ca="1">IFERROR(__xludf.DUMMYFUNCTION("""COMPUTED_VALUE"""),43397)</f>
        <v>43397</v>
      </c>
      <c r="M14" s="19" t="str">
        <f ca="1">IFERROR(__xludf.DUMMYFUNCTION("""COMPUTED_VALUE"""),"Option 2")</f>
        <v>Option 2</v>
      </c>
      <c r="N14" s="19" t="str">
        <f ca="1">IFERROR(__xludf.DUMMYFUNCTION("""COMPUTED_VALUE"""),"Solo Properitership")</f>
        <v>Solo Properitership</v>
      </c>
      <c r="O14" s="19" t="str">
        <f ca="1">IFERROR(__xludf.DUMMYFUNCTION("""COMPUTED_VALUE"""),"Professional services")</f>
        <v>Professional services</v>
      </c>
      <c r="P14" s="19" t="str">
        <f ca="1">IFERROR(__xludf.DUMMYFUNCTION("""COMPUTED_VALUE"""),"All kind of wiring from HT &amp; LT &amp; concealed wiring &amp; patti wiring")</f>
        <v>All kind of wiring from HT &amp; LT &amp; concealed wiring &amp; patti wiring</v>
      </c>
      <c r="Q14" s="19" t="str">
        <f ca="1">IFERROR(__xludf.DUMMYFUNCTION("""COMPUTED_VALUE"""),"State Bank Of India
Abhitej Ventures
38724282298")</f>
        <v>State Bank Of India
Abhitej Ventures
38724282298</v>
      </c>
      <c r="R14" s="19" t="str">
        <f ca="1">IFERROR(__xludf.DUMMYFUNCTION("""COMPUTED_VALUE"""),"Chiplun")</f>
        <v>Chiplun</v>
      </c>
      <c r="S14" s="19"/>
    </row>
    <row r="15" spans="1:23" ht="39.6" x14ac:dyDescent="0.25">
      <c r="A15" s="33">
        <f ca="1">IFERROR(__xludf.DUMMYFUNCTION("""COMPUTED_VALUE"""),45071.5600648379)</f>
        <v>45071.560064837897</v>
      </c>
      <c r="B15" s="19" t="str">
        <f ca="1">IFERROR(__xludf.DUMMYFUNCTION("""COMPUTED_VALUE"""),"Om Interiors")</f>
        <v>Om Interiors</v>
      </c>
      <c r="C15" s="21" t="str">
        <f ca="1">IFERROR(__xludf.DUMMYFUNCTION("""COMPUTED_VALUE"""),"Opposite to PTK height's, Near Apla Bazar, Paag, Tal - Chiplun, 415605")</f>
        <v>Opposite to PTK height's, Near Apla Bazar, Paag, Tal - Chiplun, 415605</v>
      </c>
      <c r="D15" s="19">
        <f ca="1">IFERROR(__xludf.DUMMYFUNCTION("""COMPUTED_VALUE"""),7559421641)</f>
        <v>7559421641</v>
      </c>
      <c r="E15" s="19"/>
      <c r="F15" s="21" t="str">
        <f ca="1">IFERROR(__xludf.DUMMYFUNCTION("""COMPUTED_VALUE"""),"Omvishwakarma2710@gmail.com")</f>
        <v>Omvishwakarma2710@gmail.com</v>
      </c>
      <c r="G15" s="19"/>
      <c r="H15" s="19"/>
      <c r="I15" s="19" t="str">
        <f ca="1">IFERROR(__xludf.DUMMYFUNCTION("""COMPUTED_VALUE"""),"ARCPV5539N")</f>
        <v>ARCPV5539N</v>
      </c>
      <c r="J15" s="21" t="str">
        <f ca="1">IFERROR(__xludf.DUMMYFUNCTION("""COMPUTED_VALUE"""),"Omprakash Vishwakarma")</f>
        <v>Omprakash Vishwakarma</v>
      </c>
      <c r="K15" s="19"/>
      <c r="L15" s="20">
        <f ca="1">IFERROR(__xludf.DUMMYFUNCTION("""COMPUTED_VALUE"""),42979)</f>
        <v>42979</v>
      </c>
      <c r="M15" s="19" t="str">
        <f ca="1">IFERROR(__xludf.DUMMYFUNCTION("""COMPUTED_VALUE"""),"Option 1")</f>
        <v>Option 1</v>
      </c>
      <c r="N15" s="19" t="str">
        <f ca="1">IFERROR(__xludf.DUMMYFUNCTION("""COMPUTED_VALUE"""),"Solo Properitership")</f>
        <v>Solo Properitership</v>
      </c>
      <c r="O15" s="19" t="str">
        <f ca="1">IFERROR(__xludf.DUMMYFUNCTION("""COMPUTED_VALUE"""),"Construction contractor")</f>
        <v>Construction contractor</v>
      </c>
      <c r="P15" s="19" t="str">
        <f ca="1">IFERROR(__xludf.DUMMYFUNCTION("""COMPUTED_VALUE"""),"Provide Interior Services")</f>
        <v>Provide Interior Services</v>
      </c>
      <c r="Q15" s="19"/>
      <c r="R15" s="19" t="str">
        <f ca="1">IFERROR(__xludf.DUMMYFUNCTION("""COMPUTED_VALUE"""),"Chiplun")</f>
        <v>Chiplun</v>
      </c>
      <c r="S15" s="19"/>
    </row>
    <row r="16" spans="1:23" ht="13.2" x14ac:dyDescent="0.25">
      <c r="A16" s="33"/>
      <c r="B16" s="19" t="str">
        <f ca="1">IFERROR(__xludf.DUMMYFUNCTION("""COMPUTED_VALUE"""),"Studio environ")</f>
        <v>Studio environ</v>
      </c>
      <c r="C16" s="21" t="str">
        <f ca="1">IFERROR(__xludf.DUMMYFUNCTION("""COMPUTED_VALUE"""),"Navi Mumbai")</f>
        <v>Navi Mumbai</v>
      </c>
      <c r="D16" s="19">
        <f ca="1">IFERROR(__xludf.DUMMYFUNCTION("""COMPUTED_VALUE"""),7775965644)</f>
        <v>7775965644</v>
      </c>
      <c r="E16" s="19"/>
      <c r="F16" s="21" t="str">
        <f ca="1">IFERROR(__xludf.DUMMYFUNCTION("""COMPUTED_VALUE"""),"adityaapatil07@gmail.com")</f>
        <v>adityaapatil07@gmail.com</v>
      </c>
      <c r="G16" s="19"/>
      <c r="H16" s="19"/>
      <c r="I16" s="19"/>
      <c r="J16" s="21" t="str">
        <f ca="1">IFERROR(__xludf.DUMMYFUNCTION("""COMPUTED_VALUE"""),"Aaditya patil")</f>
        <v>Aaditya patil</v>
      </c>
      <c r="K16" s="19"/>
      <c r="L16" s="20"/>
      <c r="M16" s="19"/>
      <c r="N16" s="19"/>
      <c r="O16" s="19"/>
      <c r="P16" s="19" t="str">
        <f ca="1">IFERROR(__xludf.DUMMYFUNCTION("""COMPUTED_VALUE"""),"architecture firms")</f>
        <v>architecture firms</v>
      </c>
      <c r="Q16" s="19"/>
      <c r="R16" s="19" t="str">
        <f ca="1">IFERROR(__xludf.DUMMYFUNCTION("""COMPUTED_VALUE"""),"Chiplun")</f>
        <v>Chiplun</v>
      </c>
      <c r="S16" s="19"/>
    </row>
    <row r="17" spans="1:19" ht="26.4" x14ac:dyDescent="0.25">
      <c r="A17" s="33"/>
      <c r="B17" s="19" t="str">
        <f ca="1">IFERROR(__xludf.DUMMYFUNCTION("""COMPUTED_VALUE"""),"Sparsha enterprises")</f>
        <v>Sparsha enterprises</v>
      </c>
      <c r="C17" s="21" t="str">
        <f ca="1">IFERROR(__xludf.DUMMYFUNCTION("""COMPUTED_VALUE"""),"Navi Mumbai")</f>
        <v>Navi Mumbai</v>
      </c>
      <c r="D17" s="19">
        <f ca="1">IFERROR(__xludf.DUMMYFUNCTION("""COMPUTED_VALUE"""),8108166699)</f>
        <v>8108166699</v>
      </c>
      <c r="E17" s="19"/>
      <c r="F17" s="21" t="str">
        <f ca="1">IFERROR(__xludf.DUMMYFUNCTION("""COMPUTED_VALUE"""),"anupamachanne@gmail.com")</f>
        <v>anupamachanne@gmail.com</v>
      </c>
      <c r="G17" s="19"/>
      <c r="H17" s="19"/>
      <c r="I17" s="19"/>
      <c r="J17" s="21" t="str">
        <f ca="1">IFERROR(__xludf.DUMMYFUNCTION("""COMPUTED_VALUE"""),"Anupama channe")</f>
        <v>Anupama channe</v>
      </c>
      <c r="K17" s="19"/>
      <c r="L17" s="20"/>
      <c r="M17" s="19"/>
      <c r="N17" s="19"/>
      <c r="O17" s="19"/>
      <c r="P17" s="19" t="str">
        <f ca="1">IFERROR(__xludf.DUMMYFUNCTION("""COMPUTED_VALUE"""),"Civil work")</f>
        <v>Civil work</v>
      </c>
      <c r="Q17" s="19"/>
      <c r="R17" s="19" t="str">
        <f ca="1">IFERROR(__xludf.DUMMYFUNCTION("""COMPUTED_VALUE"""),"Chiplun")</f>
        <v>Chiplun</v>
      </c>
      <c r="S17" s="19"/>
    </row>
    <row r="18" spans="1:19" ht="26.4" x14ac:dyDescent="0.25">
      <c r="A18" s="33"/>
      <c r="B18" s="19" t="str">
        <f ca="1">IFERROR(__xludf.DUMMYFUNCTION("""COMPUTED_VALUE"""),"Vastu Shastra")</f>
        <v>Vastu Shastra</v>
      </c>
      <c r="C18" s="21" t="str">
        <f ca="1">IFERROR(__xludf.DUMMYFUNCTION("""COMPUTED_VALUE"""),"Pune")</f>
        <v>Pune</v>
      </c>
      <c r="D18" s="19">
        <f ca="1">IFERROR(__xludf.DUMMYFUNCTION("""COMPUTED_VALUE"""),9822325911)</f>
        <v>9822325911</v>
      </c>
      <c r="E18" s="19"/>
      <c r="F18" s="21" t="str">
        <f ca="1">IFERROR(__xludf.DUMMYFUNCTION("""COMPUTED_VALUE"""),"snehalkadu2021@yahoo.com")</f>
        <v>snehalkadu2021@yahoo.com</v>
      </c>
      <c r="G18" s="19"/>
      <c r="H18" s="19"/>
      <c r="I18" s="19"/>
      <c r="J18" s="21" t="str">
        <f ca="1">IFERROR(__xludf.DUMMYFUNCTION("""COMPUTED_VALUE"""),"Souravi Shinde")</f>
        <v>Souravi Shinde</v>
      </c>
      <c r="K18" s="19"/>
      <c r="L18" s="20"/>
      <c r="M18" s="19"/>
      <c r="N18" s="19"/>
      <c r="O18" s="19"/>
      <c r="P18" s="19" t="str">
        <f ca="1">IFERROR(__xludf.DUMMYFUNCTION("""COMPUTED_VALUE"""),"Vastu Shastra Consultancy")</f>
        <v>Vastu Shastra Consultancy</v>
      </c>
      <c r="Q18" s="19"/>
      <c r="R18" s="19" t="str">
        <f ca="1">IFERROR(__xludf.DUMMYFUNCTION("""COMPUTED_VALUE"""),"Chiplun")</f>
        <v>Chiplun</v>
      </c>
      <c r="S18" s="19"/>
    </row>
    <row r="19" spans="1:19" ht="26.4" x14ac:dyDescent="0.25">
      <c r="A19" s="33"/>
      <c r="B19" s="19" t="str">
        <f ca="1">IFERROR(__xludf.DUMMYFUNCTION("""COMPUTED_VALUE"""),"Building contractor")</f>
        <v>Building contractor</v>
      </c>
      <c r="C19" s="21" t="str">
        <f ca="1">IFERROR(__xludf.DUMMYFUNCTION("""COMPUTED_VALUE"""),"Construction side and business")</f>
        <v>Construction side and business</v>
      </c>
      <c r="D19" s="19">
        <f ca="1">IFERROR(__xludf.DUMMYFUNCTION("""COMPUTED_VALUE"""),8767820785)</f>
        <v>8767820785</v>
      </c>
      <c r="E19" s="19"/>
      <c r="F19" s="21" t="str">
        <f ca="1">IFERROR(__xludf.DUMMYFUNCTION("""COMPUTED_VALUE"""),"atulsuyawanshi@gmail.com")</f>
        <v>atulsuyawanshi@gmail.com</v>
      </c>
      <c r="G19" s="19"/>
      <c r="H19" s="19"/>
      <c r="I19" s="19"/>
      <c r="J19" s="21" t="str">
        <f ca="1">IFERROR(__xludf.DUMMYFUNCTION("""COMPUTED_VALUE"""),"Rahul suryawanshi")</f>
        <v>Rahul suryawanshi</v>
      </c>
      <c r="K19" s="19"/>
      <c r="L19" s="20"/>
      <c r="M19" s="19"/>
      <c r="N19" s="19"/>
      <c r="O19" s="19"/>
      <c r="P19" s="19" t="str">
        <f ca="1">IFERROR(__xludf.DUMMYFUNCTION("""COMPUTED_VALUE"""),"Construction side")</f>
        <v>Construction side</v>
      </c>
      <c r="Q19" s="19"/>
      <c r="R19" s="19" t="str">
        <f ca="1">IFERROR(__xludf.DUMMYFUNCTION("""COMPUTED_VALUE"""),"Chiplun")</f>
        <v>Chiplun</v>
      </c>
      <c r="S19" s="19"/>
    </row>
    <row r="20" spans="1:19" ht="26.4" x14ac:dyDescent="0.25">
      <c r="A20" s="33"/>
      <c r="B20" s="19" t="str">
        <f ca="1">IFERROR(__xludf.DUMMYFUNCTION("""COMPUTED_VALUE"""),"Mauli briquette Udyog")</f>
        <v>Mauli briquette Udyog</v>
      </c>
      <c r="C20" s="21" t="str">
        <f ca="1">IFERROR(__xludf.DUMMYFUNCTION("""COMPUTED_VALUE"""),"Ap.ringane,gangovaadi,Tal.lanja,Dist.Ratnagiri")</f>
        <v>Ap.ringane,gangovaadi,Tal.lanja,Dist.Ratnagiri</v>
      </c>
      <c r="D20" s="19">
        <f ca="1">IFERROR(__xludf.DUMMYFUNCTION("""COMPUTED_VALUE"""),9421554393)</f>
        <v>9421554393</v>
      </c>
      <c r="E20" s="19"/>
      <c r="F20" s="21" t="str">
        <f ca="1">IFERROR(__xludf.DUMMYFUNCTION("""COMPUTED_VALUE"""),"Panchalv245@gmail.com")</f>
        <v>Panchalv245@gmail.com</v>
      </c>
      <c r="G20" s="19"/>
      <c r="H20" s="19"/>
      <c r="I20" s="19"/>
      <c r="J20" s="21" t="str">
        <f ca="1">IFERROR(__xludf.DUMMYFUNCTION("""COMPUTED_VALUE"""),"Vishal Vijay panchal")</f>
        <v>Vishal Vijay panchal</v>
      </c>
      <c r="K20" s="19"/>
      <c r="L20" s="20"/>
      <c r="M20" s="19"/>
      <c r="N20" s="19"/>
      <c r="O20" s="19"/>
      <c r="P20" s="19" t="str">
        <f ca="1">IFERROR(__xludf.DUMMYFUNCTION("""COMPUTED_VALUE"""),"Biomass briquette")</f>
        <v>Biomass briquette</v>
      </c>
      <c r="Q20" s="19"/>
      <c r="R20" s="19" t="str">
        <f ca="1">IFERROR(__xludf.DUMMYFUNCTION("""COMPUTED_VALUE"""),"Chiplun")</f>
        <v>Chiplun</v>
      </c>
      <c r="S20" s="19"/>
    </row>
    <row r="21" spans="1:19" ht="26.4" x14ac:dyDescent="0.25">
      <c r="A21" s="33"/>
      <c r="B21" s="19" t="str">
        <f ca="1">IFERROR(__xludf.DUMMYFUNCTION("""COMPUTED_VALUE"""),"Design &amp; Bath Studio")</f>
        <v>Design &amp; Bath Studio</v>
      </c>
      <c r="C21" s="21" t="str">
        <f ca="1">IFERROR(__xludf.DUMMYFUNCTION("""COMPUTED_VALUE"""),"Khed - Dist Ratnagiri")</f>
        <v>Khed - Dist Ratnagiri</v>
      </c>
      <c r="D21" s="19">
        <f ca="1">IFERROR(__xludf.DUMMYFUNCTION("""COMPUTED_VALUE"""),9096954085)</f>
        <v>9096954085</v>
      </c>
      <c r="E21" s="19"/>
      <c r="F21" s="21" t="str">
        <f ca="1">IFERROR(__xludf.DUMMYFUNCTION("""COMPUTED_VALUE"""),"designandbathstudio@gmail.com")</f>
        <v>designandbathstudio@gmail.com</v>
      </c>
      <c r="G21" s="19"/>
      <c r="H21" s="19"/>
      <c r="I21" s="19"/>
      <c r="J21" s="21" t="str">
        <f ca="1">IFERROR(__xludf.DUMMYFUNCTION("""COMPUTED_VALUE"""),"BHUMIT PATEL")</f>
        <v>BHUMIT PATEL</v>
      </c>
      <c r="K21" s="19"/>
      <c r="L21" s="20"/>
      <c r="M21" s="19"/>
      <c r="N21" s="19"/>
      <c r="O21" s="19"/>
      <c r="P21" s="19" t="str">
        <f ca="1">IFERROR(__xludf.DUMMYFUNCTION("""COMPUTED_VALUE"""),"Home Décor &amp; interior")</f>
        <v>Home Décor &amp; interior</v>
      </c>
      <c r="Q21" s="19"/>
      <c r="R21" s="19" t="str">
        <f ca="1">IFERROR(__xludf.DUMMYFUNCTION("""COMPUTED_VALUE"""),"Chiplun")</f>
        <v>Chiplun</v>
      </c>
      <c r="S21" s="19"/>
    </row>
    <row r="22" spans="1:19" ht="13.2" x14ac:dyDescent="0.25">
      <c r="A22" s="33"/>
      <c r="B22" s="19" t="str">
        <f ca="1">IFERROR(__xludf.DUMMYFUNCTION("""COMPUTED_VALUE"""),"Prathamesh home mart")</f>
        <v>Prathamesh home mart</v>
      </c>
      <c r="C22" s="21" t="str">
        <f ca="1">IFERROR(__xludf.DUMMYFUNCTION("""COMPUTED_VALUE"""),"Interior")</f>
        <v>Interior</v>
      </c>
      <c r="D22" s="19">
        <f ca="1">IFERROR(__xludf.DUMMYFUNCTION("""COMPUTED_VALUE"""),7045951762)</f>
        <v>7045951762</v>
      </c>
      <c r="E22" s="19"/>
      <c r="F22" s="21" t="str">
        <f ca="1">IFERROR(__xludf.DUMMYFUNCTION("""COMPUTED_VALUE"""),"info@phmgroups.com")</f>
        <v>info@phmgroups.com</v>
      </c>
      <c r="G22" s="19"/>
      <c r="H22" s="19"/>
      <c r="I22" s="19"/>
      <c r="J22" s="21" t="str">
        <f ca="1">IFERROR(__xludf.DUMMYFUNCTION("""COMPUTED_VALUE"""),"Prathamesh")</f>
        <v>Prathamesh</v>
      </c>
      <c r="K22" s="19"/>
      <c r="L22" s="20"/>
      <c r="M22" s="19"/>
      <c r="N22" s="19"/>
      <c r="O22" s="19"/>
      <c r="P22" s="19"/>
      <c r="Q22" s="19"/>
      <c r="R22" s="19" t="str">
        <f ca="1">IFERROR(__xludf.DUMMYFUNCTION("""COMPUTED_VALUE"""),"Chiplun")</f>
        <v>Chiplun</v>
      </c>
      <c r="S22" s="19"/>
    </row>
    <row r="23" spans="1:19" ht="26.4" x14ac:dyDescent="0.25">
      <c r="A23" s="33"/>
      <c r="B23" s="19" t="str">
        <f ca="1">IFERROR(__xludf.DUMMYFUNCTION("""COMPUTED_VALUE"""),"PG SALES")</f>
        <v>PG SALES</v>
      </c>
      <c r="C23" s="21" t="str">
        <f ca="1">IFERROR(__xludf.DUMMYFUNCTION("""COMPUTED_VALUE"""),"KHED")</f>
        <v>KHED</v>
      </c>
      <c r="D23" s="19">
        <f ca="1">IFERROR(__xludf.DUMMYFUNCTION("""COMPUTED_VALUE"""),9028185894)</f>
        <v>9028185894</v>
      </c>
      <c r="E23" s="19"/>
      <c r="F23" s="21" t="str">
        <f ca="1">IFERROR(__xludf.DUMMYFUNCTION("""COMPUTED_VALUE"""),"prathamgilda@gmail.com")</f>
        <v>prathamgilda@gmail.com</v>
      </c>
      <c r="G23" s="19"/>
      <c r="H23" s="19"/>
      <c r="I23" s="19"/>
      <c r="J23" s="21" t="str">
        <f ca="1">IFERROR(__xludf.DUMMYFUNCTION("""COMPUTED_VALUE"""),"PRATHAMESH")</f>
        <v>PRATHAMESH</v>
      </c>
      <c r="K23" s="19"/>
      <c r="L23" s="20"/>
      <c r="M23" s="19"/>
      <c r="N23" s="19"/>
      <c r="O23" s="19"/>
      <c r="P23" s="19" t="str">
        <f ca="1">IFERROR(__xludf.DUMMYFUNCTION("""COMPUTED_VALUE"""),"WHOLE &amp; RETAIL TRADING")</f>
        <v>WHOLE &amp; RETAIL TRADING</v>
      </c>
      <c r="Q23" s="19"/>
      <c r="R23" s="19" t="str">
        <f ca="1">IFERROR(__xludf.DUMMYFUNCTION("""COMPUTED_VALUE"""),"Chiplun")</f>
        <v>Chiplun</v>
      </c>
      <c r="S23" s="19"/>
    </row>
    <row r="24" spans="1:19" ht="29.25" customHeight="1" x14ac:dyDescent="0.25">
      <c r="A24" s="33"/>
      <c r="B24" s="19" t="str">
        <f ca="1">IFERROR(__xludf.DUMMYFUNCTION("""COMPUTED_VALUE"""),"Garage/ welding")</f>
        <v>Garage/ welding</v>
      </c>
      <c r="C24" s="21" t="str">
        <f ca="1">IFERROR(__xludf.DUMMYFUNCTION("""COMPUTED_VALUE"""),"Marghtamhane")</f>
        <v>Marghtamhane</v>
      </c>
      <c r="D24" s="19">
        <f ca="1">IFERROR(__xludf.DUMMYFUNCTION("""COMPUTED_VALUE"""),9405328064)</f>
        <v>9405328064</v>
      </c>
      <c r="E24" s="19"/>
      <c r="F24" s="21" t="str">
        <f ca="1">IFERROR(__xludf.DUMMYFUNCTION("""COMPUTED_VALUE"""),"prabhakar32chavan@gmail.com")</f>
        <v>prabhakar32chavan@gmail.com</v>
      </c>
      <c r="G24" s="19"/>
      <c r="H24" s="19"/>
      <c r="I24" s="19"/>
      <c r="J24" s="21" t="str">
        <f ca="1">IFERROR(__xludf.DUMMYFUNCTION("""COMPUTED_VALUE"""),"Prabhakar Mahadev chavan")</f>
        <v>Prabhakar Mahadev chavan</v>
      </c>
      <c r="K24" s="19"/>
      <c r="L24" s="20"/>
      <c r="M24" s="19"/>
      <c r="N24" s="19"/>
      <c r="O24" s="19"/>
      <c r="P24" s="19" t="str">
        <f ca="1">IFERROR(__xludf.DUMMYFUNCTION("""COMPUTED_VALUE"""),"Fabrication")</f>
        <v>Fabrication</v>
      </c>
      <c r="Q24" s="19"/>
      <c r="R24" s="19" t="str">
        <f ca="1">IFERROR(__xludf.DUMMYFUNCTION("""COMPUTED_VALUE"""),"Chiplun")</f>
        <v>Chiplun</v>
      </c>
      <c r="S24" s="19"/>
    </row>
    <row r="25" spans="1:19" ht="36" customHeight="1" x14ac:dyDescent="0.25">
      <c r="A25" s="33"/>
      <c r="B25" s="19" t="str">
        <f ca="1">IFERROR(__xludf.DUMMYFUNCTION("""COMPUTED_VALUE"""),"Sawali Enterprises")</f>
        <v>Sawali Enterprises</v>
      </c>
      <c r="C25" s="21" t="str">
        <f ca="1">IFERROR(__xludf.DUMMYFUNCTION("""COMPUTED_VALUE"""),"Guhagar")</f>
        <v>Guhagar</v>
      </c>
      <c r="D25" s="19">
        <f ca="1">IFERROR(__xludf.DUMMYFUNCTION("""COMPUTED_VALUE"""),9561329260)</f>
        <v>9561329260</v>
      </c>
      <c r="E25" s="19"/>
      <c r="F25" s="21" t="str">
        <f ca="1">IFERROR(__xludf.DUMMYFUNCTION("""COMPUTED_VALUE"""),"prathameshpomendkar@gmail.com")</f>
        <v>prathameshpomendkar@gmail.com</v>
      </c>
      <c r="G25" s="19"/>
      <c r="H25" s="19"/>
      <c r="I25" s="19"/>
      <c r="J25" s="21" t="str">
        <f ca="1">IFERROR(__xludf.DUMMYFUNCTION("""COMPUTED_VALUE"""),"Prathamesh Krishnakant Pomendkar")</f>
        <v>Prathamesh Krishnakant Pomendkar</v>
      </c>
      <c r="K25" s="19"/>
      <c r="L25" s="20"/>
      <c r="M25" s="19"/>
      <c r="N25" s="19"/>
      <c r="O25" s="19"/>
      <c r="P25" s="19" t="str">
        <f ca="1">IFERROR(__xludf.DUMMYFUNCTION("""COMPUTED_VALUE"""),"Welding works")</f>
        <v>Welding works</v>
      </c>
      <c r="Q25" s="19"/>
      <c r="R25" s="19" t="str">
        <f ca="1">IFERROR(__xludf.DUMMYFUNCTION("""COMPUTED_VALUE"""),"Chiplun")</f>
        <v>Chiplun</v>
      </c>
      <c r="S25" s="19"/>
    </row>
    <row r="26" spans="1:19" ht="13.2" x14ac:dyDescent="0.25">
      <c r="C26" s="21"/>
      <c r="F26" s="21"/>
      <c r="J26" s="21"/>
    </row>
    <row r="27" spans="1:19" ht="13.2" x14ac:dyDescent="0.25">
      <c r="C27" s="21"/>
      <c r="F27" s="21"/>
      <c r="J27" s="21"/>
    </row>
    <row r="28" spans="1:19" ht="13.2" x14ac:dyDescent="0.25">
      <c r="C28" s="21"/>
      <c r="F28" s="21"/>
      <c r="J28" s="21"/>
    </row>
    <row r="29" spans="1:19" ht="13.2" x14ac:dyDescent="0.25">
      <c r="C29" s="21"/>
      <c r="F29" s="21"/>
      <c r="J29" s="21"/>
    </row>
    <row r="30" spans="1:19" ht="13.2" x14ac:dyDescent="0.25">
      <c r="C30" s="21"/>
      <c r="F30" s="21"/>
      <c r="J30" s="21"/>
    </row>
    <row r="31" spans="1:19" ht="13.2" x14ac:dyDescent="0.25">
      <c r="C31" s="21"/>
      <c r="F31" s="21"/>
      <c r="J31" s="21"/>
    </row>
    <row r="32" spans="1:19" ht="13.2" x14ac:dyDescent="0.25">
      <c r="C32" s="21"/>
      <c r="F32" s="21"/>
      <c r="J32" s="21"/>
    </row>
    <row r="33" spans="3:10" ht="13.2" x14ac:dyDescent="0.25">
      <c r="C33" s="21"/>
      <c r="F33" s="21"/>
      <c r="J33" s="21"/>
    </row>
    <row r="34" spans="3:10" ht="13.2" x14ac:dyDescent="0.25">
      <c r="C34" s="21"/>
      <c r="F34" s="21"/>
      <c r="J34" s="21"/>
    </row>
    <row r="35" spans="3:10" ht="13.2" x14ac:dyDescent="0.25">
      <c r="C35" s="21"/>
      <c r="F35" s="21"/>
      <c r="J35" s="21"/>
    </row>
    <row r="36" spans="3:10" ht="13.2" x14ac:dyDescent="0.25">
      <c r="C36" s="21"/>
      <c r="F36" s="21"/>
      <c r="J36" s="21"/>
    </row>
    <row r="37" spans="3:10" ht="13.2" x14ac:dyDescent="0.25">
      <c r="C37" s="21"/>
      <c r="F37" s="21"/>
      <c r="J37" s="21"/>
    </row>
    <row r="38" spans="3:10" ht="13.2" x14ac:dyDescent="0.25">
      <c r="C38" s="21"/>
      <c r="F38" s="21"/>
      <c r="J38" s="21"/>
    </row>
    <row r="39" spans="3:10" ht="13.2" x14ac:dyDescent="0.25">
      <c r="C39" s="21"/>
      <c r="F39" s="21"/>
      <c r="J39" s="21"/>
    </row>
    <row r="40" spans="3:10" ht="13.2" x14ac:dyDescent="0.25">
      <c r="C40" s="21"/>
      <c r="F40" s="21"/>
      <c r="J40" s="21"/>
    </row>
    <row r="41" spans="3:10" ht="13.2" x14ac:dyDescent="0.25">
      <c r="C41" s="21"/>
      <c r="F41" s="21"/>
      <c r="J41" s="21"/>
    </row>
    <row r="42" spans="3:10" ht="13.2" x14ac:dyDescent="0.25">
      <c r="C42" s="21"/>
      <c r="F42" s="21"/>
      <c r="J42" s="21"/>
    </row>
    <row r="43" spans="3:10" ht="13.2" x14ac:dyDescent="0.25">
      <c r="C43" s="21"/>
      <c r="F43" s="21"/>
      <c r="J43" s="21"/>
    </row>
    <row r="44" spans="3:10" ht="13.2" x14ac:dyDescent="0.25">
      <c r="C44" s="21"/>
      <c r="F44" s="21"/>
      <c r="J44" s="21"/>
    </row>
    <row r="45" spans="3:10" ht="13.2" x14ac:dyDescent="0.25">
      <c r="C45" s="21"/>
      <c r="F45" s="21"/>
      <c r="J45" s="21"/>
    </row>
    <row r="46" spans="3:10" ht="13.2" x14ac:dyDescent="0.25">
      <c r="C46" s="21"/>
      <c r="F46" s="21"/>
      <c r="J46" s="21"/>
    </row>
    <row r="47" spans="3:10" ht="13.2" x14ac:dyDescent="0.25">
      <c r="C47" s="21"/>
      <c r="F47" s="21"/>
      <c r="J47" s="21"/>
    </row>
    <row r="48" spans="3:10" ht="13.2" x14ac:dyDescent="0.25">
      <c r="C48" s="21"/>
      <c r="F48" s="21"/>
      <c r="J48" s="21"/>
    </row>
    <row r="49" spans="3:10" ht="13.2" x14ac:dyDescent="0.25">
      <c r="C49" s="21"/>
      <c r="F49" s="21"/>
      <c r="J49" s="21"/>
    </row>
    <row r="50" spans="3:10" ht="13.2" x14ac:dyDescent="0.25">
      <c r="C50" s="21"/>
      <c r="F50" s="21"/>
      <c r="J50" s="21"/>
    </row>
    <row r="51" spans="3:10" ht="13.2" x14ac:dyDescent="0.25">
      <c r="C51" s="21"/>
      <c r="F51" s="21"/>
      <c r="J51" s="21"/>
    </row>
    <row r="52" spans="3:10" ht="13.2" x14ac:dyDescent="0.25">
      <c r="C52" s="21"/>
      <c r="F52" s="21"/>
      <c r="J52" s="21"/>
    </row>
    <row r="53" spans="3:10" ht="13.2" x14ac:dyDescent="0.25">
      <c r="C53" s="21"/>
      <c r="F53" s="21"/>
      <c r="J53" s="21"/>
    </row>
    <row r="54" spans="3:10" ht="13.2" x14ac:dyDescent="0.25">
      <c r="C54" s="21"/>
      <c r="F54" s="21"/>
      <c r="J54" s="21"/>
    </row>
    <row r="55" spans="3:10" ht="13.2" x14ac:dyDescent="0.25">
      <c r="C55" s="21"/>
      <c r="F55" s="21"/>
      <c r="J55" s="21"/>
    </row>
    <row r="56" spans="3:10" ht="13.2" x14ac:dyDescent="0.25">
      <c r="C56" s="21"/>
      <c r="F56" s="21"/>
      <c r="J56" s="21"/>
    </row>
    <row r="57" spans="3:10" ht="13.2" x14ac:dyDescent="0.25">
      <c r="C57" s="21"/>
      <c r="F57" s="21"/>
      <c r="J57" s="21"/>
    </row>
    <row r="58" spans="3:10" ht="13.2" x14ac:dyDescent="0.25">
      <c r="C58" s="21"/>
      <c r="F58" s="21"/>
      <c r="J58" s="21"/>
    </row>
    <row r="59" spans="3:10" ht="13.2" x14ac:dyDescent="0.25">
      <c r="C59" s="21"/>
      <c r="F59" s="21"/>
      <c r="J59" s="21"/>
    </row>
    <row r="60" spans="3:10" ht="13.2" x14ac:dyDescent="0.25">
      <c r="C60" s="21"/>
      <c r="F60" s="21"/>
      <c r="J60" s="21"/>
    </row>
    <row r="61" spans="3:10" ht="13.2" x14ac:dyDescent="0.25">
      <c r="C61" s="21"/>
      <c r="F61" s="21"/>
      <c r="J61" s="21"/>
    </row>
    <row r="62" spans="3:10" ht="13.2" x14ac:dyDescent="0.25">
      <c r="C62" s="21"/>
      <c r="F62" s="21"/>
      <c r="J62" s="21"/>
    </row>
    <row r="63" spans="3:10" ht="13.2" x14ac:dyDescent="0.25">
      <c r="C63" s="21"/>
      <c r="F63" s="21"/>
      <c r="J63" s="21"/>
    </row>
    <row r="64" spans="3:10" ht="13.2" x14ac:dyDescent="0.25">
      <c r="C64" s="21"/>
      <c r="F64" s="21"/>
      <c r="J64" s="21"/>
    </row>
    <row r="65" spans="3:10" ht="13.2" x14ac:dyDescent="0.25">
      <c r="C65" s="21"/>
      <c r="F65" s="21"/>
      <c r="J65" s="21"/>
    </row>
    <row r="66" spans="3:10" ht="13.2" x14ac:dyDescent="0.25">
      <c r="C66" s="21"/>
      <c r="F66" s="21"/>
      <c r="J66" s="21"/>
    </row>
    <row r="67" spans="3:10" ht="13.2" x14ac:dyDescent="0.25">
      <c r="C67" s="21"/>
      <c r="F67" s="21"/>
      <c r="J67" s="21"/>
    </row>
    <row r="68" spans="3:10" ht="13.2" x14ac:dyDescent="0.25">
      <c r="C68" s="21"/>
      <c r="F68" s="21"/>
      <c r="J68" s="21"/>
    </row>
    <row r="69" spans="3:10" ht="13.2" x14ac:dyDescent="0.25">
      <c r="C69" s="21"/>
      <c r="F69" s="21"/>
      <c r="J69" s="21"/>
    </row>
    <row r="70" spans="3:10" ht="13.2" x14ac:dyDescent="0.25">
      <c r="C70" s="21"/>
      <c r="F70" s="21"/>
      <c r="J70" s="21"/>
    </row>
    <row r="71" spans="3:10" ht="13.2" x14ac:dyDescent="0.25">
      <c r="C71" s="21"/>
      <c r="F71" s="21"/>
      <c r="J71" s="21"/>
    </row>
    <row r="72" spans="3:10" ht="13.2" x14ac:dyDescent="0.25">
      <c r="C72" s="21"/>
      <c r="F72" s="21"/>
      <c r="J72" s="21"/>
    </row>
    <row r="73" spans="3:10" ht="13.2" x14ac:dyDescent="0.25">
      <c r="C73" s="21"/>
      <c r="F73" s="21"/>
      <c r="J73" s="21"/>
    </row>
    <row r="74" spans="3:10" ht="13.2" x14ac:dyDescent="0.25">
      <c r="C74" s="21"/>
      <c r="F74" s="21"/>
      <c r="J74" s="21"/>
    </row>
    <row r="75" spans="3:10" ht="13.2" x14ac:dyDescent="0.25">
      <c r="C75" s="21"/>
      <c r="F75" s="21"/>
      <c r="J75" s="21"/>
    </row>
    <row r="76" spans="3:10" ht="13.2" x14ac:dyDescent="0.25">
      <c r="C76" s="21"/>
      <c r="F76" s="21"/>
      <c r="J76" s="21"/>
    </row>
    <row r="77" spans="3:10" ht="13.2" x14ac:dyDescent="0.25">
      <c r="C77" s="21"/>
      <c r="F77" s="21"/>
      <c r="J77" s="21"/>
    </row>
    <row r="78" spans="3:10" ht="13.2" x14ac:dyDescent="0.25">
      <c r="C78" s="21"/>
      <c r="F78" s="21"/>
      <c r="J78" s="21"/>
    </row>
    <row r="79" spans="3:10" ht="13.2" x14ac:dyDescent="0.25">
      <c r="C79" s="21"/>
      <c r="F79" s="21"/>
      <c r="J79" s="21"/>
    </row>
    <row r="80" spans="3:10" ht="13.2" x14ac:dyDescent="0.25">
      <c r="C80" s="21"/>
      <c r="F80" s="21"/>
      <c r="J80" s="21"/>
    </row>
    <row r="81" spans="3:10" ht="13.2" x14ac:dyDescent="0.25">
      <c r="C81" s="21"/>
      <c r="F81" s="21"/>
      <c r="J81" s="21"/>
    </row>
    <row r="82" spans="3:10" ht="13.2" x14ac:dyDescent="0.25">
      <c r="C82" s="21"/>
      <c r="F82" s="21"/>
      <c r="J82" s="21"/>
    </row>
    <row r="83" spans="3:10" ht="13.2" x14ac:dyDescent="0.25">
      <c r="C83" s="21"/>
      <c r="F83" s="21"/>
      <c r="J83" s="21"/>
    </row>
    <row r="84" spans="3:10" ht="13.2" x14ac:dyDescent="0.25">
      <c r="C84" s="21"/>
      <c r="F84" s="21"/>
      <c r="J84" s="21"/>
    </row>
    <row r="85" spans="3:10" ht="13.2" x14ac:dyDescent="0.25">
      <c r="C85" s="21"/>
      <c r="F85" s="21"/>
      <c r="J85" s="21"/>
    </row>
    <row r="86" spans="3:10" ht="13.2" x14ac:dyDescent="0.25">
      <c r="C86" s="21"/>
      <c r="F86" s="21"/>
      <c r="J86" s="21"/>
    </row>
    <row r="87" spans="3:10" ht="13.2" x14ac:dyDescent="0.25">
      <c r="C87" s="21"/>
      <c r="F87" s="21"/>
      <c r="J87" s="21"/>
    </row>
    <row r="88" spans="3:10" ht="13.2" x14ac:dyDescent="0.25">
      <c r="C88" s="21"/>
      <c r="F88" s="21"/>
      <c r="J88" s="21"/>
    </row>
    <row r="89" spans="3:10" ht="13.2" x14ac:dyDescent="0.25">
      <c r="C89" s="21"/>
      <c r="F89" s="21"/>
      <c r="J89" s="21"/>
    </row>
    <row r="90" spans="3:10" ht="13.2" x14ac:dyDescent="0.25">
      <c r="C90" s="21"/>
      <c r="F90" s="21"/>
      <c r="J90" s="21"/>
    </row>
    <row r="91" spans="3:10" ht="13.2" x14ac:dyDescent="0.25">
      <c r="C91" s="21"/>
      <c r="F91" s="21"/>
      <c r="J91" s="21"/>
    </row>
    <row r="92" spans="3:10" ht="13.2" x14ac:dyDescent="0.25">
      <c r="C92" s="21"/>
      <c r="F92" s="21"/>
      <c r="J92" s="21"/>
    </row>
    <row r="93" spans="3:10" ht="13.2" x14ac:dyDescent="0.25">
      <c r="C93" s="21"/>
      <c r="F93" s="21"/>
      <c r="J93" s="21"/>
    </row>
    <row r="94" spans="3:10" ht="13.2" x14ac:dyDescent="0.25">
      <c r="C94" s="21"/>
      <c r="F94" s="21"/>
      <c r="J94" s="21"/>
    </row>
    <row r="95" spans="3:10" ht="13.2" x14ac:dyDescent="0.25">
      <c r="C95" s="21"/>
      <c r="F95" s="21"/>
      <c r="J95" s="21"/>
    </row>
    <row r="96" spans="3:10" ht="13.2" x14ac:dyDescent="0.25">
      <c r="C96" s="21"/>
      <c r="F96" s="21"/>
      <c r="J96" s="21"/>
    </row>
    <row r="97" spans="3:10" ht="13.2" x14ac:dyDescent="0.25">
      <c r="C97" s="21"/>
      <c r="F97" s="21"/>
      <c r="J97" s="21"/>
    </row>
    <row r="98" spans="3:10" ht="13.2" x14ac:dyDescent="0.25">
      <c r="C98" s="21"/>
      <c r="F98" s="21"/>
      <c r="J98" s="21"/>
    </row>
    <row r="99" spans="3:10" ht="13.2" x14ac:dyDescent="0.25">
      <c r="C99" s="21"/>
      <c r="F99" s="21"/>
      <c r="J99" s="21"/>
    </row>
    <row r="100" spans="3:10" ht="13.2" x14ac:dyDescent="0.25">
      <c r="C100" s="21"/>
      <c r="F100" s="21"/>
      <c r="J100" s="21"/>
    </row>
    <row r="101" spans="3:10" ht="13.2" x14ac:dyDescent="0.25">
      <c r="C101" s="21"/>
      <c r="F101" s="21"/>
      <c r="J101" s="21"/>
    </row>
    <row r="102" spans="3:10" ht="13.2" x14ac:dyDescent="0.25">
      <c r="C102" s="21"/>
      <c r="F102" s="21"/>
      <c r="J102" s="21"/>
    </row>
    <row r="103" spans="3:10" ht="13.2" x14ac:dyDescent="0.25">
      <c r="C103" s="21"/>
      <c r="F103" s="21"/>
      <c r="J103" s="21"/>
    </row>
    <row r="104" spans="3:10" ht="13.2" x14ac:dyDescent="0.25">
      <c r="C104" s="21"/>
      <c r="F104" s="21"/>
      <c r="J104" s="21"/>
    </row>
    <row r="105" spans="3:10" ht="13.2" x14ac:dyDescent="0.25">
      <c r="C105" s="21"/>
      <c r="F105" s="21"/>
      <c r="J105" s="21"/>
    </row>
    <row r="106" spans="3:10" ht="13.2" x14ac:dyDescent="0.25">
      <c r="C106" s="21"/>
      <c r="F106" s="21"/>
      <c r="J106" s="21"/>
    </row>
    <row r="107" spans="3:10" ht="13.2" x14ac:dyDescent="0.25">
      <c r="C107" s="21"/>
      <c r="F107" s="21"/>
      <c r="J107" s="21"/>
    </row>
    <row r="108" spans="3:10" ht="13.2" x14ac:dyDescent="0.25">
      <c r="C108" s="21"/>
      <c r="F108" s="21"/>
      <c r="J108" s="21"/>
    </row>
    <row r="109" spans="3:10" ht="13.2" x14ac:dyDescent="0.25">
      <c r="C109" s="21"/>
      <c r="F109" s="21"/>
      <c r="J109" s="21"/>
    </row>
    <row r="110" spans="3:10" ht="13.2" x14ac:dyDescent="0.25">
      <c r="C110" s="21"/>
      <c r="F110" s="21"/>
      <c r="J110" s="21"/>
    </row>
    <row r="111" spans="3:10" ht="13.2" x14ac:dyDescent="0.25">
      <c r="C111" s="21"/>
      <c r="F111" s="21"/>
      <c r="J111" s="21"/>
    </row>
    <row r="112" spans="3:10" ht="13.2" x14ac:dyDescent="0.25">
      <c r="C112" s="21"/>
      <c r="F112" s="21"/>
      <c r="J112" s="21"/>
    </row>
    <row r="113" spans="3:10" ht="13.2" x14ac:dyDescent="0.25">
      <c r="C113" s="21"/>
      <c r="F113" s="21"/>
      <c r="J113" s="21"/>
    </row>
    <row r="114" spans="3:10" ht="13.2" x14ac:dyDescent="0.25">
      <c r="C114" s="21"/>
      <c r="F114" s="21"/>
      <c r="J114" s="21"/>
    </row>
    <row r="115" spans="3:10" ht="13.2" x14ac:dyDescent="0.25">
      <c r="C115" s="21"/>
      <c r="F115" s="21"/>
      <c r="J115" s="21"/>
    </row>
    <row r="116" spans="3:10" ht="13.2" x14ac:dyDescent="0.25">
      <c r="C116" s="21"/>
      <c r="F116" s="21"/>
      <c r="J116" s="21"/>
    </row>
    <row r="117" spans="3:10" ht="13.2" x14ac:dyDescent="0.25">
      <c r="C117" s="21"/>
      <c r="F117" s="21"/>
      <c r="J117" s="21"/>
    </row>
    <row r="118" spans="3:10" ht="13.2" x14ac:dyDescent="0.25">
      <c r="C118" s="21"/>
      <c r="F118" s="21"/>
      <c r="J118" s="21"/>
    </row>
    <row r="119" spans="3:10" ht="13.2" x14ac:dyDescent="0.25">
      <c r="C119" s="21"/>
      <c r="F119" s="21"/>
      <c r="J119" s="21"/>
    </row>
    <row r="120" spans="3:10" ht="13.2" x14ac:dyDescent="0.25">
      <c r="C120" s="21"/>
      <c r="F120" s="21"/>
      <c r="J120" s="21"/>
    </row>
    <row r="121" spans="3:10" ht="13.2" x14ac:dyDescent="0.25">
      <c r="C121" s="21"/>
      <c r="F121" s="21"/>
      <c r="J121" s="21"/>
    </row>
    <row r="122" spans="3:10" ht="13.2" x14ac:dyDescent="0.25">
      <c r="C122" s="21"/>
      <c r="F122" s="21"/>
      <c r="J122" s="21"/>
    </row>
    <row r="123" spans="3:10" ht="13.2" x14ac:dyDescent="0.25">
      <c r="C123" s="21"/>
      <c r="F123" s="21"/>
      <c r="J123" s="21"/>
    </row>
    <row r="124" spans="3:10" ht="13.2" x14ac:dyDescent="0.25">
      <c r="C124" s="21"/>
      <c r="F124" s="21"/>
      <c r="J124" s="21"/>
    </row>
    <row r="125" spans="3:10" ht="13.2" x14ac:dyDescent="0.25">
      <c r="C125" s="21"/>
      <c r="F125" s="21"/>
      <c r="J125" s="21"/>
    </row>
    <row r="126" spans="3:10" ht="13.2" x14ac:dyDescent="0.25">
      <c r="C126" s="21"/>
      <c r="F126" s="21"/>
      <c r="J126" s="21"/>
    </row>
    <row r="127" spans="3:10" ht="13.2" x14ac:dyDescent="0.25">
      <c r="C127" s="21"/>
      <c r="F127" s="21"/>
      <c r="J127" s="21"/>
    </row>
    <row r="128" spans="3:10" ht="13.2" x14ac:dyDescent="0.25">
      <c r="C128" s="21"/>
      <c r="F128" s="21"/>
      <c r="J128" s="21"/>
    </row>
    <row r="129" spans="3:10" ht="13.2" x14ac:dyDescent="0.25">
      <c r="C129" s="21"/>
      <c r="F129" s="21"/>
      <c r="J129" s="21"/>
    </row>
    <row r="130" spans="3:10" ht="13.2" x14ac:dyDescent="0.25">
      <c r="C130" s="21"/>
      <c r="F130" s="21"/>
      <c r="J130" s="21"/>
    </row>
    <row r="131" spans="3:10" ht="13.2" x14ac:dyDescent="0.25">
      <c r="C131" s="21"/>
      <c r="F131" s="21"/>
      <c r="J131" s="21"/>
    </row>
    <row r="132" spans="3:10" ht="13.2" x14ac:dyDescent="0.25">
      <c r="C132" s="21"/>
      <c r="F132" s="21"/>
      <c r="J132" s="21"/>
    </row>
    <row r="133" spans="3:10" ht="13.2" x14ac:dyDescent="0.25">
      <c r="C133" s="21"/>
      <c r="F133" s="21"/>
      <c r="J133" s="21"/>
    </row>
    <row r="134" spans="3:10" ht="13.2" x14ac:dyDescent="0.25">
      <c r="C134" s="21"/>
      <c r="F134" s="21"/>
      <c r="J134" s="21"/>
    </row>
    <row r="135" spans="3:10" ht="13.2" x14ac:dyDescent="0.25">
      <c r="C135" s="21"/>
      <c r="F135" s="21"/>
      <c r="J135" s="21"/>
    </row>
    <row r="136" spans="3:10" ht="13.2" x14ac:dyDescent="0.25">
      <c r="C136" s="21"/>
      <c r="F136" s="21"/>
      <c r="J136" s="21"/>
    </row>
    <row r="137" spans="3:10" ht="13.2" x14ac:dyDescent="0.25">
      <c r="C137" s="21"/>
      <c r="F137" s="21"/>
      <c r="J137" s="21"/>
    </row>
    <row r="138" spans="3:10" ht="13.2" x14ac:dyDescent="0.25">
      <c r="C138" s="21"/>
      <c r="F138" s="21"/>
      <c r="J138" s="21"/>
    </row>
    <row r="139" spans="3:10" ht="13.2" x14ac:dyDescent="0.25">
      <c r="C139" s="21"/>
      <c r="F139" s="21"/>
      <c r="J139" s="21"/>
    </row>
    <row r="140" spans="3:10" ht="13.2" x14ac:dyDescent="0.25">
      <c r="C140" s="21"/>
      <c r="F140" s="21"/>
      <c r="J140" s="21"/>
    </row>
    <row r="141" spans="3:10" ht="13.2" x14ac:dyDescent="0.25">
      <c r="C141" s="21"/>
      <c r="F141" s="21"/>
      <c r="J141" s="21"/>
    </row>
    <row r="142" spans="3:10" ht="13.2" x14ac:dyDescent="0.25">
      <c r="C142" s="21"/>
      <c r="F142" s="21"/>
      <c r="J142" s="21"/>
    </row>
    <row r="143" spans="3:10" ht="13.2" x14ac:dyDescent="0.25">
      <c r="C143" s="21"/>
      <c r="F143" s="21"/>
      <c r="J143" s="21"/>
    </row>
    <row r="144" spans="3:10" ht="13.2" x14ac:dyDescent="0.25">
      <c r="C144" s="21"/>
      <c r="F144" s="21"/>
      <c r="J144" s="21"/>
    </row>
    <row r="145" spans="3:10" ht="13.2" x14ac:dyDescent="0.25">
      <c r="C145" s="21"/>
      <c r="F145" s="21"/>
      <c r="J145" s="21"/>
    </row>
    <row r="146" spans="3:10" ht="13.2" x14ac:dyDescent="0.25">
      <c r="C146" s="21"/>
      <c r="F146" s="21"/>
      <c r="J146" s="21"/>
    </row>
    <row r="147" spans="3:10" ht="13.2" x14ac:dyDescent="0.25">
      <c r="C147" s="21"/>
      <c r="F147" s="21"/>
      <c r="J147" s="21"/>
    </row>
    <row r="148" spans="3:10" ht="13.2" x14ac:dyDescent="0.25">
      <c r="C148" s="21"/>
      <c r="F148" s="21"/>
      <c r="J148" s="21"/>
    </row>
    <row r="149" spans="3:10" ht="13.2" x14ac:dyDescent="0.25">
      <c r="C149" s="21"/>
      <c r="F149" s="21"/>
      <c r="J149" s="21"/>
    </row>
    <row r="150" spans="3:10" ht="13.2" x14ac:dyDescent="0.25">
      <c r="C150" s="21"/>
      <c r="F150" s="21"/>
      <c r="J150" s="21"/>
    </row>
    <row r="151" spans="3:10" ht="13.2" x14ac:dyDescent="0.25">
      <c r="C151" s="21"/>
      <c r="F151" s="21"/>
      <c r="J151" s="21"/>
    </row>
    <row r="152" spans="3:10" ht="13.2" x14ac:dyDescent="0.25">
      <c r="C152" s="21"/>
      <c r="F152" s="21"/>
      <c r="J152" s="21"/>
    </row>
    <row r="153" spans="3:10" ht="13.2" x14ac:dyDescent="0.25">
      <c r="C153" s="21"/>
      <c r="F153" s="21"/>
      <c r="J153" s="21"/>
    </row>
    <row r="154" spans="3:10" ht="13.2" x14ac:dyDescent="0.25">
      <c r="C154" s="21"/>
      <c r="F154" s="21"/>
      <c r="J154" s="21"/>
    </row>
    <row r="155" spans="3:10" ht="13.2" x14ac:dyDescent="0.25">
      <c r="C155" s="21"/>
      <c r="F155" s="21"/>
      <c r="J155" s="21"/>
    </row>
    <row r="156" spans="3:10" ht="13.2" x14ac:dyDescent="0.25">
      <c r="C156" s="21"/>
      <c r="F156" s="21"/>
      <c r="J156" s="21"/>
    </row>
    <row r="157" spans="3:10" ht="13.2" x14ac:dyDescent="0.25">
      <c r="C157" s="21"/>
      <c r="F157" s="21"/>
      <c r="J157" s="21"/>
    </row>
    <row r="158" spans="3:10" ht="13.2" x14ac:dyDescent="0.25">
      <c r="C158" s="21"/>
      <c r="F158" s="21"/>
      <c r="J158" s="21"/>
    </row>
    <row r="159" spans="3:10" ht="13.2" x14ac:dyDescent="0.25">
      <c r="C159" s="21"/>
      <c r="F159" s="21"/>
      <c r="J159" s="21"/>
    </row>
    <row r="160" spans="3:10" ht="13.2" x14ac:dyDescent="0.25">
      <c r="C160" s="21"/>
      <c r="F160" s="21"/>
      <c r="J160" s="21"/>
    </row>
    <row r="161" spans="3:10" ht="13.2" x14ac:dyDescent="0.25">
      <c r="C161" s="21"/>
      <c r="F161" s="21"/>
      <c r="J161" s="21"/>
    </row>
    <row r="162" spans="3:10" ht="13.2" x14ac:dyDescent="0.25">
      <c r="C162" s="21"/>
      <c r="F162" s="21"/>
      <c r="J162" s="21"/>
    </row>
    <row r="163" spans="3:10" ht="13.2" x14ac:dyDescent="0.25">
      <c r="C163" s="21"/>
      <c r="F163" s="21"/>
      <c r="J163" s="21"/>
    </row>
    <row r="164" spans="3:10" ht="13.2" x14ac:dyDescent="0.25">
      <c r="C164" s="21"/>
      <c r="F164" s="21"/>
      <c r="J164" s="21"/>
    </row>
    <row r="165" spans="3:10" ht="13.2" x14ac:dyDescent="0.25">
      <c r="C165" s="21"/>
      <c r="F165" s="21"/>
      <c r="J165" s="21"/>
    </row>
    <row r="166" spans="3:10" ht="13.2" x14ac:dyDescent="0.25">
      <c r="C166" s="21"/>
      <c r="F166" s="21"/>
      <c r="J166" s="21"/>
    </row>
    <row r="167" spans="3:10" ht="13.2" x14ac:dyDescent="0.25">
      <c r="C167" s="21"/>
      <c r="F167" s="21"/>
      <c r="J167" s="21"/>
    </row>
    <row r="168" spans="3:10" ht="13.2" x14ac:dyDescent="0.25">
      <c r="C168" s="21"/>
      <c r="F168" s="21"/>
      <c r="J168" s="21"/>
    </row>
    <row r="169" spans="3:10" ht="13.2" x14ac:dyDescent="0.25">
      <c r="C169" s="21"/>
      <c r="F169" s="21"/>
      <c r="J169" s="21"/>
    </row>
    <row r="170" spans="3:10" ht="13.2" x14ac:dyDescent="0.25">
      <c r="C170" s="21"/>
      <c r="F170" s="21"/>
      <c r="J170" s="21"/>
    </row>
    <row r="171" spans="3:10" ht="13.2" x14ac:dyDescent="0.25">
      <c r="C171" s="21"/>
      <c r="F171" s="21"/>
      <c r="J171" s="21"/>
    </row>
    <row r="172" spans="3:10" ht="13.2" x14ac:dyDescent="0.25">
      <c r="C172" s="21"/>
      <c r="F172" s="21"/>
      <c r="J172" s="21"/>
    </row>
    <row r="173" spans="3:10" ht="13.2" x14ac:dyDescent="0.25">
      <c r="C173" s="21"/>
      <c r="F173" s="21"/>
      <c r="J173" s="21"/>
    </row>
    <row r="174" spans="3:10" ht="13.2" x14ac:dyDescent="0.25">
      <c r="C174" s="21"/>
      <c r="F174" s="21"/>
      <c r="J174" s="21"/>
    </row>
    <row r="175" spans="3:10" ht="13.2" x14ac:dyDescent="0.25">
      <c r="C175" s="21"/>
      <c r="F175" s="21"/>
      <c r="J175" s="21"/>
    </row>
    <row r="176" spans="3:10" ht="13.2" x14ac:dyDescent="0.25">
      <c r="C176" s="21"/>
      <c r="F176" s="21"/>
      <c r="J176" s="21"/>
    </row>
    <row r="177" spans="3:10" ht="13.2" x14ac:dyDescent="0.25">
      <c r="C177" s="21"/>
      <c r="F177" s="21"/>
      <c r="J177" s="21"/>
    </row>
    <row r="178" spans="3:10" ht="13.2" x14ac:dyDescent="0.25">
      <c r="C178" s="21"/>
      <c r="F178" s="21"/>
      <c r="J178" s="21"/>
    </row>
    <row r="179" spans="3:10" ht="13.2" x14ac:dyDescent="0.25">
      <c r="C179" s="21"/>
      <c r="F179" s="21"/>
      <c r="J179" s="21"/>
    </row>
    <row r="180" spans="3:10" ht="13.2" x14ac:dyDescent="0.25">
      <c r="C180" s="21"/>
      <c r="F180" s="21"/>
      <c r="J180" s="21"/>
    </row>
    <row r="181" spans="3:10" ht="13.2" x14ac:dyDescent="0.25">
      <c r="C181" s="21"/>
      <c r="F181" s="21"/>
      <c r="J181" s="21"/>
    </row>
    <row r="182" spans="3:10" ht="13.2" x14ac:dyDescent="0.25">
      <c r="C182" s="21"/>
      <c r="F182" s="21"/>
      <c r="J182" s="21"/>
    </row>
    <row r="183" spans="3:10" ht="13.2" x14ac:dyDescent="0.25">
      <c r="C183" s="21"/>
      <c r="F183" s="21"/>
      <c r="J183" s="21"/>
    </row>
    <row r="184" spans="3:10" ht="13.2" x14ac:dyDescent="0.25">
      <c r="C184" s="21"/>
      <c r="F184" s="21"/>
      <c r="J184" s="21"/>
    </row>
    <row r="185" spans="3:10" ht="13.2" x14ac:dyDescent="0.25">
      <c r="C185" s="21"/>
      <c r="F185" s="21"/>
      <c r="J185" s="21"/>
    </row>
    <row r="186" spans="3:10" ht="13.2" x14ac:dyDescent="0.25">
      <c r="C186" s="21"/>
      <c r="F186" s="21"/>
      <c r="J186" s="21"/>
    </row>
    <row r="187" spans="3:10" ht="13.2" x14ac:dyDescent="0.25">
      <c r="C187" s="21"/>
      <c r="F187" s="21"/>
      <c r="J187" s="21"/>
    </row>
    <row r="188" spans="3:10" ht="13.2" x14ac:dyDescent="0.25">
      <c r="C188" s="21"/>
      <c r="F188" s="21"/>
      <c r="J188" s="21"/>
    </row>
    <row r="189" spans="3:10" ht="13.2" x14ac:dyDescent="0.25">
      <c r="C189" s="21"/>
      <c r="F189" s="21"/>
      <c r="J189" s="21"/>
    </row>
    <row r="190" spans="3:10" ht="13.2" x14ac:dyDescent="0.25">
      <c r="C190" s="21"/>
      <c r="F190" s="21"/>
      <c r="J190" s="21"/>
    </row>
    <row r="191" spans="3:10" ht="13.2" x14ac:dyDescent="0.25">
      <c r="C191" s="21"/>
      <c r="F191" s="21"/>
      <c r="J191" s="21"/>
    </row>
    <row r="192" spans="3:10" ht="13.2" x14ac:dyDescent="0.25">
      <c r="C192" s="21"/>
      <c r="F192" s="21"/>
      <c r="J192" s="21"/>
    </row>
    <row r="193" spans="3:10" ht="13.2" x14ac:dyDescent="0.25">
      <c r="C193" s="21"/>
      <c r="F193" s="21"/>
      <c r="J193" s="21"/>
    </row>
    <row r="194" spans="3:10" ht="13.2" x14ac:dyDescent="0.25">
      <c r="C194" s="21"/>
      <c r="F194" s="21"/>
      <c r="J194" s="21"/>
    </row>
    <row r="195" spans="3:10" ht="13.2" x14ac:dyDescent="0.25">
      <c r="C195" s="21"/>
      <c r="F195" s="21"/>
      <c r="J195" s="21"/>
    </row>
    <row r="196" spans="3:10" ht="13.2" x14ac:dyDescent="0.25">
      <c r="C196" s="21"/>
      <c r="F196" s="21"/>
      <c r="J196" s="21"/>
    </row>
    <row r="197" spans="3:10" ht="13.2" x14ac:dyDescent="0.25">
      <c r="C197" s="21"/>
      <c r="F197" s="21"/>
      <c r="J197" s="21"/>
    </row>
    <row r="198" spans="3:10" ht="13.2" x14ac:dyDescent="0.25">
      <c r="C198" s="21"/>
      <c r="F198" s="21"/>
      <c r="J198" s="21"/>
    </row>
    <row r="199" spans="3:10" ht="13.2" x14ac:dyDescent="0.25">
      <c r="C199" s="21"/>
      <c r="F199" s="21"/>
      <c r="J199" s="21"/>
    </row>
    <row r="200" spans="3:10" ht="13.2" x14ac:dyDescent="0.25">
      <c r="C200" s="21"/>
      <c r="F200" s="21"/>
      <c r="J200" s="21"/>
    </row>
    <row r="201" spans="3:10" ht="13.2" x14ac:dyDescent="0.25">
      <c r="C201" s="21"/>
      <c r="F201" s="21"/>
      <c r="J201" s="21"/>
    </row>
    <row r="202" spans="3:10" ht="13.2" x14ac:dyDescent="0.25">
      <c r="C202" s="21"/>
      <c r="F202" s="21"/>
      <c r="J202" s="21"/>
    </row>
    <row r="203" spans="3:10" ht="13.2" x14ac:dyDescent="0.25">
      <c r="C203" s="21"/>
      <c r="F203" s="21"/>
      <c r="J203" s="21"/>
    </row>
    <row r="204" spans="3:10" ht="13.2" x14ac:dyDescent="0.25">
      <c r="C204" s="21"/>
      <c r="F204" s="21"/>
      <c r="J204" s="21"/>
    </row>
    <row r="205" spans="3:10" ht="13.2" x14ac:dyDescent="0.25">
      <c r="C205" s="21"/>
      <c r="F205" s="21"/>
      <c r="J205" s="21"/>
    </row>
    <row r="206" spans="3:10" ht="13.2" x14ac:dyDescent="0.25">
      <c r="C206" s="21"/>
      <c r="F206" s="21"/>
      <c r="J206" s="21"/>
    </row>
    <row r="207" spans="3:10" ht="13.2" x14ac:dyDescent="0.25">
      <c r="C207" s="21"/>
      <c r="F207" s="21"/>
      <c r="J207" s="21"/>
    </row>
    <row r="208" spans="3:10" ht="13.2" x14ac:dyDescent="0.25">
      <c r="C208" s="21"/>
      <c r="F208" s="21"/>
      <c r="J208" s="21"/>
    </row>
    <row r="209" spans="3:10" ht="13.2" x14ac:dyDescent="0.25">
      <c r="C209" s="21"/>
      <c r="F209" s="21"/>
      <c r="J209" s="21"/>
    </row>
    <row r="210" spans="3:10" ht="13.2" x14ac:dyDescent="0.25">
      <c r="C210" s="21"/>
      <c r="F210" s="21"/>
      <c r="J210" s="21"/>
    </row>
    <row r="211" spans="3:10" ht="13.2" x14ac:dyDescent="0.25">
      <c r="C211" s="21"/>
      <c r="F211" s="21"/>
      <c r="J211" s="21"/>
    </row>
    <row r="212" spans="3:10" ht="13.2" x14ac:dyDescent="0.25">
      <c r="C212" s="21"/>
      <c r="F212" s="21"/>
      <c r="J212" s="21"/>
    </row>
    <row r="213" spans="3:10" ht="13.2" x14ac:dyDescent="0.25">
      <c r="C213" s="21"/>
      <c r="F213" s="21"/>
      <c r="J213" s="21"/>
    </row>
    <row r="214" spans="3:10" ht="13.2" x14ac:dyDescent="0.25">
      <c r="C214" s="21"/>
      <c r="F214" s="21"/>
      <c r="J214" s="21"/>
    </row>
    <row r="215" spans="3:10" ht="13.2" x14ac:dyDescent="0.25">
      <c r="C215" s="21"/>
      <c r="F215" s="21"/>
      <c r="J215" s="21"/>
    </row>
    <row r="216" spans="3:10" ht="13.2" x14ac:dyDescent="0.25">
      <c r="C216" s="21"/>
      <c r="F216" s="21"/>
      <c r="J216" s="21"/>
    </row>
    <row r="217" spans="3:10" ht="13.2" x14ac:dyDescent="0.25">
      <c r="C217" s="21"/>
      <c r="F217" s="21"/>
      <c r="J217" s="21"/>
    </row>
    <row r="218" spans="3:10" ht="13.2" x14ac:dyDescent="0.25">
      <c r="C218" s="21"/>
      <c r="F218" s="21"/>
      <c r="J218" s="21"/>
    </row>
    <row r="219" spans="3:10" ht="13.2" x14ac:dyDescent="0.25">
      <c r="C219" s="21"/>
      <c r="F219" s="21"/>
      <c r="J219" s="21"/>
    </row>
    <row r="220" spans="3:10" ht="13.2" x14ac:dyDescent="0.25">
      <c r="C220" s="21"/>
      <c r="F220" s="21"/>
      <c r="J220" s="21"/>
    </row>
    <row r="221" spans="3:10" ht="13.2" x14ac:dyDescent="0.25">
      <c r="C221" s="21"/>
      <c r="F221" s="21"/>
      <c r="J221" s="21"/>
    </row>
    <row r="222" spans="3:10" ht="13.2" x14ac:dyDescent="0.25">
      <c r="C222" s="21"/>
      <c r="F222" s="21"/>
      <c r="J222" s="21"/>
    </row>
    <row r="223" spans="3:10" ht="13.2" x14ac:dyDescent="0.25">
      <c r="C223" s="21"/>
      <c r="F223" s="21"/>
      <c r="J223" s="21"/>
    </row>
    <row r="224" spans="3:10" ht="13.2" x14ac:dyDescent="0.25">
      <c r="C224" s="21"/>
      <c r="F224" s="21"/>
      <c r="J224" s="21"/>
    </row>
    <row r="225" spans="3:10" ht="13.2" x14ac:dyDescent="0.25">
      <c r="C225" s="21"/>
      <c r="F225" s="21"/>
      <c r="J225" s="21"/>
    </row>
    <row r="226" spans="3:10" ht="13.2" x14ac:dyDescent="0.25">
      <c r="C226" s="21"/>
      <c r="F226" s="21"/>
      <c r="J226" s="21"/>
    </row>
    <row r="227" spans="3:10" ht="13.2" x14ac:dyDescent="0.25">
      <c r="C227" s="21"/>
      <c r="F227" s="21"/>
      <c r="J227" s="21"/>
    </row>
    <row r="228" spans="3:10" ht="13.2" x14ac:dyDescent="0.25">
      <c r="C228" s="21"/>
      <c r="F228" s="21"/>
      <c r="J228" s="21"/>
    </row>
    <row r="229" spans="3:10" ht="13.2" x14ac:dyDescent="0.25">
      <c r="C229" s="21"/>
      <c r="F229" s="21"/>
      <c r="J229" s="21"/>
    </row>
    <row r="230" spans="3:10" ht="13.2" x14ac:dyDescent="0.25">
      <c r="C230" s="21"/>
      <c r="F230" s="21"/>
      <c r="J230" s="21"/>
    </row>
    <row r="231" spans="3:10" ht="13.2" x14ac:dyDescent="0.25">
      <c r="C231" s="21"/>
      <c r="F231" s="21"/>
      <c r="J231" s="21"/>
    </row>
    <row r="232" spans="3:10" ht="13.2" x14ac:dyDescent="0.25">
      <c r="C232" s="21"/>
      <c r="F232" s="21"/>
      <c r="J232" s="21"/>
    </row>
    <row r="233" spans="3:10" ht="13.2" x14ac:dyDescent="0.25">
      <c r="C233" s="21"/>
      <c r="F233" s="21"/>
      <c r="J233" s="21"/>
    </row>
    <row r="234" spans="3:10" ht="13.2" x14ac:dyDescent="0.25">
      <c r="C234" s="21"/>
      <c r="F234" s="21"/>
      <c r="J234" s="21"/>
    </row>
    <row r="235" spans="3:10" ht="13.2" x14ac:dyDescent="0.25">
      <c r="C235" s="21"/>
      <c r="F235" s="21"/>
      <c r="J235" s="21"/>
    </row>
    <row r="236" spans="3:10" ht="13.2" x14ac:dyDescent="0.25">
      <c r="C236" s="21"/>
      <c r="F236" s="21"/>
      <c r="J236" s="21"/>
    </row>
    <row r="237" spans="3:10" ht="13.2" x14ac:dyDescent="0.25">
      <c r="C237" s="21"/>
      <c r="F237" s="21"/>
      <c r="J237" s="21"/>
    </row>
    <row r="238" spans="3:10" ht="13.2" x14ac:dyDescent="0.25">
      <c r="C238" s="21"/>
      <c r="F238" s="21"/>
      <c r="J238" s="21"/>
    </row>
    <row r="239" spans="3:10" ht="13.2" x14ac:dyDescent="0.25">
      <c r="C239" s="21"/>
      <c r="F239" s="21"/>
      <c r="J239" s="21"/>
    </row>
    <row r="240" spans="3:10" ht="13.2" x14ac:dyDescent="0.25">
      <c r="C240" s="21"/>
      <c r="F240" s="21"/>
      <c r="J240" s="21"/>
    </row>
    <row r="241" spans="3:10" ht="13.2" x14ac:dyDescent="0.25">
      <c r="C241" s="21"/>
      <c r="F241" s="21"/>
      <c r="J241" s="21"/>
    </row>
    <row r="242" spans="3:10" ht="13.2" x14ac:dyDescent="0.25">
      <c r="C242" s="21"/>
      <c r="F242" s="21"/>
      <c r="J242" s="21"/>
    </row>
    <row r="243" spans="3:10" ht="13.2" x14ac:dyDescent="0.25">
      <c r="C243" s="21"/>
      <c r="F243" s="21"/>
      <c r="J243" s="21"/>
    </row>
    <row r="244" spans="3:10" ht="13.2" x14ac:dyDescent="0.25">
      <c r="C244" s="21"/>
      <c r="F244" s="21"/>
      <c r="J244" s="21"/>
    </row>
    <row r="245" spans="3:10" ht="13.2" x14ac:dyDescent="0.25">
      <c r="C245" s="21"/>
      <c r="F245" s="21"/>
      <c r="J245" s="21"/>
    </row>
    <row r="246" spans="3:10" ht="13.2" x14ac:dyDescent="0.25">
      <c r="C246" s="21"/>
      <c r="F246" s="21"/>
      <c r="J246" s="21"/>
    </row>
    <row r="247" spans="3:10" ht="13.2" x14ac:dyDescent="0.25">
      <c r="C247" s="21"/>
      <c r="F247" s="21"/>
      <c r="J247" s="21"/>
    </row>
    <row r="248" spans="3:10" ht="13.2" x14ac:dyDescent="0.25">
      <c r="C248" s="21"/>
      <c r="F248" s="21"/>
      <c r="J248" s="21"/>
    </row>
    <row r="249" spans="3:10" ht="13.2" x14ac:dyDescent="0.25">
      <c r="C249" s="21"/>
      <c r="F249" s="21"/>
      <c r="J249" s="21"/>
    </row>
    <row r="250" spans="3:10" ht="13.2" x14ac:dyDescent="0.25">
      <c r="C250" s="21"/>
      <c r="F250" s="21"/>
      <c r="J250" s="21"/>
    </row>
    <row r="251" spans="3:10" ht="13.2" x14ac:dyDescent="0.25">
      <c r="C251" s="21"/>
      <c r="F251" s="21"/>
      <c r="J251" s="21"/>
    </row>
    <row r="252" spans="3:10" ht="13.2" x14ac:dyDescent="0.25">
      <c r="C252" s="21"/>
      <c r="F252" s="21"/>
      <c r="J252" s="21"/>
    </row>
    <row r="253" spans="3:10" ht="13.2" x14ac:dyDescent="0.25">
      <c r="C253" s="21"/>
      <c r="F253" s="21"/>
      <c r="J253" s="21"/>
    </row>
    <row r="254" spans="3:10" ht="13.2" x14ac:dyDescent="0.25">
      <c r="C254" s="21"/>
      <c r="F254" s="21"/>
      <c r="J254" s="21"/>
    </row>
    <row r="255" spans="3:10" ht="13.2" x14ac:dyDescent="0.25">
      <c r="C255" s="21"/>
      <c r="F255" s="21"/>
      <c r="J255" s="21"/>
    </row>
    <row r="256" spans="3:10" ht="13.2" x14ac:dyDescent="0.25">
      <c r="C256" s="21"/>
      <c r="F256" s="21"/>
      <c r="J256" s="21"/>
    </row>
    <row r="257" spans="3:10" ht="13.2" x14ac:dyDescent="0.25">
      <c r="C257" s="21"/>
      <c r="F257" s="21"/>
      <c r="J257" s="21"/>
    </row>
    <row r="258" spans="3:10" ht="13.2" x14ac:dyDescent="0.25">
      <c r="C258" s="21"/>
      <c r="F258" s="21"/>
      <c r="J258" s="21"/>
    </row>
    <row r="259" spans="3:10" ht="13.2" x14ac:dyDescent="0.25">
      <c r="C259" s="21"/>
      <c r="F259" s="21"/>
      <c r="J259" s="21"/>
    </row>
    <row r="260" spans="3:10" ht="13.2" x14ac:dyDescent="0.25">
      <c r="C260" s="21"/>
      <c r="F260" s="21"/>
      <c r="J260" s="21"/>
    </row>
    <row r="261" spans="3:10" ht="13.2" x14ac:dyDescent="0.25">
      <c r="C261" s="21"/>
      <c r="F261" s="21"/>
      <c r="J261" s="21"/>
    </row>
    <row r="262" spans="3:10" ht="13.2" x14ac:dyDescent="0.25">
      <c r="C262" s="21"/>
      <c r="F262" s="21"/>
      <c r="J262" s="21"/>
    </row>
    <row r="263" spans="3:10" ht="13.2" x14ac:dyDescent="0.25">
      <c r="C263" s="21"/>
      <c r="F263" s="21"/>
      <c r="J263" s="21"/>
    </row>
    <row r="264" spans="3:10" ht="13.2" x14ac:dyDescent="0.25">
      <c r="C264" s="21"/>
      <c r="F264" s="21"/>
      <c r="J264" s="21"/>
    </row>
    <row r="265" spans="3:10" ht="13.2" x14ac:dyDescent="0.25">
      <c r="C265" s="21"/>
      <c r="F265" s="21"/>
      <c r="J265" s="21"/>
    </row>
    <row r="266" spans="3:10" ht="13.2" x14ac:dyDescent="0.25">
      <c r="C266" s="21"/>
      <c r="F266" s="21"/>
      <c r="J266" s="21"/>
    </row>
    <row r="267" spans="3:10" ht="13.2" x14ac:dyDescent="0.25">
      <c r="C267" s="21"/>
      <c r="F267" s="21"/>
      <c r="J267" s="21"/>
    </row>
    <row r="268" spans="3:10" ht="13.2" x14ac:dyDescent="0.25">
      <c r="C268" s="21"/>
      <c r="F268" s="21"/>
      <c r="J268" s="21"/>
    </row>
    <row r="269" spans="3:10" ht="13.2" x14ac:dyDescent="0.25">
      <c r="C269" s="21"/>
      <c r="F269" s="21"/>
      <c r="J269" s="21"/>
    </row>
    <row r="270" spans="3:10" ht="13.2" x14ac:dyDescent="0.25">
      <c r="C270" s="21"/>
      <c r="F270" s="21"/>
      <c r="J270" s="21"/>
    </row>
    <row r="271" spans="3:10" ht="13.2" x14ac:dyDescent="0.25">
      <c r="C271" s="21"/>
      <c r="F271" s="21"/>
      <c r="J271" s="21"/>
    </row>
    <row r="272" spans="3:10" ht="13.2" x14ac:dyDescent="0.25">
      <c r="C272" s="21"/>
      <c r="F272" s="21"/>
      <c r="J272" s="21"/>
    </row>
    <row r="273" spans="3:10" ht="13.2" x14ac:dyDescent="0.25">
      <c r="C273" s="21"/>
      <c r="F273" s="21"/>
      <c r="J273" s="21"/>
    </row>
    <row r="274" spans="3:10" ht="13.2" x14ac:dyDescent="0.25">
      <c r="C274" s="21"/>
      <c r="F274" s="21"/>
      <c r="J274" s="21"/>
    </row>
    <row r="275" spans="3:10" ht="13.2" x14ac:dyDescent="0.25">
      <c r="C275" s="21"/>
      <c r="F275" s="21"/>
      <c r="J275" s="21"/>
    </row>
    <row r="276" spans="3:10" ht="13.2" x14ac:dyDescent="0.25">
      <c r="C276" s="21"/>
      <c r="F276" s="21"/>
      <c r="J276" s="21"/>
    </row>
    <row r="277" spans="3:10" ht="13.2" x14ac:dyDescent="0.25">
      <c r="C277" s="21"/>
      <c r="F277" s="21"/>
      <c r="J277" s="21"/>
    </row>
    <row r="278" spans="3:10" ht="13.2" x14ac:dyDescent="0.25">
      <c r="C278" s="21"/>
      <c r="F278" s="21"/>
      <c r="J278" s="21"/>
    </row>
    <row r="279" spans="3:10" ht="13.2" x14ac:dyDescent="0.25">
      <c r="C279" s="21"/>
      <c r="F279" s="21"/>
      <c r="J279" s="21"/>
    </row>
    <row r="280" spans="3:10" ht="13.2" x14ac:dyDescent="0.25">
      <c r="C280" s="21"/>
      <c r="F280" s="21"/>
      <c r="J280" s="21"/>
    </row>
    <row r="281" spans="3:10" ht="13.2" x14ac:dyDescent="0.25">
      <c r="C281" s="21"/>
      <c r="F281" s="21"/>
      <c r="J281" s="21"/>
    </row>
    <row r="282" spans="3:10" ht="13.2" x14ac:dyDescent="0.25">
      <c r="C282" s="21"/>
      <c r="F282" s="21"/>
      <c r="J282" s="21"/>
    </row>
    <row r="283" spans="3:10" ht="13.2" x14ac:dyDescent="0.25">
      <c r="C283" s="21"/>
      <c r="F283" s="21"/>
      <c r="J283" s="21"/>
    </row>
    <row r="284" spans="3:10" ht="13.2" x14ac:dyDescent="0.25">
      <c r="C284" s="21"/>
      <c r="F284" s="21"/>
      <c r="J284" s="21"/>
    </row>
    <row r="285" spans="3:10" ht="13.2" x14ac:dyDescent="0.25">
      <c r="C285" s="21"/>
      <c r="F285" s="21"/>
      <c r="J285" s="21"/>
    </row>
    <row r="286" spans="3:10" ht="13.2" x14ac:dyDescent="0.25">
      <c r="C286" s="21"/>
      <c r="F286" s="21"/>
      <c r="J286" s="21"/>
    </row>
    <row r="287" spans="3:10" ht="13.2" x14ac:dyDescent="0.25">
      <c r="C287" s="21"/>
      <c r="F287" s="21"/>
      <c r="J287" s="21"/>
    </row>
    <row r="288" spans="3:10" ht="13.2" x14ac:dyDescent="0.25">
      <c r="C288" s="21"/>
      <c r="F288" s="21"/>
      <c r="J288" s="21"/>
    </row>
    <row r="289" spans="3:10" ht="13.2" x14ac:dyDescent="0.25">
      <c r="C289" s="21"/>
      <c r="F289" s="21"/>
      <c r="J289" s="21"/>
    </row>
    <row r="290" spans="3:10" ht="13.2" x14ac:dyDescent="0.25">
      <c r="C290" s="21"/>
      <c r="F290" s="21"/>
      <c r="J290" s="21"/>
    </row>
    <row r="291" spans="3:10" ht="13.2" x14ac:dyDescent="0.25">
      <c r="C291" s="21"/>
      <c r="F291" s="21"/>
      <c r="J291" s="21"/>
    </row>
    <row r="292" spans="3:10" ht="13.2" x14ac:dyDescent="0.25">
      <c r="C292" s="21"/>
      <c r="F292" s="21"/>
      <c r="J292" s="21"/>
    </row>
    <row r="293" spans="3:10" ht="13.2" x14ac:dyDescent="0.25">
      <c r="C293" s="21"/>
      <c r="F293" s="21"/>
      <c r="J293" s="21"/>
    </row>
    <row r="294" spans="3:10" ht="13.2" x14ac:dyDescent="0.25">
      <c r="C294" s="21"/>
      <c r="F294" s="21"/>
      <c r="J294" s="21"/>
    </row>
    <row r="295" spans="3:10" ht="13.2" x14ac:dyDescent="0.25">
      <c r="C295" s="21"/>
      <c r="F295" s="21"/>
      <c r="J295" s="21"/>
    </row>
    <row r="296" spans="3:10" ht="13.2" x14ac:dyDescent="0.25">
      <c r="C296" s="21"/>
      <c r="F296" s="21"/>
      <c r="J296" s="21"/>
    </row>
    <row r="297" spans="3:10" ht="13.2" x14ac:dyDescent="0.25">
      <c r="C297" s="21"/>
      <c r="F297" s="21"/>
      <c r="J297" s="21"/>
    </row>
    <row r="298" spans="3:10" ht="13.2" x14ac:dyDescent="0.25">
      <c r="C298" s="21"/>
      <c r="F298" s="21"/>
      <c r="J298" s="21"/>
    </row>
    <row r="299" spans="3:10" ht="13.2" x14ac:dyDescent="0.25">
      <c r="C299" s="21"/>
      <c r="F299" s="21"/>
      <c r="J299" s="21"/>
    </row>
    <row r="300" spans="3:10" ht="13.2" x14ac:dyDescent="0.25">
      <c r="C300" s="21"/>
      <c r="F300" s="21"/>
      <c r="J300" s="21"/>
    </row>
    <row r="301" spans="3:10" ht="13.2" x14ac:dyDescent="0.25">
      <c r="C301" s="21"/>
      <c r="F301" s="21"/>
      <c r="J301" s="21"/>
    </row>
    <row r="302" spans="3:10" ht="13.2" x14ac:dyDescent="0.25">
      <c r="C302" s="21"/>
      <c r="F302" s="21"/>
      <c r="J302" s="21"/>
    </row>
    <row r="303" spans="3:10" ht="13.2" x14ac:dyDescent="0.25">
      <c r="C303" s="21"/>
      <c r="F303" s="21"/>
      <c r="J303" s="21"/>
    </row>
    <row r="304" spans="3:10" ht="13.2" x14ac:dyDescent="0.25">
      <c r="C304" s="21"/>
      <c r="F304" s="21"/>
      <c r="J304" s="21"/>
    </row>
    <row r="305" spans="3:10" ht="13.2" x14ac:dyDescent="0.25">
      <c r="C305" s="21"/>
      <c r="F305" s="21"/>
      <c r="J305" s="21"/>
    </row>
    <row r="306" spans="3:10" ht="13.2" x14ac:dyDescent="0.25">
      <c r="C306" s="21"/>
      <c r="F306" s="21"/>
      <c r="J306" s="21"/>
    </row>
    <row r="307" spans="3:10" ht="13.2" x14ac:dyDescent="0.25">
      <c r="C307" s="21"/>
      <c r="F307" s="21"/>
      <c r="J307" s="21"/>
    </row>
    <row r="308" spans="3:10" ht="13.2" x14ac:dyDescent="0.25">
      <c r="C308" s="21"/>
      <c r="F308" s="21"/>
      <c r="J308" s="21"/>
    </row>
    <row r="309" spans="3:10" ht="13.2" x14ac:dyDescent="0.25">
      <c r="C309" s="21"/>
      <c r="F309" s="21"/>
      <c r="J309" s="21"/>
    </row>
    <row r="310" spans="3:10" ht="13.2" x14ac:dyDescent="0.25">
      <c r="C310" s="21"/>
      <c r="F310" s="21"/>
      <c r="J310" s="21"/>
    </row>
    <row r="311" spans="3:10" ht="13.2" x14ac:dyDescent="0.25">
      <c r="C311" s="21"/>
      <c r="F311" s="21"/>
      <c r="J311" s="21"/>
    </row>
    <row r="312" spans="3:10" ht="13.2" x14ac:dyDescent="0.25">
      <c r="C312" s="21"/>
      <c r="F312" s="21"/>
      <c r="J312" s="21"/>
    </row>
    <row r="313" spans="3:10" ht="13.2" x14ac:dyDescent="0.25">
      <c r="C313" s="21"/>
      <c r="F313" s="21"/>
      <c r="J313" s="21"/>
    </row>
    <row r="314" spans="3:10" ht="13.2" x14ac:dyDescent="0.25">
      <c r="C314" s="21"/>
      <c r="F314" s="21"/>
      <c r="J314" s="21"/>
    </row>
    <row r="315" spans="3:10" ht="13.2" x14ac:dyDescent="0.25">
      <c r="C315" s="21"/>
      <c r="F315" s="21"/>
      <c r="J315" s="21"/>
    </row>
    <row r="316" spans="3:10" ht="13.2" x14ac:dyDescent="0.25">
      <c r="C316" s="21"/>
      <c r="F316" s="21"/>
      <c r="J316" s="21"/>
    </row>
    <row r="317" spans="3:10" ht="13.2" x14ac:dyDescent="0.25">
      <c r="C317" s="21"/>
      <c r="F317" s="21"/>
      <c r="J317" s="21"/>
    </row>
    <row r="318" spans="3:10" ht="13.2" x14ac:dyDescent="0.25">
      <c r="C318" s="21"/>
      <c r="F318" s="21"/>
      <c r="J318" s="21"/>
    </row>
    <row r="319" spans="3:10" ht="13.2" x14ac:dyDescent="0.25">
      <c r="C319" s="21"/>
      <c r="F319" s="21"/>
      <c r="J319" s="21"/>
    </row>
    <row r="320" spans="3:10" ht="13.2" x14ac:dyDescent="0.25">
      <c r="C320" s="21"/>
      <c r="F320" s="21"/>
      <c r="J320" s="21"/>
    </row>
    <row r="321" spans="3:10" ht="13.2" x14ac:dyDescent="0.25">
      <c r="C321" s="21"/>
      <c r="F321" s="21"/>
      <c r="J321" s="21"/>
    </row>
    <row r="322" spans="3:10" ht="13.2" x14ac:dyDescent="0.25">
      <c r="C322" s="21"/>
      <c r="F322" s="21"/>
      <c r="J322" s="21"/>
    </row>
    <row r="323" spans="3:10" ht="13.2" x14ac:dyDescent="0.25">
      <c r="C323" s="21"/>
      <c r="F323" s="21"/>
      <c r="J323" s="21"/>
    </row>
    <row r="324" spans="3:10" ht="13.2" x14ac:dyDescent="0.25">
      <c r="C324" s="21"/>
      <c r="F324" s="21"/>
      <c r="J324" s="21"/>
    </row>
    <row r="325" spans="3:10" ht="13.2" x14ac:dyDescent="0.25">
      <c r="C325" s="21"/>
      <c r="F325" s="21"/>
      <c r="J325" s="21"/>
    </row>
    <row r="326" spans="3:10" ht="13.2" x14ac:dyDescent="0.25">
      <c r="C326" s="21"/>
      <c r="F326" s="21"/>
      <c r="J326" s="21"/>
    </row>
    <row r="327" spans="3:10" ht="13.2" x14ac:dyDescent="0.25">
      <c r="C327" s="21"/>
      <c r="F327" s="21"/>
      <c r="J327" s="21"/>
    </row>
    <row r="328" spans="3:10" ht="13.2" x14ac:dyDescent="0.25">
      <c r="C328" s="21"/>
      <c r="F328" s="21"/>
      <c r="J328" s="21"/>
    </row>
    <row r="329" spans="3:10" ht="13.2" x14ac:dyDescent="0.25">
      <c r="C329" s="21"/>
      <c r="F329" s="21"/>
      <c r="J329" s="21"/>
    </row>
    <row r="330" spans="3:10" ht="13.2" x14ac:dyDescent="0.25">
      <c r="C330" s="21"/>
      <c r="F330" s="21"/>
      <c r="J330" s="21"/>
    </row>
    <row r="331" spans="3:10" ht="13.2" x14ac:dyDescent="0.25">
      <c r="C331" s="21"/>
      <c r="F331" s="21"/>
      <c r="J331" s="21"/>
    </row>
    <row r="332" spans="3:10" ht="13.2" x14ac:dyDescent="0.25">
      <c r="C332" s="21"/>
      <c r="F332" s="21"/>
      <c r="J332" s="21"/>
    </row>
    <row r="333" spans="3:10" ht="13.2" x14ac:dyDescent="0.25">
      <c r="C333" s="21"/>
      <c r="F333" s="21"/>
      <c r="J333" s="21"/>
    </row>
    <row r="334" spans="3:10" ht="13.2" x14ac:dyDescent="0.25">
      <c r="C334" s="21"/>
      <c r="F334" s="21"/>
      <c r="J334" s="21"/>
    </row>
    <row r="335" spans="3:10" ht="13.2" x14ac:dyDescent="0.25">
      <c r="C335" s="21"/>
      <c r="F335" s="21"/>
      <c r="J335" s="21"/>
    </row>
    <row r="336" spans="3:10" ht="13.2" x14ac:dyDescent="0.25">
      <c r="C336" s="21"/>
      <c r="F336" s="21"/>
      <c r="J336" s="21"/>
    </row>
    <row r="337" spans="3:10" ht="13.2" x14ac:dyDescent="0.25">
      <c r="C337" s="21"/>
      <c r="F337" s="21"/>
      <c r="J337" s="21"/>
    </row>
    <row r="338" spans="3:10" ht="13.2" x14ac:dyDescent="0.25">
      <c r="C338" s="21"/>
      <c r="F338" s="21"/>
      <c r="J338" s="21"/>
    </row>
    <row r="339" spans="3:10" ht="13.2" x14ac:dyDescent="0.25">
      <c r="C339" s="21"/>
      <c r="F339" s="21"/>
      <c r="J339" s="21"/>
    </row>
    <row r="340" spans="3:10" ht="13.2" x14ac:dyDescent="0.25">
      <c r="C340" s="21"/>
      <c r="F340" s="21"/>
      <c r="J340" s="21"/>
    </row>
    <row r="341" spans="3:10" ht="13.2" x14ac:dyDescent="0.25">
      <c r="C341" s="21"/>
      <c r="F341" s="21"/>
      <c r="J341" s="21"/>
    </row>
    <row r="342" spans="3:10" ht="13.2" x14ac:dyDescent="0.25">
      <c r="C342" s="21"/>
      <c r="F342" s="21"/>
      <c r="J342" s="21"/>
    </row>
    <row r="343" spans="3:10" ht="13.2" x14ac:dyDescent="0.25">
      <c r="C343" s="21"/>
      <c r="F343" s="21"/>
      <c r="J343" s="21"/>
    </row>
    <row r="344" spans="3:10" ht="13.2" x14ac:dyDescent="0.25">
      <c r="C344" s="21"/>
      <c r="F344" s="21"/>
      <c r="J344" s="21"/>
    </row>
    <row r="345" spans="3:10" ht="13.2" x14ac:dyDescent="0.25">
      <c r="C345" s="21"/>
      <c r="F345" s="21"/>
      <c r="J345" s="21"/>
    </row>
    <row r="346" spans="3:10" ht="13.2" x14ac:dyDescent="0.25">
      <c r="C346" s="21"/>
      <c r="F346" s="21"/>
      <c r="J346" s="21"/>
    </row>
    <row r="347" spans="3:10" ht="13.2" x14ac:dyDescent="0.25">
      <c r="C347" s="21"/>
      <c r="F347" s="21"/>
      <c r="J347" s="21"/>
    </row>
    <row r="348" spans="3:10" ht="13.2" x14ac:dyDescent="0.25">
      <c r="C348" s="21"/>
      <c r="F348" s="21"/>
      <c r="J348" s="21"/>
    </row>
    <row r="349" spans="3:10" ht="13.2" x14ac:dyDescent="0.25">
      <c r="C349" s="21"/>
      <c r="F349" s="21"/>
      <c r="J349" s="21"/>
    </row>
    <row r="350" spans="3:10" ht="13.2" x14ac:dyDescent="0.25">
      <c r="C350" s="21"/>
      <c r="F350" s="21"/>
      <c r="J350" s="21"/>
    </row>
    <row r="351" spans="3:10" ht="13.2" x14ac:dyDescent="0.25">
      <c r="C351" s="21"/>
      <c r="F351" s="21"/>
      <c r="J351" s="21"/>
    </row>
    <row r="352" spans="3:10" ht="13.2" x14ac:dyDescent="0.25">
      <c r="C352" s="21"/>
      <c r="F352" s="21"/>
      <c r="J352" s="21"/>
    </row>
    <row r="353" spans="3:10" ht="13.2" x14ac:dyDescent="0.25">
      <c r="C353" s="21"/>
      <c r="F353" s="21"/>
      <c r="J353" s="21"/>
    </row>
    <row r="354" spans="3:10" ht="13.2" x14ac:dyDescent="0.25">
      <c r="C354" s="21"/>
      <c r="F354" s="21"/>
      <c r="J354" s="21"/>
    </row>
    <row r="355" spans="3:10" ht="13.2" x14ac:dyDescent="0.25">
      <c r="C355" s="21"/>
      <c r="F355" s="21"/>
      <c r="J355" s="21"/>
    </row>
    <row r="356" spans="3:10" ht="13.2" x14ac:dyDescent="0.25">
      <c r="C356" s="21"/>
      <c r="F356" s="21"/>
      <c r="J356" s="21"/>
    </row>
    <row r="357" spans="3:10" ht="13.2" x14ac:dyDescent="0.25">
      <c r="C357" s="21"/>
      <c r="F357" s="21"/>
      <c r="J357" s="21"/>
    </row>
    <row r="358" spans="3:10" ht="13.2" x14ac:dyDescent="0.25">
      <c r="C358" s="21"/>
      <c r="F358" s="21"/>
      <c r="J358" s="21"/>
    </row>
    <row r="359" spans="3:10" ht="13.2" x14ac:dyDescent="0.25">
      <c r="C359" s="21"/>
      <c r="F359" s="21"/>
      <c r="J359" s="21"/>
    </row>
    <row r="360" spans="3:10" ht="13.2" x14ac:dyDescent="0.25">
      <c r="C360" s="21"/>
      <c r="F360" s="21"/>
      <c r="J360" s="21"/>
    </row>
    <row r="361" spans="3:10" ht="13.2" x14ac:dyDescent="0.25">
      <c r="C361" s="21"/>
      <c r="F361" s="21"/>
      <c r="J361" s="21"/>
    </row>
    <row r="362" spans="3:10" ht="13.2" x14ac:dyDescent="0.25">
      <c r="C362" s="21"/>
      <c r="F362" s="21"/>
      <c r="J362" s="21"/>
    </row>
    <row r="363" spans="3:10" ht="13.2" x14ac:dyDescent="0.25">
      <c r="C363" s="21"/>
      <c r="F363" s="21"/>
      <c r="J363" s="21"/>
    </row>
    <row r="364" spans="3:10" ht="13.2" x14ac:dyDescent="0.25">
      <c r="C364" s="21"/>
      <c r="F364" s="21"/>
      <c r="J364" s="21"/>
    </row>
    <row r="365" spans="3:10" ht="13.2" x14ac:dyDescent="0.25">
      <c r="C365" s="21"/>
      <c r="F365" s="21"/>
      <c r="J365" s="21"/>
    </row>
    <row r="366" spans="3:10" ht="13.2" x14ac:dyDescent="0.25">
      <c r="C366" s="21"/>
      <c r="F366" s="21"/>
      <c r="J366" s="21"/>
    </row>
    <row r="367" spans="3:10" ht="13.2" x14ac:dyDescent="0.25">
      <c r="C367" s="21"/>
      <c r="F367" s="21"/>
      <c r="J367" s="21"/>
    </row>
    <row r="368" spans="3:10" ht="13.2" x14ac:dyDescent="0.25">
      <c r="C368" s="21"/>
      <c r="F368" s="21"/>
      <c r="J368" s="21"/>
    </row>
    <row r="369" spans="3:10" ht="13.2" x14ac:dyDescent="0.25">
      <c r="C369" s="21"/>
      <c r="F369" s="21"/>
      <c r="J369" s="21"/>
    </row>
    <row r="370" spans="3:10" ht="13.2" x14ac:dyDescent="0.25">
      <c r="C370" s="21"/>
      <c r="F370" s="21"/>
      <c r="J370" s="21"/>
    </row>
    <row r="371" spans="3:10" ht="13.2" x14ac:dyDescent="0.25">
      <c r="C371" s="21"/>
      <c r="F371" s="21"/>
      <c r="J371" s="21"/>
    </row>
    <row r="372" spans="3:10" ht="13.2" x14ac:dyDescent="0.25">
      <c r="C372" s="21"/>
      <c r="F372" s="21"/>
      <c r="J372" s="21"/>
    </row>
    <row r="373" spans="3:10" ht="13.2" x14ac:dyDescent="0.25">
      <c r="C373" s="21"/>
      <c r="F373" s="21"/>
      <c r="J373" s="21"/>
    </row>
    <row r="374" spans="3:10" ht="13.2" x14ac:dyDescent="0.25">
      <c r="C374" s="21"/>
      <c r="F374" s="21"/>
      <c r="J374" s="21"/>
    </row>
    <row r="375" spans="3:10" ht="13.2" x14ac:dyDescent="0.25">
      <c r="C375" s="21"/>
      <c r="F375" s="21"/>
      <c r="J375" s="21"/>
    </row>
    <row r="376" spans="3:10" ht="13.2" x14ac:dyDescent="0.25">
      <c r="C376" s="21"/>
      <c r="F376" s="21"/>
      <c r="J376" s="21"/>
    </row>
    <row r="377" spans="3:10" ht="13.2" x14ac:dyDescent="0.25">
      <c r="C377" s="21"/>
      <c r="F377" s="21"/>
      <c r="J377" s="21"/>
    </row>
    <row r="378" spans="3:10" ht="13.2" x14ac:dyDescent="0.25">
      <c r="C378" s="21"/>
      <c r="F378" s="21"/>
      <c r="J378" s="21"/>
    </row>
    <row r="379" spans="3:10" ht="13.2" x14ac:dyDescent="0.25">
      <c r="C379" s="21"/>
      <c r="F379" s="21"/>
      <c r="J379" s="21"/>
    </row>
    <row r="380" spans="3:10" ht="13.2" x14ac:dyDescent="0.25">
      <c r="C380" s="21"/>
      <c r="F380" s="21"/>
      <c r="J380" s="21"/>
    </row>
    <row r="381" spans="3:10" ht="13.2" x14ac:dyDescent="0.25">
      <c r="C381" s="21"/>
      <c r="F381" s="21"/>
      <c r="J381" s="21"/>
    </row>
    <row r="382" spans="3:10" ht="13.2" x14ac:dyDescent="0.25">
      <c r="C382" s="21"/>
      <c r="F382" s="21"/>
      <c r="J382" s="21"/>
    </row>
    <row r="383" spans="3:10" ht="13.2" x14ac:dyDescent="0.25">
      <c r="C383" s="21"/>
      <c r="F383" s="21"/>
      <c r="J383" s="21"/>
    </row>
    <row r="384" spans="3:10" ht="13.2" x14ac:dyDescent="0.25">
      <c r="C384" s="21"/>
      <c r="F384" s="21"/>
      <c r="J384" s="21"/>
    </row>
    <row r="385" spans="3:10" ht="13.2" x14ac:dyDescent="0.25">
      <c r="C385" s="21"/>
      <c r="F385" s="21"/>
      <c r="J385" s="21"/>
    </row>
    <row r="386" spans="3:10" ht="13.2" x14ac:dyDescent="0.25">
      <c r="C386" s="21"/>
      <c r="F386" s="21"/>
      <c r="J386" s="21"/>
    </row>
    <row r="387" spans="3:10" ht="13.2" x14ac:dyDescent="0.25">
      <c r="C387" s="21"/>
      <c r="F387" s="21"/>
      <c r="J387" s="21"/>
    </row>
    <row r="388" spans="3:10" ht="13.2" x14ac:dyDescent="0.25">
      <c r="C388" s="21"/>
      <c r="F388" s="21"/>
      <c r="J388" s="21"/>
    </row>
    <row r="389" spans="3:10" ht="13.2" x14ac:dyDescent="0.25">
      <c r="C389" s="21"/>
      <c r="F389" s="21"/>
      <c r="J389" s="21"/>
    </row>
    <row r="390" spans="3:10" ht="13.2" x14ac:dyDescent="0.25">
      <c r="C390" s="21"/>
      <c r="F390" s="21"/>
      <c r="J390" s="21"/>
    </row>
    <row r="391" spans="3:10" ht="13.2" x14ac:dyDescent="0.25">
      <c r="C391" s="21"/>
      <c r="F391" s="21"/>
      <c r="J391" s="21"/>
    </row>
    <row r="392" spans="3:10" ht="13.2" x14ac:dyDescent="0.25">
      <c r="C392" s="21"/>
      <c r="F392" s="21"/>
      <c r="J392" s="21"/>
    </row>
    <row r="393" spans="3:10" ht="13.2" x14ac:dyDescent="0.25">
      <c r="C393" s="21"/>
      <c r="F393" s="21"/>
      <c r="J393" s="21"/>
    </row>
    <row r="394" spans="3:10" ht="13.2" x14ac:dyDescent="0.25">
      <c r="C394" s="21"/>
      <c r="F394" s="21"/>
      <c r="J394" s="21"/>
    </row>
    <row r="395" spans="3:10" ht="13.2" x14ac:dyDescent="0.25">
      <c r="C395" s="21"/>
      <c r="F395" s="21"/>
      <c r="J395" s="21"/>
    </row>
    <row r="396" spans="3:10" ht="13.2" x14ac:dyDescent="0.25">
      <c r="C396" s="21"/>
      <c r="F396" s="21"/>
      <c r="J396" s="21"/>
    </row>
    <row r="397" spans="3:10" ht="13.2" x14ac:dyDescent="0.25">
      <c r="C397" s="21"/>
      <c r="F397" s="21"/>
      <c r="J397" s="21"/>
    </row>
    <row r="398" spans="3:10" ht="13.2" x14ac:dyDescent="0.25">
      <c r="C398" s="21"/>
      <c r="F398" s="21"/>
      <c r="J398" s="21"/>
    </row>
    <row r="399" spans="3:10" ht="13.2" x14ac:dyDescent="0.25">
      <c r="C399" s="21"/>
      <c r="F399" s="21"/>
      <c r="J399" s="21"/>
    </row>
    <row r="400" spans="3:10" ht="13.2" x14ac:dyDescent="0.25">
      <c r="C400" s="21"/>
      <c r="F400" s="21"/>
      <c r="J400" s="21"/>
    </row>
    <row r="401" spans="3:10" ht="13.2" x14ac:dyDescent="0.25">
      <c r="C401" s="21"/>
      <c r="F401" s="21"/>
      <c r="J401" s="21"/>
    </row>
    <row r="402" spans="3:10" ht="13.2" x14ac:dyDescent="0.25">
      <c r="C402" s="21"/>
      <c r="F402" s="21"/>
      <c r="J402" s="21"/>
    </row>
    <row r="403" spans="3:10" ht="13.2" x14ac:dyDescent="0.25">
      <c r="C403" s="21"/>
      <c r="F403" s="21"/>
      <c r="J403" s="21"/>
    </row>
    <row r="404" spans="3:10" ht="13.2" x14ac:dyDescent="0.25">
      <c r="C404" s="21"/>
      <c r="F404" s="21"/>
      <c r="J404" s="21"/>
    </row>
    <row r="405" spans="3:10" ht="13.2" x14ac:dyDescent="0.25">
      <c r="C405" s="21"/>
      <c r="F405" s="21"/>
      <c r="J405" s="21"/>
    </row>
    <row r="406" spans="3:10" ht="13.2" x14ac:dyDescent="0.25">
      <c r="C406" s="21"/>
      <c r="F406" s="21"/>
      <c r="J406" s="21"/>
    </row>
    <row r="407" spans="3:10" ht="13.2" x14ac:dyDescent="0.25">
      <c r="C407" s="21"/>
      <c r="F407" s="21"/>
      <c r="J407" s="21"/>
    </row>
    <row r="408" spans="3:10" ht="13.2" x14ac:dyDescent="0.25">
      <c r="C408" s="21"/>
      <c r="F408" s="21"/>
      <c r="J408" s="21"/>
    </row>
    <row r="409" spans="3:10" ht="13.2" x14ac:dyDescent="0.25">
      <c r="C409" s="21"/>
      <c r="F409" s="21"/>
      <c r="J409" s="21"/>
    </row>
    <row r="410" spans="3:10" ht="13.2" x14ac:dyDescent="0.25">
      <c r="C410" s="21"/>
      <c r="F410" s="21"/>
      <c r="J410" s="21"/>
    </row>
    <row r="411" spans="3:10" ht="13.2" x14ac:dyDescent="0.25">
      <c r="C411" s="21"/>
      <c r="F411" s="21"/>
      <c r="J411" s="21"/>
    </row>
    <row r="412" spans="3:10" ht="13.2" x14ac:dyDescent="0.25">
      <c r="C412" s="21"/>
      <c r="F412" s="21"/>
      <c r="J412" s="21"/>
    </row>
    <row r="413" spans="3:10" ht="13.2" x14ac:dyDescent="0.25">
      <c r="C413" s="21"/>
      <c r="F413" s="21"/>
      <c r="J413" s="21"/>
    </row>
    <row r="414" spans="3:10" ht="13.2" x14ac:dyDescent="0.25">
      <c r="C414" s="21"/>
      <c r="F414" s="21"/>
      <c r="J414" s="21"/>
    </row>
    <row r="415" spans="3:10" ht="13.2" x14ac:dyDescent="0.25">
      <c r="C415" s="21"/>
      <c r="F415" s="21"/>
      <c r="J415" s="21"/>
    </row>
    <row r="416" spans="3:10" ht="13.2" x14ac:dyDescent="0.25">
      <c r="C416" s="21"/>
      <c r="F416" s="21"/>
      <c r="J416" s="21"/>
    </row>
    <row r="417" spans="3:10" ht="13.2" x14ac:dyDescent="0.25">
      <c r="C417" s="21"/>
      <c r="F417" s="21"/>
      <c r="J417" s="21"/>
    </row>
    <row r="418" spans="3:10" ht="13.2" x14ac:dyDescent="0.25">
      <c r="C418" s="21"/>
      <c r="F418" s="21"/>
      <c r="J418" s="21"/>
    </row>
    <row r="419" spans="3:10" ht="13.2" x14ac:dyDescent="0.25">
      <c r="C419" s="21"/>
      <c r="F419" s="21"/>
      <c r="J419" s="21"/>
    </row>
    <row r="420" spans="3:10" ht="13.2" x14ac:dyDescent="0.25">
      <c r="C420" s="21"/>
      <c r="F420" s="21"/>
      <c r="J420" s="21"/>
    </row>
    <row r="421" spans="3:10" ht="13.2" x14ac:dyDescent="0.25">
      <c r="C421" s="21"/>
      <c r="F421" s="21"/>
      <c r="J421" s="21"/>
    </row>
    <row r="422" spans="3:10" ht="13.2" x14ac:dyDescent="0.25">
      <c r="C422" s="21"/>
      <c r="F422" s="21"/>
      <c r="J422" s="21"/>
    </row>
    <row r="423" spans="3:10" ht="13.2" x14ac:dyDescent="0.25">
      <c r="C423" s="21"/>
      <c r="F423" s="21"/>
      <c r="J423" s="21"/>
    </row>
    <row r="424" spans="3:10" ht="13.2" x14ac:dyDescent="0.25">
      <c r="C424" s="21"/>
      <c r="F424" s="21"/>
      <c r="J424" s="21"/>
    </row>
    <row r="425" spans="3:10" ht="13.2" x14ac:dyDescent="0.25">
      <c r="C425" s="21"/>
      <c r="F425" s="21"/>
      <c r="J425" s="21"/>
    </row>
    <row r="426" spans="3:10" ht="13.2" x14ac:dyDescent="0.25">
      <c r="C426" s="21"/>
      <c r="F426" s="21"/>
      <c r="J426" s="21"/>
    </row>
    <row r="427" spans="3:10" ht="13.2" x14ac:dyDescent="0.25">
      <c r="C427" s="21"/>
      <c r="F427" s="21"/>
      <c r="J427" s="21"/>
    </row>
    <row r="428" spans="3:10" ht="13.2" x14ac:dyDescent="0.25">
      <c r="C428" s="21"/>
      <c r="F428" s="21"/>
      <c r="J428" s="21"/>
    </row>
    <row r="429" spans="3:10" ht="13.2" x14ac:dyDescent="0.25">
      <c r="C429" s="21"/>
      <c r="F429" s="21"/>
      <c r="J429" s="21"/>
    </row>
    <row r="430" spans="3:10" ht="13.2" x14ac:dyDescent="0.25">
      <c r="C430" s="21"/>
      <c r="F430" s="21"/>
      <c r="J430" s="21"/>
    </row>
    <row r="431" spans="3:10" ht="13.2" x14ac:dyDescent="0.25">
      <c r="C431" s="21"/>
      <c r="F431" s="21"/>
      <c r="J431" s="21"/>
    </row>
    <row r="432" spans="3:10" ht="13.2" x14ac:dyDescent="0.25">
      <c r="C432" s="21"/>
      <c r="F432" s="21"/>
      <c r="J432" s="21"/>
    </row>
    <row r="433" spans="3:10" ht="13.2" x14ac:dyDescent="0.25">
      <c r="C433" s="21"/>
      <c r="F433" s="21"/>
      <c r="J433" s="21"/>
    </row>
    <row r="434" spans="3:10" ht="13.2" x14ac:dyDescent="0.25">
      <c r="C434" s="21"/>
      <c r="F434" s="21"/>
      <c r="J434" s="21"/>
    </row>
    <row r="435" spans="3:10" ht="13.2" x14ac:dyDescent="0.25">
      <c r="C435" s="21"/>
      <c r="F435" s="21"/>
      <c r="J435" s="21"/>
    </row>
    <row r="436" spans="3:10" ht="13.2" x14ac:dyDescent="0.25">
      <c r="C436" s="21"/>
      <c r="F436" s="21"/>
      <c r="J436" s="21"/>
    </row>
    <row r="437" spans="3:10" ht="13.2" x14ac:dyDescent="0.25">
      <c r="C437" s="21"/>
      <c r="F437" s="21"/>
      <c r="J437" s="21"/>
    </row>
    <row r="438" spans="3:10" ht="13.2" x14ac:dyDescent="0.25">
      <c r="C438" s="21"/>
      <c r="F438" s="21"/>
      <c r="J438" s="21"/>
    </row>
    <row r="439" spans="3:10" ht="13.2" x14ac:dyDescent="0.25">
      <c r="C439" s="21"/>
      <c r="F439" s="21"/>
      <c r="J439" s="21"/>
    </row>
    <row r="440" spans="3:10" ht="13.2" x14ac:dyDescent="0.25">
      <c r="C440" s="21"/>
      <c r="F440" s="21"/>
      <c r="J440" s="21"/>
    </row>
    <row r="441" spans="3:10" ht="13.2" x14ac:dyDescent="0.25">
      <c r="C441" s="21"/>
      <c r="F441" s="21"/>
      <c r="J441" s="21"/>
    </row>
    <row r="442" spans="3:10" ht="13.2" x14ac:dyDescent="0.25">
      <c r="C442" s="21"/>
      <c r="F442" s="21"/>
      <c r="J442" s="21"/>
    </row>
    <row r="443" spans="3:10" ht="13.2" x14ac:dyDescent="0.25">
      <c r="C443" s="21"/>
      <c r="F443" s="21"/>
      <c r="J443" s="21"/>
    </row>
    <row r="444" spans="3:10" ht="13.2" x14ac:dyDescent="0.25">
      <c r="C444" s="21"/>
      <c r="F444" s="21"/>
      <c r="J444" s="21"/>
    </row>
    <row r="445" spans="3:10" ht="13.2" x14ac:dyDescent="0.25">
      <c r="C445" s="21"/>
      <c r="F445" s="21"/>
      <c r="J445" s="21"/>
    </row>
    <row r="446" spans="3:10" ht="13.2" x14ac:dyDescent="0.25">
      <c r="C446" s="21"/>
      <c r="F446" s="21"/>
      <c r="J446" s="21"/>
    </row>
    <row r="447" spans="3:10" ht="13.2" x14ac:dyDescent="0.25">
      <c r="C447" s="21"/>
      <c r="F447" s="21"/>
      <c r="J447" s="21"/>
    </row>
    <row r="448" spans="3:10" ht="13.2" x14ac:dyDescent="0.25">
      <c r="C448" s="21"/>
      <c r="F448" s="21"/>
      <c r="J448" s="21"/>
    </row>
    <row r="449" spans="3:10" ht="13.2" x14ac:dyDescent="0.25">
      <c r="C449" s="21"/>
      <c r="F449" s="21"/>
      <c r="J449" s="21"/>
    </row>
    <row r="450" spans="3:10" ht="13.2" x14ac:dyDescent="0.25">
      <c r="C450" s="21"/>
      <c r="F450" s="21"/>
      <c r="J450" s="21"/>
    </row>
    <row r="451" spans="3:10" ht="13.2" x14ac:dyDescent="0.25">
      <c r="C451" s="21"/>
      <c r="F451" s="21"/>
      <c r="J451" s="21"/>
    </row>
    <row r="452" spans="3:10" ht="13.2" x14ac:dyDescent="0.25">
      <c r="C452" s="21"/>
      <c r="F452" s="21"/>
      <c r="J452" s="21"/>
    </row>
    <row r="453" spans="3:10" ht="13.2" x14ac:dyDescent="0.25">
      <c r="C453" s="21"/>
      <c r="F453" s="21"/>
      <c r="J453" s="21"/>
    </row>
    <row r="454" spans="3:10" ht="13.2" x14ac:dyDescent="0.25">
      <c r="C454" s="21"/>
      <c r="F454" s="21"/>
      <c r="J454" s="21"/>
    </row>
    <row r="455" spans="3:10" ht="13.2" x14ac:dyDescent="0.25">
      <c r="C455" s="21"/>
      <c r="F455" s="21"/>
      <c r="J455" s="21"/>
    </row>
    <row r="456" spans="3:10" ht="13.2" x14ac:dyDescent="0.25">
      <c r="C456" s="21"/>
      <c r="F456" s="21"/>
      <c r="J456" s="21"/>
    </row>
    <row r="457" spans="3:10" ht="13.2" x14ac:dyDescent="0.25">
      <c r="C457" s="21"/>
      <c r="F457" s="21"/>
      <c r="J457" s="21"/>
    </row>
    <row r="458" spans="3:10" ht="13.2" x14ac:dyDescent="0.25">
      <c r="C458" s="21"/>
      <c r="F458" s="21"/>
      <c r="J458" s="21"/>
    </row>
    <row r="459" spans="3:10" ht="13.2" x14ac:dyDescent="0.25">
      <c r="C459" s="21"/>
      <c r="F459" s="21"/>
      <c r="J459" s="21"/>
    </row>
    <row r="460" spans="3:10" ht="13.2" x14ac:dyDescent="0.25">
      <c r="C460" s="21"/>
      <c r="F460" s="21"/>
      <c r="J460" s="21"/>
    </row>
    <row r="461" spans="3:10" ht="13.2" x14ac:dyDescent="0.25">
      <c r="C461" s="21"/>
      <c r="F461" s="21"/>
      <c r="J461" s="21"/>
    </row>
    <row r="462" spans="3:10" ht="13.2" x14ac:dyDescent="0.25">
      <c r="C462" s="21"/>
      <c r="F462" s="21"/>
      <c r="J462" s="21"/>
    </row>
    <row r="463" spans="3:10" ht="13.2" x14ac:dyDescent="0.25">
      <c r="C463" s="21"/>
      <c r="F463" s="21"/>
      <c r="J463" s="21"/>
    </row>
    <row r="464" spans="3:10" ht="13.2" x14ac:dyDescent="0.25">
      <c r="C464" s="21"/>
      <c r="F464" s="21"/>
      <c r="J464" s="21"/>
    </row>
    <row r="465" spans="3:10" ht="13.2" x14ac:dyDescent="0.25">
      <c r="C465" s="21"/>
      <c r="F465" s="21"/>
      <c r="J465" s="21"/>
    </row>
    <row r="466" spans="3:10" ht="13.2" x14ac:dyDescent="0.25">
      <c r="C466" s="21"/>
      <c r="F466" s="21"/>
      <c r="J466" s="21"/>
    </row>
    <row r="467" spans="3:10" ht="13.2" x14ac:dyDescent="0.25">
      <c r="C467" s="21"/>
      <c r="F467" s="21"/>
      <c r="J467" s="21"/>
    </row>
    <row r="468" spans="3:10" ht="13.2" x14ac:dyDescent="0.25">
      <c r="C468" s="21"/>
      <c r="F468" s="21"/>
      <c r="J468" s="21"/>
    </row>
    <row r="469" spans="3:10" ht="13.2" x14ac:dyDescent="0.25">
      <c r="C469" s="21"/>
      <c r="F469" s="21"/>
      <c r="J469" s="21"/>
    </row>
    <row r="470" spans="3:10" ht="13.2" x14ac:dyDescent="0.25">
      <c r="C470" s="21"/>
      <c r="F470" s="21"/>
      <c r="J470" s="21"/>
    </row>
    <row r="471" spans="3:10" ht="13.2" x14ac:dyDescent="0.25">
      <c r="C471" s="21"/>
      <c r="F471" s="21"/>
      <c r="J471" s="21"/>
    </row>
    <row r="472" spans="3:10" ht="13.2" x14ac:dyDescent="0.25">
      <c r="C472" s="21"/>
      <c r="F472" s="21"/>
      <c r="J472" s="21"/>
    </row>
    <row r="473" spans="3:10" ht="13.2" x14ac:dyDescent="0.25">
      <c r="C473" s="21"/>
      <c r="F473" s="21"/>
      <c r="J473" s="21"/>
    </row>
    <row r="474" spans="3:10" ht="13.2" x14ac:dyDescent="0.25">
      <c r="C474" s="21"/>
      <c r="F474" s="21"/>
      <c r="J474" s="21"/>
    </row>
    <row r="475" spans="3:10" ht="13.2" x14ac:dyDescent="0.25">
      <c r="C475" s="21"/>
      <c r="F475" s="21"/>
      <c r="J475" s="21"/>
    </row>
    <row r="476" spans="3:10" ht="13.2" x14ac:dyDescent="0.25">
      <c r="C476" s="21"/>
      <c r="F476" s="21"/>
      <c r="J476" s="21"/>
    </row>
    <row r="477" spans="3:10" ht="13.2" x14ac:dyDescent="0.25">
      <c r="C477" s="21"/>
      <c r="F477" s="21"/>
      <c r="J477" s="21"/>
    </row>
    <row r="478" spans="3:10" ht="13.2" x14ac:dyDescent="0.25">
      <c r="C478" s="21"/>
      <c r="F478" s="21"/>
      <c r="J478" s="21"/>
    </row>
    <row r="479" spans="3:10" ht="13.2" x14ac:dyDescent="0.25">
      <c r="C479" s="21"/>
      <c r="F479" s="21"/>
      <c r="J479" s="21"/>
    </row>
    <row r="480" spans="3:10" ht="13.2" x14ac:dyDescent="0.25">
      <c r="C480" s="21"/>
      <c r="F480" s="21"/>
      <c r="J480" s="21"/>
    </row>
    <row r="481" spans="3:10" ht="13.2" x14ac:dyDescent="0.25">
      <c r="C481" s="21"/>
      <c r="F481" s="21"/>
      <c r="J481" s="21"/>
    </row>
    <row r="482" spans="3:10" ht="13.2" x14ac:dyDescent="0.25">
      <c r="C482" s="21"/>
      <c r="F482" s="21"/>
      <c r="J482" s="21"/>
    </row>
    <row r="483" spans="3:10" ht="13.2" x14ac:dyDescent="0.25">
      <c r="C483" s="21"/>
      <c r="F483" s="21"/>
      <c r="J483" s="21"/>
    </row>
    <row r="484" spans="3:10" ht="13.2" x14ac:dyDescent="0.25">
      <c r="C484" s="21"/>
      <c r="F484" s="21"/>
      <c r="J484" s="21"/>
    </row>
    <row r="485" spans="3:10" ht="13.2" x14ac:dyDescent="0.25">
      <c r="C485" s="21"/>
      <c r="F485" s="21"/>
      <c r="J485" s="21"/>
    </row>
    <row r="486" spans="3:10" ht="13.2" x14ac:dyDescent="0.25">
      <c r="C486" s="21"/>
      <c r="F486" s="21"/>
      <c r="J486" s="21"/>
    </row>
    <row r="487" spans="3:10" ht="13.2" x14ac:dyDescent="0.25">
      <c r="C487" s="21"/>
      <c r="F487" s="21"/>
      <c r="J487" s="21"/>
    </row>
    <row r="488" spans="3:10" ht="13.2" x14ac:dyDescent="0.25">
      <c r="C488" s="21"/>
      <c r="F488" s="21"/>
      <c r="J488" s="21"/>
    </row>
    <row r="489" spans="3:10" ht="13.2" x14ac:dyDescent="0.25">
      <c r="C489" s="21"/>
      <c r="F489" s="21"/>
      <c r="J489" s="21"/>
    </row>
    <row r="490" spans="3:10" ht="13.2" x14ac:dyDescent="0.25">
      <c r="C490" s="21"/>
      <c r="F490" s="21"/>
      <c r="J490" s="21"/>
    </row>
    <row r="491" spans="3:10" ht="13.2" x14ac:dyDescent="0.25">
      <c r="C491" s="21"/>
      <c r="F491" s="21"/>
      <c r="J491" s="21"/>
    </row>
    <row r="492" spans="3:10" ht="13.2" x14ac:dyDescent="0.25">
      <c r="C492" s="21"/>
      <c r="F492" s="21"/>
      <c r="J492" s="21"/>
    </row>
    <row r="493" spans="3:10" ht="13.2" x14ac:dyDescent="0.25">
      <c r="C493" s="21"/>
      <c r="F493" s="21"/>
      <c r="J493" s="21"/>
    </row>
    <row r="494" spans="3:10" ht="13.2" x14ac:dyDescent="0.25">
      <c r="C494" s="21"/>
      <c r="F494" s="21"/>
      <c r="J494" s="21"/>
    </row>
    <row r="495" spans="3:10" ht="13.2" x14ac:dyDescent="0.25">
      <c r="C495" s="21"/>
      <c r="F495" s="21"/>
      <c r="J495" s="21"/>
    </row>
    <row r="496" spans="3:10" ht="13.2" x14ac:dyDescent="0.25">
      <c r="C496" s="21"/>
      <c r="F496" s="21"/>
      <c r="J496" s="21"/>
    </row>
    <row r="497" spans="3:10" ht="13.2" x14ac:dyDescent="0.25">
      <c r="C497" s="21"/>
      <c r="F497" s="21"/>
      <c r="J497" s="21"/>
    </row>
    <row r="498" spans="3:10" ht="13.2" x14ac:dyDescent="0.25">
      <c r="C498" s="21"/>
      <c r="F498" s="21"/>
      <c r="J498" s="21"/>
    </row>
    <row r="499" spans="3:10" ht="13.2" x14ac:dyDescent="0.25">
      <c r="C499" s="21"/>
      <c r="F499" s="21"/>
      <c r="J499" s="21"/>
    </row>
    <row r="500" spans="3:10" ht="13.2" x14ac:dyDescent="0.25">
      <c r="C500" s="21"/>
      <c r="F500" s="21"/>
      <c r="J500" s="21"/>
    </row>
    <row r="501" spans="3:10" ht="13.2" x14ac:dyDescent="0.25">
      <c r="C501" s="21"/>
      <c r="F501" s="21"/>
      <c r="J501" s="21"/>
    </row>
    <row r="502" spans="3:10" ht="13.2" x14ac:dyDescent="0.25">
      <c r="C502" s="21"/>
      <c r="F502" s="21"/>
      <c r="J502" s="21"/>
    </row>
    <row r="503" spans="3:10" ht="13.2" x14ac:dyDescent="0.25">
      <c r="C503" s="21"/>
      <c r="F503" s="21"/>
      <c r="J503" s="21"/>
    </row>
    <row r="504" spans="3:10" ht="13.2" x14ac:dyDescent="0.25">
      <c r="C504" s="21"/>
      <c r="F504" s="21"/>
      <c r="J504" s="21"/>
    </row>
    <row r="505" spans="3:10" ht="13.2" x14ac:dyDescent="0.25">
      <c r="C505" s="21"/>
      <c r="F505" s="21"/>
      <c r="J505" s="21"/>
    </row>
    <row r="506" spans="3:10" ht="13.2" x14ac:dyDescent="0.25">
      <c r="C506" s="21"/>
      <c r="F506" s="21"/>
      <c r="J506" s="21"/>
    </row>
    <row r="507" spans="3:10" ht="13.2" x14ac:dyDescent="0.25">
      <c r="C507" s="21"/>
      <c r="F507" s="21"/>
      <c r="J507" s="21"/>
    </row>
    <row r="508" spans="3:10" ht="13.2" x14ac:dyDescent="0.25">
      <c r="C508" s="21"/>
      <c r="F508" s="21"/>
      <c r="J508" s="21"/>
    </row>
    <row r="509" spans="3:10" ht="13.2" x14ac:dyDescent="0.25">
      <c r="C509" s="21"/>
      <c r="F509" s="21"/>
      <c r="J509" s="21"/>
    </row>
    <row r="510" spans="3:10" ht="13.2" x14ac:dyDescent="0.25">
      <c r="C510" s="21"/>
      <c r="F510" s="21"/>
      <c r="J510" s="21"/>
    </row>
    <row r="511" spans="3:10" ht="13.2" x14ac:dyDescent="0.25">
      <c r="C511" s="21"/>
      <c r="F511" s="21"/>
      <c r="J511" s="21"/>
    </row>
    <row r="512" spans="3:10" ht="13.2" x14ac:dyDescent="0.25">
      <c r="C512" s="21"/>
      <c r="F512" s="21"/>
      <c r="J512" s="21"/>
    </row>
    <row r="513" spans="3:10" ht="13.2" x14ac:dyDescent="0.25">
      <c r="C513" s="21"/>
      <c r="F513" s="21"/>
      <c r="J513" s="21"/>
    </row>
    <row r="514" spans="3:10" ht="13.2" x14ac:dyDescent="0.25">
      <c r="C514" s="21"/>
      <c r="F514" s="21"/>
      <c r="J514" s="21"/>
    </row>
    <row r="515" spans="3:10" ht="13.2" x14ac:dyDescent="0.25">
      <c r="C515" s="21"/>
      <c r="F515" s="21"/>
      <c r="J515" s="21"/>
    </row>
    <row r="516" spans="3:10" ht="13.2" x14ac:dyDescent="0.25">
      <c r="C516" s="21"/>
      <c r="F516" s="21"/>
      <c r="J516" s="21"/>
    </row>
    <row r="517" spans="3:10" ht="13.2" x14ac:dyDescent="0.25">
      <c r="C517" s="21"/>
      <c r="F517" s="21"/>
      <c r="J517" s="21"/>
    </row>
    <row r="518" spans="3:10" ht="13.2" x14ac:dyDescent="0.25">
      <c r="C518" s="21"/>
      <c r="F518" s="21"/>
      <c r="J518" s="21"/>
    </row>
    <row r="519" spans="3:10" ht="13.2" x14ac:dyDescent="0.25">
      <c r="C519" s="21"/>
      <c r="F519" s="21"/>
      <c r="J519" s="21"/>
    </row>
    <row r="520" spans="3:10" ht="13.2" x14ac:dyDescent="0.25">
      <c r="C520" s="21"/>
      <c r="F520" s="21"/>
      <c r="J520" s="21"/>
    </row>
    <row r="521" spans="3:10" ht="13.2" x14ac:dyDescent="0.25">
      <c r="C521" s="21"/>
      <c r="F521" s="21"/>
      <c r="J521" s="21"/>
    </row>
    <row r="522" spans="3:10" ht="13.2" x14ac:dyDescent="0.25">
      <c r="C522" s="21"/>
      <c r="F522" s="21"/>
      <c r="J522" s="21"/>
    </row>
    <row r="523" spans="3:10" ht="13.2" x14ac:dyDescent="0.25">
      <c r="C523" s="21"/>
      <c r="F523" s="21"/>
      <c r="J523" s="21"/>
    </row>
    <row r="524" spans="3:10" ht="13.2" x14ac:dyDescent="0.25">
      <c r="C524" s="21"/>
      <c r="F524" s="21"/>
      <c r="J524" s="21"/>
    </row>
    <row r="525" spans="3:10" ht="13.2" x14ac:dyDescent="0.25">
      <c r="C525" s="21"/>
      <c r="F525" s="21"/>
      <c r="J525" s="21"/>
    </row>
    <row r="526" spans="3:10" ht="13.2" x14ac:dyDescent="0.25">
      <c r="C526" s="21"/>
      <c r="F526" s="21"/>
      <c r="J526" s="21"/>
    </row>
    <row r="527" spans="3:10" ht="13.2" x14ac:dyDescent="0.25">
      <c r="C527" s="21"/>
      <c r="F527" s="21"/>
      <c r="J527" s="21"/>
    </row>
    <row r="528" spans="3:10" ht="13.2" x14ac:dyDescent="0.25">
      <c r="C528" s="21"/>
      <c r="F528" s="21"/>
      <c r="J528" s="21"/>
    </row>
    <row r="529" spans="3:10" ht="13.2" x14ac:dyDescent="0.25">
      <c r="C529" s="21"/>
      <c r="F529" s="21"/>
      <c r="J529" s="21"/>
    </row>
    <row r="530" spans="3:10" ht="13.2" x14ac:dyDescent="0.25">
      <c r="C530" s="21"/>
      <c r="F530" s="21"/>
      <c r="J530" s="21"/>
    </row>
    <row r="531" spans="3:10" ht="13.2" x14ac:dyDescent="0.25">
      <c r="C531" s="21"/>
      <c r="F531" s="21"/>
      <c r="J531" s="21"/>
    </row>
    <row r="532" spans="3:10" ht="13.2" x14ac:dyDescent="0.25">
      <c r="C532" s="21"/>
      <c r="F532" s="21"/>
      <c r="J532" s="21"/>
    </row>
    <row r="533" spans="3:10" ht="13.2" x14ac:dyDescent="0.25">
      <c r="C533" s="21"/>
      <c r="F533" s="21"/>
      <c r="J533" s="21"/>
    </row>
    <row r="534" spans="3:10" ht="13.2" x14ac:dyDescent="0.25">
      <c r="C534" s="21"/>
      <c r="F534" s="21"/>
      <c r="J534" s="21"/>
    </row>
    <row r="535" spans="3:10" ht="13.2" x14ac:dyDescent="0.25">
      <c r="C535" s="21"/>
      <c r="F535" s="21"/>
      <c r="J535" s="21"/>
    </row>
    <row r="536" spans="3:10" ht="13.2" x14ac:dyDescent="0.25">
      <c r="C536" s="21"/>
      <c r="F536" s="21"/>
      <c r="J536" s="21"/>
    </row>
    <row r="537" spans="3:10" ht="13.2" x14ac:dyDescent="0.25">
      <c r="C537" s="21"/>
      <c r="F537" s="21"/>
      <c r="J537" s="21"/>
    </row>
    <row r="538" spans="3:10" ht="13.2" x14ac:dyDescent="0.25">
      <c r="C538" s="21"/>
      <c r="F538" s="21"/>
      <c r="J538" s="21"/>
    </row>
    <row r="539" spans="3:10" ht="13.2" x14ac:dyDescent="0.25">
      <c r="C539" s="21"/>
      <c r="F539" s="21"/>
      <c r="J539" s="21"/>
    </row>
    <row r="540" spans="3:10" ht="13.2" x14ac:dyDescent="0.25">
      <c r="C540" s="21"/>
      <c r="F540" s="21"/>
      <c r="J540" s="21"/>
    </row>
    <row r="541" spans="3:10" ht="13.2" x14ac:dyDescent="0.25">
      <c r="C541" s="21"/>
      <c r="F541" s="21"/>
      <c r="J541" s="21"/>
    </row>
    <row r="542" spans="3:10" ht="13.2" x14ac:dyDescent="0.25">
      <c r="C542" s="21"/>
      <c r="F542" s="21"/>
      <c r="J542" s="21"/>
    </row>
    <row r="543" spans="3:10" ht="13.2" x14ac:dyDescent="0.25">
      <c r="C543" s="21"/>
      <c r="F543" s="21"/>
      <c r="J543" s="21"/>
    </row>
    <row r="544" spans="3:10" ht="13.2" x14ac:dyDescent="0.25">
      <c r="C544" s="21"/>
      <c r="F544" s="21"/>
      <c r="J544" s="21"/>
    </row>
    <row r="545" spans="3:10" ht="13.2" x14ac:dyDescent="0.25">
      <c r="C545" s="21"/>
      <c r="F545" s="21"/>
      <c r="J545" s="21"/>
    </row>
    <row r="546" spans="3:10" ht="13.2" x14ac:dyDescent="0.25">
      <c r="C546" s="21"/>
      <c r="F546" s="21"/>
      <c r="J546" s="21"/>
    </row>
    <row r="547" spans="3:10" ht="13.2" x14ac:dyDescent="0.25">
      <c r="C547" s="21"/>
      <c r="F547" s="21"/>
      <c r="J547" s="21"/>
    </row>
    <row r="548" spans="3:10" ht="13.2" x14ac:dyDescent="0.25">
      <c r="C548" s="21"/>
      <c r="F548" s="21"/>
      <c r="J548" s="21"/>
    </row>
    <row r="549" spans="3:10" ht="13.2" x14ac:dyDescent="0.25">
      <c r="C549" s="21"/>
      <c r="F549" s="21"/>
      <c r="J549" s="21"/>
    </row>
    <row r="550" spans="3:10" ht="13.2" x14ac:dyDescent="0.25">
      <c r="C550" s="21"/>
      <c r="F550" s="21"/>
      <c r="J550" s="21"/>
    </row>
    <row r="551" spans="3:10" ht="13.2" x14ac:dyDescent="0.25">
      <c r="C551" s="21"/>
      <c r="F551" s="21"/>
      <c r="J551" s="21"/>
    </row>
    <row r="552" spans="3:10" ht="13.2" x14ac:dyDescent="0.25">
      <c r="C552" s="21"/>
      <c r="F552" s="21"/>
      <c r="J552" s="21"/>
    </row>
    <row r="553" spans="3:10" ht="13.2" x14ac:dyDescent="0.25">
      <c r="C553" s="21"/>
      <c r="F553" s="21"/>
      <c r="J553" s="21"/>
    </row>
    <row r="554" spans="3:10" ht="13.2" x14ac:dyDescent="0.25">
      <c r="C554" s="21"/>
      <c r="F554" s="21"/>
      <c r="J554" s="21"/>
    </row>
    <row r="555" spans="3:10" ht="13.2" x14ac:dyDescent="0.25">
      <c r="C555" s="21"/>
      <c r="F555" s="21"/>
      <c r="J555" s="21"/>
    </row>
    <row r="556" spans="3:10" ht="13.2" x14ac:dyDescent="0.25">
      <c r="C556" s="21"/>
      <c r="F556" s="21"/>
      <c r="J556" s="21"/>
    </row>
    <row r="557" spans="3:10" ht="13.2" x14ac:dyDescent="0.25">
      <c r="C557" s="21"/>
      <c r="F557" s="21"/>
      <c r="J557" s="21"/>
    </row>
    <row r="558" spans="3:10" ht="13.2" x14ac:dyDescent="0.25">
      <c r="C558" s="21"/>
      <c r="F558" s="21"/>
      <c r="J558" s="21"/>
    </row>
    <row r="559" spans="3:10" ht="13.2" x14ac:dyDescent="0.25">
      <c r="C559" s="21"/>
      <c r="F559" s="21"/>
      <c r="J559" s="21"/>
    </row>
    <row r="560" spans="3:10" ht="13.2" x14ac:dyDescent="0.25">
      <c r="C560" s="21"/>
      <c r="F560" s="21"/>
      <c r="J560" s="21"/>
    </row>
    <row r="561" spans="3:10" ht="13.2" x14ac:dyDescent="0.25">
      <c r="C561" s="21"/>
      <c r="F561" s="21"/>
      <c r="J561" s="21"/>
    </row>
    <row r="562" spans="3:10" ht="13.2" x14ac:dyDescent="0.25">
      <c r="C562" s="21"/>
      <c r="F562" s="21"/>
      <c r="J562" s="21"/>
    </row>
    <row r="563" spans="3:10" ht="13.2" x14ac:dyDescent="0.25">
      <c r="C563" s="21"/>
      <c r="F563" s="21"/>
      <c r="J563" s="21"/>
    </row>
    <row r="564" spans="3:10" ht="13.2" x14ac:dyDescent="0.25">
      <c r="C564" s="21"/>
      <c r="F564" s="21"/>
      <c r="J564" s="21"/>
    </row>
    <row r="565" spans="3:10" ht="13.2" x14ac:dyDescent="0.25">
      <c r="C565" s="21"/>
      <c r="F565" s="21"/>
      <c r="J565" s="21"/>
    </row>
    <row r="566" spans="3:10" ht="13.2" x14ac:dyDescent="0.25">
      <c r="C566" s="21"/>
      <c r="F566" s="21"/>
      <c r="J566" s="21"/>
    </row>
    <row r="567" spans="3:10" ht="13.2" x14ac:dyDescent="0.25">
      <c r="C567" s="21"/>
      <c r="F567" s="21"/>
      <c r="J567" s="21"/>
    </row>
    <row r="568" spans="3:10" ht="13.2" x14ac:dyDescent="0.25">
      <c r="C568" s="21"/>
      <c r="F568" s="21"/>
      <c r="J568" s="21"/>
    </row>
    <row r="569" spans="3:10" ht="13.2" x14ac:dyDescent="0.25">
      <c r="C569" s="21"/>
      <c r="F569" s="21"/>
      <c r="J569" s="21"/>
    </row>
    <row r="570" spans="3:10" ht="13.2" x14ac:dyDescent="0.25">
      <c r="C570" s="21"/>
      <c r="F570" s="21"/>
      <c r="J570" s="21"/>
    </row>
    <row r="571" spans="3:10" ht="13.2" x14ac:dyDescent="0.25">
      <c r="C571" s="21"/>
      <c r="F571" s="21"/>
      <c r="J571" s="21"/>
    </row>
    <row r="572" spans="3:10" ht="13.2" x14ac:dyDescent="0.25">
      <c r="C572" s="21"/>
      <c r="F572" s="21"/>
      <c r="J572" s="21"/>
    </row>
    <row r="573" spans="3:10" ht="13.2" x14ac:dyDescent="0.25">
      <c r="C573" s="21"/>
      <c r="F573" s="21"/>
      <c r="J573" s="21"/>
    </row>
    <row r="574" spans="3:10" ht="13.2" x14ac:dyDescent="0.25">
      <c r="C574" s="21"/>
      <c r="F574" s="21"/>
      <c r="J574" s="21"/>
    </row>
    <row r="575" spans="3:10" ht="13.2" x14ac:dyDescent="0.25">
      <c r="C575" s="21"/>
      <c r="F575" s="21"/>
      <c r="J575" s="21"/>
    </row>
    <row r="576" spans="3:10" ht="13.2" x14ac:dyDescent="0.25">
      <c r="C576" s="21"/>
      <c r="F576" s="21"/>
      <c r="J576" s="21"/>
    </row>
    <row r="577" spans="3:10" ht="13.2" x14ac:dyDescent="0.25">
      <c r="C577" s="21"/>
      <c r="F577" s="21"/>
      <c r="J577" s="21"/>
    </row>
    <row r="578" spans="3:10" ht="13.2" x14ac:dyDescent="0.25">
      <c r="C578" s="21"/>
      <c r="F578" s="21"/>
      <c r="J578" s="21"/>
    </row>
    <row r="579" spans="3:10" ht="13.2" x14ac:dyDescent="0.25">
      <c r="C579" s="21"/>
      <c r="F579" s="21"/>
      <c r="J579" s="21"/>
    </row>
    <row r="580" spans="3:10" ht="13.2" x14ac:dyDescent="0.25">
      <c r="C580" s="21"/>
      <c r="F580" s="21"/>
      <c r="J580" s="21"/>
    </row>
    <row r="581" spans="3:10" ht="13.2" x14ac:dyDescent="0.25">
      <c r="C581" s="21"/>
      <c r="F581" s="21"/>
      <c r="J581" s="21"/>
    </row>
    <row r="582" spans="3:10" ht="13.2" x14ac:dyDescent="0.25">
      <c r="C582" s="21"/>
      <c r="F582" s="21"/>
      <c r="J582" s="21"/>
    </row>
    <row r="583" spans="3:10" ht="13.2" x14ac:dyDescent="0.25">
      <c r="C583" s="21"/>
      <c r="F583" s="21"/>
      <c r="J583" s="21"/>
    </row>
    <row r="584" spans="3:10" ht="13.2" x14ac:dyDescent="0.25">
      <c r="C584" s="21"/>
      <c r="F584" s="21"/>
      <c r="J584" s="21"/>
    </row>
    <row r="585" spans="3:10" ht="13.2" x14ac:dyDescent="0.25">
      <c r="C585" s="21"/>
      <c r="F585" s="21"/>
      <c r="J585" s="21"/>
    </row>
    <row r="586" spans="3:10" ht="13.2" x14ac:dyDescent="0.25">
      <c r="C586" s="21"/>
      <c r="F586" s="21"/>
      <c r="J586" s="21"/>
    </row>
    <row r="587" spans="3:10" ht="13.2" x14ac:dyDescent="0.25">
      <c r="C587" s="21"/>
      <c r="F587" s="21"/>
      <c r="J587" s="21"/>
    </row>
    <row r="588" spans="3:10" ht="13.2" x14ac:dyDescent="0.25">
      <c r="C588" s="21"/>
      <c r="F588" s="21"/>
      <c r="J588" s="21"/>
    </row>
    <row r="589" spans="3:10" ht="13.2" x14ac:dyDescent="0.25">
      <c r="C589" s="21"/>
      <c r="F589" s="21"/>
      <c r="J589" s="21"/>
    </row>
    <row r="590" spans="3:10" ht="13.2" x14ac:dyDescent="0.25">
      <c r="C590" s="21"/>
      <c r="F590" s="21"/>
      <c r="J590" s="21"/>
    </row>
    <row r="591" spans="3:10" ht="13.2" x14ac:dyDescent="0.25">
      <c r="C591" s="21"/>
      <c r="F591" s="21"/>
      <c r="J591" s="21"/>
    </row>
    <row r="592" spans="3:10" ht="13.2" x14ac:dyDescent="0.25">
      <c r="C592" s="21"/>
      <c r="F592" s="21"/>
      <c r="J592" s="21"/>
    </row>
    <row r="593" spans="3:10" ht="13.2" x14ac:dyDescent="0.25">
      <c r="C593" s="21"/>
      <c r="F593" s="21"/>
      <c r="J593" s="21"/>
    </row>
    <row r="594" spans="3:10" ht="13.2" x14ac:dyDescent="0.25">
      <c r="C594" s="21"/>
      <c r="F594" s="21"/>
      <c r="J594" s="21"/>
    </row>
    <row r="595" spans="3:10" ht="13.2" x14ac:dyDescent="0.25">
      <c r="C595" s="21"/>
      <c r="F595" s="21"/>
      <c r="J595" s="21"/>
    </row>
    <row r="596" spans="3:10" ht="13.2" x14ac:dyDescent="0.25">
      <c r="C596" s="21"/>
      <c r="F596" s="21"/>
      <c r="J596" s="21"/>
    </row>
    <row r="597" spans="3:10" ht="13.2" x14ac:dyDescent="0.25">
      <c r="C597" s="21"/>
      <c r="F597" s="21"/>
      <c r="J597" s="21"/>
    </row>
    <row r="598" spans="3:10" ht="13.2" x14ac:dyDescent="0.25">
      <c r="C598" s="21"/>
      <c r="F598" s="21"/>
      <c r="J598" s="21"/>
    </row>
    <row r="599" spans="3:10" ht="13.2" x14ac:dyDescent="0.25">
      <c r="C599" s="21"/>
      <c r="F599" s="21"/>
      <c r="J599" s="21"/>
    </row>
    <row r="600" spans="3:10" ht="13.2" x14ac:dyDescent="0.25">
      <c r="C600" s="21"/>
      <c r="F600" s="21"/>
      <c r="J600" s="21"/>
    </row>
    <row r="601" spans="3:10" ht="13.2" x14ac:dyDescent="0.25">
      <c r="C601" s="21"/>
      <c r="F601" s="21"/>
      <c r="J601" s="21"/>
    </row>
    <row r="602" spans="3:10" ht="13.2" x14ac:dyDescent="0.25">
      <c r="C602" s="21"/>
      <c r="F602" s="21"/>
      <c r="J602" s="21"/>
    </row>
    <row r="603" spans="3:10" ht="13.2" x14ac:dyDescent="0.25">
      <c r="C603" s="21"/>
      <c r="F603" s="21"/>
      <c r="J603" s="21"/>
    </row>
    <row r="604" spans="3:10" ht="13.2" x14ac:dyDescent="0.25">
      <c r="C604" s="21"/>
      <c r="F604" s="21"/>
      <c r="J604" s="21"/>
    </row>
    <row r="605" spans="3:10" ht="13.2" x14ac:dyDescent="0.25">
      <c r="C605" s="21"/>
      <c r="F605" s="21"/>
      <c r="J605" s="21"/>
    </row>
    <row r="606" spans="3:10" ht="13.2" x14ac:dyDescent="0.25">
      <c r="C606" s="21"/>
      <c r="F606" s="21"/>
      <c r="J606" s="21"/>
    </row>
    <row r="607" spans="3:10" ht="13.2" x14ac:dyDescent="0.25">
      <c r="C607" s="21"/>
      <c r="F607" s="21"/>
      <c r="J607" s="21"/>
    </row>
    <row r="608" spans="3:10" ht="13.2" x14ac:dyDescent="0.25">
      <c r="C608" s="21"/>
      <c r="F608" s="21"/>
      <c r="J608" s="21"/>
    </row>
    <row r="609" spans="3:10" ht="13.2" x14ac:dyDescent="0.25">
      <c r="C609" s="21"/>
      <c r="F609" s="21"/>
      <c r="J609" s="21"/>
    </row>
    <row r="610" spans="3:10" ht="13.2" x14ac:dyDescent="0.25">
      <c r="C610" s="21"/>
      <c r="F610" s="21"/>
      <c r="J610" s="21"/>
    </row>
    <row r="611" spans="3:10" ht="13.2" x14ac:dyDescent="0.25">
      <c r="C611" s="21"/>
      <c r="F611" s="21"/>
      <c r="J611" s="21"/>
    </row>
    <row r="612" spans="3:10" ht="13.2" x14ac:dyDescent="0.25">
      <c r="C612" s="21"/>
      <c r="F612" s="21"/>
      <c r="J612" s="21"/>
    </row>
    <row r="613" spans="3:10" ht="13.2" x14ac:dyDescent="0.25">
      <c r="C613" s="21"/>
      <c r="F613" s="21"/>
      <c r="J613" s="21"/>
    </row>
    <row r="614" spans="3:10" ht="13.2" x14ac:dyDescent="0.25">
      <c r="C614" s="21"/>
      <c r="F614" s="21"/>
      <c r="J614" s="21"/>
    </row>
    <row r="615" spans="3:10" ht="13.2" x14ac:dyDescent="0.25">
      <c r="C615" s="21"/>
      <c r="F615" s="21"/>
      <c r="J615" s="21"/>
    </row>
    <row r="616" spans="3:10" ht="13.2" x14ac:dyDescent="0.25">
      <c r="C616" s="21"/>
      <c r="F616" s="21"/>
      <c r="J616" s="21"/>
    </row>
    <row r="617" spans="3:10" ht="13.2" x14ac:dyDescent="0.25">
      <c r="C617" s="21"/>
      <c r="F617" s="21"/>
      <c r="J617" s="21"/>
    </row>
    <row r="618" spans="3:10" ht="13.2" x14ac:dyDescent="0.25">
      <c r="C618" s="21"/>
      <c r="F618" s="21"/>
      <c r="J618" s="21"/>
    </row>
    <row r="619" spans="3:10" ht="13.2" x14ac:dyDescent="0.25">
      <c r="C619" s="21"/>
      <c r="F619" s="21"/>
      <c r="J619" s="21"/>
    </row>
    <row r="620" spans="3:10" ht="13.2" x14ac:dyDescent="0.25">
      <c r="C620" s="21"/>
      <c r="F620" s="21"/>
      <c r="J620" s="21"/>
    </row>
    <row r="621" spans="3:10" ht="13.2" x14ac:dyDescent="0.25">
      <c r="C621" s="21"/>
      <c r="F621" s="21"/>
      <c r="J621" s="21"/>
    </row>
    <row r="622" spans="3:10" ht="13.2" x14ac:dyDescent="0.25">
      <c r="C622" s="21"/>
      <c r="F622" s="21"/>
      <c r="J622" s="21"/>
    </row>
    <row r="623" spans="3:10" ht="13.2" x14ac:dyDescent="0.25">
      <c r="C623" s="21"/>
      <c r="F623" s="21"/>
      <c r="J623" s="21"/>
    </row>
    <row r="624" spans="3:10" ht="13.2" x14ac:dyDescent="0.25">
      <c r="C624" s="21"/>
      <c r="F624" s="21"/>
      <c r="J624" s="21"/>
    </row>
    <row r="625" spans="3:10" ht="13.2" x14ac:dyDescent="0.25">
      <c r="C625" s="21"/>
      <c r="F625" s="21"/>
      <c r="J625" s="21"/>
    </row>
    <row r="626" spans="3:10" ht="13.2" x14ac:dyDescent="0.25">
      <c r="C626" s="21"/>
      <c r="F626" s="21"/>
      <c r="J626" s="21"/>
    </row>
    <row r="627" spans="3:10" ht="13.2" x14ac:dyDescent="0.25">
      <c r="C627" s="21"/>
      <c r="F627" s="21"/>
      <c r="J627" s="21"/>
    </row>
    <row r="628" spans="3:10" ht="13.2" x14ac:dyDescent="0.25">
      <c r="C628" s="21"/>
      <c r="F628" s="21"/>
      <c r="J628" s="21"/>
    </row>
    <row r="629" spans="3:10" ht="13.2" x14ac:dyDescent="0.25">
      <c r="C629" s="21"/>
      <c r="F629" s="21"/>
      <c r="J629" s="21"/>
    </row>
    <row r="630" spans="3:10" ht="13.2" x14ac:dyDescent="0.25">
      <c r="C630" s="21"/>
      <c r="F630" s="21"/>
      <c r="J630" s="21"/>
    </row>
    <row r="631" spans="3:10" ht="13.2" x14ac:dyDescent="0.25">
      <c r="C631" s="21"/>
      <c r="F631" s="21"/>
      <c r="J631" s="21"/>
    </row>
    <row r="632" spans="3:10" ht="13.2" x14ac:dyDescent="0.25">
      <c r="C632" s="21"/>
      <c r="F632" s="21"/>
      <c r="J632" s="21"/>
    </row>
    <row r="633" spans="3:10" ht="13.2" x14ac:dyDescent="0.25">
      <c r="C633" s="21"/>
      <c r="F633" s="21"/>
      <c r="J633" s="21"/>
    </row>
    <row r="634" spans="3:10" ht="13.2" x14ac:dyDescent="0.25">
      <c r="C634" s="21"/>
      <c r="F634" s="21"/>
      <c r="J634" s="21"/>
    </row>
    <row r="635" spans="3:10" ht="13.2" x14ac:dyDescent="0.25">
      <c r="C635" s="21"/>
      <c r="F635" s="21"/>
      <c r="J635" s="21"/>
    </row>
    <row r="636" spans="3:10" ht="13.2" x14ac:dyDescent="0.25">
      <c r="C636" s="21"/>
      <c r="F636" s="21"/>
      <c r="J636" s="21"/>
    </row>
    <row r="637" spans="3:10" ht="13.2" x14ac:dyDescent="0.25">
      <c r="C637" s="21"/>
      <c r="F637" s="21"/>
      <c r="J637" s="21"/>
    </row>
    <row r="638" spans="3:10" ht="13.2" x14ac:dyDescent="0.25">
      <c r="C638" s="21"/>
      <c r="F638" s="21"/>
      <c r="J638" s="21"/>
    </row>
    <row r="639" spans="3:10" ht="13.2" x14ac:dyDescent="0.25">
      <c r="C639" s="21"/>
      <c r="F639" s="21"/>
      <c r="J639" s="21"/>
    </row>
    <row r="640" spans="3:10" ht="13.2" x14ac:dyDescent="0.25">
      <c r="C640" s="21"/>
      <c r="F640" s="21"/>
      <c r="J640" s="21"/>
    </row>
    <row r="641" spans="3:10" ht="13.2" x14ac:dyDescent="0.25">
      <c r="C641" s="21"/>
      <c r="F641" s="21"/>
      <c r="J641" s="21"/>
    </row>
    <row r="642" spans="3:10" ht="13.2" x14ac:dyDescent="0.25">
      <c r="C642" s="21"/>
      <c r="F642" s="21"/>
      <c r="J642" s="21"/>
    </row>
    <row r="643" spans="3:10" ht="13.2" x14ac:dyDescent="0.25">
      <c r="C643" s="21"/>
      <c r="F643" s="21"/>
      <c r="J643" s="21"/>
    </row>
    <row r="644" spans="3:10" ht="13.2" x14ac:dyDescent="0.25">
      <c r="C644" s="21"/>
      <c r="F644" s="21"/>
      <c r="J644" s="21"/>
    </row>
    <row r="645" spans="3:10" ht="13.2" x14ac:dyDescent="0.25">
      <c r="C645" s="21"/>
      <c r="F645" s="21"/>
      <c r="J645" s="21"/>
    </row>
    <row r="646" spans="3:10" ht="13.2" x14ac:dyDescent="0.25">
      <c r="C646" s="21"/>
      <c r="F646" s="21"/>
      <c r="J646" s="21"/>
    </row>
    <row r="647" spans="3:10" ht="13.2" x14ac:dyDescent="0.25">
      <c r="C647" s="21"/>
      <c r="F647" s="21"/>
      <c r="J647" s="21"/>
    </row>
    <row r="648" spans="3:10" ht="13.2" x14ac:dyDescent="0.25">
      <c r="C648" s="21"/>
      <c r="F648" s="21"/>
      <c r="J648" s="21"/>
    </row>
    <row r="649" spans="3:10" ht="13.2" x14ac:dyDescent="0.25">
      <c r="C649" s="21"/>
      <c r="F649" s="21"/>
      <c r="J649" s="21"/>
    </row>
    <row r="650" spans="3:10" ht="13.2" x14ac:dyDescent="0.25">
      <c r="C650" s="21"/>
      <c r="F650" s="21"/>
      <c r="J650" s="21"/>
    </row>
    <row r="651" spans="3:10" ht="13.2" x14ac:dyDescent="0.25">
      <c r="C651" s="21"/>
      <c r="F651" s="21"/>
      <c r="J651" s="21"/>
    </row>
    <row r="652" spans="3:10" ht="13.2" x14ac:dyDescent="0.25">
      <c r="C652" s="21"/>
      <c r="F652" s="21"/>
      <c r="J652" s="21"/>
    </row>
    <row r="653" spans="3:10" ht="13.2" x14ac:dyDescent="0.25">
      <c r="C653" s="21"/>
      <c r="F653" s="21"/>
      <c r="J653" s="21"/>
    </row>
    <row r="654" spans="3:10" ht="13.2" x14ac:dyDescent="0.25">
      <c r="C654" s="21"/>
      <c r="F654" s="21"/>
      <c r="J654" s="21"/>
    </row>
    <row r="655" spans="3:10" ht="13.2" x14ac:dyDescent="0.25">
      <c r="C655" s="21"/>
      <c r="F655" s="21"/>
      <c r="J655" s="21"/>
    </row>
    <row r="656" spans="3:10" ht="13.2" x14ac:dyDescent="0.25">
      <c r="C656" s="21"/>
      <c r="F656" s="21"/>
      <c r="J656" s="21"/>
    </row>
    <row r="657" spans="3:10" ht="13.2" x14ac:dyDescent="0.25">
      <c r="C657" s="21"/>
      <c r="F657" s="21"/>
      <c r="J657" s="21"/>
    </row>
    <row r="658" spans="3:10" ht="13.2" x14ac:dyDescent="0.25">
      <c r="C658" s="21"/>
      <c r="F658" s="21"/>
      <c r="J658" s="21"/>
    </row>
    <row r="659" spans="3:10" ht="13.2" x14ac:dyDescent="0.25">
      <c r="C659" s="21"/>
      <c r="F659" s="21"/>
      <c r="J659" s="21"/>
    </row>
    <row r="660" spans="3:10" ht="13.2" x14ac:dyDescent="0.25">
      <c r="C660" s="21"/>
      <c r="F660" s="21"/>
      <c r="J660" s="21"/>
    </row>
    <row r="661" spans="3:10" ht="13.2" x14ac:dyDescent="0.25">
      <c r="C661" s="21"/>
      <c r="F661" s="21"/>
      <c r="J661" s="21"/>
    </row>
    <row r="662" spans="3:10" ht="13.2" x14ac:dyDescent="0.25">
      <c r="C662" s="21"/>
      <c r="F662" s="21"/>
      <c r="J662" s="21"/>
    </row>
    <row r="663" spans="3:10" ht="13.2" x14ac:dyDescent="0.25">
      <c r="C663" s="21"/>
      <c r="F663" s="21"/>
      <c r="J663" s="21"/>
    </row>
    <row r="664" spans="3:10" ht="13.2" x14ac:dyDescent="0.25">
      <c r="C664" s="21"/>
      <c r="F664" s="21"/>
      <c r="J664" s="21"/>
    </row>
    <row r="665" spans="3:10" ht="13.2" x14ac:dyDescent="0.25">
      <c r="C665" s="21"/>
      <c r="F665" s="21"/>
      <c r="J665" s="21"/>
    </row>
    <row r="666" spans="3:10" ht="13.2" x14ac:dyDescent="0.25">
      <c r="C666" s="21"/>
      <c r="F666" s="21"/>
      <c r="J666" s="21"/>
    </row>
    <row r="667" spans="3:10" ht="13.2" x14ac:dyDescent="0.25">
      <c r="C667" s="21"/>
      <c r="F667" s="21"/>
      <c r="J667" s="21"/>
    </row>
    <row r="668" spans="3:10" ht="13.2" x14ac:dyDescent="0.25">
      <c r="C668" s="21"/>
      <c r="F668" s="21"/>
      <c r="J668" s="21"/>
    </row>
    <row r="669" spans="3:10" ht="13.2" x14ac:dyDescent="0.25">
      <c r="C669" s="21"/>
      <c r="F669" s="21"/>
      <c r="J669" s="21"/>
    </row>
    <row r="670" spans="3:10" ht="13.2" x14ac:dyDescent="0.25">
      <c r="C670" s="21"/>
      <c r="F670" s="21"/>
      <c r="J670" s="21"/>
    </row>
    <row r="671" spans="3:10" ht="13.2" x14ac:dyDescent="0.25">
      <c r="C671" s="21"/>
      <c r="F671" s="21"/>
      <c r="J671" s="21"/>
    </row>
    <row r="672" spans="3:10" ht="13.2" x14ac:dyDescent="0.25">
      <c r="C672" s="21"/>
      <c r="F672" s="21"/>
      <c r="J672" s="21"/>
    </row>
    <row r="673" spans="3:10" ht="13.2" x14ac:dyDescent="0.25">
      <c r="C673" s="21"/>
      <c r="F673" s="21"/>
      <c r="J673" s="21"/>
    </row>
    <row r="674" spans="3:10" ht="13.2" x14ac:dyDescent="0.25">
      <c r="C674" s="21"/>
      <c r="F674" s="21"/>
      <c r="J674" s="21"/>
    </row>
    <row r="675" spans="3:10" ht="13.2" x14ac:dyDescent="0.25">
      <c r="C675" s="21"/>
      <c r="F675" s="21"/>
      <c r="J675" s="21"/>
    </row>
    <row r="676" spans="3:10" ht="13.2" x14ac:dyDescent="0.25">
      <c r="C676" s="21"/>
      <c r="F676" s="21"/>
      <c r="J676" s="21"/>
    </row>
    <row r="677" spans="3:10" ht="13.2" x14ac:dyDescent="0.25">
      <c r="C677" s="21"/>
      <c r="F677" s="21"/>
      <c r="J677" s="21"/>
    </row>
    <row r="678" spans="3:10" ht="13.2" x14ac:dyDescent="0.25">
      <c r="C678" s="21"/>
      <c r="F678" s="21"/>
      <c r="J678" s="21"/>
    </row>
    <row r="679" spans="3:10" ht="13.2" x14ac:dyDescent="0.25">
      <c r="C679" s="21"/>
      <c r="F679" s="21"/>
      <c r="J679" s="21"/>
    </row>
    <row r="680" spans="3:10" ht="13.2" x14ac:dyDescent="0.25">
      <c r="C680" s="21"/>
      <c r="F680" s="21"/>
      <c r="J680" s="21"/>
    </row>
    <row r="681" spans="3:10" ht="13.2" x14ac:dyDescent="0.25">
      <c r="C681" s="21"/>
      <c r="F681" s="21"/>
      <c r="J681" s="21"/>
    </row>
    <row r="682" spans="3:10" ht="13.2" x14ac:dyDescent="0.25">
      <c r="C682" s="21"/>
      <c r="F682" s="21"/>
      <c r="J682" s="21"/>
    </row>
    <row r="683" spans="3:10" ht="13.2" x14ac:dyDescent="0.25">
      <c r="C683" s="21"/>
      <c r="F683" s="21"/>
      <c r="J683" s="21"/>
    </row>
    <row r="684" spans="3:10" ht="13.2" x14ac:dyDescent="0.25">
      <c r="C684" s="21"/>
      <c r="F684" s="21"/>
      <c r="J684" s="21"/>
    </row>
    <row r="685" spans="3:10" ht="13.2" x14ac:dyDescent="0.25">
      <c r="C685" s="21"/>
      <c r="F685" s="21"/>
      <c r="J685" s="21"/>
    </row>
    <row r="686" spans="3:10" ht="13.2" x14ac:dyDescent="0.25">
      <c r="C686" s="21"/>
      <c r="F686" s="21"/>
      <c r="J686" s="21"/>
    </row>
    <row r="687" spans="3:10" ht="13.2" x14ac:dyDescent="0.25">
      <c r="C687" s="21"/>
      <c r="F687" s="21"/>
      <c r="J687" s="21"/>
    </row>
    <row r="688" spans="3:10" ht="13.2" x14ac:dyDescent="0.25">
      <c r="C688" s="21"/>
      <c r="F688" s="21"/>
      <c r="J688" s="21"/>
    </row>
    <row r="689" spans="3:10" ht="13.2" x14ac:dyDescent="0.25">
      <c r="C689" s="21"/>
      <c r="F689" s="21"/>
      <c r="J689" s="21"/>
    </row>
    <row r="690" spans="3:10" ht="13.2" x14ac:dyDescent="0.25">
      <c r="C690" s="21"/>
      <c r="F690" s="21"/>
      <c r="J690" s="21"/>
    </row>
    <row r="691" spans="3:10" ht="13.2" x14ac:dyDescent="0.25">
      <c r="C691" s="21"/>
      <c r="F691" s="21"/>
      <c r="J691" s="21"/>
    </row>
    <row r="692" spans="3:10" ht="13.2" x14ac:dyDescent="0.25">
      <c r="C692" s="21"/>
      <c r="F692" s="21"/>
      <c r="J692" s="21"/>
    </row>
    <row r="693" spans="3:10" ht="13.2" x14ac:dyDescent="0.25">
      <c r="C693" s="21"/>
      <c r="F693" s="21"/>
      <c r="J693" s="21"/>
    </row>
    <row r="694" spans="3:10" ht="13.2" x14ac:dyDescent="0.25">
      <c r="C694" s="21"/>
      <c r="F694" s="21"/>
      <c r="J694" s="21"/>
    </row>
    <row r="695" spans="3:10" ht="13.2" x14ac:dyDescent="0.25">
      <c r="C695" s="21"/>
      <c r="F695" s="21"/>
      <c r="J695" s="21"/>
    </row>
    <row r="696" spans="3:10" ht="13.2" x14ac:dyDescent="0.25">
      <c r="C696" s="21"/>
      <c r="F696" s="21"/>
      <c r="J696" s="21"/>
    </row>
    <row r="697" spans="3:10" ht="13.2" x14ac:dyDescent="0.25">
      <c r="C697" s="21"/>
      <c r="F697" s="21"/>
      <c r="J697" s="21"/>
    </row>
    <row r="698" spans="3:10" ht="13.2" x14ac:dyDescent="0.25">
      <c r="C698" s="21"/>
      <c r="F698" s="21"/>
      <c r="J698" s="21"/>
    </row>
    <row r="699" spans="3:10" ht="13.2" x14ac:dyDescent="0.25">
      <c r="C699" s="21"/>
      <c r="F699" s="21"/>
      <c r="J699" s="21"/>
    </row>
    <row r="700" spans="3:10" ht="13.2" x14ac:dyDescent="0.25">
      <c r="C700" s="21"/>
      <c r="F700" s="21"/>
      <c r="J700" s="21"/>
    </row>
    <row r="701" spans="3:10" ht="13.2" x14ac:dyDescent="0.25">
      <c r="C701" s="21"/>
      <c r="F701" s="21"/>
      <c r="J701" s="21"/>
    </row>
    <row r="702" spans="3:10" ht="13.2" x14ac:dyDescent="0.25">
      <c r="C702" s="21"/>
      <c r="F702" s="21"/>
      <c r="J702" s="21"/>
    </row>
    <row r="703" spans="3:10" ht="13.2" x14ac:dyDescent="0.25">
      <c r="C703" s="21"/>
      <c r="F703" s="21"/>
      <c r="J703" s="21"/>
    </row>
    <row r="704" spans="3:10" ht="13.2" x14ac:dyDescent="0.25">
      <c r="C704" s="21"/>
      <c r="F704" s="21"/>
      <c r="J704" s="21"/>
    </row>
    <row r="705" spans="3:10" ht="13.2" x14ac:dyDescent="0.25">
      <c r="C705" s="21"/>
      <c r="F705" s="21"/>
      <c r="J705" s="21"/>
    </row>
    <row r="706" spans="3:10" ht="13.2" x14ac:dyDescent="0.25">
      <c r="C706" s="21"/>
      <c r="F706" s="21"/>
      <c r="J706" s="21"/>
    </row>
    <row r="707" spans="3:10" ht="13.2" x14ac:dyDescent="0.25">
      <c r="C707" s="21"/>
      <c r="F707" s="21"/>
      <c r="J707" s="21"/>
    </row>
    <row r="708" spans="3:10" ht="13.2" x14ac:dyDescent="0.25">
      <c r="C708" s="21"/>
      <c r="F708" s="21"/>
      <c r="J708" s="21"/>
    </row>
    <row r="709" spans="3:10" ht="13.2" x14ac:dyDescent="0.25">
      <c r="C709" s="21"/>
      <c r="F709" s="21"/>
      <c r="J709" s="21"/>
    </row>
    <row r="710" spans="3:10" ht="13.2" x14ac:dyDescent="0.25">
      <c r="C710" s="21"/>
      <c r="F710" s="21"/>
      <c r="J710" s="21"/>
    </row>
    <row r="711" spans="3:10" ht="13.2" x14ac:dyDescent="0.25">
      <c r="C711" s="21"/>
      <c r="F711" s="21"/>
      <c r="J711" s="21"/>
    </row>
    <row r="712" spans="3:10" ht="13.2" x14ac:dyDescent="0.25">
      <c r="C712" s="21"/>
      <c r="F712" s="21"/>
      <c r="J712" s="21"/>
    </row>
    <row r="713" spans="3:10" ht="13.2" x14ac:dyDescent="0.25">
      <c r="C713" s="21"/>
      <c r="F713" s="21"/>
      <c r="J713" s="21"/>
    </row>
    <row r="714" spans="3:10" ht="13.2" x14ac:dyDescent="0.25">
      <c r="C714" s="21"/>
      <c r="F714" s="21"/>
      <c r="J714" s="21"/>
    </row>
    <row r="715" spans="3:10" ht="13.2" x14ac:dyDescent="0.25">
      <c r="C715" s="21"/>
      <c r="F715" s="21"/>
      <c r="J715" s="21"/>
    </row>
    <row r="716" spans="3:10" ht="13.2" x14ac:dyDescent="0.25">
      <c r="C716" s="21"/>
      <c r="F716" s="21"/>
      <c r="J716" s="21"/>
    </row>
    <row r="717" spans="3:10" ht="13.2" x14ac:dyDescent="0.25">
      <c r="C717" s="21"/>
      <c r="F717" s="21"/>
      <c r="J717" s="21"/>
    </row>
    <row r="718" spans="3:10" ht="13.2" x14ac:dyDescent="0.25">
      <c r="C718" s="21"/>
      <c r="F718" s="21"/>
      <c r="J718" s="21"/>
    </row>
    <row r="719" spans="3:10" ht="13.2" x14ac:dyDescent="0.25">
      <c r="C719" s="21"/>
      <c r="F719" s="21"/>
      <c r="J719" s="21"/>
    </row>
    <row r="720" spans="3:10" ht="13.2" x14ac:dyDescent="0.25">
      <c r="C720" s="21"/>
      <c r="F720" s="21"/>
      <c r="J720" s="21"/>
    </row>
    <row r="721" spans="3:10" ht="13.2" x14ac:dyDescent="0.25">
      <c r="C721" s="21"/>
      <c r="F721" s="21"/>
      <c r="J721" s="21"/>
    </row>
    <row r="722" spans="3:10" ht="13.2" x14ac:dyDescent="0.25">
      <c r="C722" s="21"/>
      <c r="F722" s="21"/>
      <c r="J722" s="21"/>
    </row>
    <row r="723" spans="3:10" ht="13.2" x14ac:dyDescent="0.25">
      <c r="C723" s="21"/>
      <c r="F723" s="21"/>
      <c r="J723" s="21"/>
    </row>
    <row r="724" spans="3:10" ht="13.2" x14ac:dyDescent="0.25">
      <c r="C724" s="21"/>
      <c r="F724" s="21"/>
      <c r="J724" s="21"/>
    </row>
    <row r="725" spans="3:10" ht="13.2" x14ac:dyDescent="0.25">
      <c r="C725" s="21"/>
      <c r="F725" s="21"/>
      <c r="J725" s="21"/>
    </row>
    <row r="726" spans="3:10" ht="13.2" x14ac:dyDescent="0.25">
      <c r="C726" s="21"/>
      <c r="F726" s="21"/>
      <c r="J726" s="21"/>
    </row>
    <row r="727" spans="3:10" ht="13.2" x14ac:dyDescent="0.25">
      <c r="C727" s="21"/>
      <c r="F727" s="21"/>
      <c r="J727" s="21"/>
    </row>
    <row r="728" spans="3:10" ht="13.2" x14ac:dyDescent="0.25">
      <c r="C728" s="21"/>
      <c r="F728" s="21"/>
      <c r="J728" s="21"/>
    </row>
    <row r="729" spans="3:10" ht="13.2" x14ac:dyDescent="0.25">
      <c r="C729" s="21"/>
      <c r="F729" s="21"/>
      <c r="J729" s="21"/>
    </row>
    <row r="730" spans="3:10" ht="13.2" x14ac:dyDescent="0.25">
      <c r="C730" s="21"/>
      <c r="F730" s="21"/>
      <c r="J730" s="21"/>
    </row>
    <row r="731" spans="3:10" ht="13.2" x14ac:dyDescent="0.25">
      <c r="C731" s="21"/>
      <c r="F731" s="21"/>
      <c r="J731" s="21"/>
    </row>
    <row r="732" spans="3:10" ht="13.2" x14ac:dyDescent="0.25">
      <c r="C732" s="21"/>
      <c r="F732" s="21"/>
      <c r="J732" s="21"/>
    </row>
    <row r="733" spans="3:10" ht="13.2" x14ac:dyDescent="0.25">
      <c r="C733" s="21"/>
      <c r="F733" s="21"/>
      <c r="J733" s="21"/>
    </row>
    <row r="734" spans="3:10" ht="13.2" x14ac:dyDescent="0.25">
      <c r="C734" s="21"/>
      <c r="F734" s="21"/>
      <c r="J734" s="21"/>
    </row>
    <row r="735" spans="3:10" ht="13.2" x14ac:dyDescent="0.25">
      <c r="C735" s="21"/>
      <c r="F735" s="21"/>
      <c r="J735" s="21"/>
    </row>
    <row r="736" spans="3:10" ht="13.2" x14ac:dyDescent="0.25">
      <c r="C736" s="21"/>
      <c r="F736" s="21"/>
      <c r="J736" s="21"/>
    </row>
    <row r="737" spans="3:10" ht="13.2" x14ac:dyDescent="0.25">
      <c r="C737" s="21"/>
      <c r="F737" s="21"/>
      <c r="J737" s="21"/>
    </row>
    <row r="738" spans="3:10" ht="13.2" x14ac:dyDescent="0.25">
      <c r="C738" s="21"/>
      <c r="F738" s="21"/>
      <c r="J738" s="21"/>
    </row>
    <row r="739" spans="3:10" ht="13.2" x14ac:dyDescent="0.25">
      <c r="C739" s="21"/>
      <c r="F739" s="21"/>
      <c r="J739" s="21"/>
    </row>
    <row r="740" spans="3:10" ht="13.2" x14ac:dyDescent="0.25">
      <c r="C740" s="21"/>
      <c r="F740" s="21"/>
      <c r="J740" s="21"/>
    </row>
    <row r="741" spans="3:10" ht="13.2" x14ac:dyDescent="0.25">
      <c r="C741" s="21"/>
      <c r="F741" s="21"/>
      <c r="J741" s="21"/>
    </row>
    <row r="742" spans="3:10" ht="13.2" x14ac:dyDescent="0.25">
      <c r="C742" s="21"/>
      <c r="F742" s="21"/>
      <c r="J742" s="21"/>
    </row>
    <row r="743" spans="3:10" ht="13.2" x14ac:dyDescent="0.25">
      <c r="C743" s="21"/>
      <c r="F743" s="21"/>
      <c r="J743" s="21"/>
    </row>
    <row r="744" spans="3:10" ht="13.2" x14ac:dyDescent="0.25">
      <c r="C744" s="21"/>
      <c r="F744" s="21"/>
      <c r="J744" s="21"/>
    </row>
    <row r="745" spans="3:10" ht="13.2" x14ac:dyDescent="0.25">
      <c r="C745" s="21"/>
      <c r="F745" s="21"/>
      <c r="J745" s="21"/>
    </row>
    <row r="746" spans="3:10" ht="13.2" x14ac:dyDescent="0.25">
      <c r="C746" s="21"/>
      <c r="F746" s="21"/>
      <c r="J746" s="21"/>
    </row>
    <row r="747" spans="3:10" ht="13.2" x14ac:dyDescent="0.25">
      <c r="C747" s="21"/>
      <c r="F747" s="21"/>
      <c r="J747" s="21"/>
    </row>
    <row r="748" spans="3:10" ht="13.2" x14ac:dyDescent="0.25">
      <c r="C748" s="21"/>
      <c r="F748" s="21"/>
      <c r="J748" s="21"/>
    </row>
    <row r="749" spans="3:10" ht="13.2" x14ac:dyDescent="0.25">
      <c r="C749" s="21"/>
      <c r="F749" s="21"/>
      <c r="J749" s="21"/>
    </row>
    <row r="750" spans="3:10" ht="13.2" x14ac:dyDescent="0.25">
      <c r="C750" s="21"/>
      <c r="F750" s="21"/>
      <c r="J750" s="21"/>
    </row>
    <row r="751" spans="3:10" ht="13.2" x14ac:dyDescent="0.25">
      <c r="C751" s="21"/>
      <c r="F751" s="21"/>
      <c r="J751" s="21"/>
    </row>
    <row r="752" spans="3:10" ht="13.2" x14ac:dyDescent="0.25">
      <c r="C752" s="21"/>
      <c r="F752" s="21"/>
      <c r="J752" s="21"/>
    </row>
    <row r="753" spans="3:10" ht="13.2" x14ac:dyDescent="0.25">
      <c r="C753" s="21"/>
      <c r="F753" s="21"/>
      <c r="J753" s="21"/>
    </row>
    <row r="754" spans="3:10" ht="13.2" x14ac:dyDescent="0.25">
      <c r="C754" s="21"/>
      <c r="F754" s="21"/>
      <c r="J754" s="21"/>
    </row>
    <row r="755" spans="3:10" ht="13.2" x14ac:dyDescent="0.25">
      <c r="C755" s="21"/>
      <c r="F755" s="21"/>
      <c r="J755" s="21"/>
    </row>
    <row r="756" spans="3:10" ht="13.2" x14ac:dyDescent="0.25">
      <c r="C756" s="21"/>
      <c r="F756" s="21"/>
      <c r="J756" s="21"/>
    </row>
    <row r="757" spans="3:10" ht="13.2" x14ac:dyDescent="0.25">
      <c r="C757" s="21"/>
      <c r="F757" s="21"/>
      <c r="J757" s="21"/>
    </row>
    <row r="758" spans="3:10" ht="13.2" x14ac:dyDescent="0.25">
      <c r="C758" s="21"/>
      <c r="F758" s="21"/>
      <c r="J758" s="21"/>
    </row>
    <row r="759" spans="3:10" ht="13.2" x14ac:dyDescent="0.25">
      <c r="C759" s="21"/>
      <c r="F759" s="21"/>
      <c r="J759" s="21"/>
    </row>
    <row r="760" spans="3:10" ht="13.2" x14ac:dyDescent="0.25">
      <c r="C760" s="21"/>
      <c r="F760" s="21"/>
      <c r="J760" s="21"/>
    </row>
    <row r="761" spans="3:10" ht="13.2" x14ac:dyDescent="0.25">
      <c r="C761" s="21"/>
      <c r="F761" s="21"/>
      <c r="J761" s="21"/>
    </row>
    <row r="762" spans="3:10" ht="13.2" x14ac:dyDescent="0.25">
      <c r="C762" s="21"/>
      <c r="F762" s="21"/>
      <c r="J762" s="21"/>
    </row>
    <row r="763" spans="3:10" ht="13.2" x14ac:dyDescent="0.25">
      <c r="C763" s="21"/>
      <c r="F763" s="21"/>
      <c r="J763" s="21"/>
    </row>
    <row r="764" spans="3:10" ht="13.2" x14ac:dyDescent="0.25">
      <c r="C764" s="21"/>
      <c r="F764" s="21"/>
      <c r="J764" s="21"/>
    </row>
    <row r="765" spans="3:10" ht="13.2" x14ac:dyDescent="0.25">
      <c r="C765" s="21"/>
      <c r="F765" s="21"/>
      <c r="J765" s="21"/>
    </row>
    <row r="766" spans="3:10" ht="13.2" x14ac:dyDescent="0.25">
      <c r="C766" s="21"/>
      <c r="F766" s="21"/>
      <c r="J766" s="21"/>
    </row>
    <row r="767" spans="3:10" ht="13.2" x14ac:dyDescent="0.25">
      <c r="C767" s="21"/>
      <c r="F767" s="21"/>
      <c r="J767" s="21"/>
    </row>
    <row r="768" spans="3:10" ht="13.2" x14ac:dyDescent="0.25">
      <c r="C768" s="21"/>
      <c r="F768" s="21"/>
      <c r="J768" s="21"/>
    </row>
    <row r="769" spans="3:10" ht="13.2" x14ac:dyDescent="0.25">
      <c r="C769" s="21"/>
      <c r="F769" s="21"/>
      <c r="J769" s="21"/>
    </row>
    <row r="770" spans="3:10" ht="13.2" x14ac:dyDescent="0.25">
      <c r="C770" s="21"/>
      <c r="F770" s="21"/>
      <c r="J770" s="21"/>
    </row>
    <row r="771" spans="3:10" ht="13.2" x14ac:dyDescent="0.25">
      <c r="C771" s="21"/>
      <c r="F771" s="21"/>
      <c r="J771" s="21"/>
    </row>
    <row r="772" spans="3:10" ht="13.2" x14ac:dyDescent="0.25">
      <c r="C772" s="21"/>
      <c r="F772" s="21"/>
      <c r="J772" s="21"/>
    </row>
    <row r="773" spans="3:10" ht="13.2" x14ac:dyDescent="0.25">
      <c r="C773" s="21"/>
      <c r="F773" s="21"/>
      <c r="J773" s="21"/>
    </row>
    <row r="774" spans="3:10" ht="13.2" x14ac:dyDescent="0.25">
      <c r="C774" s="21"/>
      <c r="F774" s="21"/>
      <c r="J774" s="21"/>
    </row>
    <row r="775" spans="3:10" ht="13.2" x14ac:dyDescent="0.25">
      <c r="C775" s="21"/>
      <c r="F775" s="21"/>
      <c r="J775" s="21"/>
    </row>
    <row r="776" spans="3:10" ht="13.2" x14ac:dyDescent="0.25">
      <c r="C776" s="21"/>
      <c r="F776" s="21"/>
      <c r="J776" s="21"/>
    </row>
    <row r="777" spans="3:10" ht="13.2" x14ac:dyDescent="0.25">
      <c r="C777" s="21"/>
      <c r="F777" s="21"/>
      <c r="J777" s="21"/>
    </row>
    <row r="778" spans="3:10" ht="13.2" x14ac:dyDescent="0.25">
      <c r="C778" s="21"/>
      <c r="F778" s="21"/>
      <c r="J778" s="21"/>
    </row>
    <row r="779" spans="3:10" ht="13.2" x14ac:dyDescent="0.25">
      <c r="C779" s="21"/>
      <c r="F779" s="21"/>
      <c r="J779" s="21"/>
    </row>
    <row r="780" spans="3:10" ht="13.2" x14ac:dyDescent="0.25">
      <c r="C780" s="21"/>
      <c r="F780" s="21"/>
      <c r="J780" s="21"/>
    </row>
    <row r="781" spans="3:10" ht="13.2" x14ac:dyDescent="0.25">
      <c r="C781" s="21"/>
      <c r="F781" s="21"/>
      <c r="J781" s="21"/>
    </row>
    <row r="782" spans="3:10" ht="13.2" x14ac:dyDescent="0.25">
      <c r="C782" s="21"/>
      <c r="F782" s="21"/>
      <c r="J782" s="21"/>
    </row>
    <row r="783" spans="3:10" ht="13.2" x14ac:dyDescent="0.25">
      <c r="C783" s="21"/>
      <c r="F783" s="21"/>
      <c r="J783" s="21"/>
    </row>
    <row r="784" spans="3:10" ht="13.2" x14ac:dyDescent="0.25">
      <c r="C784" s="21"/>
      <c r="F784" s="21"/>
      <c r="J784" s="21"/>
    </row>
    <row r="785" spans="3:10" ht="13.2" x14ac:dyDescent="0.25">
      <c r="C785" s="21"/>
      <c r="F785" s="21"/>
      <c r="J785" s="21"/>
    </row>
    <row r="786" spans="3:10" ht="13.2" x14ac:dyDescent="0.25">
      <c r="C786" s="21"/>
      <c r="F786" s="21"/>
      <c r="J786" s="21"/>
    </row>
    <row r="787" spans="3:10" ht="13.2" x14ac:dyDescent="0.25">
      <c r="C787" s="21"/>
      <c r="F787" s="21"/>
      <c r="J787" s="21"/>
    </row>
    <row r="788" spans="3:10" ht="13.2" x14ac:dyDescent="0.25">
      <c r="C788" s="21"/>
      <c r="F788" s="21"/>
      <c r="J788" s="21"/>
    </row>
    <row r="789" spans="3:10" ht="13.2" x14ac:dyDescent="0.25">
      <c r="C789" s="21"/>
      <c r="F789" s="21"/>
      <c r="J789" s="21"/>
    </row>
    <row r="790" spans="3:10" ht="13.2" x14ac:dyDescent="0.25">
      <c r="C790" s="21"/>
      <c r="F790" s="21"/>
      <c r="J790" s="21"/>
    </row>
    <row r="791" spans="3:10" ht="13.2" x14ac:dyDescent="0.25">
      <c r="C791" s="21"/>
      <c r="F791" s="21"/>
      <c r="J791" s="21"/>
    </row>
    <row r="792" spans="3:10" ht="13.2" x14ac:dyDescent="0.25">
      <c r="C792" s="21"/>
      <c r="F792" s="21"/>
      <c r="J792" s="21"/>
    </row>
    <row r="793" spans="3:10" ht="13.2" x14ac:dyDescent="0.25">
      <c r="C793" s="21"/>
      <c r="F793" s="21"/>
      <c r="J793" s="21"/>
    </row>
    <row r="794" spans="3:10" ht="13.2" x14ac:dyDescent="0.25">
      <c r="C794" s="21"/>
      <c r="F794" s="21"/>
      <c r="J794" s="21"/>
    </row>
    <row r="795" spans="3:10" ht="13.2" x14ac:dyDescent="0.25">
      <c r="C795" s="21"/>
      <c r="F795" s="21"/>
      <c r="J795" s="21"/>
    </row>
    <row r="796" spans="3:10" ht="13.2" x14ac:dyDescent="0.25">
      <c r="C796" s="21"/>
      <c r="F796" s="21"/>
      <c r="J796" s="21"/>
    </row>
    <row r="797" spans="3:10" ht="13.2" x14ac:dyDescent="0.25">
      <c r="C797" s="21"/>
      <c r="F797" s="21"/>
      <c r="J797" s="21"/>
    </row>
    <row r="798" spans="3:10" ht="13.2" x14ac:dyDescent="0.25">
      <c r="C798" s="21"/>
      <c r="F798" s="21"/>
      <c r="J798" s="21"/>
    </row>
    <row r="799" spans="3:10" ht="13.2" x14ac:dyDescent="0.25">
      <c r="C799" s="21"/>
      <c r="F799" s="21"/>
      <c r="J799" s="21"/>
    </row>
    <row r="800" spans="3:10" ht="13.2" x14ac:dyDescent="0.25">
      <c r="C800" s="21"/>
      <c r="F800" s="21"/>
      <c r="J800" s="21"/>
    </row>
    <row r="801" spans="3:10" ht="13.2" x14ac:dyDescent="0.25">
      <c r="C801" s="21"/>
      <c r="F801" s="21"/>
      <c r="J801" s="21"/>
    </row>
    <row r="802" spans="3:10" ht="13.2" x14ac:dyDescent="0.25">
      <c r="C802" s="21"/>
      <c r="F802" s="21"/>
      <c r="J802" s="21"/>
    </row>
    <row r="803" spans="3:10" ht="13.2" x14ac:dyDescent="0.25">
      <c r="C803" s="21"/>
      <c r="F803" s="21"/>
      <c r="J803" s="21"/>
    </row>
    <row r="804" spans="3:10" ht="13.2" x14ac:dyDescent="0.25">
      <c r="C804" s="21"/>
      <c r="F804" s="21"/>
      <c r="J804" s="21"/>
    </row>
    <row r="805" spans="3:10" ht="13.2" x14ac:dyDescent="0.25">
      <c r="C805" s="21"/>
      <c r="F805" s="21"/>
      <c r="J805" s="21"/>
    </row>
    <row r="806" spans="3:10" ht="13.2" x14ac:dyDescent="0.25">
      <c r="C806" s="21"/>
      <c r="F806" s="21"/>
      <c r="J806" s="21"/>
    </row>
    <row r="807" spans="3:10" ht="13.2" x14ac:dyDescent="0.25">
      <c r="C807" s="21"/>
      <c r="F807" s="21"/>
      <c r="J807" s="21"/>
    </row>
    <row r="808" spans="3:10" ht="13.2" x14ac:dyDescent="0.25">
      <c r="C808" s="21"/>
      <c r="F808" s="21"/>
      <c r="J808" s="21"/>
    </row>
    <row r="809" spans="3:10" ht="13.2" x14ac:dyDescent="0.25">
      <c r="C809" s="21"/>
      <c r="F809" s="21"/>
      <c r="J809" s="21"/>
    </row>
    <row r="810" spans="3:10" ht="13.2" x14ac:dyDescent="0.25">
      <c r="C810" s="21"/>
      <c r="F810" s="21"/>
      <c r="J810" s="21"/>
    </row>
    <row r="811" spans="3:10" ht="13.2" x14ac:dyDescent="0.25">
      <c r="C811" s="21"/>
      <c r="F811" s="21"/>
      <c r="J811" s="21"/>
    </row>
    <row r="812" spans="3:10" ht="13.2" x14ac:dyDescent="0.25">
      <c r="C812" s="21"/>
      <c r="F812" s="21"/>
      <c r="J812" s="21"/>
    </row>
    <row r="813" spans="3:10" ht="13.2" x14ac:dyDescent="0.25">
      <c r="C813" s="21"/>
      <c r="F813" s="21"/>
      <c r="J813" s="21"/>
    </row>
    <row r="814" spans="3:10" ht="13.2" x14ac:dyDescent="0.25">
      <c r="C814" s="21"/>
      <c r="F814" s="21"/>
      <c r="J814" s="21"/>
    </row>
    <row r="815" spans="3:10" ht="13.2" x14ac:dyDescent="0.25">
      <c r="C815" s="21"/>
      <c r="F815" s="21"/>
      <c r="J815" s="21"/>
    </row>
    <row r="816" spans="3:10" ht="13.2" x14ac:dyDescent="0.25">
      <c r="C816" s="21"/>
      <c r="F816" s="21"/>
      <c r="J816" s="21"/>
    </row>
    <row r="817" spans="3:10" ht="13.2" x14ac:dyDescent="0.25">
      <c r="C817" s="21"/>
      <c r="F817" s="21"/>
      <c r="J817" s="21"/>
    </row>
    <row r="818" spans="3:10" ht="13.2" x14ac:dyDescent="0.25">
      <c r="C818" s="21"/>
      <c r="F818" s="21"/>
      <c r="J818" s="21"/>
    </row>
    <row r="819" spans="3:10" ht="13.2" x14ac:dyDescent="0.25">
      <c r="C819" s="21"/>
      <c r="F819" s="21"/>
      <c r="J819" s="21"/>
    </row>
    <row r="820" spans="3:10" ht="13.2" x14ac:dyDescent="0.25">
      <c r="C820" s="21"/>
      <c r="F820" s="21"/>
      <c r="J820" s="21"/>
    </row>
    <row r="821" spans="3:10" ht="13.2" x14ac:dyDescent="0.25">
      <c r="C821" s="21"/>
      <c r="F821" s="21"/>
      <c r="J821" s="21"/>
    </row>
    <row r="822" spans="3:10" ht="13.2" x14ac:dyDescent="0.25">
      <c r="C822" s="21"/>
      <c r="F822" s="21"/>
      <c r="J822" s="21"/>
    </row>
    <row r="823" spans="3:10" ht="13.2" x14ac:dyDescent="0.25">
      <c r="C823" s="21"/>
      <c r="F823" s="21"/>
      <c r="J823" s="21"/>
    </row>
    <row r="824" spans="3:10" ht="13.2" x14ac:dyDescent="0.25">
      <c r="C824" s="21"/>
      <c r="F824" s="21"/>
      <c r="J824" s="21"/>
    </row>
    <row r="825" spans="3:10" ht="13.2" x14ac:dyDescent="0.25">
      <c r="C825" s="21"/>
      <c r="F825" s="21"/>
      <c r="J825" s="21"/>
    </row>
    <row r="826" spans="3:10" ht="13.2" x14ac:dyDescent="0.25">
      <c r="C826" s="21"/>
      <c r="F826" s="21"/>
      <c r="J826" s="21"/>
    </row>
    <row r="827" spans="3:10" ht="13.2" x14ac:dyDescent="0.25">
      <c r="C827" s="21"/>
      <c r="F827" s="21"/>
      <c r="J827" s="21"/>
    </row>
    <row r="828" spans="3:10" ht="13.2" x14ac:dyDescent="0.25">
      <c r="C828" s="21"/>
      <c r="F828" s="21"/>
      <c r="J828" s="21"/>
    </row>
    <row r="829" spans="3:10" ht="13.2" x14ac:dyDescent="0.25">
      <c r="C829" s="21"/>
      <c r="F829" s="21"/>
      <c r="J829" s="21"/>
    </row>
    <row r="830" spans="3:10" ht="13.2" x14ac:dyDescent="0.25">
      <c r="C830" s="21"/>
      <c r="F830" s="21"/>
      <c r="J830" s="21"/>
    </row>
    <row r="831" spans="3:10" ht="13.2" x14ac:dyDescent="0.25">
      <c r="C831" s="21"/>
      <c r="F831" s="21"/>
      <c r="J831" s="21"/>
    </row>
    <row r="832" spans="3:10" ht="13.2" x14ac:dyDescent="0.25">
      <c r="C832" s="21"/>
      <c r="F832" s="21"/>
      <c r="J832" s="21"/>
    </row>
    <row r="833" spans="3:10" ht="13.2" x14ac:dyDescent="0.25">
      <c r="C833" s="21"/>
      <c r="F833" s="21"/>
      <c r="J833" s="21"/>
    </row>
    <row r="834" spans="3:10" ht="13.2" x14ac:dyDescent="0.25">
      <c r="C834" s="21"/>
      <c r="F834" s="21"/>
      <c r="J834" s="21"/>
    </row>
    <row r="835" spans="3:10" ht="13.2" x14ac:dyDescent="0.25">
      <c r="C835" s="21"/>
      <c r="F835" s="21"/>
      <c r="J835" s="21"/>
    </row>
    <row r="836" spans="3:10" ht="13.2" x14ac:dyDescent="0.25">
      <c r="C836" s="21"/>
      <c r="F836" s="21"/>
      <c r="J836" s="21"/>
    </row>
    <row r="837" spans="3:10" ht="13.2" x14ac:dyDescent="0.25">
      <c r="C837" s="21"/>
      <c r="F837" s="21"/>
      <c r="J837" s="21"/>
    </row>
    <row r="838" spans="3:10" ht="13.2" x14ac:dyDescent="0.25">
      <c r="C838" s="21"/>
      <c r="F838" s="21"/>
      <c r="J838" s="21"/>
    </row>
    <row r="839" spans="3:10" ht="13.2" x14ac:dyDescent="0.25">
      <c r="C839" s="21"/>
      <c r="F839" s="21"/>
      <c r="J839" s="21"/>
    </row>
    <row r="840" spans="3:10" ht="13.2" x14ac:dyDescent="0.25">
      <c r="C840" s="21"/>
      <c r="F840" s="21"/>
      <c r="J840" s="21"/>
    </row>
    <row r="841" spans="3:10" ht="13.2" x14ac:dyDescent="0.25">
      <c r="C841" s="21"/>
      <c r="F841" s="21"/>
      <c r="J841" s="21"/>
    </row>
    <row r="842" spans="3:10" ht="13.2" x14ac:dyDescent="0.25">
      <c r="C842" s="21"/>
      <c r="F842" s="21"/>
      <c r="J842" s="21"/>
    </row>
    <row r="843" spans="3:10" ht="13.2" x14ac:dyDescent="0.25">
      <c r="C843" s="21"/>
      <c r="F843" s="21"/>
      <c r="J843" s="21"/>
    </row>
    <row r="844" spans="3:10" ht="13.2" x14ac:dyDescent="0.25">
      <c r="C844" s="21"/>
      <c r="F844" s="21"/>
      <c r="J844" s="21"/>
    </row>
    <row r="845" spans="3:10" ht="13.2" x14ac:dyDescent="0.25">
      <c r="C845" s="21"/>
      <c r="F845" s="21"/>
      <c r="J845" s="21"/>
    </row>
    <row r="846" spans="3:10" ht="13.2" x14ac:dyDescent="0.25">
      <c r="C846" s="21"/>
      <c r="F846" s="21"/>
      <c r="J846" s="21"/>
    </row>
    <row r="847" spans="3:10" ht="13.2" x14ac:dyDescent="0.25">
      <c r="C847" s="21"/>
      <c r="F847" s="21"/>
      <c r="J847" s="21"/>
    </row>
    <row r="848" spans="3:10" ht="13.2" x14ac:dyDescent="0.25">
      <c r="C848" s="21"/>
      <c r="F848" s="21"/>
      <c r="J848" s="21"/>
    </row>
    <row r="849" spans="3:10" ht="13.2" x14ac:dyDescent="0.25">
      <c r="C849" s="21"/>
      <c r="F849" s="21"/>
      <c r="J849" s="21"/>
    </row>
    <row r="850" spans="3:10" ht="13.2" x14ac:dyDescent="0.25">
      <c r="C850" s="21"/>
      <c r="F850" s="21"/>
      <c r="J850" s="21"/>
    </row>
    <row r="851" spans="3:10" ht="13.2" x14ac:dyDescent="0.25">
      <c r="C851" s="21"/>
      <c r="F851" s="21"/>
      <c r="J851" s="21"/>
    </row>
    <row r="852" spans="3:10" ht="13.2" x14ac:dyDescent="0.25">
      <c r="C852" s="21"/>
      <c r="F852" s="21"/>
      <c r="J852" s="21"/>
    </row>
    <row r="853" spans="3:10" ht="13.2" x14ac:dyDescent="0.25">
      <c r="C853" s="21"/>
      <c r="F853" s="21"/>
      <c r="J853" s="21"/>
    </row>
    <row r="854" spans="3:10" ht="13.2" x14ac:dyDescent="0.25">
      <c r="C854" s="21"/>
      <c r="F854" s="21"/>
      <c r="J854" s="21"/>
    </row>
    <row r="855" spans="3:10" ht="13.2" x14ac:dyDescent="0.25">
      <c r="C855" s="21"/>
      <c r="F855" s="21"/>
      <c r="J855" s="21"/>
    </row>
    <row r="856" spans="3:10" ht="13.2" x14ac:dyDescent="0.25">
      <c r="C856" s="21"/>
      <c r="F856" s="21"/>
      <c r="J856" s="21"/>
    </row>
    <row r="857" spans="3:10" ht="13.2" x14ac:dyDescent="0.25">
      <c r="C857" s="21"/>
      <c r="F857" s="21"/>
      <c r="J857" s="21"/>
    </row>
    <row r="858" spans="3:10" ht="13.2" x14ac:dyDescent="0.25">
      <c r="C858" s="21"/>
      <c r="F858" s="21"/>
      <c r="J858" s="21"/>
    </row>
    <row r="859" spans="3:10" ht="13.2" x14ac:dyDescent="0.25">
      <c r="C859" s="21"/>
      <c r="F859" s="21"/>
      <c r="J859" s="21"/>
    </row>
    <row r="860" spans="3:10" ht="13.2" x14ac:dyDescent="0.25">
      <c r="C860" s="21"/>
      <c r="F860" s="21"/>
      <c r="J860" s="21"/>
    </row>
    <row r="861" spans="3:10" ht="13.2" x14ac:dyDescent="0.25">
      <c r="C861" s="21"/>
      <c r="F861" s="21"/>
      <c r="J861" s="21"/>
    </row>
    <row r="862" spans="3:10" ht="13.2" x14ac:dyDescent="0.25">
      <c r="C862" s="21"/>
      <c r="F862" s="21"/>
      <c r="J862" s="21"/>
    </row>
    <row r="863" spans="3:10" ht="13.2" x14ac:dyDescent="0.25">
      <c r="C863" s="21"/>
      <c r="F863" s="21"/>
      <c r="J863" s="21"/>
    </row>
    <row r="864" spans="3:10" ht="13.2" x14ac:dyDescent="0.25">
      <c r="C864" s="21"/>
      <c r="F864" s="21"/>
      <c r="J864" s="21"/>
    </row>
    <row r="865" spans="3:10" ht="13.2" x14ac:dyDescent="0.25">
      <c r="C865" s="21"/>
      <c r="F865" s="21"/>
      <c r="J865" s="21"/>
    </row>
    <row r="866" spans="3:10" ht="13.2" x14ac:dyDescent="0.25">
      <c r="C866" s="21"/>
      <c r="F866" s="21"/>
      <c r="J866" s="21"/>
    </row>
    <row r="867" spans="3:10" ht="13.2" x14ac:dyDescent="0.25">
      <c r="C867" s="21"/>
      <c r="F867" s="21"/>
      <c r="J867" s="21"/>
    </row>
    <row r="868" spans="3:10" ht="13.2" x14ac:dyDescent="0.25">
      <c r="C868" s="21"/>
      <c r="F868" s="21"/>
      <c r="J868" s="21"/>
    </row>
    <row r="869" spans="3:10" ht="13.2" x14ac:dyDescent="0.25">
      <c r="C869" s="21"/>
      <c r="F869" s="21"/>
      <c r="J869" s="21"/>
    </row>
    <row r="870" spans="3:10" ht="13.2" x14ac:dyDescent="0.25">
      <c r="C870" s="21"/>
      <c r="F870" s="21"/>
      <c r="J870" s="21"/>
    </row>
    <row r="871" spans="3:10" ht="13.2" x14ac:dyDescent="0.25">
      <c r="C871" s="21"/>
      <c r="F871" s="21"/>
      <c r="J871" s="21"/>
    </row>
    <row r="872" spans="3:10" ht="13.2" x14ac:dyDescent="0.25">
      <c r="C872" s="21"/>
      <c r="F872" s="21"/>
      <c r="J872" s="21"/>
    </row>
    <row r="873" spans="3:10" ht="13.2" x14ac:dyDescent="0.25">
      <c r="C873" s="21"/>
      <c r="F873" s="21"/>
      <c r="J873" s="21"/>
    </row>
    <row r="874" spans="3:10" ht="13.2" x14ac:dyDescent="0.25">
      <c r="C874" s="21"/>
      <c r="F874" s="21"/>
      <c r="J874" s="21"/>
    </row>
    <row r="875" spans="3:10" ht="13.2" x14ac:dyDescent="0.25">
      <c r="C875" s="21"/>
      <c r="F875" s="21"/>
      <c r="J875" s="21"/>
    </row>
    <row r="876" spans="3:10" ht="13.2" x14ac:dyDescent="0.25">
      <c r="C876" s="21"/>
      <c r="F876" s="21"/>
      <c r="J876" s="21"/>
    </row>
    <row r="877" spans="3:10" ht="13.2" x14ac:dyDescent="0.25">
      <c r="C877" s="21"/>
      <c r="F877" s="21"/>
      <c r="J877" s="21"/>
    </row>
    <row r="878" spans="3:10" ht="13.2" x14ac:dyDescent="0.25">
      <c r="C878" s="21"/>
      <c r="F878" s="21"/>
      <c r="J878" s="21"/>
    </row>
    <row r="879" spans="3:10" ht="13.2" x14ac:dyDescent="0.25">
      <c r="C879" s="21"/>
      <c r="F879" s="21"/>
      <c r="J879" s="21"/>
    </row>
    <row r="880" spans="3:10" ht="13.2" x14ac:dyDescent="0.25">
      <c r="C880" s="21"/>
      <c r="F880" s="21"/>
      <c r="J880" s="21"/>
    </row>
    <row r="881" spans="3:10" ht="13.2" x14ac:dyDescent="0.25">
      <c r="C881" s="21"/>
      <c r="F881" s="21"/>
      <c r="J881" s="21"/>
    </row>
    <row r="882" spans="3:10" ht="13.2" x14ac:dyDescent="0.25">
      <c r="C882" s="21"/>
      <c r="F882" s="21"/>
      <c r="J882" s="21"/>
    </row>
    <row r="883" spans="3:10" ht="13.2" x14ac:dyDescent="0.25">
      <c r="C883" s="21"/>
      <c r="F883" s="21"/>
      <c r="J883" s="21"/>
    </row>
    <row r="884" spans="3:10" ht="13.2" x14ac:dyDescent="0.25">
      <c r="C884" s="21"/>
      <c r="F884" s="21"/>
      <c r="J884" s="21"/>
    </row>
    <row r="885" spans="3:10" ht="13.2" x14ac:dyDescent="0.25">
      <c r="C885" s="21"/>
      <c r="F885" s="21"/>
      <c r="J885" s="21"/>
    </row>
    <row r="886" spans="3:10" ht="13.2" x14ac:dyDescent="0.25">
      <c r="C886" s="21"/>
      <c r="F886" s="21"/>
      <c r="J886" s="21"/>
    </row>
    <row r="887" spans="3:10" ht="13.2" x14ac:dyDescent="0.25">
      <c r="C887" s="21"/>
      <c r="F887" s="21"/>
      <c r="J887" s="21"/>
    </row>
    <row r="888" spans="3:10" ht="13.2" x14ac:dyDescent="0.25">
      <c r="C888" s="21"/>
      <c r="F888" s="21"/>
      <c r="J888" s="21"/>
    </row>
    <row r="889" spans="3:10" ht="13.2" x14ac:dyDescent="0.25">
      <c r="C889" s="21"/>
      <c r="F889" s="21"/>
      <c r="J889" s="21"/>
    </row>
    <row r="890" spans="3:10" ht="13.2" x14ac:dyDescent="0.25">
      <c r="C890" s="21"/>
      <c r="F890" s="21"/>
      <c r="J890" s="21"/>
    </row>
    <row r="891" spans="3:10" ht="13.2" x14ac:dyDescent="0.25">
      <c r="C891" s="21"/>
      <c r="F891" s="21"/>
      <c r="J891" s="21"/>
    </row>
    <row r="892" spans="3:10" ht="13.2" x14ac:dyDescent="0.25">
      <c r="C892" s="21"/>
      <c r="F892" s="21"/>
      <c r="J892" s="21"/>
    </row>
    <row r="893" spans="3:10" ht="13.2" x14ac:dyDescent="0.25">
      <c r="C893" s="21"/>
      <c r="F893" s="21"/>
      <c r="J893" s="21"/>
    </row>
    <row r="894" spans="3:10" ht="13.2" x14ac:dyDescent="0.25">
      <c r="C894" s="21"/>
      <c r="F894" s="21"/>
      <c r="J894" s="21"/>
    </row>
    <row r="895" spans="3:10" ht="13.2" x14ac:dyDescent="0.25">
      <c r="C895" s="21"/>
      <c r="F895" s="21"/>
      <c r="J895" s="21"/>
    </row>
    <row r="896" spans="3:10" ht="13.2" x14ac:dyDescent="0.25">
      <c r="C896" s="21"/>
      <c r="F896" s="21"/>
      <c r="J896" s="21"/>
    </row>
    <row r="897" spans="3:10" ht="13.2" x14ac:dyDescent="0.25">
      <c r="C897" s="21"/>
      <c r="F897" s="21"/>
      <c r="J897" s="21"/>
    </row>
    <row r="898" spans="3:10" ht="13.2" x14ac:dyDescent="0.25">
      <c r="C898" s="21"/>
      <c r="F898" s="21"/>
      <c r="J898" s="21"/>
    </row>
    <row r="899" spans="3:10" ht="13.2" x14ac:dyDescent="0.25">
      <c r="C899" s="21"/>
      <c r="F899" s="21"/>
      <c r="J899" s="21"/>
    </row>
    <row r="900" spans="3:10" ht="13.2" x14ac:dyDescent="0.25">
      <c r="C900" s="21"/>
      <c r="F900" s="21"/>
      <c r="J900" s="21"/>
    </row>
    <row r="901" spans="3:10" ht="13.2" x14ac:dyDescent="0.25">
      <c r="C901" s="21"/>
      <c r="F901" s="21"/>
      <c r="J901" s="21"/>
    </row>
    <row r="902" spans="3:10" ht="13.2" x14ac:dyDescent="0.25">
      <c r="C902" s="21"/>
      <c r="F902" s="21"/>
      <c r="J902" s="21"/>
    </row>
    <row r="903" spans="3:10" ht="13.2" x14ac:dyDescent="0.25">
      <c r="C903" s="21"/>
      <c r="F903" s="21"/>
      <c r="J903" s="21"/>
    </row>
    <row r="904" spans="3:10" ht="13.2" x14ac:dyDescent="0.25">
      <c r="C904" s="21"/>
      <c r="F904" s="21"/>
      <c r="J904" s="21"/>
    </row>
    <row r="905" spans="3:10" ht="13.2" x14ac:dyDescent="0.25">
      <c r="C905" s="21"/>
      <c r="F905" s="21"/>
      <c r="J905" s="21"/>
    </row>
    <row r="906" spans="3:10" ht="13.2" x14ac:dyDescent="0.25">
      <c r="C906" s="21"/>
      <c r="F906" s="21"/>
      <c r="J906" s="21"/>
    </row>
    <row r="907" spans="3:10" ht="13.2" x14ac:dyDescent="0.25">
      <c r="C907" s="21"/>
      <c r="F907" s="21"/>
      <c r="J907" s="21"/>
    </row>
    <row r="908" spans="3:10" ht="13.2" x14ac:dyDescent="0.25">
      <c r="C908" s="21"/>
      <c r="F908" s="21"/>
      <c r="J908" s="21"/>
    </row>
    <row r="909" spans="3:10" ht="13.2" x14ac:dyDescent="0.25">
      <c r="C909" s="21"/>
      <c r="F909" s="21"/>
      <c r="J909" s="21"/>
    </row>
    <row r="910" spans="3:10" ht="13.2" x14ac:dyDescent="0.25">
      <c r="C910" s="21"/>
      <c r="F910" s="21"/>
      <c r="J910" s="21"/>
    </row>
    <row r="911" spans="3:10" ht="13.2" x14ac:dyDescent="0.25">
      <c r="C911" s="21"/>
      <c r="F911" s="21"/>
      <c r="J911" s="21"/>
    </row>
    <row r="912" spans="3:10" ht="13.2" x14ac:dyDescent="0.25">
      <c r="C912" s="21"/>
      <c r="F912" s="21"/>
      <c r="J912" s="21"/>
    </row>
    <row r="913" spans="3:10" ht="13.2" x14ac:dyDescent="0.25">
      <c r="C913" s="21"/>
      <c r="F913" s="21"/>
      <c r="J913" s="21"/>
    </row>
    <row r="914" spans="3:10" ht="13.2" x14ac:dyDescent="0.25">
      <c r="C914" s="21"/>
      <c r="F914" s="21"/>
      <c r="J914" s="21"/>
    </row>
    <row r="915" spans="3:10" ht="13.2" x14ac:dyDescent="0.25">
      <c r="C915" s="21"/>
      <c r="F915" s="21"/>
      <c r="J915" s="21"/>
    </row>
    <row r="916" spans="3:10" ht="13.2" x14ac:dyDescent="0.25">
      <c r="C916" s="21"/>
      <c r="F916" s="21"/>
      <c r="J916" s="21"/>
    </row>
    <row r="917" spans="3:10" ht="13.2" x14ac:dyDescent="0.25">
      <c r="C917" s="21"/>
      <c r="F917" s="21"/>
      <c r="J917" s="21"/>
    </row>
    <row r="918" spans="3:10" ht="13.2" x14ac:dyDescent="0.25">
      <c r="C918" s="21"/>
      <c r="F918" s="21"/>
      <c r="J918" s="21"/>
    </row>
    <row r="919" spans="3:10" ht="13.2" x14ac:dyDescent="0.25">
      <c r="C919" s="21"/>
      <c r="F919" s="21"/>
      <c r="J919" s="21"/>
    </row>
    <row r="920" spans="3:10" ht="13.2" x14ac:dyDescent="0.25">
      <c r="C920" s="21"/>
      <c r="F920" s="21"/>
      <c r="J920" s="21"/>
    </row>
    <row r="921" spans="3:10" ht="13.2" x14ac:dyDescent="0.25">
      <c r="C921" s="21"/>
      <c r="F921" s="21"/>
      <c r="J921" s="21"/>
    </row>
    <row r="922" spans="3:10" ht="13.2" x14ac:dyDescent="0.25">
      <c r="C922" s="21"/>
      <c r="F922" s="21"/>
      <c r="J922" s="21"/>
    </row>
    <row r="923" spans="3:10" ht="13.2" x14ac:dyDescent="0.25">
      <c r="C923" s="21"/>
      <c r="F923" s="21"/>
      <c r="J923" s="21"/>
    </row>
    <row r="924" spans="3:10" ht="13.2" x14ac:dyDescent="0.25">
      <c r="C924" s="21"/>
      <c r="F924" s="21"/>
      <c r="J924" s="21"/>
    </row>
    <row r="925" spans="3:10" ht="13.2" x14ac:dyDescent="0.25">
      <c r="C925" s="21"/>
      <c r="F925" s="21"/>
      <c r="J925" s="21"/>
    </row>
    <row r="926" spans="3:10" ht="13.2" x14ac:dyDescent="0.25">
      <c r="C926" s="21"/>
      <c r="F926" s="21"/>
      <c r="J926" s="21"/>
    </row>
    <row r="927" spans="3:10" ht="13.2" x14ac:dyDescent="0.25">
      <c r="C927" s="21"/>
      <c r="F927" s="21"/>
      <c r="J927" s="21"/>
    </row>
    <row r="928" spans="3:10" ht="13.2" x14ac:dyDescent="0.25">
      <c r="C928" s="21"/>
      <c r="F928" s="21"/>
      <c r="J928" s="21"/>
    </row>
    <row r="929" spans="3:10" ht="13.2" x14ac:dyDescent="0.25">
      <c r="C929" s="21"/>
      <c r="F929" s="21"/>
      <c r="J929" s="21"/>
    </row>
    <row r="930" spans="3:10" ht="13.2" x14ac:dyDescent="0.25">
      <c r="C930" s="21"/>
      <c r="F930" s="21"/>
      <c r="J930" s="21"/>
    </row>
    <row r="931" spans="3:10" ht="13.2" x14ac:dyDescent="0.25">
      <c r="C931" s="21"/>
      <c r="F931" s="21"/>
      <c r="J931" s="21"/>
    </row>
    <row r="932" spans="3:10" ht="13.2" x14ac:dyDescent="0.25">
      <c r="C932" s="21"/>
      <c r="F932" s="21"/>
      <c r="J932" s="21"/>
    </row>
    <row r="933" spans="3:10" ht="13.2" x14ac:dyDescent="0.25">
      <c r="C933" s="21"/>
      <c r="F933" s="21"/>
      <c r="J933" s="21"/>
    </row>
    <row r="934" spans="3:10" ht="13.2" x14ac:dyDescent="0.25">
      <c r="C934" s="21"/>
      <c r="F934" s="21"/>
      <c r="J934" s="21"/>
    </row>
    <row r="935" spans="3:10" ht="13.2" x14ac:dyDescent="0.25">
      <c r="C935" s="21"/>
      <c r="F935" s="21"/>
      <c r="J935" s="21"/>
    </row>
    <row r="936" spans="3:10" ht="13.2" x14ac:dyDescent="0.25">
      <c r="C936" s="21"/>
      <c r="F936" s="21"/>
      <c r="J936" s="21"/>
    </row>
    <row r="937" spans="3:10" ht="13.2" x14ac:dyDescent="0.25">
      <c r="C937" s="21"/>
      <c r="F937" s="21"/>
      <c r="J937" s="21"/>
    </row>
    <row r="938" spans="3:10" ht="13.2" x14ac:dyDescent="0.25">
      <c r="C938" s="21"/>
      <c r="F938" s="21"/>
      <c r="J938" s="21"/>
    </row>
    <row r="939" spans="3:10" ht="13.2" x14ac:dyDescent="0.25">
      <c r="C939" s="21"/>
      <c r="F939" s="21"/>
      <c r="J939" s="21"/>
    </row>
    <row r="940" spans="3:10" ht="13.2" x14ac:dyDescent="0.25">
      <c r="C940" s="21"/>
      <c r="F940" s="21"/>
      <c r="J940" s="21"/>
    </row>
    <row r="941" spans="3:10" ht="13.2" x14ac:dyDescent="0.25">
      <c r="C941" s="21"/>
      <c r="F941" s="21"/>
      <c r="J941" s="21"/>
    </row>
    <row r="942" spans="3:10" ht="13.2" x14ac:dyDescent="0.25">
      <c r="C942" s="21"/>
      <c r="F942" s="21"/>
      <c r="J942" s="21"/>
    </row>
    <row r="943" spans="3:10" ht="13.2" x14ac:dyDescent="0.25">
      <c r="C943" s="21"/>
      <c r="F943" s="21"/>
      <c r="J943" s="21"/>
    </row>
    <row r="944" spans="3:10" ht="13.2" x14ac:dyDescent="0.25">
      <c r="C944" s="21"/>
      <c r="F944" s="21"/>
      <c r="J944" s="21"/>
    </row>
    <row r="945" spans="3:10" ht="13.2" x14ac:dyDescent="0.25">
      <c r="C945" s="21"/>
      <c r="F945" s="21"/>
      <c r="J945" s="21"/>
    </row>
    <row r="946" spans="3:10" ht="13.2" x14ac:dyDescent="0.25">
      <c r="C946" s="21"/>
      <c r="F946" s="21"/>
      <c r="J946" s="21"/>
    </row>
    <row r="947" spans="3:10" ht="13.2" x14ac:dyDescent="0.25">
      <c r="C947" s="21"/>
      <c r="F947" s="21"/>
      <c r="J947" s="21"/>
    </row>
    <row r="948" spans="3:10" ht="13.2" x14ac:dyDescent="0.25">
      <c r="C948" s="21"/>
      <c r="F948" s="21"/>
      <c r="J948" s="21"/>
    </row>
    <row r="949" spans="3:10" ht="13.2" x14ac:dyDescent="0.25">
      <c r="C949" s="21"/>
      <c r="F949" s="21"/>
      <c r="J949" s="21"/>
    </row>
    <row r="950" spans="3:10" ht="13.2" x14ac:dyDescent="0.25">
      <c r="C950" s="21"/>
      <c r="F950" s="21"/>
      <c r="J950" s="21"/>
    </row>
    <row r="951" spans="3:10" ht="13.2" x14ac:dyDescent="0.25">
      <c r="C951" s="21"/>
      <c r="F951" s="21"/>
      <c r="J951" s="21"/>
    </row>
    <row r="952" spans="3:10" ht="13.2" x14ac:dyDescent="0.25">
      <c r="C952" s="21"/>
      <c r="F952" s="21"/>
      <c r="J952" s="21"/>
    </row>
    <row r="953" spans="3:10" ht="13.2" x14ac:dyDescent="0.25">
      <c r="C953" s="21"/>
      <c r="F953" s="21"/>
      <c r="J953" s="21"/>
    </row>
    <row r="954" spans="3:10" ht="13.2" x14ac:dyDescent="0.25">
      <c r="C954" s="21"/>
      <c r="F954" s="21"/>
      <c r="J954" s="21"/>
    </row>
    <row r="955" spans="3:10" ht="13.2" x14ac:dyDescent="0.25">
      <c r="C955" s="21"/>
      <c r="F955" s="21"/>
      <c r="J955" s="21"/>
    </row>
    <row r="956" spans="3:10" ht="13.2" x14ac:dyDescent="0.25">
      <c r="C956" s="21"/>
      <c r="F956" s="21"/>
      <c r="J956" s="21"/>
    </row>
    <row r="957" spans="3:10" ht="13.2" x14ac:dyDescent="0.25">
      <c r="C957" s="21"/>
      <c r="F957" s="21"/>
      <c r="J957" s="21"/>
    </row>
    <row r="958" spans="3:10" ht="13.2" x14ac:dyDescent="0.25">
      <c r="C958" s="21"/>
      <c r="F958" s="21"/>
      <c r="J958" s="21"/>
    </row>
    <row r="959" spans="3:10" ht="13.2" x14ac:dyDescent="0.25">
      <c r="C959" s="21"/>
      <c r="F959" s="21"/>
      <c r="J959" s="21"/>
    </row>
    <row r="960" spans="3:10" ht="13.2" x14ac:dyDescent="0.25">
      <c r="C960" s="21"/>
      <c r="F960" s="21"/>
      <c r="J960" s="21"/>
    </row>
    <row r="961" spans="3:10" ht="13.2" x14ac:dyDescent="0.25">
      <c r="C961" s="21"/>
      <c r="F961" s="21"/>
      <c r="J961" s="21"/>
    </row>
    <row r="962" spans="3:10" ht="13.2" x14ac:dyDescent="0.25">
      <c r="C962" s="21"/>
      <c r="F962" s="21"/>
      <c r="J962" s="21"/>
    </row>
    <row r="963" spans="3:10" ht="13.2" x14ac:dyDescent="0.25">
      <c r="C963" s="21"/>
      <c r="F963" s="21"/>
      <c r="J963" s="21"/>
    </row>
    <row r="964" spans="3:10" ht="13.2" x14ac:dyDescent="0.25">
      <c r="C964" s="21"/>
      <c r="F964" s="21"/>
      <c r="J964" s="21"/>
    </row>
    <row r="965" spans="3:10" ht="13.2" x14ac:dyDescent="0.25">
      <c r="C965" s="21"/>
      <c r="F965" s="21"/>
      <c r="J965" s="21"/>
    </row>
    <row r="966" spans="3:10" ht="13.2" x14ac:dyDescent="0.25">
      <c r="C966" s="21"/>
      <c r="F966" s="21"/>
      <c r="J966" s="21"/>
    </row>
    <row r="967" spans="3:10" ht="13.2" x14ac:dyDescent="0.25">
      <c r="C967" s="21"/>
      <c r="F967" s="21"/>
      <c r="J967" s="21"/>
    </row>
    <row r="968" spans="3:10" ht="13.2" x14ac:dyDescent="0.25">
      <c r="C968" s="21"/>
      <c r="F968" s="21"/>
      <c r="J968" s="21"/>
    </row>
    <row r="969" spans="3:10" ht="13.2" x14ac:dyDescent="0.25">
      <c r="C969" s="21"/>
      <c r="F969" s="21"/>
      <c r="J969" s="21"/>
    </row>
    <row r="970" spans="3:10" ht="13.2" x14ac:dyDescent="0.25">
      <c r="C970" s="21"/>
      <c r="F970" s="21"/>
      <c r="J970" s="21"/>
    </row>
    <row r="971" spans="3:10" ht="13.2" x14ac:dyDescent="0.25">
      <c r="C971" s="21"/>
      <c r="F971" s="21"/>
      <c r="J971" s="21"/>
    </row>
    <row r="972" spans="3:10" ht="13.2" x14ac:dyDescent="0.25">
      <c r="C972" s="21"/>
      <c r="F972" s="21"/>
      <c r="J972" s="21"/>
    </row>
    <row r="973" spans="3:10" ht="13.2" x14ac:dyDescent="0.25">
      <c r="C973" s="21"/>
      <c r="F973" s="21"/>
      <c r="J973" s="21"/>
    </row>
    <row r="974" spans="3:10" ht="13.2" x14ac:dyDescent="0.25">
      <c r="C974" s="21"/>
      <c r="F974" s="21"/>
      <c r="J974" s="21"/>
    </row>
    <row r="975" spans="3:10" ht="13.2" x14ac:dyDescent="0.25">
      <c r="C975" s="21"/>
      <c r="F975" s="21"/>
      <c r="J975" s="21"/>
    </row>
    <row r="976" spans="3:10" ht="13.2" x14ac:dyDescent="0.25">
      <c r="C976" s="21"/>
      <c r="F976" s="21"/>
      <c r="J976" s="21"/>
    </row>
    <row r="977" spans="3:10" ht="13.2" x14ac:dyDescent="0.25">
      <c r="C977" s="21"/>
      <c r="F977" s="21"/>
      <c r="J977" s="21"/>
    </row>
    <row r="978" spans="3:10" ht="13.2" x14ac:dyDescent="0.25">
      <c r="C978" s="21"/>
      <c r="F978" s="21"/>
      <c r="J978" s="21"/>
    </row>
    <row r="979" spans="3:10" ht="13.2" x14ac:dyDescent="0.25">
      <c r="C979" s="21"/>
      <c r="F979" s="21"/>
      <c r="J979" s="21"/>
    </row>
    <row r="980" spans="3:10" ht="13.2" x14ac:dyDescent="0.25">
      <c r="C980" s="21"/>
      <c r="F980" s="21"/>
      <c r="J980" s="21"/>
    </row>
    <row r="981" spans="3:10" ht="13.2" x14ac:dyDescent="0.25">
      <c r="C981" s="21"/>
      <c r="F981" s="21"/>
      <c r="J981" s="21"/>
    </row>
    <row r="982" spans="3:10" ht="13.2" x14ac:dyDescent="0.25">
      <c r="C982" s="21"/>
      <c r="F982" s="21"/>
      <c r="J982" s="21"/>
    </row>
    <row r="983" spans="3:10" ht="13.2" x14ac:dyDescent="0.25">
      <c r="C983" s="21"/>
      <c r="F983" s="21"/>
      <c r="J983" s="21"/>
    </row>
    <row r="984" spans="3:10" ht="13.2" x14ac:dyDescent="0.25">
      <c r="C984" s="21"/>
      <c r="F984" s="21"/>
      <c r="J984" s="21"/>
    </row>
    <row r="985" spans="3:10" ht="13.2" x14ac:dyDescent="0.25">
      <c r="C985" s="21"/>
      <c r="F985" s="21"/>
      <c r="J985" s="21"/>
    </row>
    <row r="986" spans="3:10" ht="13.2" x14ac:dyDescent="0.25">
      <c r="C986" s="21"/>
      <c r="F986" s="21"/>
      <c r="J986" s="21"/>
    </row>
    <row r="987" spans="3:10" ht="13.2" x14ac:dyDescent="0.25">
      <c r="C987" s="21"/>
      <c r="F987" s="21"/>
      <c r="J987" s="21"/>
    </row>
    <row r="988" spans="3:10" ht="13.2" x14ac:dyDescent="0.25">
      <c r="C988" s="21"/>
      <c r="F988" s="21"/>
      <c r="J988" s="21"/>
    </row>
    <row r="989" spans="3:10" ht="13.2" x14ac:dyDescent="0.25">
      <c r="C989" s="21"/>
      <c r="F989" s="21"/>
      <c r="J989" s="21"/>
    </row>
    <row r="990" spans="3:10" ht="13.2" x14ac:dyDescent="0.25">
      <c r="C990" s="21"/>
      <c r="F990" s="21"/>
      <c r="J990" s="21"/>
    </row>
    <row r="991" spans="3:10" ht="13.2" x14ac:dyDescent="0.25">
      <c r="C991" s="21"/>
      <c r="F991" s="21"/>
      <c r="J991" s="21"/>
    </row>
    <row r="992" spans="3:10" ht="13.2" x14ac:dyDescent="0.25">
      <c r="C992" s="21"/>
      <c r="F992" s="21"/>
      <c r="J992" s="21"/>
    </row>
    <row r="993" spans="3:10" ht="13.2" x14ac:dyDescent="0.25">
      <c r="C993" s="21"/>
      <c r="F993" s="21"/>
      <c r="J993" s="21"/>
    </row>
    <row r="994" spans="3:10" ht="13.2" x14ac:dyDescent="0.25">
      <c r="C994" s="21"/>
      <c r="F994" s="21"/>
      <c r="J994" s="21"/>
    </row>
    <row r="995" spans="3:10" ht="13.2" x14ac:dyDescent="0.25">
      <c r="C995" s="21"/>
      <c r="F995" s="21"/>
      <c r="J995" s="21"/>
    </row>
    <row r="996" spans="3:10" ht="13.2" x14ac:dyDescent="0.25">
      <c r="C996" s="21"/>
      <c r="F996" s="21"/>
      <c r="J996" s="21"/>
    </row>
    <row r="997" spans="3:10" ht="13.2" x14ac:dyDescent="0.25">
      <c r="C997" s="21"/>
      <c r="F997" s="21"/>
      <c r="J997" s="21"/>
    </row>
    <row r="998" spans="3:10" ht="13.2" x14ac:dyDescent="0.25">
      <c r="C998" s="21"/>
      <c r="F998" s="21"/>
      <c r="J998" s="21"/>
    </row>
    <row r="999" spans="3:10" ht="13.2" x14ac:dyDescent="0.25">
      <c r="C999" s="21"/>
      <c r="F999" s="21"/>
      <c r="J999" s="21"/>
    </row>
    <row r="1000" spans="3:10" ht="13.2" x14ac:dyDescent="0.25">
      <c r="C1000" s="21"/>
      <c r="F1000" s="21"/>
      <c r="J1000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S16"/>
  <sheetViews>
    <sheetView workbookViewId="0"/>
  </sheetViews>
  <sheetFormatPr defaultColWidth="12.6640625" defaultRowHeight="15.75" customHeight="1" x14ac:dyDescent="0.25"/>
  <cols>
    <col min="3" max="3" width="79.21875" customWidth="1"/>
  </cols>
  <sheetData>
    <row r="1" spans="1:19" x14ac:dyDescent="0.25">
      <c r="A1" s="19" t="str">
        <f ca="1">IFERROR(__xludf.DUMMYFUNCTION("QUERY('Form Responses 1'!A1:S1000, ""select * where R='Ratnagiri'"") "),"Timestamp")</f>
        <v>Timestamp</v>
      </c>
      <c r="B1" s="19" t="str">
        <f ca="1">IFERROR(__xludf.DUMMYFUNCTION("""COMPUTED_VALUE"""),"Name of company")</f>
        <v>Name of company</v>
      </c>
      <c r="C1" s="19" t="str">
        <f ca="1">IFERROR(__xludf.DUMMYFUNCTION("""COMPUTED_VALUE"""),"Address")</f>
        <v>Address</v>
      </c>
      <c r="D1" s="19" t="str">
        <f ca="1">IFERROR(__xludf.DUMMYFUNCTION("""COMPUTED_VALUE"""),"Telephone number")</f>
        <v>Telephone number</v>
      </c>
      <c r="E1" s="19" t="str">
        <f ca="1">IFERROR(__xludf.DUMMYFUNCTION("""COMPUTED_VALUE"""),"Fax number")</f>
        <v>Fax number</v>
      </c>
      <c r="F1" s="19" t="str">
        <f ca="1">IFERROR(__xludf.DUMMYFUNCTION("""COMPUTED_VALUE"""),"E-Mail address")</f>
        <v>E-Mail address</v>
      </c>
      <c r="G1" s="19" t="str">
        <f ca="1">IFERROR(__xludf.DUMMYFUNCTION("""COMPUTED_VALUE"""),"Web site address")</f>
        <v>Web site address</v>
      </c>
      <c r="H1" s="19" t="str">
        <f ca="1">IFERROR(__xludf.DUMMYFUNCTION("""COMPUTED_VALUE"""),"GST NO.")</f>
        <v>GST NO.</v>
      </c>
      <c r="I1" s="19" t="str">
        <f ca="1">IFERROR(__xludf.DUMMYFUNCTION("""COMPUTED_VALUE"""),"PAN NO.")</f>
        <v>PAN NO.</v>
      </c>
      <c r="J1" s="19" t="str">
        <f ca="1">IFERROR(__xludf.DUMMYFUNCTION("""COMPUTED_VALUE"""),"Name &amp; Title of company representative")</f>
        <v>Name &amp; Title of company representative</v>
      </c>
      <c r="K1" s="19" t="str">
        <f ca="1">IFERROR(__xludf.DUMMYFUNCTION("""COMPUTED_VALUE"""),"Director E-mail")</f>
        <v>Director E-mail</v>
      </c>
      <c r="L1" s="19" t="str">
        <f ca="1">IFERROR(__xludf.DUMMYFUNCTION("""COMPUTED_VALUE"""),"Date compony was established")</f>
        <v>Date compony was established</v>
      </c>
      <c r="M1" s="19" t="str">
        <f ca="1">IFERROR(__xludf.DUMMYFUNCTION("""COMPUTED_VALUE"""),"Gross annual sale for the last three year")</f>
        <v>Gross annual sale for the last three year</v>
      </c>
      <c r="N1" s="19" t="str">
        <f ca="1">IFERROR(__xludf.DUMMYFUNCTION("""COMPUTED_VALUE"""),"Legal structure")</f>
        <v>Legal structure</v>
      </c>
      <c r="O1" s="19" t="str">
        <f ca="1">IFERROR(__xludf.DUMMYFUNCTION("""COMPUTED_VALUE"""),"Types of business/Commodity service")</f>
        <v>Types of business/Commodity service</v>
      </c>
      <c r="P1" s="19" t="str">
        <f ca="1">IFERROR(__xludf.DUMMYFUNCTION("""COMPUTED_VALUE"""),"Details on service or goods your company supplies")</f>
        <v>Details on service or goods your company supplies</v>
      </c>
      <c r="Q1" s="19" t="str">
        <f ca="1">IFERROR(__xludf.DUMMYFUNCTION("""COMPUTED_VALUE"""),"Banking Information (Bank name, Address, Beneficiary name, Bank account number)")</f>
        <v>Banking Information (Bank name, Address, Beneficiary name, Bank account number)</v>
      </c>
      <c r="R1" s="19" t="str">
        <f ca="1">IFERROR(__xludf.DUMMYFUNCTION("""COMPUTED_VALUE"""),"Location")</f>
        <v>Location</v>
      </c>
      <c r="S1" s="19" t="str">
        <f ca="1">IFERROR(__xludf.DUMMYFUNCTION("""COMPUTED_VALUE"""),"")</f>
        <v/>
      </c>
    </row>
    <row r="2" spans="1:19" x14ac:dyDescent="0.25">
      <c r="A2" s="33">
        <f ca="1">IFERROR(__xludf.DUMMYFUNCTION("""COMPUTED_VALUE"""),44954.8969861226)</f>
        <v>44954.8969861226</v>
      </c>
      <c r="B2" s="19" t="str">
        <f ca="1">IFERROR(__xludf.DUMMYFUNCTION("""COMPUTED_VALUE"""),"Snehankit Supplier")</f>
        <v>Snehankit Supplier</v>
      </c>
      <c r="C2" s="19" t="str">
        <f ca="1">IFERROR(__xludf.DUMMYFUNCTION("""COMPUTED_VALUE"""),"At. Post- margatamhane 415702, Tal.-Guhagar, District _- Ratnagiri")</f>
        <v>At. Post- margatamhane 415702, Tal.-Guhagar, District _- Ratnagiri</v>
      </c>
      <c r="D2" s="19"/>
      <c r="E2" s="19"/>
      <c r="F2" s="19"/>
      <c r="G2" s="19"/>
      <c r="H2" s="19"/>
      <c r="I2" s="19"/>
      <c r="J2" s="19" t="str">
        <f ca="1">IFERROR(__xludf.DUMMYFUNCTION("""COMPUTED_VALUE"""),"Shashikant belvalkar")</f>
        <v>Shashikant belvalkar</v>
      </c>
      <c r="K2" s="19"/>
      <c r="L2" s="20"/>
      <c r="M2" s="19"/>
      <c r="N2" s="19" t="str">
        <f ca="1">IFERROR(__xludf.DUMMYFUNCTION("""COMPUTED_VALUE"""),"Solo Properitership")</f>
        <v>Solo Properitership</v>
      </c>
      <c r="O2" s="19" t="str">
        <f ca="1">IFERROR(__xludf.DUMMYFUNCTION("""COMPUTED_VALUE"""),"Construction contractor")</f>
        <v>Construction contractor</v>
      </c>
      <c r="P2" s="19" t="str">
        <f ca="1">IFERROR(__xludf.DUMMYFUNCTION("""COMPUTED_VALUE"""),"All type of construction material supplier ")</f>
        <v xml:space="preserve">All type of construction material supplier </v>
      </c>
      <c r="Q2" s="19" t="str">
        <f ca="1">IFERROR(__xludf.DUMMYFUNCTION("""COMPUTED_VALUE"""),"Suyog Santosh belavalkar 
AC number 60246198265 
MAHB 0000511")</f>
        <v>Suyog Santosh belavalkar 
AC number 60246198265 
MAHB 0000511</v>
      </c>
      <c r="R2" s="19" t="str">
        <f ca="1">IFERROR(__xludf.DUMMYFUNCTION("""COMPUTED_VALUE"""),"Ratnagiri")</f>
        <v>Ratnagiri</v>
      </c>
      <c r="S2" s="19"/>
    </row>
    <row r="3" spans="1:19" x14ac:dyDescent="0.25">
      <c r="A3" s="33">
        <f ca="1">IFERROR(__xludf.DUMMYFUNCTION("""COMPUTED_VALUE"""),44954.8993621527)</f>
        <v>44954.899362152697</v>
      </c>
      <c r="B3" s="19" t="str">
        <f ca="1">IFERROR(__xludf.DUMMYFUNCTION("""COMPUTED_VALUE"""),"Sadhicha cushioning work")</f>
        <v>Sadhicha cushioning work</v>
      </c>
      <c r="C3" s="19" t="str">
        <f ca="1">IFERROR(__xludf.DUMMYFUNCTION("""COMPUTED_VALUE"""),"Main bazarpeth chiplun, dist. Ratnagiri 415605")</f>
        <v>Main bazarpeth chiplun, dist. Ratnagiri 415605</v>
      </c>
      <c r="D3" s="19"/>
      <c r="E3" s="19"/>
      <c r="F3" s="19"/>
      <c r="G3" s="19"/>
      <c r="H3" s="19"/>
      <c r="I3" s="19"/>
      <c r="J3" s="19" t="str">
        <f ca="1">IFERROR(__xludf.DUMMYFUNCTION("""COMPUTED_VALUE"""),"Manik Shinde")</f>
        <v>Manik Shinde</v>
      </c>
      <c r="K3" s="19"/>
      <c r="L3" s="20"/>
      <c r="M3" s="19"/>
      <c r="N3" s="19" t="str">
        <f ca="1">IFERROR(__xludf.DUMMYFUNCTION("""COMPUTED_VALUE"""),"Solo Properitership")</f>
        <v>Solo Properitership</v>
      </c>
      <c r="O3" s="19" t="str">
        <f ca="1">IFERROR(__xludf.DUMMYFUNCTION("""COMPUTED_VALUE"""),"Professional services")</f>
        <v>Professional services</v>
      </c>
      <c r="P3" s="19" t="str">
        <f ca="1">IFERROR(__xludf.DUMMYFUNCTION("""COMPUTED_VALUE"""),"All type of carpet and curtain work")</f>
        <v>All type of carpet and curtain work</v>
      </c>
      <c r="Q3" s="19" t="str">
        <f ca="1">IFERROR(__xludf.DUMMYFUNCTION("""COMPUTED_VALUE"""),"Ac. NO. - 11285633606
IFSC CODE-  SBIN0000350
Name - Manik Shinde")</f>
        <v>Ac. NO. - 11285633606
IFSC CODE-  SBIN0000350
Name - Manik Shinde</v>
      </c>
      <c r="R3" s="19" t="str">
        <f ca="1">IFERROR(__xludf.DUMMYFUNCTION("""COMPUTED_VALUE"""),"Ratnagiri")</f>
        <v>Ratnagiri</v>
      </c>
      <c r="S3" s="19"/>
    </row>
    <row r="4" spans="1:19" x14ac:dyDescent="0.25">
      <c r="A4" s="33">
        <f ca="1">IFERROR(__xludf.DUMMYFUNCTION("""COMPUTED_VALUE"""),44954.9054270253)</f>
        <v>44954.905427025398</v>
      </c>
      <c r="B4" s="19" t="str">
        <f ca="1">IFERROR(__xludf.DUMMYFUNCTION("""COMPUTED_VALUE"""),"Talib Enterprise ")</f>
        <v xml:space="preserve">Talib Enterprise </v>
      </c>
      <c r="C4" s="19" t="str">
        <f ca="1">IFERROR(__xludf.DUMMYFUNCTION("""COMPUTED_VALUE"""),"Maruti mandir road, Ratnagiri-415612")</f>
        <v>Maruti mandir road, Ratnagiri-415612</v>
      </c>
      <c r="D4" s="19"/>
      <c r="E4" s="19"/>
      <c r="F4" s="19"/>
      <c r="G4" s="19"/>
      <c r="H4" s="19"/>
      <c r="I4" s="19"/>
      <c r="J4" s="19" t="str">
        <f ca="1">IFERROR(__xludf.DUMMYFUNCTION("""COMPUTED_VALUE"""),"Talib shaha")</f>
        <v>Talib shaha</v>
      </c>
      <c r="K4" s="19"/>
      <c r="L4" s="20"/>
      <c r="M4" s="19"/>
      <c r="N4" s="19" t="str">
        <f ca="1">IFERROR(__xludf.DUMMYFUNCTION("""COMPUTED_VALUE"""),"Solo Properitership")</f>
        <v>Solo Properitership</v>
      </c>
      <c r="O4" s="19" t="str">
        <f ca="1">IFERROR(__xludf.DUMMYFUNCTION("""COMPUTED_VALUE"""),"Professional services")</f>
        <v>Professional services</v>
      </c>
      <c r="P4" s="19" t="str">
        <f ca="1">IFERROR(__xludf.DUMMYFUNCTION("""COMPUTED_VALUE"""),"False ceiling work")</f>
        <v>False ceiling work</v>
      </c>
      <c r="Q4" s="19"/>
      <c r="R4" s="19" t="str">
        <f ca="1">IFERROR(__xludf.DUMMYFUNCTION("""COMPUTED_VALUE"""),"Ratnagiri")</f>
        <v>Ratnagiri</v>
      </c>
      <c r="S4" s="19"/>
    </row>
    <row r="5" spans="1:19" x14ac:dyDescent="0.25">
      <c r="A5" s="33">
        <f ca="1">IFERROR(__xludf.DUMMYFUNCTION("""COMPUTED_VALUE"""),44954.9210637615)</f>
        <v>44954.921063761503</v>
      </c>
      <c r="B5" s="19" t="str">
        <f ca="1">IFERROR(__xludf.DUMMYFUNCTION("""COMPUTED_VALUE"""),"Bare electrician")</f>
        <v>Bare electrician</v>
      </c>
      <c r="C5" s="19" t="str">
        <f ca="1">IFERROR(__xludf.DUMMYFUNCTION("""COMPUTED_VALUE"""),"Main bazarpeth, tali, guhagar ")</f>
        <v xml:space="preserve">Main bazarpeth, tali, guhagar </v>
      </c>
      <c r="D5" s="19">
        <f ca="1">IFERROR(__xludf.DUMMYFUNCTION("""COMPUTED_VALUE"""),8411081641)</f>
        <v>8411081641</v>
      </c>
      <c r="E5" s="19"/>
      <c r="F5" s="19"/>
      <c r="G5" s="19"/>
      <c r="H5" s="19"/>
      <c r="I5" s="19"/>
      <c r="J5" s="19"/>
      <c r="K5" s="19"/>
      <c r="L5" s="20"/>
      <c r="M5" s="19"/>
      <c r="N5" s="19" t="str">
        <f ca="1">IFERROR(__xludf.DUMMYFUNCTION("""COMPUTED_VALUE"""),"Solo Properitership")</f>
        <v>Solo Properitership</v>
      </c>
      <c r="O5" s="19" t="str">
        <f ca="1">IFERROR(__xludf.DUMMYFUNCTION("""COMPUTED_VALUE"""),"Professional services")</f>
        <v>Professional services</v>
      </c>
      <c r="P5" s="19" t="str">
        <f ca="1">IFERROR(__xludf.DUMMYFUNCTION("""COMPUTED_VALUE"""),"All type of electrician work")</f>
        <v>All type of electrician work</v>
      </c>
      <c r="Q5" s="19"/>
      <c r="R5" s="19" t="str">
        <f ca="1">IFERROR(__xludf.DUMMYFUNCTION("""COMPUTED_VALUE"""),"Ratnagiri")</f>
        <v>Ratnagiri</v>
      </c>
      <c r="S5" s="19"/>
    </row>
    <row r="6" spans="1:19" x14ac:dyDescent="0.25">
      <c r="A6" s="33">
        <f ca="1">IFERROR(__xludf.DUMMYFUNCTION("""COMPUTED_VALUE"""),44954.9221741782)</f>
        <v>44954.922174178202</v>
      </c>
      <c r="B6" s="19" t="str">
        <f ca="1">IFERROR(__xludf.DUMMYFUNCTION("""COMPUTED_VALUE"""),"Trimurty Cable Network ")</f>
        <v xml:space="preserve">Trimurty Cable Network </v>
      </c>
      <c r="C6" s="19" t="str">
        <f ca="1">IFERROR(__xludf.DUMMYFUNCTION("""COMPUTED_VALUE"""),"At post janvale, Tal. Guhagar, District. Ratnagiri ")</f>
        <v xml:space="preserve">At post janvale, Tal. Guhagar, District. Ratnagiri </v>
      </c>
      <c r="D6" s="19"/>
      <c r="E6" s="19"/>
      <c r="F6" s="19"/>
      <c r="G6" s="19"/>
      <c r="H6" s="19"/>
      <c r="I6" s="19"/>
      <c r="J6" s="19"/>
      <c r="K6" s="19"/>
      <c r="L6" s="20"/>
      <c r="M6" s="19"/>
      <c r="N6" s="19" t="str">
        <f ca="1">IFERROR(__xludf.DUMMYFUNCTION("""COMPUTED_VALUE"""),"Solo Properitership")</f>
        <v>Solo Properitership</v>
      </c>
      <c r="O6" s="19" t="str">
        <f ca="1">IFERROR(__xludf.DUMMYFUNCTION("""COMPUTED_VALUE"""),"Professional services")</f>
        <v>Professional services</v>
      </c>
      <c r="P6" s="19" t="str">
        <f ca="1">IFERROR(__xludf.DUMMYFUNCTION("""COMPUTED_VALUE"""),"Internet service provider")</f>
        <v>Internet service provider</v>
      </c>
      <c r="Q6" s="19"/>
      <c r="R6" s="19" t="str">
        <f ca="1">IFERROR(__xludf.DUMMYFUNCTION("""COMPUTED_VALUE"""),"Ratnagiri")</f>
        <v>Ratnagiri</v>
      </c>
      <c r="S6" s="19"/>
    </row>
    <row r="7" spans="1:19" x14ac:dyDescent="0.25">
      <c r="A7" s="33">
        <f ca="1">IFERROR(__xludf.DUMMYFUNCTION("""COMPUTED_VALUE"""),44959.2954402777)</f>
        <v>44959.295440277703</v>
      </c>
      <c r="B7" s="19" t="str">
        <f ca="1">IFERROR(__xludf.DUMMYFUNCTION("""COMPUTED_VALUE"""),"Bhagwati paints and coatings ")</f>
        <v xml:space="preserve">Bhagwati paints and coatings </v>
      </c>
      <c r="C7" s="19" t="str">
        <f ca="1">IFERROR(__xludf.DUMMYFUNCTION("""COMPUTED_VALUE"""),"Flat no. 302,3rd floor, saiprerna appartment, shantinagar, nachane road, Ratnagiri -415639 (Maharashtra) ")</f>
        <v xml:space="preserve">Flat no. 302,3rd floor, saiprerna appartment, shantinagar, nachane road, Ratnagiri -415639 (Maharashtra) </v>
      </c>
      <c r="D7" s="19">
        <f ca="1">IFERROR(__xludf.DUMMYFUNCTION("""COMPUTED_VALUE"""),8459702382)</f>
        <v>8459702382</v>
      </c>
      <c r="E7" s="19" t="str">
        <f ca="1">IFERROR(__xludf.DUMMYFUNCTION("""COMPUTED_VALUE"""),"No")</f>
        <v>No</v>
      </c>
      <c r="F7" s="19" t="str">
        <f ca="1">IFERROR(__xludf.DUMMYFUNCTION("""COMPUTED_VALUE"""),"mahesh2867@rediffmail.com")</f>
        <v>mahesh2867@rediffmail.com</v>
      </c>
      <c r="G7" s="19" t="str">
        <f ca="1">IFERROR(__xludf.DUMMYFUNCTION("""COMPUTED_VALUE"""),"No")</f>
        <v>No</v>
      </c>
      <c r="H7" s="19"/>
      <c r="I7" s="19" t="str">
        <f ca="1">IFERROR(__xludf.DUMMYFUNCTION("""COMPUTED_VALUE"""),"AAQPC8499R")</f>
        <v>AAQPC8499R</v>
      </c>
      <c r="J7" s="19" t="str">
        <f ca="1">IFERROR(__xludf.DUMMYFUNCTION("""COMPUTED_VALUE"""),"Mahesh chalke ")</f>
        <v xml:space="preserve">Mahesh chalke </v>
      </c>
      <c r="K7" s="19" t="str">
        <f ca="1">IFERROR(__xludf.DUMMYFUNCTION("""COMPUTED_VALUE"""),"No")</f>
        <v>No</v>
      </c>
      <c r="L7" s="20">
        <f ca="1">IFERROR(__xludf.DUMMYFUNCTION("""COMPUTED_VALUE"""),38353)</f>
        <v>38353</v>
      </c>
      <c r="M7" s="19" t="str">
        <f ca="1">IFERROR(__xludf.DUMMYFUNCTION("""COMPUTED_VALUE"""),"Option 1")</f>
        <v>Option 1</v>
      </c>
      <c r="N7" s="19" t="str">
        <f ca="1">IFERROR(__xludf.DUMMYFUNCTION("""COMPUTED_VALUE"""),"Solo Properitership")</f>
        <v>Solo Properitership</v>
      </c>
      <c r="O7" s="19" t="str">
        <f ca="1">IFERROR(__xludf.DUMMYFUNCTION("""COMPUTED_VALUE"""),"Construction contractor")</f>
        <v>Construction contractor</v>
      </c>
      <c r="P7" s="19" t="str">
        <f ca="1">IFERROR(__xludf.DUMMYFUNCTION("""COMPUTED_VALUE"""),"Painting services ")</f>
        <v xml:space="preserve">Painting services </v>
      </c>
      <c r="Q7" s="19" t="str">
        <f ca="1">IFERROR(__xludf.DUMMYFUNCTION("""COMPUTED_VALUE"""),"South Indian bank, Shivaji nagar,  Ratnagiri ,a/c no. 0812053000000075,IFSC coad-SIBL0000812")</f>
        <v>South Indian bank, Shivaji nagar,  Ratnagiri ,a/c no. 0812053000000075,IFSC coad-SIBL0000812</v>
      </c>
      <c r="R7" s="19" t="str">
        <f ca="1">IFERROR(__xludf.DUMMYFUNCTION("""COMPUTED_VALUE"""),"Ratnagiri")</f>
        <v>Ratnagiri</v>
      </c>
      <c r="S7" s="19"/>
    </row>
    <row r="8" spans="1:19" x14ac:dyDescent="0.25">
      <c r="A8" s="33"/>
      <c r="B8" s="19" t="str">
        <f ca="1">IFERROR(__xludf.DUMMYFUNCTION("""COMPUTED_VALUE"""),"ASA TRADING COMPANY")</f>
        <v>ASA TRADING COMPANY</v>
      </c>
      <c r="C8" s="19" t="str">
        <f ca="1">IFERROR(__xludf.DUMMYFUNCTION("""COMPUTED_VALUE"""),"Sindhudurg &amp; Goa")</f>
        <v>Sindhudurg &amp; Goa</v>
      </c>
      <c r="D8" s="19">
        <f ca="1">IFERROR(__xludf.DUMMYFUNCTION("""COMPUTED_VALUE"""),9975556663)</f>
        <v>9975556663</v>
      </c>
      <c r="E8" s="19"/>
      <c r="F8" s="19" t="str">
        <f ca="1">IFERROR(__xludf.DUMMYFUNCTION("""COMPUTED_VALUE"""),"shailesh.acharya351@gmail.com")</f>
        <v>shailesh.acharya351@gmail.com</v>
      </c>
      <c r="G8" s="19"/>
      <c r="H8" s="19"/>
      <c r="I8" s="19"/>
      <c r="J8" s="19" t="str">
        <f ca="1">IFERROR(__xludf.DUMMYFUNCTION("""COMPUTED_VALUE"""),"Shailesh Uday Acharya")</f>
        <v>Shailesh Uday Acharya</v>
      </c>
      <c r="K8" s="19"/>
      <c r="L8" s="20"/>
      <c r="M8" s="19"/>
      <c r="N8" s="19"/>
      <c r="O8" s="19"/>
      <c r="P8" s="19" t="str">
        <f ca="1">IFERROR(__xludf.DUMMYFUNCTION("""COMPUTED_VALUE"""),"Aggregate Trading")</f>
        <v>Aggregate Trading</v>
      </c>
      <c r="Q8" s="19"/>
      <c r="R8" s="19" t="str">
        <f ca="1">IFERROR(__xludf.DUMMYFUNCTION("""COMPUTED_VALUE"""),"Ratnagiri")</f>
        <v>Ratnagiri</v>
      </c>
      <c r="S8" s="19"/>
    </row>
    <row r="9" spans="1:19" x14ac:dyDescent="0.25">
      <c r="A9" s="33"/>
      <c r="B9" s="19" t="str">
        <f ca="1">IFERROR(__xludf.DUMMYFUNCTION("""COMPUTED_VALUE"""),"Shree shemkari infra")</f>
        <v>Shree shemkari infra</v>
      </c>
      <c r="C9" s="19" t="str">
        <f ca="1">IFERROR(__xludf.DUMMYFUNCTION("""COMPUTED_VALUE"""),"Mangaon")</f>
        <v>Mangaon</v>
      </c>
      <c r="D9" s="19">
        <f ca="1">IFERROR(__xludf.DUMMYFUNCTION("""COMPUTED_VALUE"""),9769059060)</f>
        <v>9769059060</v>
      </c>
      <c r="E9" s="19"/>
      <c r="F9" s="19" t="str">
        <f ca="1">IFERROR(__xludf.DUMMYFUNCTION("""COMPUTED_VALUE"""),"arjunsolanki2010@hotmail.com")</f>
        <v>arjunsolanki2010@hotmail.com</v>
      </c>
      <c r="G9" s="19"/>
      <c r="H9" s="19"/>
      <c r="I9" s="19"/>
      <c r="J9" s="19" t="str">
        <f ca="1">IFERROR(__xludf.DUMMYFUNCTION("""COMPUTED_VALUE"""),"Arjun solanki")</f>
        <v>Arjun solanki</v>
      </c>
      <c r="K9" s="19"/>
      <c r="L9" s="20"/>
      <c r="M9" s="19"/>
      <c r="N9" s="19"/>
      <c r="O9" s="19"/>
      <c r="P9" s="19" t="str">
        <f ca="1">IFERROR(__xludf.DUMMYFUNCTION("""COMPUTED_VALUE"""),"Infrastructure supply")</f>
        <v>Infrastructure supply</v>
      </c>
      <c r="Q9" s="19"/>
      <c r="R9" s="19" t="str">
        <f ca="1">IFERROR(__xludf.DUMMYFUNCTION("""COMPUTED_VALUE"""),"Ratnagiri")</f>
        <v>Ratnagiri</v>
      </c>
      <c r="S9" s="19"/>
    </row>
    <row r="10" spans="1:19" x14ac:dyDescent="0.25">
      <c r="A10" s="33"/>
      <c r="B10" s="19" t="str">
        <f ca="1">IFERROR(__xludf.DUMMYFUNCTION("""COMPUTED_VALUE"""),"Tinfra asia pvt ltd")</f>
        <v>Tinfra asia pvt ltd</v>
      </c>
      <c r="C10" s="19" t="str">
        <f ca="1">IFERROR(__xludf.DUMMYFUNCTION("""COMPUTED_VALUE"""),"All india pan")</f>
        <v>All india pan</v>
      </c>
      <c r="D10" s="19">
        <f ca="1">IFERROR(__xludf.DUMMYFUNCTION("""COMPUTED_VALUE"""),7709650503)</f>
        <v>7709650503</v>
      </c>
      <c r="E10" s="19"/>
      <c r="F10" s="19" t="str">
        <f ca="1">IFERROR(__xludf.DUMMYFUNCTION("""COMPUTED_VALUE"""),"tinfraasiapvtltd@gmail.com")</f>
        <v>tinfraasiapvtltd@gmail.com</v>
      </c>
      <c r="G10" s="19"/>
      <c r="H10" s="19"/>
      <c r="I10" s="19"/>
      <c r="J10" s="19" t="str">
        <f ca="1">IFERROR(__xludf.DUMMYFUNCTION("""COMPUTED_VALUE"""),"Nilesh Thore")</f>
        <v>Nilesh Thore</v>
      </c>
      <c r="K10" s="19"/>
      <c r="L10" s="20"/>
      <c r="M10" s="19"/>
      <c r="N10" s="19"/>
      <c r="O10" s="19"/>
      <c r="P10" s="19" t="str">
        <f ca="1">IFERROR(__xludf.DUMMYFUNCTION("""COMPUTED_VALUE"""),"Infrastructure")</f>
        <v>Infrastructure</v>
      </c>
      <c r="Q10" s="19"/>
      <c r="R10" s="19" t="str">
        <f ca="1">IFERROR(__xludf.DUMMYFUNCTION("""COMPUTED_VALUE"""),"Ratnagiri")</f>
        <v>Ratnagiri</v>
      </c>
      <c r="S10" s="19"/>
    </row>
    <row r="11" spans="1:19" x14ac:dyDescent="0.25">
      <c r="A11" s="33"/>
      <c r="B11" s="19" t="str">
        <f ca="1">IFERROR(__xludf.DUMMYFUNCTION("""COMPUTED_VALUE"""),"Rohit enterprises")</f>
        <v>Rohit enterprises</v>
      </c>
      <c r="C11" s="19" t="str">
        <f ca="1">IFERROR(__xludf.DUMMYFUNCTION("""COMPUTED_VALUE"""),"Maharashtra")</f>
        <v>Maharashtra</v>
      </c>
      <c r="D11" s="19">
        <f ca="1">IFERROR(__xludf.DUMMYFUNCTION("""COMPUTED_VALUE"""),9172823534)</f>
        <v>9172823534</v>
      </c>
      <c r="E11" s="19"/>
      <c r="F11" s="19" t="str">
        <f ca="1">IFERROR(__xludf.DUMMYFUNCTION("""COMPUTED_VALUE"""),"rohitkhandagale5@gmail.com")</f>
        <v>rohitkhandagale5@gmail.com</v>
      </c>
      <c r="G11" s="19"/>
      <c r="H11" s="19"/>
      <c r="I11" s="19"/>
      <c r="J11" s="19" t="str">
        <f ca="1">IFERROR(__xludf.DUMMYFUNCTION("""COMPUTED_VALUE"""),"Rohit")</f>
        <v>Rohit</v>
      </c>
      <c r="K11" s="19"/>
      <c r="L11" s="20"/>
      <c r="M11" s="19"/>
      <c r="N11" s="19"/>
      <c r="O11" s="19"/>
      <c r="P11" s="19" t="str">
        <f ca="1">IFERROR(__xludf.DUMMYFUNCTION("""COMPUTED_VALUE"""),"Civil work")</f>
        <v>Civil work</v>
      </c>
      <c r="Q11" s="19"/>
      <c r="R11" s="19" t="str">
        <f ca="1">IFERROR(__xludf.DUMMYFUNCTION("""COMPUTED_VALUE"""),"Ratnagiri")</f>
        <v>Ratnagiri</v>
      </c>
      <c r="S11" s="19"/>
    </row>
    <row r="12" spans="1:19" x14ac:dyDescent="0.25">
      <c r="A12" s="33"/>
      <c r="B12" s="19" t="str">
        <f ca="1">IFERROR(__xludf.DUMMYFUNCTION("""COMPUTED_VALUE"""),"Isbha Land developers LLP")</f>
        <v>Isbha Land developers LLP</v>
      </c>
      <c r="C12" s="19" t="str">
        <f ca="1">IFERROR(__xludf.DUMMYFUNCTION("""COMPUTED_VALUE"""),"Pune , Panchgani, Wai")</f>
        <v>Pune , Panchgani, Wai</v>
      </c>
      <c r="D12" s="19">
        <f ca="1">IFERROR(__xludf.DUMMYFUNCTION("""COMPUTED_VALUE"""),9890683243)</f>
        <v>9890683243</v>
      </c>
      <c r="E12" s="19"/>
      <c r="F12" s="19" t="str">
        <f ca="1">IFERROR(__xludf.DUMMYFUNCTION("""COMPUTED_VALUE"""),"3g.gaikwad@gmail.com")</f>
        <v>3g.gaikwad@gmail.com</v>
      </c>
      <c r="G12" s="19"/>
      <c r="H12" s="19"/>
      <c r="I12" s="19"/>
      <c r="J12" s="19" t="str">
        <f ca="1">IFERROR(__xludf.DUMMYFUNCTION("""COMPUTED_VALUE"""),"Altaf Shabbir Shaikh")</f>
        <v>Altaf Shabbir Shaikh</v>
      </c>
      <c r="K12" s="19"/>
      <c r="L12" s="20"/>
      <c r="M12" s="19"/>
      <c r="N12" s="19"/>
      <c r="O12" s="19"/>
      <c r="P12" s="19" t="str">
        <f ca="1">IFERROR(__xludf.DUMMYFUNCTION("""COMPUTED_VALUE"""),"Construction, Land developers")</f>
        <v>Construction, Land developers</v>
      </c>
      <c r="Q12" s="19"/>
      <c r="R12" s="19" t="str">
        <f ca="1">IFERROR(__xludf.DUMMYFUNCTION("""COMPUTED_VALUE"""),"Ratnagiri")</f>
        <v>Ratnagiri</v>
      </c>
      <c r="S12" s="19"/>
    </row>
    <row r="13" spans="1:19" x14ac:dyDescent="0.25">
      <c r="A13" s="33"/>
      <c r="B13" s="19" t="str">
        <f ca="1">IFERROR(__xludf.DUMMYFUNCTION("""COMPUTED_VALUE"""),"AMOL CONSTRUCTION")</f>
        <v>AMOL CONSTRUCTION</v>
      </c>
      <c r="C13" s="19" t="str">
        <f ca="1">IFERROR(__xludf.DUMMYFUNCTION("""COMPUTED_VALUE"""),"HINGANGAON KHURD")</f>
        <v>HINGANGAON KHURD</v>
      </c>
      <c r="D13" s="19">
        <f ca="1">IFERROR(__xludf.DUMMYFUNCTION("""COMPUTED_VALUE"""),9657037019)</f>
        <v>9657037019</v>
      </c>
      <c r="E13" s="19"/>
      <c r="F13" s="19" t="str">
        <f ca="1">IFERROR(__xludf.DUMMYFUNCTION("""COMPUTED_VALUE"""),"amolgiri0555@gmail.com")</f>
        <v>amolgiri0555@gmail.com</v>
      </c>
      <c r="G13" s="19"/>
      <c r="H13" s="19"/>
      <c r="I13" s="19"/>
      <c r="J13" s="19" t="str">
        <f ca="1">IFERROR(__xludf.DUMMYFUNCTION("""COMPUTED_VALUE"""),"AMOL BAJIRAO GOSAVI")</f>
        <v>AMOL BAJIRAO GOSAVI</v>
      </c>
      <c r="K13" s="19"/>
      <c r="L13" s="20"/>
      <c r="M13" s="19"/>
      <c r="N13" s="19"/>
      <c r="O13" s="19"/>
      <c r="P13" s="19" t="str">
        <f ca="1">IFERROR(__xludf.DUMMYFUNCTION("""COMPUTED_VALUE"""),"CIVIL CONSTRUCTION AND DEVELOPERS")</f>
        <v>CIVIL CONSTRUCTION AND DEVELOPERS</v>
      </c>
      <c r="Q13" s="19"/>
      <c r="R13" s="19" t="str">
        <f ca="1">IFERROR(__xludf.DUMMYFUNCTION("""COMPUTED_VALUE"""),"Ratnagiri")</f>
        <v>Ratnagiri</v>
      </c>
      <c r="S13" s="19"/>
    </row>
    <row r="14" spans="1:19" x14ac:dyDescent="0.25">
      <c r="A14" s="33"/>
      <c r="B14" s="19" t="str">
        <f ca="1">IFERROR(__xludf.DUMMYFUNCTION("""COMPUTED_VALUE"""),"Dream touch interiors")</f>
        <v>Dream touch interiors</v>
      </c>
      <c r="C14" s="19" t="str">
        <f ca="1">IFERROR(__xludf.DUMMYFUNCTION("""COMPUTED_VALUE"""),"Ratnagiri")</f>
        <v>Ratnagiri</v>
      </c>
      <c r="D14" s="19">
        <f ca="1">IFERROR(__xludf.DUMMYFUNCTION("""COMPUTED_VALUE"""),9975601221)</f>
        <v>9975601221</v>
      </c>
      <c r="E14" s="19"/>
      <c r="F14" s="19" t="str">
        <f ca="1">IFERROR(__xludf.DUMMYFUNCTION("""COMPUTED_VALUE"""),"prajyotm16@gmail.com")</f>
        <v>prajyotm16@gmail.com</v>
      </c>
      <c r="G14" s="19"/>
      <c r="H14" s="19"/>
      <c r="I14" s="19"/>
      <c r="J14" s="19" t="str">
        <f ca="1">IFERROR(__xludf.DUMMYFUNCTION("""COMPUTED_VALUE"""),"Prajyot udaykumar majgaonkar")</f>
        <v>Prajyot udaykumar majgaonkar</v>
      </c>
      <c r="K14" s="19"/>
      <c r="L14" s="20"/>
      <c r="M14" s="19"/>
      <c r="N14" s="19"/>
      <c r="O14" s="19"/>
      <c r="P14" s="19" t="str">
        <f ca="1">IFERROR(__xludf.DUMMYFUNCTION("""COMPUTED_VALUE"""),"Interior designing")</f>
        <v>Interior designing</v>
      </c>
      <c r="Q14" s="19"/>
      <c r="R14" s="19" t="str">
        <f ca="1">IFERROR(__xludf.DUMMYFUNCTION("""COMPUTED_VALUE"""),"Ratnagiri")</f>
        <v>Ratnagiri</v>
      </c>
      <c r="S14" s="19"/>
    </row>
    <row r="15" spans="1:19" x14ac:dyDescent="0.25">
      <c r="A15" s="33"/>
      <c r="B15" s="19" t="str">
        <f ca="1">IFERROR(__xludf.DUMMYFUNCTION("""COMPUTED_VALUE"""),"Vijay enterprises")</f>
        <v>Vijay enterprises</v>
      </c>
      <c r="C15" s="19" t="str">
        <f ca="1">IFERROR(__xludf.DUMMYFUNCTION("""COMPUTED_VALUE"""),"Arogya mandir ratnagiri")</f>
        <v>Arogya mandir ratnagiri</v>
      </c>
      <c r="D15" s="19">
        <f ca="1">IFERROR(__xludf.DUMMYFUNCTION("""COMPUTED_VALUE"""),7755953528)</f>
        <v>7755953528</v>
      </c>
      <c r="E15" s="19"/>
      <c r="F15" s="19" t="str">
        <f ca="1">IFERROR(__xludf.DUMMYFUNCTION("""COMPUTED_VALUE"""),"rohishnikam33@gmail.com")</f>
        <v>rohishnikam33@gmail.com</v>
      </c>
      <c r="G15" s="19"/>
      <c r="H15" s="19"/>
      <c r="I15" s="19"/>
      <c r="J15" s="19" t="str">
        <f ca="1">IFERROR(__xludf.DUMMYFUNCTION("""COMPUTED_VALUE"""),"Rohish vijay nikam")</f>
        <v>Rohish vijay nikam</v>
      </c>
      <c r="K15" s="19"/>
      <c r="L15" s="20"/>
      <c r="M15" s="19"/>
      <c r="N15" s="19"/>
      <c r="O15" s="19"/>
      <c r="P15" s="19" t="str">
        <f ca="1">IFERROR(__xludf.DUMMYFUNCTION("""COMPUTED_VALUE"""),"Interior meterials")</f>
        <v>Interior meterials</v>
      </c>
      <c r="Q15" s="19"/>
      <c r="R15" s="19" t="str">
        <f ca="1">IFERROR(__xludf.DUMMYFUNCTION("""COMPUTED_VALUE"""),"Ratnagiri")</f>
        <v>Ratnagiri</v>
      </c>
      <c r="S15" s="19"/>
    </row>
    <row r="16" spans="1:19" x14ac:dyDescent="0.25">
      <c r="A16" s="33"/>
      <c r="B16" s="19" t="str">
        <f ca="1">IFERROR(__xludf.DUMMYFUNCTION("""COMPUTED_VALUE"""),"Bhagwati paints and cpatings")</f>
        <v>Bhagwati paints and cpatings</v>
      </c>
      <c r="C16" s="19" t="str">
        <f ca="1">IFERROR(__xludf.DUMMYFUNCTION("""COMPUTED_VALUE"""),"Ratnagiri")</f>
        <v>Ratnagiri</v>
      </c>
      <c r="D16" s="19">
        <f ca="1">IFERROR(__xludf.DUMMYFUNCTION("""COMPUTED_VALUE"""),8459702382)</f>
        <v>8459702382</v>
      </c>
      <c r="E16" s="19"/>
      <c r="F16" s="19" t="str">
        <f ca="1">IFERROR(__xludf.DUMMYFUNCTION("""COMPUTED_VALUE"""),"mahesh2867@rediffmail.com")</f>
        <v>mahesh2867@rediffmail.com</v>
      </c>
      <c r="G16" s="19"/>
      <c r="H16" s="19"/>
      <c r="I16" s="19"/>
      <c r="J16" s="19" t="str">
        <f ca="1">IFERROR(__xludf.DUMMYFUNCTION("""COMPUTED_VALUE"""),"Mahesh Pandurang Chalke")</f>
        <v>Mahesh Pandurang Chalke</v>
      </c>
      <c r="K16" s="19"/>
      <c r="L16" s="20"/>
      <c r="M16" s="19"/>
      <c r="N16" s="19"/>
      <c r="O16" s="19"/>
      <c r="P16" s="19" t="str">
        <f ca="1">IFERROR(__xludf.DUMMYFUNCTION("""COMPUTED_VALUE"""),"Manufacturing. Of paints")</f>
        <v>Manufacturing. Of paints</v>
      </c>
      <c r="Q16" s="19"/>
      <c r="R16" s="19" t="str">
        <f ca="1">IFERROR(__xludf.DUMMYFUNCTION("""COMPUTED_VALUE"""),"Ratnagiri")</f>
        <v>Ratnagiri</v>
      </c>
      <c r="S1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5"/>
  <sheetViews>
    <sheetView workbookViewId="0"/>
  </sheetViews>
  <sheetFormatPr defaultColWidth="12.6640625" defaultRowHeight="15.75" customHeight="1" x14ac:dyDescent="0.25"/>
  <cols>
    <col min="2" max="2" width="31.21875" customWidth="1"/>
    <col min="3" max="3" width="18.33203125" customWidth="1"/>
    <col min="6" max="6" width="28.109375" customWidth="1"/>
    <col min="7" max="7" width="21.88671875" customWidth="1"/>
    <col min="11" max="11" width="20.109375" customWidth="1"/>
    <col min="16" max="16" width="26.109375" customWidth="1"/>
  </cols>
  <sheetData>
    <row r="1" spans="1:26" ht="15.6" x14ac:dyDescent="0.3">
      <c r="A1" s="3" t="s">
        <v>633</v>
      </c>
      <c r="B1" s="3" t="s">
        <v>634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635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636</v>
      </c>
      <c r="Q1" s="3" t="s">
        <v>16</v>
      </c>
      <c r="R1" s="3"/>
      <c r="S1" s="3"/>
      <c r="T1" s="3"/>
      <c r="U1" s="3"/>
      <c r="V1" s="3"/>
      <c r="W1" s="3"/>
    </row>
    <row r="2" spans="1:26" ht="13.2" x14ac:dyDescent="0.25">
      <c r="A2" s="33">
        <f ca="1">IFERROR(__xludf.DUMMYFUNCTION("QUERY('Form Responses 1'!A2:S1000, ""select * where R='Pune'"") "),44847.7006298611)</f>
        <v>44847.700629861101</v>
      </c>
      <c r="B2" s="19" t="str">
        <f ca="1">IFERROR(__xludf.DUMMYFUNCTION("""COMPUTED_VALUE"""),"TM INFRAPROJECTS")</f>
        <v>TM INFRAPROJECTS</v>
      </c>
      <c r="C2" s="19" t="str">
        <f ca="1">IFERROR(__xludf.DUMMYFUNCTION("""COMPUTED_VALUE"""),"At/po narayangoan tal- junnar,dist- pune 410511")</f>
        <v>At/po narayangoan tal- junnar,dist- pune 410511</v>
      </c>
      <c r="D2" s="19">
        <f ca="1">IFERROR(__xludf.DUMMYFUNCTION("""COMPUTED_VALUE"""),8788146968)</f>
        <v>8788146968</v>
      </c>
      <c r="E2" s="19"/>
      <c r="F2" s="19" t="str">
        <f ca="1">IFERROR(__xludf.DUMMYFUNCTION("""COMPUTED_VALUE"""),"tushar08.makar@gmail.com")</f>
        <v>tushar08.makar@gmail.com</v>
      </c>
      <c r="G2" s="19"/>
      <c r="H2" s="19"/>
      <c r="I2" s="19"/>
      <c r="J2" s="19" t="str">
        <f ca="1">IFERROR(__xludf.DUMMYFUNCTION("""COMPUTED_VALUE"""),"Tushar Ashok Makar")</f>
        <v>Tushar Ashok Makar</v>
      </c>
      <c r="K2" s="19" t="str">
        <f ca="1">IFERROR(__xludf.DUMMYFUNCTION("""COMPUTED_VALUE"""),"tushar08.makar@gmail.com")</f>
        <v>tushar08.makar@gmail.com</v>
      </c>
      <c r="L2" s="20">
        <f ca="1">IFERROR(__xludf.DUMMYFUNCTION("""COMPUTED_VALUE"""),44278)</f>
        <v>44278</v>
      </c>
      <c r="M2" s="19" t="str">
        <f ca="1">IFERROR(__xludf.DUMMYFUNCTION("""COMPUTED_VALUE"""),"Option 1")</f>
        <v>Option 1</v>
      </c>
      <c r="N2" s="19" t="str">
        <f ca="1">IFERROR(__xludf.DUMMYFUNCTION("""COMPUTED_VALUE"""),"Partnership")</f>
        <v>Partnership</v>
      </c>
      <c r="O2" s="19" t="str">
        <f ca="1">IFERROR(__xludf.DUMMYFUNCTION("""COMPUTED_VALUE"""),"Consultant")</f>
        <v>Consultant</v>
      </c>
      <c r="P2" s="19" t="str">
        <f ca="1">IFERROR(__xludf.DUMMYFUNCTION("""COMPUTED_VALUE"""),"Structural Designes and site visits")</f>
        <v>Structural Designes and site visits</v>
      </c>
      <c r="Q2" s="19" t="str">
        <f ca="1">IFERROR(__xludf.DUMMYFUNCTION("""COMPUTED_VALUE"""),"Hdfc")</f>
        <v>Hdfc</v>
      </c>
      <c r="R2" s="19" t="str">
        <f ca="1">IFERROR(__xludf.DUMMYFUNCTION("""COMPUTED_VALUE"""),"Pune")</f>
        <v>Pune</v>
      </c>
      <c r="S2" s="19"/>
    </row>
    <row r="3" spans="1:26" ht="17.25" customHeight="1" x14ac:dyDescent="0.25">
      <c r="A3" s="33">
        <f ca="1">IFERROR(__xludf.DUMMYFUNCTION("""COMPUTED_VALUE"""),44849.5928681481)</f>
        <v>44849.592868148102</v>
      </c>
      <c r="B3" s="19" t="str">
        <f ca="1">IFERROR(__xludf.DUMMYFUNCTION("""COMPUTED_VALUE"""),"saidattaply and hardware")</f>
        <v>saidattaply and hardware</v>
      </c>
      <c r="C3" s="19" t="str">
        <f ca="1">IFERROR(__xludf.DUMMYFUNCTION("""COMPUTED_VALUE"""),"Shop now,sara residency, near kirti elegant society, mhalunge ,pune 45")</f>
        <v>Shop now,sara residency, near kirti elegant society, mhalunge ,pune 45</v>
      </c>
      <c r="D3" s="19"/>
      <c r="E3" s="19" t="str">
        <f ca="1">IFERROR(__xludf.DUMMYFUNCTION("""COMPUTED_VALUE"""),"9370222333")</f>
        <v>9370222333</v>
      </c>
      <c r="F3" s="19" t="str">
        <f ca="1">IFERROR(__xludf.DUMMYFUNCTION("""COMPUTED_VALUE"""),"saidattaply@gmail.com")</f>
        <v>saidattaply@gmail.com</v>
      </c>
      <c r="G3" s="19"/>
      <c r="H3" s="19" t="str">
        <f ca="1">IFERROR(__xludf.DUMMYFUNCTION("""COMPUTED_VALUE"""),"27AAHHG1930J1ZB")</f>
        <v>27AAHHG1930J1ZB</v>
      </c>
      <c r="I3" s="19" t="str">
        <f ca="1">IFERROR(__xludf.DUMMYFUNCTION("""COMPUTED_VALUE"""),"AAHHG1930J")</f>
        <v>AAHHG1930J</v>
      </c>
      <c r="J3" s="19" t="str">
        <f ca="1">IFERROR(__xludf.DUMMYFUNCTION("""COMPUTED_VALUE"""),"Ganesh chandrakant kate")</f>
        <v>Ganesh chandrakant kate</v>
      </c>
      <c r="K3" s="19" t="str">
        <f ca="1">IFERROR(__xludf.DUMMYFUNCTION("""COMPUTED_VALUE"""),"kateganesh333@gmail.com")</f>
        <v>kateganesh333@gmail.com</v>
      </c>
      <c r="L3" s="20">
        <f ca="1">IFERROR(__xludf.DUMMYFUNCTION("""COMPUTED_VALUE"""),42990)</f>
        <v>42990</v>
      </c>
      <c r="M3" s="19" t="str">
        <f ca="1">IFERROR(__xludf.DUMMYFUNCTION("""COMPUTED_VALUE"""),"Option 2")</f>
        <v>Option 2</v>
      </c>
      <c r="N3" s="19" t="str">
        <f ca="1">IFERROR(__xludf.DUMMYFUNCTION("""COMPUTED_VALUE"""),"Solo Properitership")</f>
        <v>Solo Properitership</v>
      </c>
      <c r="O3" s="19" t="str">
        <f ca="1">IFERROR(__xludf.DUMMYFUNCTION("""COMPUTED_VALUE"""),"RETAILER")</f>
        <v>RETAILER</v>
      </c>
      <c r="P3" s="19" t="str">
        <f ca="1">IFERROR(__xludf.DUMMYFUNCTION("""COMPUTED_VALUE"""),"All material related furniture i.e.plywood, laminte,veneer, hardwood,decorative pannel,exterior facad,verious types of woods,etc.")</f>
        <v>All material related furniture i.e.plywood, laminte,veneer, hardwood,decorative pannel,exterior facad,verious types of woods,etc.</v>
      </c>
      <c r="Q3" s="19" t="str">
        <f ca="1">IFERROR(__xludf.DUMMYFUNCTION("""COMPUTED_VALUE"""),"Saideep marketing
Current ac no 119904180000210
Ifs code SVCB0000119
Branch satara sadar bazar")</f>
        <v>Saideep marketing
Current ac no 119904180000210
Ifs code SVCB0000119
Branch satara sadar bazar</v>
      </c>
      <c r="R3" s="19" t="str">
        <f ca="1">IFERROR(__xludf.DUMMYFUNCTION("""COMPUTED_VALUE"""),"Pune")</f>
        <v>Pune</v>
      </c>
      <c r="S3" s="19"/>
    </row>
    <row r="4" spans="1:26" ht="13.2" x14ac:dyDescent="0.25">
      <c r="A4" s="33">
        <f ca="1">IFERROR(__xludf.DUMMYFUNCTION("""COMPUTED_VALUE"""),44869.6589342245)</f>
        <v>44869.658934224499</v>
      </c>
      <c r="B4" s="19" t="str">
        <f ca="1">IFERROR(__xludf.DUMMYFUNCTION("""COMPUTED_VALUE"""),"Shree Krushna Electricals ")</f>
        <v xml:space="preserve">Shree Krushna Electricals </v>
      </c>
      <c r="C4" s="19" t="str">
        <f ca="1">IFERROR(__xludf.DUMMYFUNCTION("""COMPUTED_VALUE"""),"49/3/2, Shramik Nagar, Dhanori, Vidya Nagar, Pune - 411015")</f>
        <v>49/3/2, Shramik Nagar, Dhanori, Vidya Nagar, Pune - 411015</v>
      </c>
      <c r="D4" s="19">
        <f ca="1">IFERROR(__xludf.DUMMYFUNCTION("""COMPUTED_VALUE"""),8237313286)</f>
        <v>8237313286</v>
      </c>
      <c r="E4" s="19" t="str">
        <f ca="1">IFERROR(__xludf.DUMMYFUNCTION("""COMPUTED_VALUE"""),"Not available ")</f>
        <v xml:space="preserve">Not available </v>
      </c>
      <c r="F4" s="19" t="str">
        <f ca="1">IFERROR(__xludf.DUMMYFUNCTION("""COMPUTED_VALUE"""),"sachinsalvi8487@gmail.com")</f>
        <v>sachinsalvi8487@gmail.com</v>
      </c>
      <c r="G4" s="19"/>
      <c r="H4" s="19"/>
      <c r="I4" s="19" t="str">
        <f ca="1">IFERROR(__xludf.DUMMYFUNCTION("""COMPUTED_VALUE"""),"DENPS2506M")</f>
        <v>DENPS2506M</v>
      </c>
      <c r="J4" s="19" t="str">
        <f ca="1">IFERROR(__xludf.DUMMYFUNCTION("""COMPUTED_VALUE"""),"Sachin Krushna Salvi")</f>
        <v>Sachin Krushna Salvi</v>
      </c>
      <c r="K4" s="19"/>
      <c r="L4" s="20">
        <f ca="1">IFERROR(__xludf.DUMMYFUNCTION("""COMPUTED_VALUE"""),41129)</f>
        <v>41129</v>
      </c>
      <c r="M4" s="19"/>
      <c r="N4" s="19" t="str">
        <f ca="1">IFERROR(__xludf.DUMMYFUNCTION("""COMPUTED_VALUE"""),"Solo Properitership")</f>
        <v>Solo Properitership</v>
      </c>
      <c r="O4" s="19" t="str">
        <f ca="1">IFERROR(__xludf.DUMMYFUNCTION("""COMPUTED_VALUE"""),"Professional services")</f>
        <v>Professional services</v>
      </c>
      <c r="P4" s="19" t="str">
        <f ca="1">IFERROR(__xludf.DUMMYFUNCTION("""COMPUTED_VALUE"""),"All types of electrical and maintenance work ")</f>
        <v xml:space="preserve">All types of electrical and maintenance work </v>
      </c>
      <c r="Q4" s="19" t="str">
        <f ca="1">IFERROR(__xludf.DUMMYFUNCTION("""COMPUTED_VALUE"""),"ICICI Bank
056601511109")</f>
        <v>ICICI Bank
056601511109</v>
      </c>
      <c r="R4" s="19" t="str">
        <f ca="1">IFERROR(__xludf.DUMMYFUNCTION("""COMPUTED_VALUE"""),"Pune")</f>
        <v>Pune</v>
      </c>
      <c r="S4" s="19"/>
    </row>
    <row r="5" spans="1:26" ht="24" customHeight="1" x14ac:dyDescent="0.25">
      <c r="A5" s="34">
        <f ca="1">IFERROR(__xludf.DUMMYFUNCTION("""COMPUTED_VALUE"""),44939.9228721643)</f>
        <v>44939.922872164301</v>
      </c>
      <c r="B5" s="35" t="str">
        <f ca="1">IFERROR(__xludf.DUMMYFUNCTION("""COMPUTED_VALUE"""),"Siddhivinayak Work Solutions")</f>
        <v>Siddhivinayak Work Solutions</v>
      </c>
      <c r="C5" s="35" t="str">
        <f ca="1">IFERROR(__xludf.DUMMYFUNCTION("""COMPUTED_VALUE"""),"Shop No - 3, Indumati Heights, Taradatta Purv, Saswad, Pune - 412401.")</f>
        <v>Shop No - 3, Indumati Heights, Taradatta Purv, Saswad, Pune - 412401.</v>
      </c>
      <c r="D5" s="35">
        <f ca="1">IFERROR(__xludf.DUMMYFUNCTION("""COMPUTED_VALUE"""),8975116589)</f>
        <v>8975116589</v>
      </c>
      <c r="E5" s="35"/>
      <c r="F5" s="35" t="str">
        <f ca="1">IFERROR(__xludf.DUMMYFUNCTION("""COMPUTED_VALUE"""),"swsolutions89@gmail.com")</f>
        <v>swsolutions89@gmail.com</v>
      </c>
      <c r="G5" s="35" t="str">
        <f ca="1">IFERROR(__xludf.DUMMYFUNCTION("""COMPUTED_VALUE"""),"Shop No - 3, Indumati Heights, Taradatta Purv, Saswad")</f>
        <v>Shop No - 3, Indumati Heights, Taradatta Purv, Saswad</v>
      </c>
      <c r="H5" s="35" t="str">
        <f ca="1">IFERROR(__xludf.DUMMYFUNCTION("""COMPUTED_VALUE"""),"27AAPPZ3487M2ZG")</f>
        <v>27AAPPZ3487M2ZG</v>
      </c>
      <c r="I5" s="35" t="str">
        <f ca="1">IFERROR(__xludf.DUMMYFUNCTION("""COMPUTED_VALUE"""),"AAPPZ3487M")</f>
        <v>AAPPZ3487M</v>
      </c>
      <c r="J5" s="35" t="str">
        <f ca="1">IFERROR(__xludf.DUMMYFUNCTION("""COMPUTED_VALUE"""),"Mr . Sushant Shinde")</f>
        <v>Mr . Sushant Shinde</v>
      </c>
      <c r="K5" s="35" t="str">
        <f ca="1">IFERROR(__xludf.DUMMYFUNCTION("""COMPUTED_VALUE"""),"nileshzende123@gmail.com")</f>
        <v>nileshzende123@gmail.com</v>
      </c>
      <c r="L5" s="36">
        <f ca="1">IFERROR(__xludf.DUMMYFUNCTION("""COMPUTED_VALUE"""),43831)</f>
        <v>43831</v>
      </c>
      <c r="M5" s="35" t="str">
        <f ca="1">IFERROR(__xludf.DUMMYFUNCTION("""COMPUTED_VALUE"""),"Option 2")</f>
        <v>Option 2</v>
      </c>
      <c r="N5" s="35" t="str">
        <f ca="1">IFERROR(__xludf.DUMMYFUNCTION("""COMPUTED_VALUE"""),"Solo Properitership")</f>
        <v>Solo Properitership</v>
      </c>
      <c r="O5" s="35" t="str">
        <f ca="1">IFERROR(__xludf.DUMMYFUNCTION("""COMPUTED_VALUE"""),"Professional services")</f>
        <v>Professional services</v>
      </c>
      <c r="P5" s="35" t="str">
        <f ca="1">IFERROR(__xludf.DUMMYFUNCTION("""COMPUTED_VALUE"""),"Air Conditioning Sales and Service ")</f>
        <v xml:space="preserve">Air Conditioning Sales and Service </v>
      </c>
      <c r="Q5" s="35" t="str">
        <f ca="1">IFERROR(__xludf.DUMMYFUNCTION("""COMPUTED_VALUE"""),"Company Name - SIDDHIVINAYAK WORK SOLUTION
Bank Name: Axis Bank
Account Type - Current
Bank Account No.: 920020001476766
Bank IFSC code: UTIB0002985
Branch - Saswad.")</f>
        <v>Company Name - SIDDHIVINAYAK WORK SOLUTION
Bank Name: Axis Bank
Account Type - Current
Bank Account No.: 920020001476766
Bank IFSC code: UTIB0002985
Branch - Saswad.</v>
      </c>
      <c r="R5" s="35" t="str">
        <f ca="1">IFERROR(__xludf.DUMMYFUNCTION("""COMPUTED_VALUE"""),"Pune")</f>
        <v>Pune</v>
      </c>
      <c r="S5" s="35"/>
      <c r="T5" s="35"/>
      <c r="U5" s="35"/>
      <c r="V5" s="35"/>
      <c r="W5" s="35"/>
      <c r="X5" s="35"/>
      <c r="Y5" s="35"/>
      <c r="Z5" s="35"/>
    </row>
    <row r="6" spans="1:26" ht="24" customHeight="1" x14ac:dyDescent="0.25">
      <c r="A6" s="33">
        <f ca="1">IFERROR(__xludf.DUMMYFUNCTION("""COMPUTED_VALUE"""),44943.5649845717)</f>
        <v>44943.564984571698</v>
      </c>
      <c r="B6" s="19" t="str">
        <f ca="1">IFERROR(__xludf.DUMMYFUNCTION("""COMPUTED_VALUE"""),"S S ELECTRONICS")</f>
        <v>S S ELECTRONICS</v>
      </c>
      <c r="C6" s="19" t="str">
        <f ca="1">IFERROR(__xludf.DUMMYFUNCTION("""COMPUTED_VALUE"""),"RAJIV GANDHI NAGAR UPPER BIBVEWADI PUNE 411037")</f>
        <v>RAJIV GANDHI NAGAR UPPER BIBVEWADI PUNE 411037</v>
      </c>
      <c r="D6" s="19">
        <f ca="1">IFERROR(__xludf.DUMMYFUNCTION("""COMPUTED_VALUE"""),9552442726)</f>
        <v>9552442726</v>
      </c>
      <c r="E6" s="19"/>
      <c r="F6" s="19" t="str">
        <f ca="1">IFERROR(__xludf.DUMMYFUNCTION("""COMPUTED_VALUE"""),"sselectronicspune2020@gmail.com")</f>
        <v>sselectronicspune2020@gmail.com</v>
      </c>
      <c r="G6" s="19"/>
      <c r="H6" s="19" t="str">
        <f ca="1">IFERROR(__xludf.DUMMYFUNCTION("""COMPUTED_VALUE"""),"27AEDFS9963H1ZF")</f>
        <v>27AEDFS9963H1ZF</v>
      </c>
      <c r="I6" s="19" t="str">
        <f ca="1">IFERROR(__xludf.DUMMYFUNCTION("""COMPUTED_VALUE"""),"AEDFS9963H")</f>
        <v>AEDFS9963H</v>
      </c>
      <c r="J6" s="19" t="str">
        <f ca="1">IFERROR(__xludf.DUMMYFUNCTION("""COMPUTED_VALUE"""),"SANDESH MAHADIK")</f>
        <v>SANDESH MAHADIK</v>
      </c>
      <c r="K6" s="19" t="str">
        <f ca="1">IFERROR(__xludf.DUMMYFUNCTION("""COMPUTED_VALUE"""),"mahadik.sandesh777@gmail.com")</f>
        <v>mahadik.sandesh777@gmail.com</v>
      </c>
      <c r="L6" s="20">
        <f ca="1">IFERROR(__xludf.DUMMYFUNCTION("""COMPUTED_VALUE"""),44011)</f>
        <v>44011</v>
      </c>
      <c r="M6" s="19"/>
      <c r="N6" s="19" t="str">
        <f ca="1">IFERROR(__xludf.DUMMYFUNCTION("""COMPUTED_VALUE"""),"Partnership")</f>
        <v>Partnership</v>
      </c>
      <c r="O6" s="19" t="str">
        <f ca="1">IFERROR(__xludf.DUMMYFUNCTION("""COMPUTED_VALUE"""),"RETAILER")</f>
        <v>RETAILER</v>
      </c>
      <c r="P6" s="19"/>
      <c r="Q6" s="19" t="str">
        <f ca="1">IFERROR(__xludf.DUMMYFUNCTION("""COMPUTED_VALUE"""),"HDFC BANK
S NO-571/CRYSTAL ROOM NEAR SURYAPRABHA GARDEN KENJALE NAGAR BIBVEWADI PUNE 411037
S S ELECTRONICS
AC NO-50200050185962")</f>
        <v>HDFC BANK
S NO-571/CRYSTAL ROOM NEAR SURYAPRABHA GARDEN KENJALE NAGAR BIBVEWADI PUNE 411037
S S ELECTRONICS
AC NO-50200050185962</v>
      </c>
      <c r="R6" s="19" t="str">
        <f ca="1">IFERROR(__xludf.DUMMYFUNCTION("""COMPUTED_VALUE"""),"Pune")</f>
        <v>Pune</v>
      </c>
      <c r="S6" s="19"/>
    </row>
    <row r="7" spans="1:26" ht="24" customHeight="1" x14ac:dyDescent="0.25">
      <c r="A7" s="33">
        <f ca="1">IFERROR(__xludf.DUMMYFUNCTION("""COMPUTED_VALUE"""),44954.8422271296)</f>
        <v>44954.8422271296</v>
      </c>
      <c r="B7" s="19" t="str">
        <f ca="1">IFERROR(__xludf.DUMMYFUNCTION("""COMPUTED_VALUE"""),"Global Pest Solutions ")</f>
        <v xml:space="preserve">Global Pest Solutions </v>
      </c>
      <c r="C7" s="19" t="str">
        <f ca="1">IFERROR(__xludf.DUMMYFUNCTION("""COMPUTED_VALUE"""),"1002, Kasba Peth , Kumbharwada , Pune 411011")</f>
        <v>1002, Kasba Peth , Kumbharwada , Pune 411011</v>
      </c>
      <c r="D7" s="19"/>
      <c r="E7" s="19"/>
      <c r="F7" s="19" t="str">
        <f ca="1">IFERROR(__xludf.DUMMYFUNCTION("""COMPUTED_VALUE"""),"gaurav@globalpests.com")</f>
        <v>gaurav@globalpests.com</v>
      </c>
      <c r="G7" s="37" t="str">
        <f ca="1">IFERROR(__xludf.DUMMYFUNCTION("""COMPUTED_VALUE"""),"www.globalpests.com")</f>
        <v>www.globalpests.com</v>
      </c>
      <c r="H7" s="19" t="str">
        <f ca="1">IFERROR(__xludf.DUMMYFUNCTION("""COMPUTED_VALUE"""),"27DOFPS1832L1ZJ")</f>
        <v>27DOFPS1832L1ZJ</v>
      </c>
      <c r="I7" s="19" t="str">
        <f ca="1">IFERROR(__xludf.DUMMYFUNCTION("""COMPUTED_VALUE"""),"DOFPS1832L")</f>
        <v>DOFPS1832L</v>
      </c>
      <c r="J7" s="19" t="str">
        <f ca="1">IFERROR(__xludf.DUMMYFUNCTION("""COMPUTED_VALUE"""),"Gaurav Somwanshi ")</f>
        <v xml:space="preserve">Gaurav Somwanshi </v>
      </c>
      <c r="K7" s="19" t="str">
        <f ca="1">IFERROR(__xludf.DUMMYFUNCTION("""COMPUTED_VALUE"""),"Gaurav@globalpests.com")</f>
        <v>Gaurav@globalpests.com</v>
      </c>
      <c r="L7" s="20">
        <f ca="1">IFERROR(__xludf.DUMMYFUNCTION("""COMPUTED_VALUE"""),43104)</f>
        <v>43104</v>
      </c>
      <c r="M7" s="19" t="str">
        <f ca="1">IFERROR(__xludf.DUMMYFUNCTION("""COMPUTED_VALUE"""),"Option 3")</f>
        <v>Option 3</v>
      </c>
      <c r="N7" s="19" t="str">
        <f ca="1">IFERROR(__xludf.DUMMYFUNCTION("""COMPUTED_VALUE"""),"Solo Properitership")</f>
        <v>Solo Properitership</v>
      </c>
      <c r="O7" s="19" t="str">
        <f ca="1">IFERROR(__xludf.DUMMYFUNCTION("""COMPUTED_VALUE"""),"Professional services")</f>
        <v>Professional services</v>
      </c>
      <c r="P7" s="19" t="str">
        <f ca="1">IFERROR(__xludf.DUMMYFUNCTION("""COMPUTED_VALUE"""),"PEST CONTROL SERVICES ")</f>
        <v xml:space="preserve">PEST CONTROL SERVICES </v>
      </c>
      <c r="Q7" s="19" t="str">
        <f ca="1">IFERROR(__xludf.DUMMYFUNCTION("""COMPUTED_VALUE"""),"Bank Of Maharashtra
BOM00000322
AC NO - 60304212459")</f>
        <v>Bank Of Maharashtra
BOM00000322
AC NO - 60304212459</v>
      </c>
      <c r="R7" s="19" t="str">
        <f ca="1">IFERROR(__xludf.DUMMYFUNCTION("""COMPUTED_VALUE"""),"Pune")</f>
        <v>Pune</v>
      </c>
      <c r="S7" s="19"/>
    </row>
    <row r="8" spans="1:26" ht="13.2" x14ac:dyDescent="0.25">
      <c r="A8" s="33">
        <f ca="1">IFERROR(__xludf.DUMMYFUNCTION("""COMPUTED_VALUE"""),44954.8461784375)</f>
        <v>44954.846178437503</v>
      </c>
      <c r="B8" s="19" t="str">
        <f ca="1">IFERROR(__xludf.DUMMYFUNCTION("""COMPUTED_VALUE"""),"Mangesh ukirde")</f>
        <v>Mangesh ukirde</v>
      </c>
      <c r="C8" s="19" t="str">
        <f ca="1">IFERROR(__xludf.DUMMYFUNCTION("""COMPUTED_VALUE"""),"Dhairi raikad mala")</f>
        <v>Dhairi raikad mala</v>
      </c>
      <c r="D8" s="19">
        <f ca="1">IFERROR(__xludf.DUMMYFUNCTION("""COMPUTED_VALUE"""),8149165165)</f>
        <v>8149165165</v>
      </c>
      <c r="E8" s="19"/>
      <c r="F8" s="19" t="str">
        <f ca="1">IFERROR(__xludf.DUMMYFUNCTION("""COMPUTED_VALUE"""),"mangeshukirde@gmail.com")</f>
        <v>mangeshukirde@gmail.com</v>
      </c>
      <c r="G8" s="19"/>
      <c r="H8" s="19"/>
      <c r="I8" s="19"/>
      <c r="J8" s="19"/>
      <c r="K8" s="19"/>
      <c r="L8" s="20"/>
      <c r="M8" s="19"/>
      <c r="N8" s="19" t="str">
        <f ca="1">IFERROR(__xludf.DUMMYFUNCTION("""COMPUTED_VALUE"""),"Solo Properitership")</f>
        <v>Solo Properitership</v>
      </c>
      <c r="O8" s="19" t="str">
        <f ca="1">IFERROR(__xludf.DUMMYFUNCTION("""COMPUTED_VALUE"""),"Construction contractor")</f>
        <v>Construction contractor</v>
      </c>
      <c r="P8" s="19" t="str">
        <f ca="1">IFERROR(__xludf.DUMMYFUNCTION("""COMPUTED_VALUE"""),"Interior work")</f>
        <v>Interior work</v>
      </c>
      <c r="Q8" s="19"/>
      <c r="R8" s="19" t="str">
        <f ca="1">IFERROR(__xludf.DUMMYFUNCTION("""COMPUTED_VALUE"""),"Pune")</f>
        <v>Pune</v>
      </c>
      <c r="S8" s="19"/>
    </row>
    <row r="9" spans="1:26" ht="13.2" x14ac:dyDescent="0.25">
      <c r="A9" s="33">
        <f ca="1">IFERROR(__xludf.DUMMYFUNCTION("""COMPUTED_VALUE"""),44954.847635405)</f>
        <v>44954.847635405</v>
      </c>
      <c r="B9" s="19" t="str">
        <f ca="1">IFERROR(__xludf.DUMMYFUNCTION("""COMPUTED_VALUE"""),"Aalekhya Associates")</f>
        <v>Aalekhya Associates</v>
      </c>
      <c r="C9" s="19" t="str">
        <f ca="1">IFERROR(__xludf.DUMMYFUNCTION("""COMPUTED_VALUE"""),"Zelhi Niwas Shrikrushna nagar Akurdi Pune 411035")</f>
        <v>Zelhi Niwas Shrikrushna nagar Akurdi Pune 411035</v>
      </c>
      <c r="D9" s="19"/>
      <c r="E9" s="19"/>
      <c r="F9" s="19" t="str">
        <f ca="1">IFERROR(__xludf.DUMMYFUNCTION("""COMPUTED_VALUE"""),"info.aalekhyaassociates@gmail.com")</f>
        <v>info.aalekhyaassociates@gmail.com</v>
      </c>
      <c r="G9" s="19"/>
      <c r="H9" s="19" t="str">
        <f ca="1">IFERROR(__xludf.DUMMYFUNCTION("""COMPUTED_VALUE"""),"27FGUPP6661R1ZX")</f>
        <v>27FGUPP6661R1ZX</v>
      </c>
      <c r="I9" s="19" t="str">
        <f ca="1">IFERROR(__xludf.DUMMYFUNCTION("""COMPUTED_VALUE"""),"FGUPP6661R")</f>
        <v>FGUPP6661R</v>
      </c>
      <c r="J9" s="19" t="str">
        <f ca="1">IFERROR(__xludf.DUMMYFUNCTION("""COMPUTED_VALUE"""),"Service Provider ")</f>
        <v xml:space="preserve">Service Provider </v>
      </c>
      <c r="K9" s="19" t="str">
        <f ca="1">IFERROR(__xludf.DUMMYFUNCTION("""COMPUTED_VALUE"""),"ar.patilmayur@gmail.com")</f>
        <v>ar.patilmayur@gmail.com</v>
      </c>
      <c r="L9" s="20">
        <f ca="1">IFERROR(__xludf.DUMMYFUNCTION("""COMPUTED_VALUE"""),44795)</f>
        <v>44795</v>
      </c>
      <c r="M9" s="19" t="str">
        <f ca="1">IFERROR(__xludf.DUMMYFUNCTION("""COMPUTED_VALUE"""),"Option 1")</f>
        <v>Option 1</v>
      </c>
      <c r="N9" s="19" t="str">
        <f ca="1">IFERROR(__xludf.DUMMYFUNCTION("""COMPUTED_VALUE"""),"Solo Properitership")</f>
        <v>Solo Properitership</v>
      </c>
      <c r="O9" s="19" t="str">
        <f ca="1">IFERROR(__xludf.DUMMYFUNCTION("""COMPUTED_VALUE"""),"Professional services")</f>
        <v>Professional services</v>
      </c>
      <c r="P9" s="19" t="str">
        <f ca="1">IFERROR(__xludf.DUMMYFUNCTION("""COMPUTED_VALUE"""),"Carpentry Work ,Plumbing, Civil work,all types of Interior Work")</f>
        <v>Carpentry Work ,Plumbing, Civil work,all types of Interior Work</v>
      </c>
      <c r="Q9" s="19" t="str">
        <f ca="1">IFERROR(__xludf.DUMMYFUNCTION("""COMPUTED_VALUE"""),"Union Bank ")</f>
        <v xml:space="preserve">Union Bank </v>
      </c>
      <c r="R9" s="19" t="str">
        <f ca="1">IFERROR(__xludf.DUMMYFUNCTION("""COMPUTED_VALUE"""),"Pune")</f>
        <v>Pune</v>
      </c>
      <c r="S9" s="19"/>
    </row>
    <row r="10" spans="1:26" ht="13.2" x14ac:dyDescent="0.25">
      <c r="A10" s="33">
        <f ca="1">IFERROR(__xludf.DUMMYFUNCTION("""COMPUTED_VALUE"""),44954.8488528587)</f>
        <v>44954.848852858697</v>
      </c>
      <c r="B10" s="19" t="str">
        <f ca="1">IFERROR(__xludf.DUMMYFUNCTION("""COMPUTED_VALUE"""),"Sunlight")</f>
        <v>Sunlight</v>
      </c>
      <c r="C10" s="19" t="str">
        <f ca="1">IFERROR(__xludf.DUMMYFUNCTION("""COMPUTED_VALUE"""),"Jai Ganesh vision akurdi Pune 35")</f>
        <v>Jai Ganesh vision akurdi Pune 35</v>
      </c>
      <c r="D10" s="19">
        <f ca="1">IFERROR(__xludf.DUMMYFUNCTION("""COMPUTED_VALUE"""),7499059328)</f>
        <v>7499059328</v>
      </c>
      <c r="E10" s="19"/>
      <c r="F10" s="19"/>
      <c r="G10" s="19"/>
      <c r="H10" s="19"/>
      <c r="I10" s="19"/>
      <c r="J10" s="19" t="str">
        <f ca="1">IFERROR(__xludf.DUMMYFUNCTION("""COMPUTED_VALUE"""),"Sunlight - electrical work ")</f>
        <v xml:space="preserve">Sunlight - electrical work </v>
      </c>
      <c r="K10" s="19" t="str">
        <f ca="1">IFERROR(__xludf.DUMMYFUNCTION("""COMPUTED_VALUE"""),"prashant@sunlightelectrcials.net")</f>
        <v>prashant@sunlightelectrcials.net</v>
      </c>
      <c r="L10" s="20"/>
      <c r="M10" s="19"/>
      <c r="N10" s="19" t="str">
        <f ca="1">IFERROR(__xludf.DUMMYFUNCTION("""COMPUTED_VALUE"""),"Corporation")</f>
        <v>Corporation</v>
      </c>
      <c r="O10" s="19" t="str">
        <f ca="1">IFERROR(__xludf.DUMMYFUNCTION("""COMPUTED_VALUE"""),"Professional services")</f>
        <v>Professional services</v>
      </c>
      <c r="P10" s="19" t="str">
        <f ca="1">IFERROR(__xludf.DUMMYFUNCTION("""COMPUTED_VALUE"""),"Electrical work ")</f>
        <v xml:space="preserve">Electrical work </v>
      </c>
      <c r="Q10" s="19"/>
      <c r="R10" s="19" t="str">
        <f ca="1">IFERROR(__xludf.DUMMYFUNCTION("""COMPUTED_VALUE"""),"Pune")</f>
        <v>Pune</v>
      </c>
      <c r="S10" s="19"/>
    </row>
    <row r="11" spans="1:26" ht="13.2" x14ac:dyDescent="0.25">
      <c r="A11" s="33">
        <f ca="1">IFERROR(__xludf.DUMMYFUNCTION("""COMPUTED_VALUE"""),44954.8506285763)</f>
        <v>44954.8506285763</v>
      </c>
      <c r="B11" s="19" t="str">
        <f ca="1">IFERROR(__xludf.DUMMYFUNCTION("""COMPUTED_VALUE"""),"Chaya Enterprises")</f>
        <v>Chaya Enterprises</v>
      </c>
      <c r="C11" s="19" t="str">
        <f ca="1">IFERROR(__xludf.DUMMYFUNCTION("""COMPUTED_VALUE"""),"D/248 shukrawar peth near akra maruti chowk behind archana hotel pune 411002")</f>
        <v>D/248 shukrawar peth near akra maruti chowk behind archana hotel pune 411002</v>
      </c>
      <c r="D11" s="19"/>
      <c r="E11" s="19" t="str">
        <f ca="1">IFERROR(__xludf.DUMMYFUNCTION("""COMPUTED_VALUE"""),"-")</f>
        <v>-</v>
      </c>
      <c r="F11" s="19" t="str">
        <f ca="1">IFERROR(__xludf.DUMMYFUNCTION("""COMPUTED_VALUE"""),"janardhan.chaya@gmail.com")</f>
        <v>janardhan.chaya@gmail.com</v>
      </c>
      <c r="G11" s="19" t="str">
        <f ca="1">IFERROR(__xludf.DUMMYFUNCTION("""COMPUTED_VALUE"""),"-")</f>
        <v>-</v>
      </c>
      <c r="H11" s="19" t="str">
        <f ca="1">IFERROR(__xludf.DUMMYFUNCTION("""COMPUTED_VALUE"""),"27AJFPG6338R1ZL")</f>
        <v>27AJFPG6338R1ZL</v>
      </c>
      <c r="I11" s="19" t="str">
        <f ca="1">IFERROR(__xludf.DUMMYFUNCTION("""COMPUTED_VALUE"""),"AJFPG6338R")</f>
        <v>AJFPG6338R</v>
      </c>
      <c r="J11" s="19" t="str">
        <f ca="1">IFERROR(__xludf.DUMMYFUNCTION("""COMPUTED_VALUE"""),"Janardhan Gavande Director of (Chaya Enterprises-total solution in signage)")</f>
        <v>Janardhan Gavande Director of (Chaya Enterprises-total solution in signage)</v>
      </c>
      <c r="K11" s="19" t="str">
        <f ca="1">IFERROR(__xludf.DUMMYFUNCTION("""COMPUTED_VALUE"""),"janardhan.chaya@gmail.com")</f>
        <v>janardhan.chaya@gmail.com</v>
      </c>
      <c r="L11" s="20">
        <f ca="1">IFERROR(__xludf.DUMMYFUNCTION("""COMPUTED_VALUE"""),38622)</f>
        <v>38622</v>
      </c>
      <c r="M11" s="19"/>
      <c r="N11" s="19" t="str">
        <f ca="1">IFERROR(__xludf.DUMMYFUNCTION("""COMPUTED_VALUE"""),"Solo Properitership")</f>
        <v>Solo Properitership</v>
      </c>
      <c r="O11" s="19" t="str">
        <f ca="1">IFERROR(__xludf.DUMMYFUNCTION("""COMPUTED_VALUE"""),"Manufacturer")</f>
        <v>Manufacturer</v>
      </c>
      <c r="P11" s="19" t="str">
        <f ca="1">IFERROR(__xludf.DUMMYFUNCTION("""COMPUTED_VALUE"""),"Manufacturing of Signages")</f>
        <v>Manufacturing of Signages</v>
      </c>
      <c r="Q11" s="19" t="str">
        <f ca="1">IFERROR(__xludf.DUMMYFUNCTION("""COMPUTED_VALUE"""),"ICICI bank, Aundh branch,Chaya Enterprises,007305004545")</f>
        <v>ICICI bank, Aundh branch,Chaya Enterprises,007305004545</v>
      </c>
      <c r="R11" s="19" t="str">
        <f ca="1">IFERROR(__xludf.DUMMYFUNCTION("""COMPUTED_VALUE"""),"Pune")</f>
        <v>Pune</v>
      </c>
      <c r="S11" s="19"/>
    </row>
    <row r="12" spans="1:26" ht="23.25" customHeight="1" x14ac:dyDescent="0.25">
      <c r="A12" s="33">
        <f ca="1">IFERROR(__xludf.DUMMYFUNCTION("""COMPUTED_VALUE"""),44954.8642026967)</f>
        <v>44954.864202696699</v>
      </c>
      <c r="B12" s="19" t="str">
        <f ca="1">IFERROR(__xludf.DUMMYFUNCTION("""COMPUTED_VALUE"""),"Panchavati cool care ")</f>
        <v xml:space="preserve">Panchavati cool care </v>
      </c>
      <c r="C12" s="19" t="str">
        <f ca="1">IFERROR(__xludf.DUMMYFUNCTION("""COMPUTED_VALUE"""),"Savli niwas gate no 235/2 Gurudwara chwok,near akurdi railway station akurdi pune")</f>
        <v>Savli niwas gate no 235/2 Gurudwara chwok,near akurdi railway station akurdi pune</v>
      </c>
      <c r="D12" s="19">
        <f ca="1">IFERROR(__xludf.DUMMYFUNCTION("""COMPUTED_VALUE"""),6352535554)</f>
        <v>6352535554</v>
      </c>
      <c r="E12" s="19"/>
      <c r="F12" s="19" t="str">
        <f ca="1">IFERROR(__xludf.DUMMYFUNCTION("""COMPUTED_VALUE"""),"panchavaticoolcare@gmail.com")</f>
        <v>panchavaticoolcare@gmail.com</v>
      </c>
      <c r="G12" s="37" t="str">
        <f ca="1">IFERROR(__xludf.DUMMYFUNCTION("""COMPUTED_VALUE"""),"Www.Panchavaticoolcare.com")</f>
        <v>Www.Panchavaticoolcare.com</v>
      </c>
      <c r="H12" s="19" t="str">
        <f ca="1">IFERROR(__xludf.DUMMYFUNCTION("""COMPUTED_VALUE"""),"27AAYFP3817A1Z2")</f>
        <v>27AAYFP3817A1Z2</v>
      </c>
      <c r="I12" s="19" t="str">
        <f ca="1">IFERROR(__xludf.DUMMYFUNCTION("""COMPUTED_VALUE"""),"AAYFP3817A")</f>
        <v>AAYFP3817A</v>
      </c>
      <c r="J12" s="19" t="str">
        <f ca="1">IFERROR(__xludf.DUMMYFUNCTION("""COMPUTED_VALUE"""),"Akshay Jain")</f>
        <v>Akshay Jain</v>
      </c>
      <c r="K12" s="19" t="str">
        <f ca="1">IFERROR(__xludf.DUMMYFUNCTION("""COMPUTED_VALUE"""),"jainakshay5566@gmail.com")</f>
        <v>jainakshay5566@gmail.com</v>
      </c>
      <c r="L12" s="20">
        <f ca="1">IFERROR(__xludf.DUMMYFUNCTION("""COMPUTED_VALUE"""),43484)</f>
        <v>43484</v>
      </c>
      <c r="M12" s="19" t="str">
        <f ca="1">IFERROR(__xludf.DUMMYFUNCTION("""COMPUTED_VALUE"""),"Option 3")</f>
        <v>Option 3</v>
      </c>
      <c r="N12" s="19" t="str">
        <f ca="1">IFERROR(__xludf.DUMMYFUNCTION("""COMPUTED_VALUE"""),"Solo Properitership")</f>
        <v>Solo Properitership</v>
      </c>
      <c r="O12" s="19" t="str">
        <f ca="1">IFERROR(__xludf.DUMMYFUNCTION("""COMPUTED_VALUE"""),"Professional services")</f>
        <v>Professional services</v>
      </c>
      <c r="P12" s="19" t="str">
        <f ca="1">IFERROR(__xludf.DUMMYFUNCTION("""COMPUTED_VALUE"""),"Air conditioner sales and service")</f>
        <v>Air conditioner sales and service</v>
      </c>
      <c r="Q12" s="19" t="str">
        <f ca="1">IFERROR(__xludf.DUMMYFUNCTION("""COMPUTED_VALUE"""),"HDFC BANK
PANCHAVATI COOL CARE 
IFSC :- 0003669
Ac/no :- 50200050255910")</f>
        <v>HDFC BANK
PANCHAVATI COOL CARE 
IFSC :- 0003669
Ac/no :- 50200050255910</v>
      </c>
      <c r="R12" s="19" t="str">
        <f ca="1">IFERROR(__xludf.DUMMYFUNCTION("""COMPUTED_VALUE"""),"Pune")</f>
        <v>Pune</v>
      </c>
      <c r="S12" s="19"/>
    </row>
    <row r="13" spans="1:26" ht="13.2" x14ac:dyDescent="0.25">
      <c r="A13" s="33">
        <f ca="1">IFERROR(__xludf.DUMMYFUNCTION("""COMPUTED_VALUE"""),44954.8820749652)</f>
        <v>44954.8820749652</v>
      </c>
      <c r="B13" s="19" t="str">
        <f ca="1">IFERROR(__xludf.DUMMYFUNCTION("""COMPUTED_VALUE"""),"Shantanu refrigeration")</f>
        <v>Shantanu refrigeration</v>
      </c>
      <c r="C13" s="19" t="str">
        <f ca="1">IFERROR(__xludf.DUMMYFUNCTION("""COMPUTED_VALUE"""),"Sno 26, hingane khurd, sinhagad road pune 411051")</f>
        <v>Sno 26, hingane khurd, sinhagad road pune 411051</v>
      </c>
      <c r="D13" s="19">
        <f ca="1">IFERROR(__xludf.DUMMYFUNCTION("""COMPUTED_VALUE"""),9890136972)</f>
        <v>9890136972</v>
      </c>
      <c r="E13" s="19"/>
      <c r="F13" s="19" t="str">
        <f ca="1">IFERROR(__xludf.DUMMYFUNCTION("""COMPUTED_VALUE"""),"avinashpanchal1668@gmail.com")</f>
        <v>avinashpanchal1668@gmail.com</v>
      </c>
      <c r="G13" s="19"/>
      <c r="H13" s="19" t="str">
        <f ca="1">IFERROR(__xludf.DUMMYFUNCTION("""COMPUTED_VALUE"""),"27AKVPP9626L1Z1")</f>
        <v>27AKVPP9626L1Z1</v>
      </c>
      <c r="I13" s="19" t="str">
        <f ca="1">IFERROR(__xludf.DUMMYFUNCTION("""COMPUTED_VALUE"""),"AKVPP9626L")</f>
        <v>AKVPP9626L</v>
      </c>
      <c r="J13" s="19" t="str">
        <f ca="1">IFERROR(__xludf.DUMMYFUNCTION("""COMPUTED_VALUE"""),"Avinash panchal")</f>
        <v>Avinash panchal</v>
      </c>
      <c r="K13" s="19" t="str">
        <f ca="1">IFERROR(__xludf.DUMMYFUNCTION("""COMPUTED_VALUE"""),"avinashpanchal1668@gmail.com")</f>
        <v>avinashpanchal1668@gmail.com</v>
      </c>
      <c r="L13" s="20">
        <f ca="1">IFERROR(__xludf.DUMMYFUNCTION("""COMPUTED_VALUE"""),42248)</f>
        <v>42248</v>
      </c>
      <c r="M13" s="19" t="str">
        <f ca="1">IFERROR(__xludf.DUMMYFUNCTION("""COMPUTED_VALUE"""),"Option 1")</f>
        <v>Option 1</v>
      </c>
      <c r="N13" s="19" t="str">
        <f ca="1">IFERROR(__xludf.DUMMYFUNCTION("""COMPUTED_VALUE"""),"Solo Properitership")</f>
        <v>Solo Properitership</v>
      </c>
      <c r="O13" s="19" t="str">
        <f ca="1">IFERROR(__xludf.DUMMYFUNCTION("""COMPUTED_VALUE"""),"Construction contractor")</f>
        <v>Construction contractor</v>
      </c>
      <c r="P13" s="19" t="str">
        <f ca="1">IFERROR(__xludf.DUMMYFUNCTION("""COMPUTED_VALUE"""),"A. C &amp; refrigeration")</f>
        <v>A. C &amp; refrigeration</v>
      </c>
      <c r="Q13" s="19" t="str">
        <f ca="1">IFERROR(__xludf.DUMMYFUNCTION("""COMPUTED_VALUE"""),"Bank of baroda")</f>
        <v>Bank of baroda</v>
      </c>
      <c r="R13" s="19" t="str">
        <f ca="1">IFERROR(__xludf.DUMMYFUNCTION("""COMPUTED_VALUE"""),"Pune")</f>
        <v>Pune</v>
      </c>
      <c r="S13" s="19"/>
    </row>
    <row r="14" spans="1:26" ht="13.2" x14ac:dyDescent="0.25">
      <c r="A14" s="33">
        <f ca="1">IFERROR(__xludf.DUMMYFUNCTION("""COMPUTED_VALUE"""),44954.9119870486)</f>
        <v>44954.911987048603</v>
      </c>
      <c r="B14" s="19" t="str">
        <f ca="1">IFERROR(__xludf.DUMMYFUNCTION("""COMPUTED_VALUE"""),"Woodpecker furnitures")</f>
        <v>Woodpecker furnitures</v>
      </c>
      <c r="C14" s="19" t="str">
        <f ca="1">IFERROR(__xludf.DUMMYFUNCTION("""COMPUTED_VALUE"""),"Pune")</f>
        <v>Pune</v>
      </c>
      <c r="D14" s="19"/>
      <c r="E14" s="19"/>
      <c r="F14" s="19"/>
      <c r="G14" s="19"/>
      <c r="H14" s="19"/>
      <c r="I14" s="19"/>
      <c r="J14" s="19" t="str">
        <f ca="1">IFERROR(__xludf.DUMMYFUNCTION("""COMPUTED_VALUE"""),"Tejas chikne ")</f>
        <v xml:space="preserve">Tejas chikne </v>
      </c>
      <c r="K14" s="19"/>
      <c r="L14" s="20"/>
      <c r="M14" s="19"/>
      <c r="N14" s="19" t="str">
        <f ca="1">IFERROR(__xludf.DUMMYFUNCTION("""COMPUTED_VALUE"""),"Franchise")</f>
        <v>Franchise</v>
      </c>
      <c r="O14" s="19" t="str">
        <f ca="1">IFERROR(__xludf.DUMMYFUNCTION("""COMPUTED_VALUE"""),"RETAILER")</f>
        <v>RETAILER</v>
      </c>
      <c r="P14" s="19" t="str">
        <f ca="1">IFERROR(__xludf.DUMMYFUNCTION("""COMPUTED_VALUE"""),"All furniture")</f>
        <v>All furniture</v>
      </c>
      <c r="Q14" s="19"/>
      <c r="R14" s="19" t="str">
        <f ca="1">IFERROR(__xludf.DUMMYFUNCTION("""COMPUTED_VALUE"""),"Pune")</f>
        <v>Pune</v>
      </c>
      <c r="S14" s="19"/>
    </row>
    <row r="15" spans="1:26" ht="13.2" x14ac:dyDescent="0.25">
      <c r="A15" s="33">
        <f ca="1">IFERROR(__xludf.DUMMYFUNCTION("""COMPUTED_VALUE"""),44954.9124190625)</f>
        <v>44954.912419062501</v>
      </c>
      <c r="B15" s="19" t="str">
        <f ca="1">IFERROR(__xludf.DUMMYFUNCTION("""COMPUTED_VALUE"""),"Dinesh Electrician ")</f>
        <v xml:space="preserve">Dinesh Electrician </v>
      </c>
      <c r="C15" s="19" t="str">
        <f ca="1">IFERROR(__xludf.DUMMYFUNCTION("""COMPUTED_VALUE"""),"Pune")</f>
        <v>Pune</v>
      </c>
      <c r="D15" s="19"/>
      <c r="E15" s="19"/>
      <c r="F15" s="19"/>
      <c r="G15" s="19"/>
      <c r="H15" s="19"/>
      <c r="I15" s="19"/>
      <c r="J15" s="19" t="str">
        <f ca="1">IFERROR(__xludf.DUMMYFUNCTION("""COMPUTED_VALUE"""),"Dinesh")</f>
        <v>Dinesh</v>
      </c>
      <c r="K15" s="19"/>
      <c r="L15" s="20"/>
      <c r="M15" s="19"/>
      <c r="N15" s="19" t="str">
        <f ca="1">IFERROR(__xludf.DUMMYFUNCTION("""COMPUTED_VALUE"""),"Solo Properitership")</f>
        <v>Solo Properitership</v>
      </c>
      <c r="O15" s="19" t="str">
        <f ca="1">IFERROR(__xludf.DUMMYFUNCTION("""COMPUTED_VALUE"""),"Professional services")</f>
        <v>Professional services</v>
      </c>
      <c r="P15" s="19" t="str">
        <f ca="1">IFERROR(__xludf.DUMMYFUNCTION("""COMPUTED_VALUE"""),"Electrical work ")</f>
        <v xml:space="preserve">Electrical work </v>
      </c>
      <c r="Q15" s="19"/>
      <c r="R15" s="19" t="str">
        <f ca="1">IFERROR(__xludf.DUMMYFUNCTION("""COMPUTED_VALUE"""),"Pune")</f>
        <v>Pune</v>
      </c>
      <c r="S15" s="19"/>
    </row>
    <row r="16" spans="1:26" ht="13.2" x14ac:dyDescent="0.25">
      <c r="A16" s="33">
        <f ca="1">IFERROR(__xludf.DUMMYFUNCTION("""COMPUTED_VALUE"""),44954.9130098032)</f>
        <v>44954.913009803196</v>
      </c>
      <c r="B16" s="19" t="str">
        <f ca="1">IFERROR(__xludf.DUMMYFUNCTION("""COMPUTED_VALUE"""),"KK Earth movers")</f>
        <v>KK Earth movers</v>
      </c>
      <c r="C16" s="19" t="str">
        <f ca="1">IFERROR(__xludf.DUMMYFUNCTION("""COMPUTED_VALUE"""),"Kiwale - Pune")</f>
        <v>Kiwale - Pune</v>
      </c>
      <c r="D16" s="19"/>
      <c r="E16" s="19"/>
      <c r="F16" s="19"/>
      <c r="G16" s="19"/>
      <c r="H16" s="19"/>
      <c r="I16" s="19"/>
      <c r="J16" s="19" t="str">
        <f ca="1">IFERROR(__xludf.DUMMYFUNCTION("""COMPUTED_VALUE"""),"Kuldeep Katale")</f>
        <v>Kuldeep Katale</v>
      </c>
      <c r="K16" s="19"/>
      <c r="L16" s="20"/>
      <c r="M16" s="19"/>
      <c r="N16" s="19" t="str">
        <f ca="1">IFERROR(__xludf.DUMMYFUNCTION("""COMPUTED_VALUE"""),"Solo Properitership")</f>
        <v>Solo Properitership</v>
      </c>
      <c r="O16" s="19" t="str">
        <f ca="1">IFERROR(__xludf.DUMMYFUNCTION("""COMPUTED_VALUE"""),"Construction contractor")</f>
        <v>Construction contractor</v>
      </c>
      <c r="P16" s="19" t="str">
        <f ca="1">IFERROR(__xludf.DUMMYFUNCTION("""COMPUTED_VALUE"""),"All type of construction work")</f>
        <v>All type of construction work</v>
      </c>
      <c r="Q16" s="19"/>
      <c r="R16" s="19" t="str">
        <f ca="1">IFERROR(__xludf.DUMMYFUNCTION("""COMPUTED_VALUE"""),"Pune")</f>
        <v>Pune</v>
      </c>
      <c r="S16" s="19"/>
    </row>
    <row r="17" spans="1:19" ht="13.2" x14ac:dyDescent="0.25">
      <c r="A17" s="33">
        <f ca="1">IFERROR(__xludf.DUMMYFUNCTION("""COMPUTED_VALUE"""),44954.9148310532)</f>
        <v>44954.914831053196</v>
      </c>
      <c r="B17" s="19" t="str">
        <f ca="1">IFERROR(__xludf.DUMMYFUNCTION("""COMPUTED_VALUE"""),"Royal Technology ")</f>
        <v xml:space="preserve">Royal Technology </v>
      </c>
      <c r="C17" s="19" t="str">
        <f ca="1">IFERROR(__xludf.DUMMYFUNCTION("""COMPUTED_VALUE"""),"Pune")</f>
        <v>Pune</v>
      </c>
      <c r="D17" s="19"/>
      <c r="E17" s="19"/>
      <c r="F17" s="19"/>
      <c r="G17" s="19"/>
      <c r="H17" s="19"/>
      <c r="I17" s="19"/>
      <c r="J17" s="19" t="str">
        <f ca="1">IFERROR(__xludf.DUMMYFUNCTION("""COMPUTED_VALUE"""),"Bappu waghmare")</f>
        <v>Bappu waghmare</v>
      </c>
      <c r="K17" s="19"/>
      <c r="L17" s="20"/>
      <c r="M17" s="19"/>
      <c r="N17" s="19" t="str">
        <f ca="1">IFERROR(__xludf.DUMMYFUNCTION("""COMPUTED_VALUE"""),"Partnership")</f>
        <v>Partnership</v>
      </c>
      <c r="O17" s="19" t="str">
        <f ca="1">IFERROR(__xludf.DUMMYFUNCTION("""COMPUTED_VALUE"""),"Professional services")</f>
        <v>Professional services</v>
      </c>
      <c r="P17" s="19"/>
      <c r="Q17" s="19"/>
      <c r="R17" s="19" t="str">
        <f ca="1">IFERROR(__xludf.DUMMYFUNCTION("""COMPUTED_VALUE"""),"Pune")</f>
        <v>Pune</v>
      </c>
      <c r="S17" s="19"/>
    </row>
    <row r="18" spans="1:19" ht="13.2" x14ac:dyDescent="0.25">
      <c r="A18" s="33">
        <f ca="1">IFERROR(__xludf.DUMMYFUNCTION("""COMPUTED_VALUE"""),44954.9223270717)</f>
        <v>44954.922327071698</v>
      </c>
      <c r="B18" s="19" t="str">
        <f ca="1">IFERROR(__xludf.DUMMYFUNCTION("""COMPUTED_VALUE"""),"Poonam trading co.")</f>
        <v>Poonam trading co.</v>
      </c>
      <c r="C18" s="19" t="str">
        <f ca="1">IFERROR(__xludf.DUMMYFUNCTION("""COMPUTED_VALUE"""),"Plot no. 270/2,, bhavani peth near sonawane hospital, Pune 411002")</f>
        <v>Plot no. 270/2,, bhavani peth near sonawane hospital, Pune 411002</v>
      </c>
      <c r="D18" s="19"/>
      <c r="E18" s="19"/>
      <c r="F18" s="19"/>
      <c r="G18" s="19"/>
      <c r="H18" s="19"/>
      <c r="I18" s="19"/>
      <c r="J18" s="19" t="str">
        <f ca="1">IFERROR(__xludf.DUMMYFUNCTION("""COMPUTED_VALUE"""),"Hardware, plywood &amp; building material suppliers ")</f>
        <v xml:space="preserve">Hardware, plywood &amp; building material suppliers </v>
      </c>
      <c r="K18" s="19"/>
      <c r="L18" s="20"/>
      <c r="M18" s="19"/>
      <c r="N18" s="19" t="str">
        <f ca="1">IFERROR(__xludf.DUMMYFUNCTION("""COMPUTED_VALUE"""),"Solo Properitership")</f>
        <v>Solo Properitership</v>
      </c>
      <c r="O18" s="19" t="str">
        <f ca="1">IFERROR(__xludf.DUMMYFUNCTION("""COMPUTED_VALUE"""),"RETAILER")</f>
        <v>RETAILER</v>
      </c>
      <c r="P18" s="19" t="str">
        <f ca="1">IFERROR(__xludf.DUMMYFUNCTION("""COMPUTED_VALUE"""),"Hardware and plywood ")</f>
        <v xml:space="preserve">Hardware and plywood </v>
      </c>
      <c r="Q18" s="19"/>
      <c r="R18" s="19" t="str">
        <f ca="1">IFERROR(__xludf.DUMMYFUNCTION("""COMPUTED_VALUE"""),"Pune")</f>
        <v>Pune</v>
      </c>
      <c r="S18" s="19"/>
    </row>
    <row r="19" spans="1:19" ht="13.2" x14ac:dyDescent="0.25">
      <c r="A19" s="33">
        <f ca="1">IFERROR(__xludf.DUMMYFUNCTION("""COMPUTED_VALUE"""),44954.9259357986)</f>
        <v>44954.925935798601</v>
      </c>
      <c r="B19" s="19" t="str">
        <f ca="1">IFERROR(__xludf.DUMMYFUNCTION("""COMPUTED_VALUE"""),"Kismat laminates")</f>
        <v>Kismat laminates</v>
      </c>
      <c r="C19" s="19" t="str">
        <f ca="1">IFERROR(__xludf.DUMMYFUNCTION("""COMPUTED_VALUE"""),"123 timber market, bhavani peth, Pune 411042")</f>
        <v>123 timber market, bhavani peth, Pune 411042</v>
      </c>
      <c r="D19" s="19">
        <f ca="1">IFERROR(__xludf.DUMMYFUNCTION("""COMPUTED_VALUE"""),9860031418)</f>
        <v>9860031418</v>
      </c>
      <c r="E19" s="19" t="str">
        <f ca="1">IFERROR(__xludf.DUMMYFUNCTION("""COMPUTED_VALUE"""),"020 26442500")</f>
        <v>020 26442500</v>
      </c>
      <c r="F19" s="19" t="str">
        <f ca="1">IFERROR(__xludf.DUMMYFUNCTION("""COMPUTED_VALUE"""),"laminates @yahoo.com")</f>
        <v>laminates @yahoo.com</v>
      </c>
      <c r="G19" s="19"/>
      <c r="H19" s="19" t="str">
        <f ca="1">IFERROR(__xludf.DUMMYFUNCTION("""COMPUTED_VALUE"""),"27AAJCT0945R1ZL")</f>
        <v>27AAJCT0945R1ZL</v>
      </c>
      <c r="I19" s="19"/>
      <c r="J19" s="19" t="str">
        <f ca="1">IFERROR(__xludf.DUMMYFUNCTION("""COMPUTED_VALUE"""),"Plywood ")</f>
        <v xml:space="preserve">Plywood </v>
      </c>
      <c r="K19" s="19"/>
      <c r="L19" s="20"/>
      <c r="M19" s="19"/>
      <c r="N19" s="19" t="str">
        <f ca="1">IFERROR(__xludf.DUMMYFUNCTION("""COMPUTED_VALUE"""),"Solo Properitership")</f>
        <v>Solo Properitership</v>
      </c>
      <c r="O19" s="19" t="str">
        <f ca="1">IFERROR(__xludf.DUMMYFUNCTION("""COMPUTED_VALUE"""),"RETAILER")</f>
        <v>RETAILER</v>
      </c>
      <c r="P19" s="19" t="str">
        <f ca="1">IFERROR(__xludf.DUMMYFUNCTION("""COMPUTED_VALUE"""),"Plywood, laminate ")</f>
        <v xml:space="preserve">Plywood, laminate </v>
      </c>
      <c r="Q19" s="19"/>
      <c r="R19" s="19" t="str">
        <f ca="1">IFERROR(__xludf.DUMMYFUNCTION("""COMPUTED_VALUE"""),"Pune")</f>
        <v>Pune</v>
      </c>
      <c r="S19" s="19"/>
    </row>
    <row r="20" spans="1:19" ht="13.2" x14ac:dyDescent="0.25">
      <c r="A20" s="33">
        <f ca="1">IFERROR(__xludf.DUMMYFUNCTION("""COMPUTED_VALUE"""),44954.9277819097)</f>
        <v>44954.927781909697</v>
      </c>
      <c r="B20" s="19" t="str">
        <f ca="1">IFERROR(__xludf.DUMMYFUNCTION("""COMPUTED_VALUE"""),"Shiv electricals")</f>
        <v>Shiv electricals</v>
      </c>
      <c r="C20" s="19" t="str">
        <f ca="1">IFERROR(__xludf.DUMMYFUNCTION("""COMPUTED_VALUE"""),"Loni satation ambika mata road near Kulkarni hospital road haveli Pune 412201")</f>
        <v>Loni satation ambika mata road near Kulkarni hospital road haveli Pune 412201</v>
      </c>
      <c r="D20" s="19">
        <f ca="1">IFERROR(__xludf.DUMMYFUNCTION("""COMPUTED_VALUE"""),917537669)</f>
        <v>917537669</v>
      </c>
      <c r="E20" s="19"/>
      <c r="F20" s="19" t="str">
        <f ca="1">IFERROR(__xludf.DUMMYFUNCTION("""COMPUTED_VALUE"""),"shivac4111@gmail.com")</f>
        <v>shivac4111@gmail.com</v>
      </c>
      <c r="G20" s="19"/>
      <c r="H20" s="19"/>
      <c r="I20" s="19"/>
      <c r="J20" s="19" t="str">
        <f ca="1">IFERROR(__xludf.DUMMYFUNCTION("""COMPUTED_VALUE"""),"Electrical work")</f>
        <v>Electrical work</v>
      </c>
      <c r="K20" s="19"/>
      <c r="L20" s="20"/>
      <c r="M20" s="19"/>
      <c r="N20" s="19" t="str">
        <f ca="1">IFERROR(__xludf.DUMMYFUNCTION("""COMPUTED_VALUE"""),"Solo Properitership")</f>
        <v>Solo Properitership</v>
      </c>
      <c r="O20" s="19" t="str">
        <f ca="1">IFERROR(__xludf.DUMMYFUNCTION("""COMPUTED_VALUE"""),"RETAILER")</f>
        <v>RETAILER</v>
      </c>
      <c r="P20" s="19" t="str">
        <f ca="1">IFERROR(__xludf.DUMMYFUNCTION("""COMPUTED_VALUE"""),"Electrical supplies ")</f>
        <v xml:space="preserve">Electrical supplies </v>
      </c>
      <c r="Q20" s="19"/>
      <c r="R20" s="19" t="str">
        <f ca="1">IFERROR(__xludf.DUMMYFUNCTION("""COMPUTED_VALUE"""),"Pune")</f>
        <v>Pune</v>
      </c>
      <c r="S20" s="19"/>
    </row>
    <row r="21" spans="1:19" ht="13.2" x14ac:dyDescent="0.25">
      <c r="A21" s="33">
        <f ca="1">IFERROR(__xludf.DUMMYFUNCTION("""COMPUTED_VALUE"""),44954.929415)</f>
        <v>44954.929414999999</v>
      </c>
      <c r="B21" s="19" t="str">
        <f ca="1">IFERROR(__xludf.DUMMYFUNCTION("""COMPUTED_VALUE"""),"Rainbow furnishings ")</f>
        <v xml:space="preserve">Rainbow furnishings </v>
      </c>
      <c r="C21" s="19" t="str">
        <f ca="1">IFERROR(__xludf.DUMMYFUNCTION("""COMPUTED_VALUE"""),"1/1 Lalwani estate Pune Satara road, near adinath society Pune 37")</f>
        <v>1/1 Lalwani estate Pune Satara road, near adinath society Pune 37</v>
      </c>
      <c r="D21" s="19">
        <f ca="1">IFERROR(__xludf.DUMMYFUNCTION("""COMPUTED_VALUE"""),9822079405)</f>
        <v>9822079405</v>
      </c>
      <c r="E21" s="19"/>
      <c r="F21" s="19" t="str">
        <f ca="1">IFERROR(__xludf.DUMMYFUNCTION("""COMPUTED_VALUE"""),"agarwalritesh77@gmail.com")</f>
        <v>agarwalritesh77@gmail.com</v>
      </c>
      <c r="G21" s="19"/>
      <c r="H21" s="19" t="str">
        <f ca="1">IFERROR(__xludf.DUMMYFUNCTION("""COMPUTED_VALUE"""),"27AAEFRO642K1Z6")</f>
        <v>27AAEFRO642K1Z6</v>
      </c>
      <c r="I21" s="19"/>
      <c r="J21" s="19" t="str">
        <f ca="1">IFERROR(__xludf.DUMMYFUNCTION("""COMPUTED_VALUE"""),"Vinyl")</f>
        <v>Vinyl</v>
      </c>
      <c r="K21" s="19"/>
      <c r="L21" s="20"/>
      <c r="M21" s="19"/>
      <c r="N21" s="19" t="str">
        <f ca="1">IFERROR(__xludf.DUMMYFUNCTION("""COMPUTED_VALUE"""),"Solo Properitership")</f>
        <v>Solo Properitership</v>
      </c>
      <c r="O21" s="19" t="str">
        <f ca="1">IFERROR(__xludf.DUMMYFUNCTION("""COMPUTED_VALUE"""),"Manufacturer")</f>
        <v>Manufacturer</v>
      </c>
      <c r="P21" s="19"/>
      <c r="Q21" s="19"/>
      <c r="R21" s="19" t="str">
        <f ca="1">IFERROR(__xludf.DUMMYFUNCTION("""COMPUTED_VALUE"""),"Pune")</f>
        <v>Pune</v>
      </c>
      <c r="S21" s="19"/>
    </row>
    <row r="22" spans="1:19" ht="13.2" x14ac:dyDescent="0.25">
      <c r="A22" s="33">
        <f ca="1">IFERROR(__xludf.DUMMYFUNCTION("""COMPUTED_VALUE"""),44955.6321203703)</f>
        <v>44955.632120370297</v>
      </c>
      <c r="B22" s="19" t="str">
        <f ca="1">IFERROR(__xludf.DUMMYFUNCTION("""COMPUTED_VALUE"""),"Balaji Aluminium And Glass")</f>
        <v>Balaji Aluminium And Glass</v>
      </c>
      <c r="C22" s="19" t="str">
        <f ca="1">IFERROR(__xludf.DUMMYFUNCTION("""COMPUTED_VALUE"""),"Khatpe Complex, shop no. 5, opp Vandevi Mandir, Karvenagar, Pune- 411052")</f>
        <v>Khatpe Complex, shop no. 5, opp Vandevi Mandir, Karvenagar, Pune- 411052</v>
      </c>
      <c r="D22" s="19">
        <f ca="1">IFERROR(__xludf.DUMMYFUNCTION("""COMPUTED_VALUE"""),9822029020)</f>
        <v>9822029020</v>
      </c>
      <c r="E22" s="19" t="str">
        <f ca="1">IFERROR(__xludf.DUMMYFUNCTION("""COMPUTED_VALUE"""),"-")</f>
        <v>-</v>
      </c>
      <c r="F22" s="19" t="str">
        <f ca="1">IFERROR(__xludf.DUMMYFUNCTION("""COMPUTED_VALUE"""),"balajialuminumandglass@gmail.com")</f>
        <v>balajialuminumandglass@gmail.com</v>
      </c>
      <c r="G22" s="19"/>
      <c r="H22" s="19" t="str">
        <f ca="1">IFERROR(__xludf.DUMMYFUNCTION("""COMPUTED_VALUE"""),"27AKEPK5628G1Z4")</f>
        <v>27AKEPK5628G1Z4</v>
      </c>
      <c r="I22" s="19" t="str">
        <f ca="1">IFERROR(__xludf.DUMMYFUNCTION("""COMPUTED_VALUE"""),"AKEPK5628G")</f>
        <v>AKEPK5628G</v>
      </c>
      <c r="J22" s="19" t="str">
        <f ca="1">IFERROR(__xludf.DUMMYFUNCTION("""COMPUTED_VALUE"""),"Jitendra P Khatavkar")</f>
        <v>Jitendra P Khatavkar</v>
      </c>
      <c r="K22" s="19"/>
      <c r="L22" s="20">
        <f ca="1">IFERROR(__xludf.DUMMYFUNCTION("""COMPUTED_VALUE"""),41095)</f>
        <v>41095</v>
      </c>
      <c r="M22" s="19" t="str">
        <f ca="1">IFERROR(__xludf.DUMMYFUNCTION("""COMPUTED_VALUE"""),"Option 1")</f>
        <v>Option 1</v>
      </c>
      <c r="N22" s="19" t="str">
        <f ca="1">IFERROR(__xludf.DUMMYFUNCTION("""COMPUTED_VALUE"""),"Solo Properitership")</f>
        <v>Solo Properitership</v>
      </c>
      <c r="O22" s="19" t="str">
        <f ca="1">IFERROR(__xludf.DUMMYFUNCTION("""COMPUTED_VALUE"""),"RETAILER")</f>
        <v>RETAILER</v>
      </c>
      <c r="P22" s="19" t="str">
        <f ca="1">IFERROR(__xludf.DUMMYFUNCTION("""COMPUTED_VALUE"""),"All types of glasses and mirrors, aluminium windows, door partitions, structure, steel window fabrication, garware films")</f>
        <v>All types of glasses and mirrors, aluminium windows, door partitions, structure, steel window fabrication, garware films</v>
      </c>
      <c r="Q22" s="19" t="str">
        <f ca="1">IFERROR(__xludf.DUMMYFUNCTION("""COMPUTED_VALUE"""),"BOM, Karvenagar, Balaji Aluminium and glass, 60168256091")</f>
        <v>BOM, Karvenagar, Balaji Aluminium and glass, 60168256091</v>
      </c>
      <c r="R22" s="19" t="str">
        <f ca="1">IFERROR(__xludf.DUMMYFUNCTION("""COMPUTED_VALUE"""),"Pune")</f>
        <v>Pune</v>
      </c>
      <c r="S22" s="19"/>
    </row>
    <row r="23" spans="1:19" ht="13.2" x14ac:dyDescent="0.25">
      <c r="A23" s="33">
        <f ca="1">IFERROR(__xludf.DUMMYFUNCTION("""COMPUTED_VALUE"""),45017.6106079166)</f>
        <v>45017.610607916598</v>
      </c>
      <c r="B23" s="19" t="str">
        <f ca="1">IFERROR(__xludf.DUMMYFUNCTION("""COMPUTED_VALUE"""),"City furniture")</f>
        <v>City furniture</v>
      </c>
      <c r="C23" s="19" t="str">
        <f ca="1">IFERROR(__xludf.DUMMYFUNCTION("""COMPUTED_VALUE"""),"Dangat Estat ,Morya Height Building,Near Mumbai Banglore Highway,near Hotel Swarna Warje,Pune-411058")</f>
        <v>Dangat Estat ,Morya Height Building,Near Mumbai Banglore Highway,near Hotel Swarna Warje,Pune-411058</v>
      </c>
      <c r="D23" s="19">
        <f ca="1">IFERROR(__xludf.DUMMYFUNCTION("""COMPUTED_VALUE"""),9373600299)</f>
        <v>9373600299</v>
      </c>
      <c r="E23" s="19"/>
      <c r="F23" s="19"/>
      <c r="G23" s="19"/>
      <c r="H23" s="19"/>
      <c r="I23" s="19"/>
      <c r="J23" s="19" t="str">
        <f ca="1">IFERROR(__xludf.DUMMYFUNCTION("""COMPUTED_VALUE"""),"Wahid khan")</f>
        <v>Wahid khan</v>
      </c>
      <c r="K23" s="19"/>
      <c r="L23" s="20"/>
      <c r="M23" s="19"/>
      <c r="N23" s="19"/>
      <c r="O23" s="19"/>
      <c r="P23" s="19"/>
      <c r="Q23" s="19"/>
      <c r="R23" s="19" t="str">
        <f ca="1">IFERROR(__xludf.DUMMYFUNCTION("""COMPUTED_VALUE"""),"Pune")</f>
        <v>Pune</v>
      </c>
      <c r="S23" s="19"/>
    </row>
    <row r="24" spans="1:19" ht="13.2" x14ac:dyDescent="0.25">
      <c r="A24" s="33">
        <f ca="1">IFERROR(__xludf.DUMMYFUNCTION("""COMPUTED_VALUE"""),45064.4429420486)</f>
        <v>45064.442942048598</v>
      </c>
      <c r="B24" s="19" t="str">
        <f ca="1">IFERROR(__xludf.DUMMYFUNCTION("""COMPUTED_VALUE"""),"Raisoni services")</f>
        <v>Raisoni services</v>
      </c>
      <c r="C24" s="19" t="str">
        <f ca="1">IFERROR(__xludf.DUMMYFUNCTION("""COMPUTED_VALUE"""),"Chinchwad ")</f>
        <v xml:space="preserve">Chinchwad </v>
      </c>
      <c r="D24" s="19">
        <f ca="1">IFERROR(__xludf.DUMMYFUNCTION("""COMPUTED_VALUE"""),9503097450)</f>
        <v>9503097450</v>
      </c>
      <c r="E24" s="19" t="str">
        <f ca="1">IFERROR(__xludf.DUMMYFUNCTION("""COMPUTED_VALUE"""),"00")</f>
        <v>00</v>
      </c>
      <c r="F24" s="19" t="str">
        <f ca="1">IFERROR(__xludf.DUMMYFUNCTION("""COMPUTED_VALUE"""),"pareshraisoni@gmail.com")</f>
        <v>pareshraisoni@gmail.com</v>
      </c>
      <c r="G24" s="19" t="str">
        <f ca="1">IFERROR(__xludf.DUMMYFUNCTION("""COMPUTED_VALUE"""),"0")</f>
        <v>0</v>
      </c>
      <c r="H24" s="19"/>
      <c r="I24" s="19" t="str">
        <f ca="1">IFERROR(__xludf.DUMMYFUNCTION("""COMPUTED_VALUE"""),"ASMPR4359K ")</f>
        <v xml:space="preserve">ASMPR4359K </v>
      </c>
      <c r="J24" s="19" t="str">
        <f ca="1">IFERROR(__xludf.DUMMYFUNCTION("""COMPUTED_VALUE"""),"Pareshkumar Raisoni ")</f>
        <v xml:space="preserve">Pareshkumar Raisoni </v>
      </c>
      <c r="K24" s="19" t="str">
        <f ca="1">IFERROR(__xludf.DUMMYFUNCTION("""COMPUTED_VALUE"""),"pareshraisoni@gmail.com")</f>
        <v>pareshraisoni@gmail.com</v>
      </c>
      <c r="L24" s="20">
        <f ca="1">IFERROR(__xludf.DUMMYFUNCTION("""COMPUTED_VALUE"""),43191)</f>
        <v>43191</v>
      </c>
      <c r="M24" s="19"/>
      <c r="N24" s="19" t="str">
        <f ca="1">IFERROR(__xludf.DUMMYFUNCTION("""COMPUTED_VALUE"""),"Solo Properitership")</f>
        <v>Solo Properitership</v>
      </c>
      <c r="O24" s="19" t="str">
        <f ca="1">IFERROR(__xludf.DUMMYFUNCTION("""COMPUTED_VALUE"""),"Construction contractor")</f>
        <v>Construction contractor</v>
      </c>
      <c r="P24" s="19" t="str">
        <f ca="1">IFERROR(__xludf.DUMMYFUNCTION("""COMPUTED_VALUE"""),"We provide all types of House painting &amp; Civil work ")</f>
        <v xml:space="preserve">We provide all types of House painting &amp; Civil work </v>
      </c>
      <c r="Q24" s="19" t="str">
        <f ca="1">IFERROR(__xludf.DUMMYFUNCTION("""COMPUTED_VALUE"""),"Pareshkumar Raisoni")</f>
        <v>Pareshkumar Raisoni</v>
      </c>
      <c r="R24" s="19" t="str">
        <f ca="1">IFERROR(__xludf.DUMMYFUNCTION("""COMPUTED_VALUE"""),"Pune")</f>
        <v>Pune</v>
      </c>
      <c r="S24" s="19"/>
    </row>
    <row r="25" spans="1:19" ht="13.2" x14ac:dyDescent="0.25">
      <c r="A25" s="33">
        <f ca="1">IFERROR(__xludf.DUMMYFUNCTION("""COMPUTED_VALUE"""),45077.4627058333)</f>
        <v>45077.462705833299</v>
      </c>
      <c r="B25" s="19" t="str">
        <f ca="1">IFERROR(__xludf.DUMMYFUNCTION("""COMPUTED_VALUE"""),"AMS PROJECT CONSULTANT PRIVATE LIMITED ")</f>
        <v xml:space="preserve">AMS PROJECT CONSULTANT PRIVATE LIMITED </v>
      </c>
      <c r="C25" s="19" t="str">
        <f ca="1">IFERROR(__xludf.DUMMYFUNCTION("""COMPUTED_VALUE"""),"Pune maharashtra ")</f>
        <v xml:space="preserve">Pune maharashtra </v>
      </c>
      <c r="D25" s="19">
        <f ca="1">IFERROR(__xludf.DUMMYFUNCTION("""COMPUTED_VALUE"""),8237207753)</f>
        <v>8237207753</v>
      </c>
      <c r="E25" s="19"/>
      <c r="F25" s="19" t="str">
        <f ca="1">IFERROR(__xludf.DUMMYFUNCTION("""COMPUTED_VALUE"""),"pune@amsindia.co.in")</f>
        <v>pune@amsindia.co.in</v>
      </c>
      <c r="G25" s="19"/>
      <c r="H25" s="19" t="str">
        <f ca="1">IFERROR(__xludf.DUMMYFUNCTION("""COMPUTED_VALUE"""),"27AAHCA0292L1ZI")</f>
        <v>27AAHCA0292L1ZI</v>
      </c>
      <c r="I25" s="19"/>
      <c r="J25" s="19"/>
      <c r="K25" s="19"/>
      <c r="L25" s="20"/>
      <c r="M25" s="19"/>
      <c r="N25" s="19" t="str">
        <f ca="1">IFERROR(__xludf.DUMMYFUNCTION("""COMPUTED_VALUE"""),"Solo Properitership")</f>
        <v>Solo Properitership</v>
      </c>
      <c r="O25" s="19" t="str">
        <f ca="1">IFERROR(__xludf.DUMMYFUNCTION("""COMPUTED_VALUE"""),"Professional services")</f>
        <v>Professional services</v>
      </c>
      <c r="P25" s="19" t="str">
        <f ca="1">IFERROR(__xludf.DUMMYFUNCTION("""COMPUTED_VALUE"""),"All interior and construction services ")</f>
        <v xml:space="preserve">All interior and construction services </v>
      </c>
      <c r="Q25" s="19"/>
      <c r="R25" s="19" t="str">
        <f ca="1">IFERROR(__xludf.DUMMYFUNCTION("""COMPUTED_VALUE"""),"Pune")</f>
        <v>Pune</v>
      </c>
      <c r="S25" s="19"/>
    </row>
    <row r="26" spans="1:19" ht="13.2" x14ac:dyDescent="0.25">
      <c r="A26" s="33">
        <f ca="1">IFERROR(__xludf.DUMMYFUNCTION("""COMPUTED_VALUE"""),45077.4814664814)</f>
        <v>45077.481466481397</v>
      </c>
      <c r="B26" s="19" t="str">
        <f ca="1">IFERROR(__xludf.DUMMYFUNCTION("""COMPUTED_VALUE"""),"Mahavir enterprises ")</f>
        <v xml:space="preserve">Mahavir enterprises </v>
      </c>
      <c r="C26" s="19" t="str">
        <f ca="1">IFERROR(__xludf.DUMMYFUNCTION("""COMPUTED_VALUE"""),"Shivajinagar, pune")</f>
        <v>Shivajinagar, pune</v>
      </c>
      <c r="D26" s="19">
        <f ca="1">IFERROR(__xludf.DUMMYFUNCTION("""COMPUTED_VALUE"""),7720093852)</f>
        <v>7720093852</v>
      </c>
      <c r="E26" s="19"/>
      <c r="F26" s="19" t="str">
        <f ca="1">IFERROR(__xludf.DUMMYFUNCTION("""COMPUTED_VALUE"""),"cement@mahavirenterprises.net")</f>
        <v>cement@mahavirenterprises.net</v>
      </c>
      <c r="G26" s="37" t="str">
        <f ca="1">IFERROR(__xludf.DUMMYFUNCTION("""COMPUTED_VALUE"""),"www.mahavirenterprises.net")</f>
        <v>www.mahavirenterprises.net</v>
      </c>
      <c r="H26" s="19"/>
      <c r="I26" s="19"/>
      <c r="J26" s="19"/>
      <c r="K26" s="19"/>
      <c r="L26" s="20"/>
      <c r="M26" s="19"/>
      <c r="N26" s="19" t="str">
        <f ca="1">IFERROR(__xludf.DUMMYFUNCTION("""COMPUTED_VALUE"""),"Solo Properitership")</f>
        <v>Solo Properitership</v>
      </c>
      <c r="O26" s="19" t="str">
        <f ca="1">IFERROR(__xludf.DUMMYFUNCTION("""COMPUTED_VALUE"""),"RETAILER")</f>
        <v>RETAILER</v>
      </c>
      <c r="P26" s="19" t="str">
        <f ca="1">IFERROR(__xludf.DUMMYFUNCTION("""COMPUTED_VALUE"""),"Cement, ceramics &amp; sanitary wares")</f>
        <v>Cement, ceramics &amp; sanitary wares</v>
      </c>
      <c r="Q26" s="19"/>
      <c r="R26" s="19" t="str">
        <f ca="1">IFERROR(__xludf.DUMMYFUNCTION("""COMPUTED_VALUE"""),"Pune")</f>
        <v>Pune</v>
      </c>
      <c r="S26" s="19"/>
    </row>
    <row r="27" spans="1:19" ht="13.2" x14ac:dyDescent="0.25">
      <c r="A27" s="33">
        <f ca="1">IFERROR(__xludf.DUMMYFUNCTION("""COMPUTED_VALUE"""),45077.5052512615)</f>
        <v>45077.5052512615</v>
      </c>
      <c r="B27" s="19" t="str">
        <f ca="1">IFERROR(__xludf.DUMMYFUNCTION("""COMPUTED_VALUE"""),"INNOVATIVE ENTERPRISES")</f>
        <v>INNOVATIVE ENTERPRISES</v>
      </c>
      <c r="C27" s="19" t="str">
        <f ca="1">IFERROR(__xludf.DUMMYFUNCTION("""COMPUTED_VALUE"""),"Pune")</f>
        <v>Pune</v>
      </c>
      <c r="D27" s="19">
        <f ca="1">IFERROR(__xludf.DUMMYFUNCTION("""COMPUTED_VALUE"""),8400847471)</f>
        <v>8400847471</v>
      </c>
      <c r="E27" s="19"/>
      <c r="F27" s="19" t="str">
        <f ca="1">IFERROR(__xludf.DUMMYFUNCTION("""COMPUTED_VALUE"""),"innoventer101@gmail.com")</f>
        <v>innoventer101@gmail.com</v>
      </c>
      <c r="G27" s="19"/>
      <c r="H27" s="19"/>
      <c r="I27" s="19"/>
      <c r="J27" s="19" t="str">
        <f ca="1">IFERROR(__xludf.DUMMYFUNCTION("""COMPUTED_VALUE"""),"Sachit Vishwakarma")</f>
        <v>Sachit Vishwakarma</v>
      </c>
      <c r="K27" s="19"/>
      <c r="L27" s="20"/>
      <c r="M27" s="19"/>
      <c r="N27" s="19" t="str">
        <f ca="1">IFERROR(__xludf.DUMMYFUNCTION("""COMPUTED_VALUE"""),"Solo Properitership")</f>
        <v>Solo Properitership</v>
      </c>
      <c r="O27" s="19" t="str">
        <f ca="1">IFERROR(__xludf.DUMMYFUNCTION("""COMPUTED_VALUE"""),"Professional services")</f>
        <v>Professional services</v>
      </c>
      <c r="P27" s="19" t="str">
        <f ca="1">IFERROR(__xludf.DUMMYFUNCTION("""COMPUTED_VALUE"""),"Interior, repair and maintenance ")</f>
        <v xml:space="preserve">Interior, repair and maintenance </v>
      </c>
      <c r="Q27" s="19"/>
      <c r="R27" s="19" t="str">
        <f ca="1">IFERROR(__xludf.DUMMYFUNCTION("""COMPUTED_VALUE"""),"Pune")</f>
        <v>Pune</v>
      </c>
      <c r="S27" s="19"/>
    </row>
    <row r="28" spans="1:19" ht="13.2" x14ac:dyDescent="0.25">
      <c r="A28" s="33">
        <f ca="1">IFERROR(__xludf.DUMMYFUNCTION("""COMPUTED_VALUE"""),45077.5446054166)</f>
        <v>45077.544605416602</v>
      </c>
      <c r="B28" s="19" t="str">
        <f ca="1">IFERROR(__xludf.DUMMYFUNCTION("""COMPUTED_VALUE"""),"Nineleaves_theplantstore ")</f>
        <v xml:space="preserve">Nineleaves_theplantstore </v>
      </c>
      <c r="C28" s="19" t="str">
        <f ca="1">IFERROR(__xludf.DUMMYFUNCTION("""COMPUTED_VALUE"""),"In premises of New Era bakery balewadi ")</f>
        <v xml:space="preserve">In premises of New Era bakery balewadi </v>
      </c>
      <c r="D28" s="19"/>
      <c r="E28" s="19"/>
      <c r="F28" s="19" t="str">
        <f ca="1">IFERROR(__xludf.DUMMYFUNCTION("""COMPUTED_VALUE"""),"nineleaves.tps@gmail.com")</f>
        <v>nineleaves.tps@gmail.com</v>
      </c>
      <c r="G28" s="19"/>
      <c r="H28" s="19" t="str">
        <f ca="1">IFERROR(__xludf.DUMMYFUNCTION("""COMPUTED_VALUE"""),"27ANSPN8157E1ZF ")</f>
        <v xml:space="preserve">27ANSPN8157E1ZF </v>
      </c>
      <c r="I28" s="19" t="str">
        <f ca="1">IFERROR(__xludf.DUMMYFUNCTION("""COMPUTED_VALUE"""),"ANSPN8157E ")</f>
        <v xml:space="preserve">ANSPN8157E </v>
      </c>
      <c r="J28" s="19" t="str">
        <f ca="1">IFERROR(__xludf.DUMMYFUNCTION("""COMPUTED_VALUE"""),"Mrs.Neha Akshay Dabhade ")</f>
        <v xml:space="preserve">Mrs.Neha Akshay Dabhade </v>
      </c>
      <c r="K28" s="19"/>
      <c r="L28" s="20">
        <f ca="1">IFERROR(__xludf.DUMMYFUNCTION("""COMPUTED_VALUE"""),43879)</f>
        <v>43879</v>
      </c>
      <c r="M28" s="19"/>
      <c r="N28" s="19" t="str">
        <f ca="1">IFERROR(__xludf.DUMMYFUNCTION("""COMPUTED_VALUE"""),"Solo Properitership")</f>
        <v>Solo Properitership</v>
      </c>
      <c r="O28" s="19" t="str">
        <f ca="1">IFERROR(__xludf.DUMMYFUNCTION("""COMPUTED_VALUE"""),"RETAILER")</f>
        <v>RETAILER</v>
      </c>
      <c r="P28" s="19"/>
      <c r="Q28" s="19" t="str">
        <f ca="1">IFERROR(__xludf.DUMMYFUNCTION("""COMPUTED_VALUE"""),"Cosmos bank ")</f>
        <v xml:space="preserve">Cosmos bank </v>
      </c>
      <c r="R28" s="19" t="str">
        <f ca="1">IFERROR(__xludf.DUMMYFUNCTION("""COMPUTED_VALUE"""),"Pune")</f>
        <v>Pune</v>
      </c>
      <c r="S28" s="19"/>
    </row>
    <row r="29" spans="1:19" ht="13.2" x14ac:dyDescent="0.25">
      <c r="A29" s="33">
        <f ca="1">IFERROR(__xludf.DUMMYFUNCTION("""COMPUTED_VALUE"""),45099.6318631944)</f>
        <v>45099.631863194401</v>
      </c>
      <c r="B29" s="19" t="str">
        <f ca="1">IFERROR(__xludf.DUMMYFUNCTION("""COMPUTED_VALUE"""),"Sunlight electrical &amp; engineering pvt ltd")</f>
        <v>Sunlight electrical &amp; engineering pvt ltd</v>
      </c>
      <c r="C29" s="19" t="str">
        <f ca="1">IFERROR(__xludf.DUMMYFUNCTION("""COMPUTED_VALUE"""),"Jaiganesh vision , Akurdi")</f>
        <v>Jaiganesh vision , Akurdi</v>
      </c>
      <c r="D29" s="19">
        <f ca="1">IFERROR(__xludf.DUMMYFUNCTION("""COMPUTED_VALUE"""),9921291555)</f>
        <v>9921291555</v>
      </c>
      <c r="E29" s="19"/>
      <c r="F29" s="19"/>
      <c r="G29" s="19"/>
      <c r="H29" s="19"/>
      <c r="I29" s="19"/>
      <c r="J29" s="19"/>
      <c r="K29" s="19"/>
      <c r="L29" s="20"/>
      <c r="M29" s="19"/>
      <c r="N29" s="19" t="str">
        <f ca="1">IFERROR(__xludf.DUMMYFUNCTION("""COMPUTED_VALUE"""),"Solo Properitership")</f>
        <v>Solo Properitership</v>
      </c>
      <c r="O29" s="19" t="str">
        <f ca="1">IFERROR(__xludf.DUMMYFUNCTION("""COMPUTED_VALUE"""),"Professional services")</f>
        <v>Professional services</v>
      </c>
      <c r="P29" s="19" t="str">
        <f ca="1">IFERROR(__xludf.DUMMYFUNCTION("""COMPUTED_VALUE"""),"All electrical work")</f>
        <v>All electrical work</v>
      </c>
      <c r="Q29" s="19"/>
      <c r="R29" s="19" t="str">
        <f ca="1">IFERROR(__xludf.DUMMYFUNCTION("""COMPUTED_VALUE"""),"Pune")</f>
        <v>Pune</v>
      </c>
      <c r="S29" s="19"/>
    </row>
    <row r="30" spans="1:19" ht="13.2" x14ac:dyDescent="0.25">
      <c r="A30" s="33">
        <f ca="1">IFERROR(__xludf.DUMMYFUNCTION("""COMPUTED_VALUE"""),45099.6457615277)</f>
        <v>45099.645761527703</v>
      </c>
      <c r="B30" s="19" t="str">
        <f ca="1">IFERROR(__xludf.DUMMYFUNCTION("""COMPUTED_VALUE"""),"Sai systems ")</f>
        <v xml:space="preserve">Sai systems </v>
      </c>
      <c r="C30" s="19" t="str">
        <f ca="1">IFERROR(__xludf.DUMMYFUNCTION("""COMPUTED_VALUE"""),"Baner park, DP road, Aundh, pune 411007")</f>
        <v>Baner park, DP road, Aundh, pune 411007</v>
      </c>
      <c r="D30" s="19">
        <f ca="1">IFERROR(__xludf.DUMMYFUNCTION("""COMPUTED_VALUE"""),9890639621)</f>
        <v>9890639621</v>
      </c>
      <c r="E30" s="19"/>
      <c r="F30" s="19"/>
      <c r="G30" s="19"/>
      <c r="H30" s="19"/>
      <c r="I30" s="19"/>
      <c r="J30" s="19"/>
      <c r="K30" s="19"/>
      <c r="L30" s="20"/>
      <c r="M30" s="19"/>
      <c r="N30" s="19" t="str">
        <f ca="1">IFERROR(__xludf.DUMMYFUNCTION("""COMPUTED_VALUE"""),"Solo Properitership")</f>
        <v>Solo Properitership</v>
      </c>
      <c r="O30" s="19" t="str">
        <f ca="1">IFERROR(__xludf.DUMMYFUNCTION("""COMPUTED_VALUE"""),"Professional services")</f>
        <v>Professional services</v>
      </c>
      <c r="P30" s="19" t="str">
        <f ca="1">IFERROR(__xludf.DUMMYFUNCTION("""COMPUTED_VALUE"""),"Fire alarm, access control, PA system, sparkler modified ")</f>
        <v xml:space="preserve">Fire alarm, access control, PA system, sparkler modified </v>
      </c>
      <c r="Q30" s="19"/>
      <c r="R30" s="19" t="str">
        <f ca="1">IFERROR(__xludf.DUMMYFUNCTION("""COMPUTED_VALUE"""),"Pune")</f>
        <v>Pune</v>
      </c>
      <c r="S30" s="19"/>
    </row>
    <row r="31" spans="1:19" ht="13.2" x14ac:dyDescent="0.25">
      <c r="A31" s="33">
        <f ca="1">IFERROR(__xludf.DUMMYFUNCTION("""COMPUTED_VALUE"""),45099.6545256712)</f>
        <v>45099.654525671198</v>
      </c>
      <c r="B31" s="19" t="str">
        <f ca="1">IFERROR(__xludf.DUMMYFUNCTION("""COMPUTED_VALUE"""),"Konarc air-conditioning solutions ")</f>
        <v xml:space="preserve">Konarc air-conditioning solutions </v>
      </c>
      <c r="C31" s="19" t="str">
        <f ca="1">IFERROR(__xludf.DUMMYFUNCTION("""COMPUTED_VALUE"""),"Sheetal datta apartment, Deep banglor chowk, shivaji nagar, model colony Pune - 411016")</f>
        <v>Sheetal datta apartment, Deep banglor chowk, shivaji nagar, model colony Pune - 411016</v>
      </c>
      <c r="D31" s="19">
        <f ca="1">IFERROR(__xludf.DUMMYFUNCTION("""COMPUTED_VALUE"""),9503548111)</f>
        <v>9503548111</v>
      </c>
      <c r="E31" s="19"/>
      <c r="F31" s="19"/>
      <c r="G31" s="19"/>
      <c r="H31" s="19"/>
      <c r="I31" s="19"/>
      <c r="J31" s="19"/>
      <c r="K31" s="19"/>
      <c r="L31" s="20"/>
      <c r="M31" s="19"/>
      <c r="N31" s="19" t="str">
        <f ca="1">IFERROR(__xludf.DUMMYFUNCTION("""COMPUTED_VALUE"""),"Solo Properitership")</f>
        <v>Solo Properitership</v>
      </c>
      <c r="O31" s="19" t="str">
        <f ca="1">IFERROR(__xludf.DUMMYFUNCTION("""COMPUTED_VALUE"""),"Professional services")</f>
        <v>Professional services</v>
      </c>
      <c r="P31" s="19" t="str">
        <f ca="1">IFERROR(__xludf.DUMMYFUNCTION("""COMPUTED_VALUE"""),"HVAC CONTRACTOR ")</f>
        <v xml:space="preserve">HVAC CONTRACTOR </v>
      </c>
      <c r="Q31" s="19"/>
      <c r="R31" s="19" t="str">
        <f ca="1">IFERROR(__xludf.DUMMYFUNCTION("""COMPUTED_VALUE"""),"Pune")</f>
        <v>Pune</v>
      </c>
      <c r="S31" s="19"/>
    </row>
    <row r="32" spans="1:19" ht="13.2" x14ac:dyDescent="0.25">
      <c r="A32" s="33"/>
      <c r="B32" s="19" t="str">
        <f ca="1">IFERROR(__xludf.DUMMYFUNCTION("""COMPUTED_VALUE"""),"Saish Home decore (pop &amp; pvc )")</f>
        <v>Saish Home decore (pop &amp; pvc )</v>
      </c>
      <c r="C32" s="19" t="str">
        <f ca="1">IFERROR(__xludf.DUMMYFUNCTION("""COMPUTED_VALUE"""),"A/p ner. ,tel- khatav ,dist - satara")</f>
        <v>A/p ner. ,tel- khatav ,dist - satara</v>
      </c>
      <c r="D32" s="19">
        <f ca="1">IFERROR(__xludf.DUMMYFUNCTION("""COMPUTED_VALUE"""),8669244392)</f>
        <v>8669244392</v>
      </c>
      <c r="E32" s="19"/>
      <c r="F32" s="19" t="str">
        <f ca="1">IFERROR(__xludf.DUMMYFUNCTION("""COMPUTED_VALUE"""),"saish5121@gmail.com")</f>
        <v>saish5121@gmail.com</v>
      </c>
      <c r="G32" s="19"/>
      <c r="H32" s="19"/>
      <c r="I32" s="19"/>
      <c r="J32" s="19" t="str">
        <f ca="1">IFERROR(__xludf.DUMMYFUNCTION("""COMPUTED_VALUE"""),"saish sanjay chavan")</f>
        <v>saish sanjay chavan</v>
      </c>
      <c r="K32" s="19"/>
      <c r="L32" s="20"/>
      <c r="M32" s="19"/>
      <c r="N32" s="19"/>
      <c r="O32" s="19"/>
      <c r="P32" s="19" t="str">
        <f ca="1">IFERROR(__xludf.DUMMYFUNCTION("""COMPUTED_VALUE"""),"Interior &amp; infrastructure")</f>
        <v>Interior &amp; infrastructure</v>
      </c>
      <c r="Q32" s="19"/>
      <c r="R32" s="19" t="str">
        <f ca="1">IFERROR(__xludf.DUMMYFUNCTION("""COMPUTED_VALUE"""),"Pune")</f>
        <v>Pune</v>
      </c>
      <c r="S32" s="19"/>
    </row>
    <row r="33" spans="1:19" ht="13.2" x14ac:dyDescent="0.25">
      <c r="A33" s="33"/>
      <c r="B33" s="19" t="str">
        <f ca="1">IFERROR(__xludf.DUMMYFUNCTION("""COMPUTED_VALUE"""),"PARIJAT CONSTRUCTION")</f>
        <v>PARIJAT CONSTRUCTION</v>
      </c>
      <c r="C33" s="19" t="str">
        <f ca="1">IFERROR(__xludf.DUMMYFUNCTION("""COMPUTED_VALUE"""),"Islampur")</f>
        <v>Islampur</v>
      </c>
      <c r="D33" s="19">
        <f ca="1">IFERROR(__xludf.DUMMYFUNCTION("""COMPUTED_VALUE"""),7709933705)</f>
        <v>7709933705</v>
      </c>
      <c r="E33" s="19"/>
      <c r="F33" s="19" t="str">
        <f ca="1">IFERROR(__xludf.DUMMYFUNCTION("""COMPUTED_VALUE"""),"sagar.pisal1044@gmail.com")</f>
        <v>sagar.pisal1044@gmail.com</v>
      </c>
      <c r="G33" s="19"/>
      <c r="H33" s="19"/>
      <c r="I33" s="19"/>
      <c r="J33" s="19" t="str">
        <f ca="1">IFERROR(__xludf.DUMMYFUNCTION("""COMPUTED_VALUE"""),"SAGAR PISAL")</f>
        <v>SAGAR PISAL</v>
      </c>
      <c r="K33" s="19"/>
      <c r="L33" s="20"/>
      <c r="M33" s="19"/>
      <c r="N33" s="19"/>
      <c r="O33" s="19"/>
      <c r="P33" s="19" t="str">
        <f ca="1">IFERROR(__xludf.DUMMYFUNCTION("""COMPUTED_VALUE"""),"Infra services")</f>
        <v>Infra services</v>
      </c>
      <c r="Q33" s="19"/>
      <c r="R33" s="19" t="str">
        <f ca="1">IFERROR(__xludf.DUMMYFUNCTION("""COMPUTED_VALUE"""),"Pune")</f>
        <v>Pune</v>
      </c>
      <c r="S33" s="19"/>
    </row>
    <row r="34" spans="1:19" ht="13.2" x14ac:dyDescent="0.25">
      <c r="A34" s="33"/>
      <c r="B34" s="19" t="str">
        <f ca="1">IFERROR(__xludf.DUMMYFUNCTION("""COMPUTED_VALUE"""),"SWARAJYA CONSTRUCTION ARAG ( SANGLI)")</f>
        <v>SWARAJYA CONSTRUCTION ARAG ( SANGLI)</v>
      </c>
      <c r="C34" s="19" t="str">
        <f ca="1">IFERROR(__xludf.DUMMYFUNCTION("""COMPUTED_VALUE"""),"ARAG (SANGLI)")</f>
        <v>ARAG (SANGLI)</v>
      </c>
      <c r="D34" s="19">
        <f ca="1">IFERROR(__xludf.DUMMYFUNCTION("""COMPUTED_VALUE"""),8483949197)</f>
        <v>8483949197</v>
      </c>
      <c r="E34" s="19"/>
      <c r="F34" s="19" t="str">
        <f ca="1">IFERROR(__xludf.DUMMYFUNCTION("""COMPUTED_VALUE"""),"milindpawar9654@gmail.com")</f>
        <v>milindpawar9654@gmail.com</v>
      </c>
      <c r="G34" s="19"/>
      <c r="H34" s="19"/>
      <c r="I34" s="19"/>
      <c r="J34" s="19" t="str">
        <f ca="1">IFERROR(__xludf.DUMMYFUNCTION("""COMPUTED_VALUE"""),"MILIND SHANKAR PAWAR")</f>
        <v>MILIND SHANKAR PAWAR</v>
      </c>
      <c r="K34" s="19"/>
      <c r="L34" s="20"/>
      <c r="M34" s="19"/>
      <c r="N34" s="19"/>
      <c r="O34" s="19"/>
      <c r="P34" s="19" t="str">
        <f ca="1">IFERROR(__xludf.DUMMYFUNCTION("""COMPUTED_VALUE"""),"MEDIUM")</f>
        <v>MEDIUM</v>
      </c>
      <c r="Q34" s="19"/>
      <c r="R34" s="19" t="str">
        <f ca="1">IFERROR(__xludf.DUMMYFUNCTION("""COMPUTED_VALUE"""),"Pune")</f>
        <v>Pune</v>
      </c>
      <c r="S34" s="19"/>
    </row>
    <row r="35" spans="1:19" ht="13.2" x14ac:dyDescent="0.25">
      <c r="A35" s="33"/>
      <c r="B35" s="19" t="str">
        <f ca="1">IFERROR(__xludf.DUMMYFUNCTION("""COMPUTED_VALUE"""),"neelam india infra pvt ltd")</f>
        <v>neelam india infra pvt ltd</v>
      </c>
      <c r="C35" s="19" t="str">
        <f ca="1">IFERROR(__xludf.DUMMYFUNCTION("""COMPUTED_VALUE"""),"Amravati")</f>
        <v>Amravati</v>
      </c>
      <c r="D35" s="19">
        <f ca="1">IFERROR(__xludf.DUMMYFUNCTION("""COMPUTED_VALUE"""),9923757711)</f>
        <v>9923757711</v>
      </c>
      <c r="E35" s="19"/>
      <c r="F35" s="19" t="str">
        <f ca="1">IFERROR(__xludf.DUMMYFUNCTION("""COMPUTED_VALUE"""),"neelamindiainfrapvtltd@gmail.com")</f>
        <v>neelamindiainfrapvtltd@gmail.com</v>
      </c>
      <c r="G35" s="19"/>
      <c r="H35" s="19"/>
      <c r="I35" s="19"/>
      <c r="J35" s="19" t="str">
        <f ca="1">IFERROR(__xludf.DUMMYFUNCTION("""COMPUTED_VALUE"""),"Vikas ambalkar")</f>
        <v>Vikas ambalkar</v>
      </c>
      <c r="K35" s="19"/>
      <c r="L35" s="20"/>
      <c r="M35" s="19"/>
      <c r="N35" s="19"/>
      <c r="O35" s="19"/>
      <c r="P35" s="19" t="str">
        <f ca="1">IFERROR(__xludf.DUMMYFUNCTION("""COMPUTED_VALUE"""),"Construction")</f>
        <v>Construction</v>
      </c>
      <c r="Q35" s="19"/>
      <c r="R35" s="19" t="str">
        <f ca="1">IFERROR(__xludf.DUMMYFUNCTION("""COMPUTED_VALUE"""),"Pune")</f>
        <v>Pune</v>
      </c>
      <c r="S35" s="19"/>
    </row>
    <row r="36" spans="1:19" ht="13.2" x14ac:dyDescent="0.25">
      <c r="A36" s="33"/>
      <c r="B36" s="19" t="str">
        <f ca="1">IFERROR(__xludf.DUMMYFUNCTION("""COMPUTED_VALUE"""),"NAVNEET CONSTRUCTION")</f>
        <v>NAVNEET CONSTRUCTION</v>
      </c>
      <c r="C36" s="19" t="str">
        <f ca="1">IFERROR(__xludf.DUMMYFUNCTION("""COMPUTED_VALUE"""),"Nagpur, Wardha")</f>
        <v>Nagpur, Wardha</v>
      </c>
      <c r="D36" s="19">
        <f ca="1">IFERROR(__xludf.DUMMYFUNCTION("""COMPUTED_VALUE"""),919881610615)</f>
        <v>919881610615</v>
      </c>
      <c r="E36" s="19"/>
      <c r="F36" s="19" t="str">
        <f ca="1">IFERROR(__xludf.DUMMYFUNCTION("""COMPUTED_VALUE"""),"navneetkjbf@gmail.com")</f>
        <v>navneetkjbf@gmail.com</v>
      </c>
      <c r="G36" s="19"/>
      <c r="H36" s="19"/>
      <c r="I36" s="19"/>
      <c r="J36" s="19" t="str">
        <f ca="1">IFERROR(__xludf.DUMMYFUNCTION("""COMPUTED_VALUE"""),"Navneet Upadhye")</f>
        <v>Navneet Upadhye</v>
      </c>
      <c r="K36" s="19"/>
      <c r="L36" s="20"/>
      <c r="M36" s="19"/>
      <c r="N36" s="19"/>
      <c r="O36" s="19"/>
      <c r="P36" s="19" t="str">
        <f ca="1">IFERROR(__xludf.DUMMYFUNCTION("""COMPUTED_VALUE"""),"Construction, Planning, Building drawings and Design")</f>
        <v>Construction, Planning, Building drawings and Design</v>
      </c>
      <c r="Q36" s="19"/>
      <c r="R36" s="19" t="str">
        <f ca="1">IFERROR(__xludf.DUMMYFUNCTION("""COMPUTED_VALUE"""),"Pune")</f>
        <v>Pune</v>
      </c>
      <c r="S36" s="19"/>
    </row>
    <row r="37" spans="1:19" ht="13.2" x14ac:dyDescent="0.25">
      <c r="A37" s="33"/>
      <c r="B37" s="19" t="str">
        <f ca="1">IFERROR(__xludf.DUMMYFUNCTION("""COMPUTED_VALUE"""),"aakruti constructions")</f>
        <v>aakruti constructions</v>
      </c>
      <c r="C37" s="19" t="str">
        <f ca="1">IFERROR(__xludf.DUMMYFUNCTION("""COMPUTED_VALUE"""),"navi mumbai")</f>
        <v>navi mumbai</v>
      </c>
      <c r="D37" s="19">
        <f ca="1">IFERROR(__xludf.DUMMYFUNCTION("""COMPUTED_VALUE"""),9172823534)</f>
        <v>9172823534</v>
      </c>
      <c r="E37" s="19"/>
      <c r="F37" s="19" t="str">
        <f ca="1">IFERROR(__xludf.DUMMYFUNCTION("""COMPUTED_VALUE"""),"akshay45200@gmail.com")</f>
        <v>akshay45200@gmail.com</v>
      </c>
      <c r="G37" s="19"/>
      <c r="H37" s="19"/>
      <c r="I37" s="19"/>
      <c r="J37" s="19" t="str">
        <f ca="1">IFERROR(__xludf.DUMMYFUNCTION("""COMPUTED_VALUE"""),"akshay jadhav")</f>
        <v>akshay jadhav</v>
      </c>
      <c r="K37" s="19"/>
      <c r="L37" s="20"/>
      <c r="M37" s="19"/>
      <c r="N37" s="19"/>
      <c r="O37" s="19"/>
      <c r="P37" s="19" t="str">
        <f ca="1">IFERROR(__xludf.DUMMYFUNCTION("""COMPUTED_VALUE"""),"civil work")</f>
        <v>civil work</v>
      </c>
      <c r="Q37" s="19"/>
      <c r="R37" s="19" t="str">
        <f ca="1">IFERROR(__xludf.DUMMYFUNCTION("""COMPUTED_VALUE"""),"Pune")</f>
        <v>Pune</v>
      </c>
      <c r="S37" s="19"/>
    </row>
    <row r="38" spans="1:19" ht="13.2" x14ac:dyDescent="0.25">
      <c r="A38" s="33"/>
      <c r="B38" s="19" t="str">
        <f ca="1">IFERROR(__xludf.DUMMYFUNCTION("""COMPUTED_VALUE"""),"Aakruti construction")</f>
        <v>Aakruti construction</v>
      </c>
      <c r="C38" s="19" t="str">
        <f ca="1">IFERROR(__xludf.DUMMYFUNCTION("""COMPUTED_VALUE"""),"Panvel to vashi")</f>
        <v>Panvel to vashi</v>
      </c>
      <c r="D38" s="19">
        <f ca="1">IFERROR(__xludf.DUMMYFUNCTION("""COMPUTED_VALUE"""),8976209290)</f>
        <v>8976209290</v>
      </c>
      <c r="E38" s="19"/>
      <c r="F38" s="19" t="str">
        <f ca="1">IFERROR(__xludf.DUMMYFUNCTION("""COMPUTED_VALUE"""),"akshay4520@gmail.com")</f>
        <v>akshay4520@gmail.com</v>
      </c>
      <c r="G38" s="19"/>
      <c r="H38" s="19"/>
      <c r="I38" s="19"/>
      <c r="J38" s="19" t="str">
        <f ca="1">IFERROR(__xludf.DUMMYFUNCTION("""COMPUTED_VALUE"""),"Akshaykumar jadhav")</f>
        <v>Akshaykumar jadhav</v>
      </c>
      <c r="K38" s="19"/>
      <c r="L38" s="20"/>
      <c r="M38" s="19"/>
      <c r="N38" s="19"/>
      <c r="O38" s="19"/>
      <c r="P38" s="19" t="str">
        <f ca="1">IFERROR(__xludf.DUMMYFUNCTION("""COMPUTED_VALUE"""),"Civil work")</f>
        <v>Civil work</v>
      </c>
      <c r="Q38" s="19"/>
      <c r="R38" s="19" t="str">
        <f ca="1">IFERROR(__xludf.DUMMYFUNCTION("""COMPUTED_VALUE"""),"Pune")</f>
        <v>Pune</v>
      </c>
      <c r="S38" s="19"/>
    </row>
    <row r="39" spans="1:19" ht="13.2" x14ac:dyDescent="0.25">
      <c r="A39" s="33"/>
      <c r="B39" s="19" t="str">
        <f ca="1">IFERROR(__xludf.DUMMYFUNCTION("""COMPUTED_VALUE"""),"Labour Supplier")</f>
        <v>Labour Supplier</v>
      </c>
      <c r="C39" s="19" t="str">
        <f ca="1">IFERROR(__xludf.DUMMYFUNCTION("""COMPUTED_VALUE"""),"Jejuri/Shirwal")</f>
        <v>Jejuri/Shirwal</v>
      </c>
      <c r="D39" s="19">
        <f ca="1">IFERROR(__xludf.DUMMYFUNCTION("""COMPUTED_VALUE"""),9021176182)</f>
        <v>9021176182</v>
      </c>
      <c r="E39" s="19"/>
      <c r="F39" s="19" t="str">
        <f ca="1">IFERROR(__xludf.DUMMYFUNCTION("""COMPUTED_VALUE"""),"vishaldagade1708@gmail.com")</f>
        <v>vishaldagade1708@gmail.com</v>
      </c>
      <c r="G39" s="19"/>
      <c r="H39" s="19"/>
      <c r="I39" s="19"/>
      <c r="J39" s="19" t="str">
        <f ca="1">IFERROR(__xludf.DUMMYFUNCTION("""COMPUTED_VALUE"""),"Vishal Dagade")</f>
        <v>Vishal Dagade</v>
      </c>
      <c r="K39" s="19"/>
      <c r="L39" s="20"/>
      <c r="M39" s="19"/>
      <c r="N39" s="19"/>
      <c r="O39" s="19"/>
      <c r="P39" s="19" t="str">
        <f ca="1">IFERROR(__xludf.DUMMYFUNCTION("""COMPUTED_VALUE"""),"Required Company To Labour Supplying")</f>
        <v>Required Company To Labour Supplying</v>
      </c>
      <c r="Q39" s="19"/>
      <c r="R39" s="19" t="str">
        <f ca="1">IFERROR(__xludf.DUMMYFUNCTION("""COMPUTED_VALUE"""),"Pune")</f>
        <v>Pune</v>
      </c>
      <c r="S39" s="19"/>
    </row>
    <row r="40" spans="1:19" ht="13.2" x14ac:dyDescent="0.25">
      <c r="A40" s="33"/>
      <c r="B40" s="19" t="str">
        <f ca="1">IFERROR(__xludf.DUMMYFUNCTION("""COMPUTED_VALUE"""),"Hey concrete")</f>
        <v>Hey concrete</v>
      </c>
      <c r="C40" s="19" t="str">
        <f ca="1">IFERROR(__xludf.DUMMYFUNCTION("""COMPUTED_VALUE"""),"Pune")</f>
        <v>Pune</v>
      </c>
      <c r="D40" s="19">
        <f ca="1">IFERROR(__xludf.DUMMYFUNCTION("""COMPUTED_VALUE"""),9413819987)</f>
        <v>9413819987</v>
      </c>
      <c r="E40" s="19"/>
      <c r="F40" s="19" t="str">
        <f ca="1">IFERROR(__xludf.DUMMYFUNCTION("""COMPUTED_VALUE"""),"info@heyconcrete.com")</f>
        <v>info@heyconcrete.com</v>
      </c>
      <c r="G40" s="19"/>
      <c r="H40" s="19"/>
      <c r="I40" s="19"/>
      <c r="J40" s="19" t="str">
        <f ca="1">IFERROR(__xludf.DUMMYFUNCTION("""COMPUTED_VALUE"""),"Raj")</f>
        <v>Raj</v>
      </c>
      <c r="K40" s="19"/>
      <c r="L40" s="20"/>
      <c r="M40" s="19"/>
      <c r="N40" s="19"/>
      <c r="O40" s="19"/>
      <c r="P40" s="19" t="str">
        <f ca="1">IFERROR(__xludf.DUMMYFUNCTION("""COMPUTED_VALUE"""),"Building materials")</f>
        <v>Building materials</v>
      </c>
      <c r="Q40" s="19"/>
      <c r="R40" s="19" t="str">
        <f ca="1">IFERROR(__xludf.DUMMYFUNCTION("""COMPUTED_VALUE"""),"Pune")</f>
        <v>Pune</v>
      </c>
      <c r="S40" s="19"/>
    </row>
    <row r="41" spans="1:19" ht="13.2" x14ac:dyDescent="0.25">
      <c r="A41" s="33"/>
      <c r="B41" s="19" t="str">
        <f ca="1">IFERROR(__xludf.DUMMYFUNCTION("""COMPUTED_VALUE"""),"SN construction")</f>
        <v>SN construction</v>
      </c>
      <c r="C41" s="19" t="str">
        <f ca="1">IFERROR(__xludf.DUMMYFUNCTION("""COMPUTED_VALUE"""),"Pune")</f>
        <v>Pune</v>
      </c>
      <c r="D41" s="19">
        <f ca="1">IFERROR(__xludf.DUMMYFUNCTION("""COMPUTED_VALUE"""),8411818813)</f>
        <v>8411818813</v>
      </c>
      <c r="E41" s="19"/>
      <c r="F41" s="19" t="str">
        <f ca="1">IFERROR(__xludf.DUMMYFUNCTION("""COMPUTED_VALUE"""),"nshantanu50@gmail.com")</f>
        <v>nshantanu50@gmail.com</v>
      </c>
      <c r="G41" s="19"/>
      <c r="H41" s="19"/>
      <c r="I41" s="19"/>
      <c r="J41" s="19" t="str">
        <f ca="1">IFERROR(__xludf.DUMMYFUNCTION("""COMPUTED_VALUE"""),"Shantanu naik")</f>
        <v>Shantanu naik</v>
      </c>
      <c r="K41" s="19"/>
      <c r="L41" s="20"/>
      <c r="M41" s="19"/>
      <c r="N41" s="19"/>
      <c r="O41" s="19"/>
      <c r="P41" s="19" t="str">
        <f ca="1">IFERROR(__xludf.DUMMYFUNCTION("""COMPUTED_VALUE"""),"Building and construction 
 Interior design")</f>
        <v>Building and construction 
 Interior design</v>
      </c>
      <c r="Q41" s="19"/>
      <c r="R41" s="19" t="str">
        <f ca="1">IFERROR(__xludf.DUMMYFUNCTION("""COMPUTED_VALUE"""),"Pune")</f>
        <v>Pune</v>
      </c>
      <c r="S41" s="19"/>
    </row>
    <row r="42" spans="1:19" ht="13.2" x14ac:dyDescent="0.25">
      <c r="A42" s="33"/>
      <c r="B42" s="19" t="str">
        <f ca="1">IFERROR(__xludf.DUMMYFUNCTION("""COMPUTED_VALUE"""),"Interior Designer")</f>
        <v>Interior Designer</v>
      </c>
      <c r="C42" s="19" t="str">
        <f ca="1">IFERROR(__xludf.DUMMYFUNCTION("""COMPUTED_VALUE"""),"Pune")</f>
        <v>Pune</v>
      </c>
      <c r="D42" s="19"/>
      <c r="E42" s="19"/>
      <c r="F42" s="19" t="str">
        <f ca="1">IFERROR(__xludf.DUMMYFUNCTION("""COMPUTED_VALUE"""),"gayatrisakat2312@gmail.com")</f>
        <v>gayatrisakat2312@gmail.com</v>
      </c>
      <c r="G42" s="19"/>
      <c r="H42" s="19"/>
      <c r="I42" s="19"/>
      <c r="J42" s="19" t="str">
        <f ca="1">IFERROR(__xludf.DUMMYFUNCTION("""COMPUTED_VALUE"""),"Gayatri sakat")</f>
        <v>Gayatri sakat</v>
      </c>
      <c r="K42" s="19"/>
      <c r="L42" s="20"/>
      <c r="M42" s="19"/>
      <c r="N42" s="19"/>
      <c r="O42" s="19"/>
      <c r="P42" s="19"/>
      <c r="Q42" s="19"/>
      <c r="R42" s="19" t="str">
        <f ca="1">IFERROR(__xludf.DUMMYFUNCTION("""COMPUTED_VALUE"""),"Pune")</f>
        <v>Pune</v>
      </c>
      <c r="S42" s="19"/>
    </row>
    <row r="43" spans="1:19" ht="13.2" x14ac:dyDescent="0.25">
      <c r="A43" s="33"/>
      <c r="B43" s="19" t="str">
        <f ca="1">IFERROR(__xludf.DUMMYFUNCTION("""COMPUTED_VALUE"""),"3D interior")</f>
        <v>3D interior</v>
      </c>
      <c r="C43" s="19" t="str">
        <f ca="1">IFERROR(__xludf.DUMMYFUNCTION("""COMPUTED_VALUE"""),"Pune")</f>
        <v>Pune</v>
      </c>
      <c r="D43" s="19">
        <f ca="1">IFERROR(__xludf.DUMMYFUNCTION("""COMPUTED_VALUE"""),9511250623)</f>
        <v>9511250623</v>
      </c>
      <c r="E43" s="19"/>
      <c r="F43" s="19" t="str">
        <f ca="1">IFERROR(__xludf.DUMMYFUNCTION("""COMPUTED_VALUE"""),"3dinterior@gmail.com")</f>
        <v>3dinterior@gmail.com</v>
      </c>
      <c r="G43" s="19"/>
      <c r="H43" s="19"/>
      <c r="I43" s="19"/>
      <c r="J43" s="19" t="str">
        <f ca="1">IFERROR(__xludf.DUMMYFUNCTION("""COMPUTED_VALUE"""),"Sonal Kumbhar")</f>
        <v>Sonal Kumbhar</v>
      </c>
      <c r="K43" s="19"/>
      <c r="L43" s="20"/>
      <c r="M43" s="19"/>
      <c r="N43" s="19"/>
      <c r="O43" s="19"/>
      <c r="P43" s="19" t="str">
        <f ca="1">IFERROR(__xludf.DUMMYFUNCTION("""COMPUTED_VALUE"""),"Interior designing")</f>
        <v>Interior designing</v>
      </c>
      <c r="Q43" s="19"/>
      <c r="R43" s="19" t="str">
        <f ca="1">IFERROR(__xludf.DUMMYFUNCTION("""COMPUTED_VALUE"""),"Pune")</f>
        <v>Pune</v>
      </c>
      <c r="S43" s="19"/>
    </row>
    <row r="44" spans="1:19" ht="13.2" x14ac:dyDescent="0.25">
      <c r="A44" s="33"/>
      <c r="B44" s="19" t="str">
        <f ca="1">IFERROR(__xludf.DUMMYFUNCTION("""COMPUTED_VALUE"""),"SL17 Intererior design")</f>
        <v>SL17 Intererior design</v>
      </c>
      <c r="C44" s="19" t="str">
        <f ca="1">IFERROR(__xludf.DUMMYFUNCTION("""COMPUTED_VALUE"""),"Kolhapur,pune")</f>
        <v>Kolhapur,pune</v>
      </c>
      <c r="D44" s="19">
        <f ca="1">IFERROR(__xludf.DUMMYFUNCTION("""COMPUTED_VALUE"""),9518946423)</f>
        <v>9518946423</v>
      </c>
      <c r="E44" s="19"/>
      <c r="F44" s="19" t="str">
        <f ca="1">IFERROR(__xludf.DUMMYFUNCTION("""COMPUTED_VALUE"""),"shreedharlokhande.17@gmail.com")</f>
        <v>shreedharlokhande.17@gmail.com</v>
      </c>
      <c r="G44" s="19"/>
      <c r="H44" s="19"/>
      <c r="I44" s="19"/>
      <c r="J44" s="19" t="str">
        <f ca="1">IFERROR(__xludf.DUMMYFUNCTION("""COMPUTED_VALUE"""),"Shreedhar Lokhande")</f>
        <v>Shreedhar Lokhande</v>
      </c>
      <c r="K44" s="19"/>
      <c r="L44" s="20"/>
      <c r="M44" s="19"/>
      <c r="N44" s="19"/>
      <c r="O44" s="19"/>
      <c r="P44" s="19" t="str">
        <f ca="1">IFERROR(__xludf.DUMMYFUNCTION("""COMPUTED_VALUE"""),"Residencial and commercial Interior design contractor")</f>
        <v>Residencial and commercial Interior design contractor</v>
      </c>
      <c r="Q44" s="19"/>
      <c r="R44" s="19" t="str">
        <f ca="1">IFERROR(__xludf.DUMMYFUNCTION("""COMPUTED_VALUE"""),"Pune")</f>
        <v>Pune</v>
      </c>
      <c r="S44" s="19"/>
    </row>
    <row r="45" spans="1:19" ht="13.2" x14ac:dyDescent="0.25">
      <c r="A45" s="33"/>
      <c r="B45" s="19" t="str">
        <f ca="1">IFERROR(__xludf.DUMMYFUNCTION("""COMPUTED_VALUE"""),"P.M.PARDESHI AND ASSOCIATES")</f>
        <v>P.M.PARDESHI AND ASSOCIATES</v>
      </c>
      <c r="C45" s="19" t="str">
        <f ca="1">IFERROR(__xludf.DUMMYFUNCTION("""COMPUTED_VALUE"""),"Pune")</f>
        <v>Pune</v>
      </c>
      <c r="D45" s="19">
        <f ca="1">IFERROR(__xludf.DUMMYFUNCTION("""COMPUTED_VALUE"""),9823113116)</f>
        <v>9823113116</v>
      </c>
      <c r="E45" s="19"/>
      <c r="F45" s="19"/>
      <c r="G45" s="19"/>
      <c r="H45" s="19"/>
      <c r="I45" s="19"/>
      <c r="J45" s="19"/>
      <c r="K45" s="19"/>
      <c r="L45" s="20"/>
      <c r="M45" s="19"/>
      <c r="N45" s="19"/>
      <c r="O45" s="19"/>
      <c r="P45" s="19" t="str">
        <f ca="1">IFERROR(__xludf.DUMMYFUNCTION("""COMPUTED_VALUE"""),"Interior &amp; Construction services")</f>
        <v>Interior &amp; Construction services</v>
      </c>
      <c r="Q45" s="19"/>
      <c r="R45" s="19" t="str">
        <f ca="1">IFERROR(__xludf.DUMMYFUNCTION("""COMPUTED_VALUE"""),"Pune")</f>
        <v>Pune</v>
      </c>
      <c r="S45" s="19"/>
    </row>
  </sheetData>
  <hyperlinks>
    <hyperlink ref="G7" r:id="rId1" display="http://www.globalpests.com/" xr:uid="{00000000-0004-0000-0100-000000000000}"/>
    <hyperlink ref="G12" r:id="rId2" display="http://www.panchavaticoolcare.com/" xr:uid="{00000000-0004-0000-0100-000001000000}"/>
    <hyperlink ref="G26" r:id="rId3" display="http://www.mahavirenterprises.net/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2"/>
  <sheetViews>
    <sheetView workbookViewId="0"/>
  </sheetViews>
  <sheetFormatPr defaultColWidth="12.6640625" defaultRowHeight="15.75" customHeight="1" x14ac:dyDescent="0.25"/>
  <cols>
    <col min="2" max="2" width="31.21875" customWidth="1"/>
  </cols>
  <sheetData>
    <row r="1" spans="1:23" ht="15.75" customHeight="1" x14ac:dyDescent="0.3">
      <c r="A1" s="3" t="s">
        <v>0</v>
      </c>
      <c r="B1" s="3" t="s">
        <v>634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635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636</v>
      </c>
      <c r="Q1" s="3" t="s">
        <v>16</v>
      </c>
      <c r="R1" s="3"/>
      <c r="S1" s="3"/>
      <c r="T1" s="3"/>
      <c r="U1" s="3"/>
      <c r="V1" s="3"/>
      <c r="W1" s="3"/>
    </row>
    <row r="2" spans="1:23" x14ac:dyDescent="0.25">
      <c r="A2" s="33">
        <f ca="1">IFERROR(__xludf.DUMMYFUNCTION("QUERY('Form Responses 1'!A2:S1000, ""select * where R='Aurangabad'"") "),45017.6439303703)</f>
        <v>45017.643930370301</v>
      </c>
      <c r="B2" s="19" t="str">
        <f ca="1">IFERROR(__xludf.DUMMYFUNCTION("""COMPUTED_VALUE"""),"Bharat Sanchar Nigam Ltd.Aurangabad")</f>
        <v>Bharat Sanchar Nigam Ltd.Aurangabad</v>
      </c>
      <c r="C2" s="19" t="str">
        <f ca="1">IFERROR(__xludf.DUMMYFUNCTION("""COMPUTED_VALUE"""),"O/O The G.M Telecom sanchar Sadan ,town center,CIDCO ,aurangabad 431003")</f>
        <v>O/O The G.M Telecom sanchar Sadan ,town center,CIDCO ,aurangabad 431003</v>
      </c>
      <c r="D2" s="19"/>
      <c r="E2" s="19" t="str">
        <f ca="1">IFERROR(__xludf.DUMMYFUNCTION("""COMPUTED_VALUE"""),"02402350200")</f>
        <v>02402350200</v>
      </c>
      <c r="F2" s="19" t="str">
        <f ca="1">IFERROR(__xludf.DUMMYFUNCTION("""COMPUTED_VALUE"""),"Shende1959@gmail.com.dsshende@bsnl")</f>
        <v>Shende1959@gmail.com.dsshende@bsnl</v>
      </c>
      <c r="G2" s="19"/>
      <c r="H2" s="19"/>
      <c r="I2" s="19"/>
      <c r="J2" s="19"/>
      <c r="K2" s="19"/>
      <c r="L2" s="20"/>
      <c r="M2" s="19"/>
      <c r="N2" s="19"/>
      <c r="O2" s="19"/>
      <c r="P2" s="19"/>
      <c r="Q2" s="19"/>
      <c r="R2" s="19" t="str">
        <f ca="1">IFERROR(__xludf.DUMMYFUNCTION("""COMPUTED_VALUE"""),"Aurangabad")</f>
        <v>Aurangabad</v>
      </c>
      <c r="S2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5"/>
  <sheetViews>
    <sheetView workbookViewId="0"/>
  </sheetViews>
  <sheetFormatPr defaultColWidth="12.6640625" defaultRowHeight="15.75" customHeight="1" x14ac:dyDescent="0.25"/>
  <cols>
    <col min="2" max="2" width="31.21875" customWidth="1"/>
  </cols>
  <sheetData>
    <row r="1" spans="1:23" ht="15.75" customHeight="1" x14ac:dyDescent="0.3">
      <c r="A1" s="3" t="s">
        <v>0</v>
      </c>
      <c r="B1" s="3" t="s">
        <v>634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635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636</v>
      </c>
      <c r="Q1" s="3" t="s">
        <v>16</v>
      </c>
      <c r="R1" s="3"/>
      <c r="S1" s="3"/>
      <c r="T1" s="3"/>
      <c r="U1" s="3"/>
      <c r="V1" s="3"/>
      <c r="W1" s="3"/>
    </row>
    <row r="2" spans="1:23" x14ac:dyDescent="0.25">
      <c r="A2" s="33">
        <f ca="1">IFERROR(__xludf.DUMMYFUNCTION("QUERY('Form Responses 1'!A2:S1000, ""select * where R='Sangli'"") "),45077.48322125)</f>
        <v>45077.483221249997</v>
      </c>
      <c r="B2" s="19" t="str">
        <f ca="1">IFERROR(__xludf.DUMMYFUNCTION("""COMPUTED_VALUE"""),"Gore building material supplier")</f>
        <v>Gore building material supplier</v>
      </c>
      <c r="C2" s="19" t="str">
        <f ca="1">IFERROR(__xludf.DUMMYFUNCTION("""COMPUTED_VALUE"""),"Sangli")</f>
        <v>Sangli</v>
      </c>
      <c r="D2" s="19">
        <f ca="1">IFERROR(__xludf.DUMMYFUNCTION("""COMPUTED_VALUE"""),9049761360)</f>
        <v>9049761360</v>
      </c>
      <c r="E2" s="19"/>
      <c r="F2" s="19"/>
      <c r="G2" s="19"/>
      <c r="H2" s="19"/>
      <c r="I2" s="19"/>
      <c r="J2" s="19"/>
      <c r="K2" s="19"/>
      <c r="L2" s="20"/>
      <c r="M2" s="19"/>
      <c r="N2" s="19" t="str">
        <f ca="1">IFERROR(__xludf.DUMMYFUNCTION("""COMPUTED_VALUE"""),"Solo Properitership")</f>
        <v>Solo Properitership</v>
      </c>
      <c r="O2" s="19" t="str">
        <f ca="1">IFERROR(__xludf.DUMMYFUNCTION("""COMPUTED_VALUE"""),"RETAILER")</f>
        <v>RETAILER</v>
      </c>
      <c r="P2" s="19" t="str">
        <f ca="1">IFERROR(__xludf.DUMMYFUNCTION("""COMPUTED_VALUE"""),"Construction material supplier ")</f>
        <v xml:space="preserve">Construction material supplier </v>
      </c>
      <c r="Q2" s="19"/>
      <c r="R2" s="19" t="str">
        <f ca="1">IFERROR(__xludf.DUMMYFUNCTION("""COMPUTED_VALUE"""),"Sangli")</f>
        <v>Sangli</v>
      </c>
      <c r="S2" s="19"/>
    </row>
    <row r="3" spans="1:23" x14ac:dyDescent="0.25">
      <c r="A3" s="33">
        <f ca="1">IFERROR(__xludf.DUMMYFUNCTION("""COMPUTED_VALUE"""),45077.5070399884)</f>
        <v>45077.507039988399</v>
      </c>
      <c r="B3" s="19" t="str">
        <f ca="1">IFERROR(__xludf.DUMMYFUNCTION("""COMPUTED_VALUE"""),"Amol Constructions")</f>
        <v>Amol Constructions</v>
      </c>
      <c r="C3" s="19" t="str">
        <f ca="1">IFERROR(__xludf.DUMMYFUNCTION("""COMPUTED_VALUE"""),"Hingangaon Kh")</f>
        <v>Hingangaon Kh</v>
      </c>
      <c r="D3" s="19">
        <f ca="1">IFERROR(__xludf.DUMMYFUNCTION("""COMPUTED_VALUE"""),9657037019)</f>
        <v>9657037019</v>
      </c>
      <c r="E3" s="19"/>
      <c r="F3" s="19" t="str">
        <f ca="1">IFERROR(__xludf.DUMMYFUNCTION("""COMPUTED_VALUE"""),"amolgiri0555@gmail.com")</f>
        <v>amolgiri0555@gmail.com</v>
      </c>
      <c r="G3" s="19"/>
      <c r="H3" s="19"/>
      <c r="I3" s="19"/>
      <c r="J3" s="19" t="str">
        <f ca="1">IFERROR(__xludf.DUMMYFUNCTION("""COMPUTED_VALUE"""),"Amol Bajirao Gosavi")</f>
        <v>Amol Bajirao Gosavi</v>
      </c>
      <c r="K3" s="19"/>
      <c r="L3" s="20"/>
      <c r="M3" s="19"/>
      <c r="N3" s="19" t="str">
        <f ca="1">IFERROR(__xludf.DUMMYFUNCTION("""COMPUTED_VALUE"""),"Solo Properitership")</f>
        <v>Solo Properitership</v>
      </c>
      <c r="O3" s="19" t="str">
        <f ca="1">IFERROR(__xludf.DUMMYFUNCTION("""COMPUTED_VALUE"""),"Construction contractor")</f>
        <v>Construction contractor</v>
      </c>
      <c r="P3" s="19" t="str">
        <f ca="1">IFERROR(__xludf.DUMMYFUNCTION("""COMPUTED_VALUE"""),"Civil construction work ")</f>
        <v xml:space="preserve">Civil construction work </v>
      </c>
      <c r="Q3" s="19"/>
      <c r="R3" s="19" t="str">
        <f ca="1">IFERROR(__xludf.DUMMYFUNCTION("""COMPUTED_VALUE"""),"Sangli")</f>
        <v>Sangli</v>
      </c>
      <c r="S3" s="19"/>
    </row>
    <row r="4" spans="1:23" x14ac:dyDescent="0.25">
      <c r="A4" s="33">
        <f ca="1">IFERROR(__xludf.DUMMYFUNCTION("""COMPUTED_VALUE"""),45077.507842118)</f>
        <v>45077.507842118001</v>
      </c>
      <c r="B4" s="19" t="str">
        <f ca="1">IFERROR(__xludf.DUMMYFUNCTION("""COMPUTED_VALUE"""),"Samarth Building Material")</f>
        <v>Samarth Building Material</v>
      </c>
      <c r="C4" s="19" t="str">
        <f ca="1">IFERROR(__xludf.DUMMYFUNCTION("""COMPUTED_VALUE"""),"Kadegaon")</f>
        <v>Kadegaon</v>
      </c>
      <c r="D4" s="19">
        <f ca="1">IFERROR(__xludf.DUMMYFUNCTION("""COMPUTED_VALUE"""),9146295050)</f>
        <v>9146295050</v>
      </c>
      <c r="E4" s="19"/>
      <c r="F4" s="19" t="str">
        <f ca="1">IFERROR(__xludf.DUMMYFUNCTION("""COMPUTED_VALUE"""),"patilabhay91@gmail.com")</f>
        <v>patilabhay91@gmail.com</v>
      </c>
      <c r="G4" s="19"/>
      <c r="H4" s="19"/>
      <c r="I4" s="19"/>
      <c r="J4" s="19" t="str">
        <f ca="1">IFERROR(__xludf.DUMMYFUNCTION("""COMPUTED_VALUE"""),"Abhay Patil")</f>
        <v>Abhay Patil</v>
      </c>
      <c r="K4" s="19"/>
      <c r="L4" s="20"/>
      <c r="M4" s="19"/>
      <c r="N4" s="19" t="str">
        <f ca="1">IFERROR(__xludf.DUMMYFUNCTION("""COMPUTED_VALUE"""),"Solo Properitership")</f>
        <v>Solo Properitership</v>
      </c>
      <c r="O4" s="19" t="str">
        <f ca="1">IFERROR(__xludf.DUMMYFUNCTION("""COMPUTED_VALUE"""),"Construction contractor")</f>
        <v>Construction contractor</v>
      </c>
      <c r="P4" s="19" t="str">
        <f ca="1">IFERROR(__xludf.DUMMYFUNCTION("""COMPUTED_VALUE"""),"Land development, construction work ")</f>
        <v xml:space="preserve">Land development, construction work </v>
      </c>
      <c r="Q4" s="19"/>
      <c r="R4" s="19" t="str">
        <f ca="1">IFERROR(__xludf.DUMMYFUNCTION("""COMPUTED_VALUE"""),"Sangli")</f>
        <v>Sangli</v>
      </c>
      <c r="S4" s="19"/>
    </row>
    <row r="5" spans="1:23" x14ac:dyDescent="0.25">
      <c r="A5" s="33"/>
      <c r="B5" s="19" t="str">
        <f ca="1">IFERROR(__xludf.DUMMYFUNCTION("""COMPUTED_VALUE"""),"Trimurti Constructions")</f>
        <v>Trimurti Constructions</v>
      </c>
      <c r="C5" s="19" t="str">
        <f ca="1">IFERROR(__xludf.DUMMYFUNCTION("""COMPUTED_VALUE"""),"Kadegaon")</f>
        <v>Kadegaon</v>
      </c>
      <c r="D5" s="19">
        <f ca="1">IFERROR(__xludf.DUMMYFUNCTION("""COMPUTED_VALUE"""),9970224464)</f>
        <v>9970224464</v>
      </c>
      <c r="E5" s="19"/>
      <c r="F5" s="19" t="str">
        <f ca="1">IFERROR(__xludf.DUMMYFUNCTION("""COMPUTED_VALUE"""),"santoshlokhande4147@gmail.com")</f>
        <v>santoshlokhande4147@gmail.com</v>
      </c>
      <c r="G5" s="19"/>
      <c r="H5" s="19"/>
      <c r="I5" s="19"/>
      <c r="J5" s="19" t="str">
        <f ca="1">IFERROR(__xludf.DUMMYFUNCTION("""COMPUTED_VALUE"""),"Santosh Lokhande")</f>
        <v>Santosh Lokhande</v>
      </c>
      <c r="K5" s="19"/>
      <c r="L5" s="20"/>
      <c r="M5" s="19"/>
      <c r="N5" s="19"/>
      <c r="O5" s="19"/>
      <c r="P5" s="19" t="str">
        <f ca="1">IFERROR(__xludf.DUMMYFUNCTION("""COMPUTED_VALUE"""),"Infrasructure all services")</f>
        <v>Infrasructure all services</v>
      </c>
      <c r="Q5" s="19"/>
      <c r="R5" s="19" t="str">
        <f ca="1">IFERROR(__xludf.DUMMYFUNCTION("""COMPUTED_VALUE"""),"Sangli")</f>
        <v>Sangli</v>
      </c>
      <c r="S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8"/>
  <sheetViews>
    <sheetView workbookViewId="0"/>
  </sheetViews>
  <sheetFormatPr defaultColWidth="12.6640625" defaultRowHeight="15.75" customHeight="1" x14ac:dyDescent="0.25"/>
  <cols>
    <col min="2" max="2" width="31.21875" customWidth="1"/>
    <col min="3" max="3" width="37.33203125" customWidth="1"/>
  </cols>
  <sheetData>
    <row r="1" spans="1:23" ht="15.75" customHeight="1" x14ac:dyDescent="0.3">
      <c r="A1" s="3" t="s">
        <v>0</v>
      </c>
      <c r="B1" s="3" t="s">
        <v>634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635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636</v>
      </c>
      <c r="Q1" s="3" t="s">
        <v>16</v>
      </c>
      <c r="R1" s="3"/>
      <c r="S1" s="3"/>
      <c r="T1" s="3"/>
      <c r="U1" s="3"/>
      <c r="V1" s="3"/>
      <c r="W1" s="3"/>
    </row>
    <row r="2" spans="1:23" x14ac:dyDescent="0.25">
      <c r="A2" s="33">
        <f ca="1">IFERROR(__xludf.DUMMYFUNCTION("QUERY('Form Responses 1'!A2:S1000, ""select * where R='Mumbai'"") "),44954.9149830324)</f>
        <v>44954.914983032402</v>
      </c>
      <c r="B2" s="19" t="str">
        <f ca="1">IFERROR(__xludf.DUMMYFUNCTION("""COMPUTED_VALUE"""),"Shree Decore ")</f>
        <v xml:space="preserve">Shree Decore </v>
      </c>
      <c r="C2" s="19" t="str">
        <f ca="1">IFERROR(__xludf.DUMMYFUNCTION("""COMPUTED_VALUE"""),"At post, bhiwandi")</f>
        <v>At post, bhiwandi</v>
      </c>
      <c r="D2" s="19">
        <f ca="1">IFERROR(__xludf.DUMMYFUNCTION("""COMPUTED_VALUE"""),8484973150)</f>
        <v>8484973150</v>
      </c>
      <c r="E2" s="19"/>
      <c r="F2" s="19"/>
      <c r="G2" s="19"/>
      <c r="H2" s="19"/>
      <c r="I2" s="19"/>
      <c r="J2" s="19"/>
      <c r="K2" s="19"/>
      <c r="L2" s="20"/>
      <c r="M2" s="19"/>
      <c r="N2" s="19" t="str">
        <f ca="1">IFERROR(__xludf.DUMMYFUNCTION("""COMPUTED_VALUE"""),"Solo Properitership")</f>
        <v>Solo Properitership</v>
      </c>
      <c r="O2" s="19" t="str">
        <f ca="1">IFERROR(__xludf.DUMMYFUNCTION("""COMPUTED_VALUE"""),"Professional services")</f>
        <v>Professional services</v>
      </c>
      <c r="P2" s="19" t="str">
        <f ca="1">IFERROR(__xludf.DUMMYFUNCTION("""COMPUTED_VALUE"""),"All type decoration material supplier ")</f>
        <v xml:space="preserve">All type decoration material supplier </v>
      </c>
      <c r="Q2" s="19"/>
      <c r="R2" s="19" t="str">
        <f ca="1">IFERROR(__xludf.DUMMYFUNCTION("""COMPUTED_VALUE"""),"Mumbai")</f>
        <v>Mumbai</v>
      </c>
      <c r="S2" s="19"/>
    </row>
    <row r="3" spans="1:23" x14ac:dyDescent="0.25">
      <c r="A3" s="33">
        <f ca="1">IFERROR(__xludf.DUMMYFUNCTION("""COMPUTED_VALUE"""),45017.6543976041)</f>
        <v>45017.654397604099</v>
      </c>
      <c r="B3" s="19" t="str">
        <f ca="1">IFERROR(__xludf.DUMMYFUNCTION("""COMPUTED_VALUE"""),"STARLIGHT'S")</f>
        <v>STARLIGHT'S</v>
      </c>
      <c r="C3" s="19" t="str">
        <f ca="1">IFERROR(__xludf.DUMMYFUNCTION("""COMPUTED_VALUE"""),"55,Lohar chawl ,Krishna Bhuvan ,Mumbai-400002")</f>
        <v>55,Lohar chawl ,Krishna Bhuvan ,Mumbai-400002</v>
      </c>
      <c r="D3" s="19"/>
      <c r="E3" s="19" t="str">
        <f ca="1">IFERROR(__xludf.DUMMYFUNCTION("""COMPUTED_VALUE"""),"*7100")</f>
        <v>*7100</v>
      </c>
      <c r="F3" s="19" t="str">
        <f ca="1">IFERROR(__xludf.DUMMYFUNCTION("""COMPUTED_VALUE"""),"Starlights2003@hotmail.com")</f>
        <v>Starlights2003@hotmail.com</v>
      </c>
      <c r="G3" s="19"/>
      <c r="H3" s="19"/>
      <c r="I3" s="19"/>
      <c r="J3" s="19"/>
      <c r="K3" s="19"/>
      <c r="L3" s="20"/>
      <c r="M3" s="19"/>
      <c r="N3" s="19"/>
      <c r="O3" s="19"/>
      <c r="P3" s="19"/>
      <c r="Q3" s="19"/>
      <c r="R3" s="19" t="str">
        <f ca="1">IFERROR(__xludf.DUMMYFUNCTION("""COMPUTED_VALUE"""),"Mumbai")</f>
        <v>Mumbai</v>
      </c>
      <c r="S3" s="19"/>
    </row>
    <row r="4" spans="1:23" x14ac:dyDescent="0.25">
      <c r="A4" s="33">
        <f ca="1">IFERROR(__xludf.DUMMYFUNCTION("""COMPUTED_VALUE"""),45017.6576507638)</f>
        <v>45017.657650763802</v>
      </c>
      <c r="B4" s="19" t="str">
        <f ca="1">IFERROR(__xludf.DUMMYFUNCTION("""COMPUTED_VALUE"""),"Neha Electrical")</f>
        <v>Neha Electrical</v>
      </c>
      <c r="C4" s="19" t="str">
        <f ca="1">IFERROR(__xludf.DUMMYFUNCTION("""COMPUTED_VALUE"""),"9TH Vithaldas ROAD,Bulakhidas Bladg,near Vireshwar Hotel,Lohar Chwal,Mumbai 400002")</f>
        <v>9TH Vithaldas ROAD,Bulakhidas Bladg,near Vireshwar Hotel,Lohar Chwal,Mumbai 400002</v>
      </c>
      <c r="D4" s="19"/>
      <c r="E4" s="19"/>
      <c r="F4" s="19"/>
      <c r="G4" s="19"/>
      <c r="H4" s="19"/>
      <c r="I4" s="19"/>
      <c r="J4" s="19" t="str">
        <f ca="1">IFERROR(__xludf.DUMMYFUNCTION("""COMPUTED_VALUE"""),"Navnath Badekar")</f>
        <v>Navnath Badekar</v>
      </c>
      <c r="K4" s="19"/>
      <c r="L4" s="20"/>
      <c r="M4" s="19"/>
      <c r="N4" s="19"/>
      <c r="O4" s="19"/>
      <c r="P4" s="19"/>
      <c r="Q4" s="19"/>
      <c r="R4" s="19" t="str">
        <f ca="1">IFERROR(__xludf.DUMMYFUNCTION("""COMPUTED_VALUE"""),"Mumbai")</f>
        <v>Mumbai</v>
      </c>
      <c r="S4" s="19"/>
    </row>
    <row r="5" spans="1:23" x14ac:dyDescent="0.25">
      <c r="A5" s="33">
        <f ca="1">IFERROR(__xludf.DUMMYFUNCTION("""COMPUTED_VALUE"""),45017.6616247916)</f>
        <v>45017.661624791603</v>
      </c>
      <c r="B5" s="19" t="str">
        <f ca="1">IFERROR(__xludf.DUMMYFUNCTION("""COMPUTED_VALUE"""),"Venus Lights")</f>
        <v>Venus Lights</v>
      </c>
      <c r="C5" s="19" t="str">
        <f ca="1">IFERROR(__xludf.DUMMYFUNCTION("""COMPUTED_VALUE"""),"Shop No 32,mangaldas Road,Devkaran Mansion ,princess  STREET Lohar chawl Mumbai")</f>
        <v>Shop No 32,mangaldas Road,Devkaran Mansion ,princess  STREET Lohar chawl Mumbai</v>
      </c>
      <c r="D5" s="19">
        <f ca="1">IFERROR(__xludf.DUMMYFUNCTION("""COMPUTED_VALUE"""),9029545937)</f>
        <v>9029545937</v>
      </c>
      <c r="E5" s="19"/>
      <c r="F5" s="19" t="str">
        <f ca="1">IFERROR(__xludf.DUMMYFUNCTION("""COMPUTED_VALUE"""),"lights_j@hotmail.com")</f>
        <v>lights_j@hotmail.com</v>
      </c>
      <c r="G5" s="19" t="str">
        <f ca="1">IFERROR(__xludf.DUMMYFUNCTION("""COMPUTED_VALUE"""),"Venuslights@hotmail.com")</f>
        <v>Venuslights@hotmail.com</v>
      </c>
      <c r="H5" s="19"/>
      <c r="I5" s="19"/>
      <c r="J5" s="19"/>
      <c r="K5" s="19"/>
      <c r="L5" s="20"/>
      <c r="M5" s="19"/>
      <c r="N5" s="19"/>
      <c r="O5" s="19"/>
      <c r="P5" s="19"/>
      <c r="Q5" s="19"/>
      <c r="R5" s="19" t="str">
        <f ca="1">IFERROR(__xludf.DUMMYFUNCTION("""COMPUTED_VALUE"""),"Mumbai")</f>
        <v>Mumbai</v>
      </c>
      <c r="S5" s="19"/>
    </row>
    <row r="6" spans="1:23" x14ac:dyDescent="0.25">
      <c r="A6" s="33">
        <f ca="1">IFERROR(__xludf.DUMMYFUNCTION("""COMPUTED_VALUE"""),45017.6642630902)</f>
        <v>45017.664263090199</v>
      </c>
      <c r="B6" s="19" t="str">
        <f ca="1">IFERROR(__xludf.DUMMYFUNCTION("""COMPUTED_VALUE"""),"Khushi Enterprise")</f>
        <v>Khushi Enterprise</v>
      </c>
      <c r="C6" s="19" t="str">
        <f ca="1">IFERROR(__xludf.DUMMYFUNCTION("""COMPUTED_VALUE"""),"41,Lohar chawl,sardar Graha Bladg,Mumbai-400002")</f>
        <v>41,Lohar chawl,sardar Graha Bladg,Mumbai-400002</v>
      </c>
      <c r="D6" s="19">
        <f ca="1">IFERROR(__xludf.DUMMYFUNCTION("""COMPUTED_VALUE"""),9867133252)</f>
        <v>9867133252</v>
      </c>
      <c r="E6" s="19"/>
      <c r="F6" s="19" t="str">
        <f ca="1">IFERROR(__xludf.DUMMYFUNCTION("""COMPUTED_VALUE"""),"Parekhheman1984@gmail.com")</f>
        <v>Parekhheman1984@gmail.com</v>
      </c>
      <c r="G6" s="19"/>
      <c r="H6" s="19"/>
      <c r="I6" s="19"/>
      <c r="J6" s="19"/>
      <c r="K6" s="19"/>
      <c r="L6" s="20"/>
      <c r="M6" s="19"/>
      <c r="N6" s="19"/>
      <c r="O6" s="19"/>
      <c r="P6" s="19"/>
      <c r="Q6" s="19"/>
      <c r="R6" s="19" t="str">
        <f ca="1">IFERROR(__xludf.DUMMYFUNCTION("""COMPUTED_VALUE"""),"Mumbai")</f>
        <v>Mumbai</v>
      </c>
      <c r="S6" s="19"/>
    </row>
    <row r="7" spans="1:23" x14ac:dyDescent="0.25">
      <c r="A7" s="33">
        <f ca="1">IFERROR(__xludf.DUMMYFUNCTION("""COMPUTED_VALUE"""),45017.6666227777)</f>
        <v>45017.666622777702</v>
      </c>
      <c r="B7" s="19" t="str">
        <f ca="1">IFERROR(__xludf.DUMMYFUNCTION("""COMPUTED_VALUE"""),"Sun Moon Electricals")</f>
        <v>Sun Moon Electricals</v>
      </c>
      <c r="C7" s="19" t="str">
        <f ca="1">IFERROR(__xludf.DUMMYFUNCTION("""COMPUTED_VALUE"""),"66,Mangalds RD ,dwarkadas Bldg ,Lohar Chawl,Mumbai-400002")</f>
        <v>66,Mangalds RD ,dwarkadas Bldg ,Lohar Chawl,Mumbai-400002</v>
      </c>
      <c r="D7" s="19">
        <f ca="1">IFERROR(__xludf.DUMMYFUNCTION("""COMPUTED_VALUE"""),9892334069)</f>
        <v>9892334069</v>
      </c>
      <c r="E7" s="19"/>
      <c r="F7" s="19" t="str">
        <f ca="1">IFERROR(__xludf.DUMMYFUNCTION("""COMPUTED_VALUE"""),"Suno in electric als@hotmail.com")</f>
        <v>Suno in electric als@hotmail.com</v>
      </c>
      <c r="G7" s="19"/>
      <c r="H7" s="19"/>
      <c r="I7" s="19"/>
      <c r="J7" s="19"/>
      <c r="K7" s="19"/>
      <c r="L7" s="20"/>
      <c r="M7" s="19"/>
      <c r="N7" s="19"/>
      <c r="O7" s="19"/>
      <c r="P7" s="19"/>
      <c r="Q7" s="19"/>
      <c r="R7" s="19" t="str">
        <f ca="1">IFERROR(__xludf.DUMMYFUNCTION("""COMPUTED_VALUE"""),"Mumbai")</f>
        <v>Mumbai</v>
      </c>
      <c r="S7" s="19"/>
    </row>
    <row r="8" spans="1:23" x14ac:dyDescent="0.25">
      <c r="A8" s="33">
        <f ca="1">IFERROR(__xludf.DUMMYFUNCTION("""COMPUTED_VALUE"""),45017.6696596759)</f>
        <v>45017.669659675899</v>
      </c>
      <c r="B8" s="19" t="str">
        <f ca="1">IFERROR(__xludf.DUMMYFUNCTION("""COMPUTED_VALUE"""),"Neha light ")</f>
        <v xml:space="preserve">Neha light </v>
      </c>
      <c r="C8" s="19" t="str">
        <f ca="1">IFERROR(__xludf.DUMMYFUNCTION("""COMPUTED_VALUE"""),"9Th vithaaldas ROAD ,Bulakhidas bladf Near vireshwar Hotel ,Lohar chawl,Mumbai-400002")</f>
        <v>9Th vithaaldas ROAD ,Bulakhidas bladf Near vireshwar Hotel ,Lohar chawl,Mumbai-400002</v>
      </c>
      <c r="D8" s="19"/>
      <c r="E8" s="19"/>
      <c r="F8" s="19" t="str">
        <f ca="1">IFERROR(__xludf.DUMMYFUNCTION("""COMPUTED_VALUE"""),"Nehaelectricals2010@gmail.com")</f>
        <v>Nehaelectricals2010@gmail.com</v>
      </c>
      <c r="G8" s="19"/>
      <c r="H8" s="19"/>
      <c r="I8" s="19"/>
      <c r="J8" s="19"/>
      <c r="K8" s="19"/>
      <c r="L8" s="20"/>
      <c r="M8" s="19"/>
      <c r="N8" s="19"/>
      <c r="O8" s="19"/>
      <c r="P8" s="19"/>
      <c r="Q8" s="19"/>
      <c r="R8" s="19" t="str">
        <f ca="1">IFERROR(__xludf.DUMMYFUNCTION("""COMPUTED_VALUE"""),"Mumbai")</f>
        <v>Mumbai</v>
      </c>
      <c r="S8" s="19"/>
    </row>
    <row r="9" spans="1:23" x14ac:dyDescent="0.25">
      <c r="A9" s="33">
        <f ca="1">IFERROR(__xludf.DUMMYFUNCTION("""COMPUTED_VALUE"""),45098.7408673726)</f>
        <v>45098.740867372602</v>
      </c>
      <c r="B9" s="19" t="str">
        <f ca="1">IFERROR(__xludf.DUMMYFUNCTION("""COMPUTED_VALUE"""),"Asaivansh solution")</f>
        <v>Asaivansh solution</v>
      </c>
      <c r="C9" s="19" t="str">
        <f ca="1">IFERROR(__xludf.DUMMYFUNCTION("""COMPUTED_VALUE"""),"301, Galaxy tower, Opp. Ghodbandar road, wagbill road, Thane 400607")</f>
        <v>301, Galaxy tower, Opp. Ghodbandar road, wagbill road, Thane 400607</v>
      </c>
      <c r="D9" s="19">
        <f ca="1">IFERROR(__xludf.DUMMYFUNCTION("""COMPUTED_VALUE"""),8655537887)</f>
        <v>8655537887</v>
      </c>
      <c r="E9" s="19"/>
      <c r="F9" s="19" t="str">
        <f ca="1">IFERROR(__xludf.DUMMYFUNCTION("""COMPUTED_VALUE"""),"asaivansh@gmail.com")</f>
        <v>asaivansh@gmail.com</v>
      </c>
      <c r="G9" s="19"/>
      <c r="H9" s="19"/>
      <c r="I9" s="19"/>
      <c r="J9" s="19" t="str">
        <f ca="1">IFERROR(__xludf.DUMMYFUNCTION("""COMPUTED_VALUE"""),"Rohan mengle")</f>
        <v>Rohan mengle</v>
      </c>
      <c r="K9" s="19" t="str">
        <f ca="1">IFERROR(__xludf.DUMMYFUNCTION("""COMPUTED_VALUE"""),"Rohan.mengle@asaivansh.com")</f>
        <v>Rohan.mengle@asaivansh.com</v>
      </c>
      <c r="L9" s="20"/>
      <c r="M9" s="19"/>
      <c r="N9" s="19" t="str">
        <f ca="1">IFERROR(__xludf.DUMMYFUNCTION("""COMPUTED_VALUE"""),"Solo Properitership")</f>
        <v>Solo Properitership</v>
      </c>
      <c r="O9" s="19" t="str">
        <f ca="1">IFERROR(__xludf.DUMMYFUNCTION("""COMPUTED_VALUE"""),"Professional services")</f>
        <v>Professional services</v>
      </c>
      <c r="P9" s="19" t="str">
        <f ca="1">IFERROR(__xludf.DUMMYFUNCTION("""COMPUTED_VALUE"""),"Interior design and consulting ")</f>
        <v xml:space="preserve">Interior design and consulting </v>
      </c>
      <c r="Q9" s="19"/>
      <c r="R9" s="19" t="str">
        <f ca="1">IFERROR(__xludf.DUMMYFUNCTION("""COMPUTED_VALUE"""),"Mumbai")</f>
        <v>Mumbai</v>
      </c>
      <c r="S9" s="19"/>
    </row>
    <row r="10" spans="1:23" x14ac:dyDescent="0.25">
      <c r="A10" s="33">
        <f ca="1">IFERROR(__xludf.DUMMYFUNCTION("""COMPUTED_VALUE"""),45099.6489744675)</f>
        <v>45099.648974467498</v>
      </c>
      <c r="B10" s="19" t="str">
        <f ca="1">IFERROR(__xludf.DUMMYFUNCTION("""COMPUTED_VALUE"""),"Matrix architectural solutions ")</f>
        <v xml:space="preserve">Matrix architectural solutions </v>
      </c>
      <c r="C10" s="19" t="str">
        <f ca="1">IFERROR(__xludf.DUMMYFUNCTION("""COMPUTED_VALUE"""),"Veer savarkar road, Godrej hill side colony, Vikhroli (W), Mumbai 400079")</f>
        <v>Veer savarkar road, Godrej hill side colony, Vikhroli (W), Mumbai 400079</v>
      </c>
      <c r="D10" s="19"/>
      <c r="E10" s="19"/>
      <c r="F10" s="19"/>
      <c r="G10" s="19"/>
      <c r="H10" s="19"/>
      <c r="I10" s="19"/>
      <c r="J10" s="19"/>
      <c r="K10" s="19"/>
      <c r="L10" s="20"/>
      <c r="M10" s="19"/>
      <c r="N10" s="19" t="str">
        <f ca="1">IFERROR(__xludf.DUMMYFUNCTION("""COMPUTED_VALUE"""),"Solo Properitership")</f>
        <v>Solo Properitership</v>
      </c>
      <c r="O10" s="19" t="str">
        <f ca="1">IFERROR(__xludf.DUMMYFUNCTION("""COMPUTED_VALUE"""),"Manufacturer")</f>
        <v>Manufacturer</v>
      </c>
      <c r="P10" s="19" t="str">
        <f ca="1">IFERROR(__xludf.DUMMYFUNCTION("""COMPUTED_VALUE"""),"Glass door, fitting ")</f>
        <v xml:space="preserve">Glass door, fitting </v>
      </c>
      <c r="Q10" s="19"/>
      <c r="R10" s="19" t="str">
        <f ca="1">IFERROR(__xludf.DUMMYFUNCTION("""COMPUTED_VALUE"""),"Mumbai")</f>
        <v>Mumbai</v>
      </c>
      <c r="S10" s="19"/>
    </row>
    <row r="11" spans="1:23" x14ac:dyDescent="0.25">
      <c r="A11" s="33"/>
      <c r="B11" s="19" t="str">
        <f ca="1">IFERROR(__xludf.DUMMYFUNCTION("""COMPUTED_VALUE"""),"Royal electricals Ralegaon")</f>
        <v>Royal electricals Ralegaon</v>
      </c>
      <c r="C11" s="19" t="str">
        <f ca="1">IFERROR(__xludf.DUMMYFUNCTION("""COMPUTED_VALUE"""),"Ralegaon Dist: Yavatmal")</f>
        <v>Ralegaon Dist: Yavatmal</v>
      </c>
      <c r="D11" s="19">
        <f ca="1">IFERROR(__xludf.DUMMYFUNCTION("""COMPUTED_VALUE"""),919730042977)</f>
        <v>919730042977</v>
      </c>
      <c r="E11" s="19"/>
      <c r="F11" s="19" t="str">
        <f ca="1">IFERROR(__xludf.DUMMYFUNCTION("""COMPUTED_VALUE"""),"cvairagade13@gmail.com")</f>
        <v>cvairagade13@gmail.com</v>
      </c>
      <c r="G11" s="19"/>
      <c r="H11" s="19"/>
      <c r="I11" s="19"/>
      <c r="J11" s="19" t="str">
        <f ca="1">IFERROR(__xludf.DUMMYFUNCTION("""COMPUTED_VALUE"""),"Chetan Vairagade")</f>
        <v>Chetan Vairagade</v>
      </c>
      <c r="K11" s="19"/>
      <c r="L11" s="20"/>
      <c r="M11" s="19"/>
      <c r="N11" s="19"/>
      <c r="O11" s="19"/>
      <c r="P11" s="19" t="str">
        <f ca="1">IFERROR(__xludf.DUMMYFUNCTION("""COMPUTED_VALUE"""),"Existing business electrical all equipment")</f>
        <v>Existing business electrical all equipment</v>
      </c>
      <c r="Q11" s="19"/>
      <c r="R11" s="19" t="str">
        <f ca="1">IFERROR(__xludf.DUMMYFUNCTION("""COMPUTED_VALUE"""),"Mumbai")</f>
        <v>Mumbai</v>
      </c>
      <c r="S11" s="19"/>
    </row>
    <row r="12" spans="1:23" x14ac:dyDescent="0.25">
      <c r="A12" s="33"/>
      <c r="B12" s="19" t="str">
        <f ca="1">IFERROR(__xludf.DUMMYFUNCTION("""COMPUTED_VALUE"""),"SV creations")</f>
        <v>SV creations</v>
      </c>
      <c r="C12" s="19" t="str">
        <f ca="1">IFERROR(__xludf.DUMMYFUNCTION("""COMPUTED_VALUE"""),"katraj,Pune")</f>
        <v>katraj,Pune</v>
      </c>
      <c r="D12" s="19">
        <f ca="1">IFERROR(__xludf.DUMMYFUNCTION("""COMPUTED_VALUE"""),9689471199)</f>
        <v>9689471199</v>
      </c>
      <c r="E12" s="19"/>
      <c r="F12" s="19" t="str">
        <f ca="1">IFERROR(__xludf.DUMMYFUNCTION("""COMPUTED_VALUE"""),"swapnil.raikar19@gmail.com")</f>
        <v>swapnil.raikar19@gmail.com</v>
      </c>
      <c r="G12" s="19"/>
      <c r="H12" s="19"/>
      <c r="I12" s="19"/>
      <c r="J12" s="19" t="str">
        <f ca="1">IFERROR(__xludf.DUMMYFUNCTION("""COMPUTED_VALUE"""),"Mr. Swapnil Raikar")</f>
        <v>Mr. Swapnil Raikar</v>
      </c>
      <c r="K12" s="19"/>
      <c r="L12" s="20"/>
      <c r="M12" s="19"/>
      <c r="N12" s="19"/>
      <c r="O12" s="19"/>
      <c r="P12" s="19" t="str">
        <f ca="1">IFERROR(__xludf.DUMMYFUNCTION("""COMPUTED_VALUE"""),"Interior Designer")</f>
        <v>Interior Designer</v>
      </c>
      <c r="Q12" s="19"/>
      <c r="R12" s="19" t="str">
        <f ca="1">IFERROR(__xludf.DUMMYFUNCTION("""COMPUTED_VALUE"""),"Mumbai")</f>
        <v>Mumbai</v>
      </c>
      <c r="S12" s="19"/>
    </row>
    <row r="13" spans="1:23" x14ac:dyDescent="0.25">
      <c r="A13" s="33"/>
      <c r="B13" s="19" t="str">
        <f ca="1">IFERROR(__xludf.DUMMYFUNCTION("""COMPUTED_VALUE"""),"keygenes Security Private Limited")</f>
        <v>keygenes Security Private Limited</v>
      </c>
      <c r="C13" s="19" t="str">
        <f ca="1">IFERROR(__xludf.DUMMYFUNCTION("""COMPUTED_VALUE"""),"Mumbai")</f>
        <v>Mumbai</v>
      </c>
      <c r="D13" s="19">
        <f ca="1">IFERROR(__xludf.DUMMYFUNCTION("""COMPUTED_VALUE"""),9867502111)</f>
        <v>9867502111</v>
      </c>
      <c r="E13" s="19"/>
      <c r="F13" s="19" t="str">
        <f ca="1">IFERROR(__xludf.DUMMYFUNCTION("""COMPUTED_VALUE"""),"keygenes24@gmail.com")</f>
        <v>keygenes24@gmail.com</v>
      </c>
      <c r="G13" s="19"/>
      <c r="H13" s="19"/>
      <c r="I13" s="19"/>
      <c r="J13" s="19" t="str">
        <f ca="1">IFERROR(__xludf.DUMMYFUNCTION("""COMPUTED_VALUE"""),"Mr. Prashant Kolte")</f>
        <v>Mr. Prashant Kolte</v>
      </c>
      <c r="K13" s="19"/>
      <c r="L13" s="20"/>
      <c r="M13" s="19"/>
      <c r="N13" s="19"/>
      <c r="O13" s="19"/>
      <c r="P13" s="19" t="str">
        <f ca="1">IFERROR(__xludf.DUMMYFUNCTION("""COMPUTED_VALUE"""),"security services like camera,door bell securities")</f>
        <v>security services like camera,door bell securities</v>
      </c>
      <c r="Q13" s="19"/>
      <c r="R13" s="19" t="str">
        <f ca="1">IFERROR(__xludf.DUMMYFUNCTION("""COMPUTED_VALUE"""),"Mumbai")</f>
        <v>Mumbai</v>
      </c>
      <c r="S13" s="19"/>
    </row>
    <row r="14" spans="1:23" x14ac:dyDescent="0.25">
      <c r="A14" s="33"/>
      <c r="B14" s="19" t="str">
        <f ca="1">IFERROR(__xludf.DUMMYFUNCTION("""COMPUTED_VALUE"""),"Jain Doors")</f>
        <v>Jain Doors</v>
      </c>
      <c r="C14" s="19" t="str">
        <f ca="1">IFERROR(__xludf.DUMMYFUNCTION("""COMPUTED_VALUE"""),"Washim")</f>
        <v>Washim</v>
      </c>
      <c r="D14" s="19">
        <f ca="1">IFERROR(__xludf.DUMMYFUNCTION("""COMPUTED_VALUE"""),919270401501)</f>
        <v>919270401501</v>
      </c>
      <c r="E14" s="19"/>
      <c r="F14" s="19" t="str">
        <f ca="1">IFERROR(__xludf.DUMMYFUNCTION("""COMPUTED_VALUE"""),"nandanmalve7875115069@gmail.com")</f>
        <v>nandanmalve7875115069@gmail.com</v>
      </c>
      <c r="G14" s="19"/>
      <c r="H14" s="19"/>
      <c r="I14" s="19"/>
      <c r="J14" s="19" t="str">
        <f ca="1">IFERROR(__xludf.DUMMYFUNCTION("""COMPUTED_VALUE"""),"Deven Bagrecha")</f>
        <v>Deven Bagrecha</v>
      </c>
      <c r="K14" s="19"/>
      <c r="L14" s="20"/>
      <c r="M14" s="19"/>
      <c r="N14" s="19"/>
      <c r="O14" s="19"/>
      <c r="P14" s="19" t="str">
        <f ca="1">IFERROR(__xludf.DUMMYFUNCTION("""COMPUTED_VALUE"""),"Each and every type of wooden furnishing materials supplier")</f>
        <v>Each and every type of wooden furnishing materials supplier</v>
      </c>
      <c r="Q14" s="19"/>
      <c r="R14" s="19" t="str">
        <f ca="1">IFERROR(__xludf.DUMMYFUNCTION("""COMPUTED_VALUE"""),"Mumbai")</f>
        <v>Mumbai</v>
      </c>
      <c r="S14" s="19"/>
    </row>
    <row r="15" spans="1:23" x14ac:dyDescent="0.25">
      <c r="A15" s="33"/>
      <c r="B15" s="19" t="str">
        <f ca="1">IFERROR(__xludf.DUMMYFUNCTION("""COMPUTED_VALUE"""),"Nirmiti sofa")</f>
        <v>Nirmiti sofa</v>
      </c>
      <c r="C15" s="19" t="str">
        <f ca="1">IFERROR(__xludf.DUMMYFUNCTION("""COMPUTED_VALUE"""),"Washim")</f>
        <v>Washim</v>
      </c>
      <c r="D15" s="19">
        <f ca="1">IFERROR(__xludf.DUMMYFUNCTION("""COMPUTED_VALUE"""),8007222202)</f>
        <v>8007222202</v>
      </c>
      <c r="E15" s="19"/>
      <c r="F15" s="19" t="str">
        <f ca="1">IFERROR(__xludf.DUMMYFUNCTION("""COMPUTED_VALUE"""),"nandanmalve7875115069@gmail.com")</f>
        <v>nandanmalve7875115069@gmail.com</v>
      </c>
      <c r="G15" s="19"/>
      <c r="H15" s="19"/>
      <c r="I15" s="19"/>
      <c r="J15" s="19" t="str">
        <f ca="1">IFERROR(__xludf.DUMMYFUNCTION("""COMPUTED_VALUE"""),"Ashwin laddha")</f>
        <v>Ashwin laddha</v>
      </c>
      <c r="K15" s="19"/>
      <c r="L15" s="20"/>
      <c r="M15" s="19"/>
      <c r="N15" s="19"/>
      <c r="O15" s="19"/>
      <c r="P15" s="19" t="str">
        <f ca="1">IFERROR(__xludf.DUMMYFUNCTION("""COMPUTED_VALUE"""),"All sofa and cushion handloom")</f>
        <v>All sofa and cushion handloom</v>
      </c>
      <c r="Q15" s="19"/>
      <c r="R15" s="19" t="str">
        <f ca="1">IFERROR(__xludf.DUMMYFUNCTION("""COMPUTED_VALUE"""),"Mumbai")</f>
        <v>Mumbai</v>
      </c>
      <c r="S15" s="19"/>
    </row>
    <row r="16" spans="1:23" x14ac:dyDescent="0.25">
      <c r="A16" s="33"/>
      <c r="B16" s="19" t="str">
        <f ca="1">IFERROR(__xludf.DUMMYFUNCTION("""COMPUTED_VALUE"""),"Harish Fevicol")</f>
        <v>Harish Fevicol</v>
      </c>
      <c r="C16" s="19" t="str">
        <f ca="1">IFERROR(__xludf.DUMMYFUNCTION("""COMPUTED_VALUE"""),"Washim")</f>
        <v>Washim</v>
      </c>
      <c r="D16" s="19">
        <f ca="1">IFERROR(__xludf.DUMMYFUNCTION("""COMPUTED_VALUE"""),8605614606)</f>
        <v>8605614606</v>
      </c>
      <c r="E16" s="19"/>
      <c r="F16" s="19" t="str">
        <f ca="1">IFERROR(__xludf.DUMMYFUNCTION("""COMPUTED_VALUE"""),"nandanmalve7875115069@gmail.com")</f>
        <v>nandanmalve7875115069@gmail.com</v>
      </c>
      <c r="G16" s="19"/>
      <c r="H16" s="19"/>
      <c r="I16" s="19"/>
      <c r="J16" s="19" t="str">
        <f ca="1">IFERROR(__xludf.DUMMYFUNCTION("""COMPUTED_VALUE"""),"Chintu")</f>
        <v>Chintu</v>
      </c>
      <c r="K16" s="19"/>
      <c r="L16" s="20"/>
      <c r="M16" s="19"/>
      <c r="N16" s="19"/>
      <c r="O16" s="19"/>
      <c r="P16" s="19" t="str">
        <f ca="1">IFERROR(__xludf.DUMMYFUNCTION("""COMPUTED_VALUE"""),"Plywood supplier")</f>
        <v>Plywood supplier</v>
      </c>
      <c r="Q16" s="19"/>
      <c r="R16" s="19" t="str">
        <f ca="1">IFERROR(__xludf.DUMMYFUNCTION("""COMPUTED_VALUE"""),"Mumbai")</f>
        <v>Mumbai</v>
      </c>
      <c r="S16" s="19"/>
    </row>
    <row r="17" spans="1:19" x14ac:dyDescent="0.25">
      <c r="A17" s="33"/>
      <c r="B17" s="19" t="str">
        <f ca="1">IFERROR(__xludf.DUMMYFUNCTION("""COMPUTED_VALUE"""),"Interior Design &amp; construction work")</f>
        <v>Interior Design &amp; construction work</v>
      </c>
      <c r="C17" s="19" t="str">
        <f ca="1">IFERROR(__xludf.DUMMYFUNCTION("""COMPUTED_VALUE"""),"Karanjade")</f>
        <v>Karanjade</v>
      </c>
      <c r="D17" s="19">
        <f ca="1">IFERROR(__xludf.DUMMYFUNCTION("""COMPUTED_VALUE"""),9545512169)</f>
        <v>9545512169</v>
      </c>
      <c r="E17" s="19"/>
      <c r="F17" s="19" t="str">
        <f ca="1">IFERROR(__xludf.DUMMYFUNCTION("""COMPUTED_VALUE"""),"sevanandmotghare2015@gmail.com")</f>
        <v>sevanandmotghare2015@gmail.com</v>
      </c>
      <c r="G17" s="19"/>
      <c r="H17" s="19"/>
      <c r="I17" s="19"/>
      <c r="J17" s="19" t="str">
        <f ca="1">IFERROR(__xludf.DUMMYFUNCTION("""COMPUTED_VALUE"""),"Sevanand Motghare")</f>
        <v>Sevanand Motghare</v>
      </c>
      <c r="K17" s="19"/>
      <c r="L17" s="20"/>
      <c r="M17" s="19"/>
      <c r="N17" s="19"/>
      <c r="O17" s="19"/>
      <c r="P17" s="19" t="str">
        <f ca="1">IFERROR(__xludf.DUMMYFUNCTION("""COMPUTED_VALUE"""),"Renovation,3D design")</f>
        <v>Renovation,3D design</v>
      </c>
      <c r="Q17" s="19"/>
      <c r="R17" s="19" t="str">
        <f ca="1">IFERROR(__xludf.DUMMYFUNCTION("""COMPUTED_VALUE"""),"Mumbai")</f>
        <v>Mumbai</v>
      </c>
      <c r="S17" s="19"/>
    </row>
    <row r="18" spans="1:19" x14ac:dyDescent="0.25">
      <c r="A18" s="33"/>
      <c r="B18" s="19" t="str">
        <f ca="1">IFERROR(__xludf.DUMMYFUNCTION("""COMPUTED_VALUE"""),"VD and associates")</f>
        <v>VD and associates</v>
      </c>
      <c r="C18" s="19" t="str">
        <f ca="1">IFERROR(__xludf.DUMMYFUNCTION("""COMPUTED_VALUE"""),"Thane (Maharashtra)")</f>
        <v>Thane (Maharashtra)</v>
      </c>
      <c r="D18" s="19">
        <f ca="1">IFERROR(__xludf.DUMMYFUNCTION("""COMPUTED_VALUE"""),8652434222)</f>
        <v>8652434222</v>
      </c>
      <c r="E18" s="19"/>
      <c r="F18" s="19" t="str">
        <f ca="1">IFERROR(__xludf.DUMMYFUNCTION("""COMPUTED_VALUE"""),"vishal.sonavane@gmail.com")</f>
        <v>vishal.sonavane@gmail.com</v>
      </c>
      <c r="G18" s="19"/>
      <c r="H18" s="19"/>
      <c r="I18" s="19"/>
      <c r="J18" s="19" t="str">
        <f ca="1">IFERROR(__xludf.DUMMYFUNCTION("""COMPUTED_VALUE"""),"Dr. Vishal Sonavane")</f>
        <v>Dr. Vishal Sonavane</v>
      </c>
      <c r="K18" s="19"/>
      <c r="L18" s="20"/>
      <c r="M18" s="19"/>
      <c r="N18" s="19"/>
      <c r="O18" s="19"/>
      <c r="P18" s="19" t="str">
        <f ca="1">IFERROR(__xludf.DUMMYFUNCTION("""COMPUTED_VALUE"""),"Architect and designing consultant")</f>
        <v>Architect and designing consultant</v>
      </c>
      <c r="Q18" s="19"/>
      <c r="R18" s="19" t="str">
        <f ca="1">IFERROR(__xludf.DUMMYFUNCTION("""COMPUTED_VALUE"""),"Mumbai")</f>
        <v>Mumbai</v>
      </c>
      <c r="S18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29"/>
  <sheetViews>
    <sheetView workbookViewId="0"/>
  </sheetViews>
  <sheetFormatPr defaultColWidth="12.6640625" defaultRowHeight="15.75" customHeight="1" x14ac:dyDescent="0.25"/>
  <cols>
    <col min="2" max="2" width="31.21875" customWidth="1"/>
    <col min="3" max="3" width="32.33203125" customWidth="1"/>
    <col min="4" max="4" width="18.77734375" customWidth="1"/>
    <col min="6" max="6" width="29.109375" customWidth="1"/>
    <col min="7" max="7" width="17.33203125" customWidth="1"/>
  </cols>
  <sheetData>
    <row r="1" spans="1:23" ht="15.6" x14ac:dyDescent="0.3">
      <c r="A1" s="3" t="s">
        <v>0</v>
      </c>
      <c r="B1" s="3" t="s">
        <v>634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635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636</v>
      </c>
      <c r="Q1" s="3" t="s">
        <v>16</v>
      </c>
      <c r="R1" s="3"/>
      <c r="S1" s="3"/>
      <c r="T1" s="3"/>
      <c r="U1" s="3"/>
      <c r="V1" s="3"/>
      <c r="W1" s="3"/>
    </row>
    <row r="2" spans="1:23" ht="13.2" x14ac:dyDescent="0.25">
      <c r="A2" s="33">
        <f ca="1">IFERROR(__xludf.DUMMYFUNCTION("QUERY('Form Responses 1'!A2:S1000, ""select * where R='Nagpur'"") "),44954.9098050463)</f>
        <v>44954.9098050463</v>
      </c>
      <c r="B2" s="19" t="str">
        <f ca="1">IFERROR(__xludf.DUMMYFUNCTION("""COMPUTED_VALUE"""),"Patel Enterprises ")</f>
        <v xml:space="preserve">Patel Enterprises </v>
      </c>
      <c r="C2" s="19" t="str">
        <f ca="1">IFERROR(__xludf.DUMMYFUNCTION("""COMPUTED_VALUE"""),"At post yavatmal, District- nagpur")</f>
        <v>At post yavatmal, District- nagpur</v>
      </c>
      <c r="D2" s="19">
        <f ca="1">IFERROR(__xludf.DUMMYFUNCTION("""COMPUTED_VALUE"""),9409188926)</f>
        <v>9409188926</v>
      </c>
      <c r="E2" s="19"/>
      <c r="F2" s="19"/>
      <c r="G2" s="19"/>
      <c r="H2" s="19"/>
      <c r="I2" s="19"/>
      <c r="J2" s="19" t="str">
        <f ca="1">IFERROR(__xludf.DUMMYFUNCTION("""COMPUTED_VALUE"""),"Shahu Patel")</f>
        <v>Shahu Patel</v>
      </c>
      <c r="K2" s="19"/>
      <c r="L2" s="20"/>
      <c r="M2" s="19"/>
      <c r="N2" s="19" t="str">
        <f ca="1">IFERROR(__xludf.DUMMYFUNCTION("""COMPUTED_VALUE"""),"Solo Properitership")</f>
        <v>Solo Properitership</v>
      </c>
      <c r="O2" s="19" t="str">
        <f ca="1">IFERROR(__xludf.DUMMYFUNCTION("""COMPUTED_VALUE"""),"Professional services")</f>
        <v>Professional services</v>
      </c>
      <c r="P2" s="19" t="str">
        <f ca="1">IFERROR(__xludf.DUMMYFUNCTION("""COMPUTED_VALUE"""),"All type of plumbing, electrician  work")</f>
        <v>All type of plumbing, electrician  work</v>
      </c>
      <c r="Q2" s="19"/>
      <c r="R2" s="19" t="str">
        <f ca="1">IFERROR(__xludf.DUMMYFUNCTION("""COMPUTED_VALUE"""),"Nagpur")</f>
        <v>Nagpur</v>
      </c>
      <c r="S2" s="19"/>
    </row>
    <row r="3" spans="1:23" ht="13.2" x14ac:dyDescent="0.25">
      <c r="A3" s="33">
        <f ca="1">IFERROR(__xludf.DUMMYFUNCTION("""COMPUTED_VALUE"""),44975.9258059722)</f>
        <v>44975.925805972198</v>
      </c>
      <c r="B3" s="19" t="str">
        <f ca="1">IFERROR(__xludf.DUMMYFUNCTION("""COMPUTED_VALUE"""),"Mahakalkar Electrical Services ")</f>
        <v xml:space="preserve">Mahakalkar Electrical Services </v>
      </c>
      <c r="C3" s="19" t="str">
        <f ca="1">IFERROR(__xludf.DUMMYFUNCTION("""COMPUTED_VALUE"""),"R-2, Reshimbag Nagpur 440024")</f>
        <v>R-2, Reshimbag Nagpur 440024</v>
      </c>
      <c r="D3" s="19">
        <f ca="1">IFERROR(__xludf.DUMMYFUNCTION("""COMPUTED_VALUE"""),9422810234)</f>
        <v>9422810234</v>
      </c>
      <c r="E3" s="19"/>
      <c r="F3" s="19" t="str">
        <f ca="1">IFERROR(__xludf.DUMMYFUNCTION("""COMPUTED_VALUE"""),"mahakalkarsunil1@gmail.com")</f>
        <v>mahakalkarsunil1@gmail.com</v>
      </c>
      <c r="G3" s="19" t="str">
        <f ca="1">IFERROR(__xludf.DUMMYFUNCTION("""COMPUTED_VALUE"""),"NA")</f>
        <v>NA</v>
      </c>
      <c r="H3" s="19" t="str">
        <f ca="1">IFERROR(__xludf.DUMMYFUNCTION("""COMPUTED_VALUE"""),"NA")</f>
        <v>NA</v>
      </c>
      <c r="I3" s="19" t="str">
        <f ca="1">IFERROR(__xludf.DUMMYFUNCTION("""COMPUTED_VALUE"""),"AJMPM8580E")</f>
        <v>AJMPM8580E</v>
      </c>
      <c r="J3" s="19" t="str">
        <f ca="1">IFERROR(__xludf.DUMMYFUNCTION("""COMPUTED_VALUE"""),"Sunil Mahakalkar ")</f>
        <v xml:space="preserve">Sunil Mahakalkar </v>
      </c>
      <c r="K3" s="19" t="str">
        <f ca="1">IFERROR(__xludf.DUMMYFUNCTION("""COMPUTED_VALUE"""),"mahakalkarsunil1@gmail.com")</f>
        <v>mahakalkarsunil1@gmail.com</v>
      </c>
      <c r="L3" s="20">
        <f ca="1">IFERROR(__xludf.DUMMYFUNCTION("""COMPUTED_VALUE"""),37098)</f>
        <v>37098</v>
      </c>
      <c r="M3" s="19" t="str">
        <f ca="1">IFERROR(__xludf.DUMMYFUNCTION("""COMPUTED_VALUE"""),"Option 1")</f>
        <v>Option 1</v>
      </c>
      <c r="N3" s="19" t="str">
        <f ca="1">IFERROR(__xludf.DUMMYFUNCTION("""COMPUTED_VALUE"""),"Solo Properitership")</f>
        <v>Solo Properitership</v>
      </c>
      <c r="O3" s="19" t="str">
        <f ca="1">IFERROR(__xludf.DUMMYFUNCTION("""COMPUTED_VALUE"""),"Professional services")</f>
        <v>Professional services</v>
      </c>
      <c r="P3" s="19" t="str">
        <f ca="1">IFERROR(__xludf.DUMMYFUNCTION("""COMPUTED_VALUE"""),"LT Electrical Installation Domestic &amp; Industrial")</f>
        <v>LT Electrical Installation Domestic &amp; Industrial</v>
      </c>
      <c r="Q3" s="19" t="str">
        <f ca="1">IFERROR(__xludf.DUMMYFUNCTION("""COMPUTED_VALUE"""),"IDBI, Gandhibag, Nagpur, Sunil Mahakalkar, AC number 58410010003749")</f>
        <v>IDBI, Gandhibag, Nagpur, Sunil Mahakalkar, AC number 58410010003749</v>
      </c>
      <c r="R3" s="19" t="str">
        <f ca="1">IFERROR(__xludf.DUMMYFUNCTION("""COMPUTED_VALUE"""),"Nagpur")</f>
        <v>Nagpur</v>
      </c>
      <c r="S3" s="19"/>
    </row>
    <row r="4" spans="1:23" ht="18.75" customHeight="1" x14ac:dyDescent="0.25">
      <c r="A4" s="33">
        <f ca="1">IFERROR(__xludf.DUMMYFUNCTION("""COMPUTED_VALUE"""),44976.5292895717)</f>
        <v>44976.529289571699</v>
      </c>
      <c r="B4" s="19" t="str">
        <f ca="1">IFERROR(__xludf.DUMMYFUNCTION("""COMPUTED_VALUE"""),"K2H INVOTECH PRIVATE LIMITED (DECOR DEFINE) ")</f>
        <v xml:space="preserve">K2H INVOTECH PRIVATE LIMITED (DECOR DEFINE) </v>
      </c>
      <c r="C4" s="19" t="str">
        <f ca="1">IFERROR(__xludf.DUMMYFUNCTION("""COMPUTED_VALUE"""),"99, DURGA NAGAR NEAR GADEWAR LAWN, NEAR AYODHYA NAGAR NAGPUR")</f>
        <v>99, DURGA NAGAR NEAR GADEWAR LAWN, NEAR AYODHYA NAGAR NAGPUR</v>
      </c>
      <c r="D4" s="19">
        <f ca="1">IFERROR(__xludf.DUMMYFUNCTION("""COMPUTED_VALUE"""),8999223637)</f>
        <v>8999223637</v>
      </c>
      <c r="E4" s="19"/>
      <c r="F4" s="19" t="str">
        <f ca="1">IFERROR(__xludf.DUMMYFUNCTION("""COMPUTED_VALUE"""),"info@decordefine.com")</f>
        <v>info@decordefine.com</v>
      </c>
      <c r="G4" s="37" t="str">
        <f ca="1">IFERROR(__xludf.DUMMYFUNCTION("""COMPUTED_VALUE"""),"www.decordefine.com")</f>
        <v>www.decordefine.com</v>
      </c>
      <c r="H4" s="19" t="str">
        <f ca="1">IFERROR(__xludf.DUMMYFUNCTION("""COMPUTED_VALUE"""),"27AAJCK3339A1ZR")</f>
        <v>27AAJCK3339A1ZR</v>
      </c>
      <c r="I4" s="19" t="str">
        <f ca="1">IFERROR(__xludf.DUMMYFUNCTION("""COMPUTED_VALUE"""),"AAJCK3339")</f>
        <v>AAJCK3339</v>
      </c>
      <c r="J4" s="19" t="str">
        <f ca="1">IFERROR(__xludf.DUMMYFUNCTION("""COMPUTED_VALUE"""),"Mr. Aniket Halgule (Director)")</f>
        <v>Mr. Aniket Halgule (Director)</v>
      </c>
      <c r="K4" s="19" t="str">
        <f ca="1">IFERROR(__xludf.DUMMYFUNCTION("""COMPUTED_VALUE"""),"aniket.h@decordefine.com")</f>
        <v>aniket.h@decordefine.com</v>
      </c>
      <c r="L4" s="20">
        <f ca="1">IFERROR(__xludf.DUMMYFUNCTION("""COMPUTED_VALUE"""),44606)</f>
        <v>44606</v>
      </c>
      <c r="M4" s="19" t="str">
        <f ca="1">IFERROR(__xludf.DUMMYFUNCTION("""COMPUTED_VALUE"""),"Option 1")</f>
        <v>Option 1</v>
      </c>
      <c r="N4" s="19" t="str">
        <f ca="1">IFERROR(__xludf.DUMMYFUNCTION("""COMPUTED_VALUE"""),"Corporation")</f>
        <v>Corporation</v>
      </c>
      <c r="O4" s="19" t="str">
        <f ca="1">IFERROR(__xludf.DUMMYFUNCTION("""COMPUTED_VALUE"""),"Manufacturer")</f>
        <v>Manufacturer</v>
      </c>
      <c r="P4" s="19" t="str">
        <f ca="1">IFERROR(__xludf.DUMMYFUNCTION("""COMPUTED_VALUE"""),"Decor Define is a DIGITALLY-NATIVE FURNITURE BRAND, offering the most elevated &amp; customized online furniture &amp; home decor shopping experience with the help of try before
buy at your comfortable space.
We customize your furniture &amp; decor items according to"&amp;" your own style.")</f>
        <v>Decor Define is a DIGITALLY-NATIVE FURNITURE BRAND, offering the most elevated &amp; customized online furniture &amp; home decor shopping experience with the help of try before
buy at your comfortable space.
We customize your furniture &amp; decor items according to your own style.</v>
      </c>
      <c r="Q4" s="19" t="str">
        <f ca="1">IFERROR(__xludf.DUMMYFUNCTION("""COMPUTED_VALUE"""),"Account Number- 50200068712762
Beneficiary Name-  K2H INVOTECH PRIVATE LIMITED 
IFSC Code- HDFC0002451
Bank Address- MANGALMURTI APARTMENTS, PLOT NO 2 AND 3, NEAR MANEAWADA CEMENT ROAD, OLD SUBHEDHAR LAYOUT, NAGPUR-  440024. MAHARASHTRA
")</f>
        <v xml:space="preserve">Account Number- 50200068712762
Beneficiary Name-  K2H INVOTECH PRIVATE LIMITED 
IFSC Code- HDFC0002451
Bank Address- MANGALMURTI APARTMENTS, PLOT NO 2 AND 3, NEAR MANEAWADA CEMENT ROAD, OLD SUBHEDHAR LAYOUT, NAGPUR-  440024. MAHARASHTRA
</v>
      </c>
      <c r="R4" s="19" t="str">
        <f ca="1">IFERROR(__xludf.DUMMYFUNCTION("""COMPUTED_VALUE"""),"Nagpur")</f>
        <v>Nagpur</v>
      </c>
      <c r="S4" s="19"/>
    </row>
    <row r="5" spans="1:23" ht="13.2" x14ac:dyDescent="0.25">
      <c r="A5" s="33">
        <f ca="1">IFERROR(__xludf.DUMMYFUNCTION("""COMPUTED_VALUE"""),44976.561077118)</f>
        <v>44976.561077118</v>
      </c>
      <c r="B5" s="19" t="str">
        <f ca="1">IFERROR(__xludf.DUMMYFUNCTION("""COMPUTED_VALUE"""),"Shreeram interior")</f>
        <v>Shreeram interior</v>
      </c>
      <c r="C5" s="19" t="str">
        <f ca="1">IFERROR(__xludf.DUMMYFUNCTION("""COMPUTED_VALUE"""),"Flat no 70 Daimond nagar wanjra road uppalwadi nagpur Maharashtra 440026")</f>
        <v>Flat no 70 Daimond nagar wanjra road uppalwadi nagpur Maharashtra 440026</v>
      </c>
      <c r="D5" s="19">
        <f ca="1">IFERROR(__xludf.DUMMYFUNCTION("""COMPUTED_VALUE"""),9923619153)</f>
        <v>9923619153</v>
      </c>
      <c r="E5" s="19"/>
      <c r="F5" s="19" t="str">
        <f ca="1">IFERROR(__xludf.DUMMYFUNCTION("""COMPUTED_VALUE"""),"rajeshjaiswal9923619153@gmail.com")</f>
        <v>rajeshjaiswal9923619153@gmail.com</v>
      </c>
      <c r="G5" s="19"/>
      <c r="H5" s="19"/>
      <c r="I5" s="19" t="str">
        <f ca="1">IFERROR(__xludf.DUMMYFUNCTION("""COMPUTED_VALUE"""),"AILPJ5008Q")</f>
        <v>AILPJ5008Q</v>
      </c>
      <c r="J5" s="19" t="str">
        <f ca="1">IFERROR(__xludf.DUMMYFUNCTION("""COMPUTED_VALUE"""),"Shreeram interior ")</f>
        <v xml:space="preserve">Shreeram interior </v>
      </c>
      <c r="K5" s="19"/>
      <c r="L5" s="20">
        <f ca="1">IFERROR(__xludf.DUMMYFUNCTION("""COMPUTED_VALUE"""),44971)</f>
        <v>44971</v>
      </c>
      <c r="M5" s="19"/>
      <c r="N5" s="19"/>
      <c r="O5" s="19"/>
      <c r="P5" s="19"/>
      <c r="Q5" s="19" t="str">
        <f ca="1">IFERROR(__xludf.DUMMYFUNCTION("""COMPUTED_VALUE"""),"Bank of Baroda 43670200000012")</f>
        <v>Bank of Baroda 43670200000012</v>
      </c>
      <c r="R5" s="19" t="str">
        <f ca="1">IFERROR(__xludf.DUMMYFUNCTION("""COMPUTED_VALUE"""),"Nagpur")</f>
        <v>Nagpur</v>
      </c>
      <c r="S5" s="19"/>
    </row>
    <row r="6" spans="1:23" ht="13.2" x14ac:dyDescent="0.25">
      <c r="A6" s="33">
        <f ca="1">IFERROR(__xludf.DUMMYFUNCTION("""COMPUTED_VALUE"""),44980.7493863541)</f>
        <v>44980.749386354102</v>
      </c>
      <c r="B6" s="19" t="str">
        <f ca="1">IFERROR(__xludf.DUMMYFUNCTION("""COMPUTED_VALUE"""),"H.B.T Painting works")</f>
        <v>H.B.T Painting works</v>
      </c>
      <c r="C6" s="19" t="str">
        <f ca="1">IFERROR(__xludf.DUMMYFUNCTION("""COMPUTED_VALUE"""),"Nagpur")</f>
        <v>Nagpur</v>
      </c>
      <c r="D6" s="19">
        <f ca="1">IFERROR(__xludf.DUMMYFUNCTION("""COMPUTED_VALUE"""),9325290123)</f>
        <v>9325290123</v>
      </c>
      <c r="E6" s="19"/>
      <c r="F6" s="19" t="str">
        <f ca="1">IFERROR(__xludf.DUMMYFUNCTION("""COMPUTED_VALUE"""),"riyaazmohd8@gmail.com")</f>
        <v>riyaazmohd8@gmail.com</v>
      </c>
      <c r="G6" s="19"/>
      <c r="H6" s="19"/>
      <c r="I6" s="19" t="str">
        <f ca="1">IFERROR(__xludf.DUMMYFUNCTION("""COMPUTED_VALUE"""),"BKVPR1380N")</f>
        <v>BKVPR1380N</v>
      </c>
      <c r="J6" s="19" t="str">
        <f ca="1">IFERROR(__xludf.DUMMYFUNCTION("""COMPUTED_VALUE"""),"Mohd Riyaz")</f>
        <v>Mohd Riyaz</v>
      </c>
      <c r="K6" s="19"/>
      <c r="L6" s="20">
        <f ca="1">IFERROR(__xludf.DUMMYFUNCTION("""COMPUTED_VALUE"""),42781)</f>
        <v>42781</v>
      </c>
      <c r="M6" s="19"/>
      <c r="N6" s="19"/>
      <c r="O6" s="19" t="str">
        <f ca="1">IFERROR(__xludf.DUMMYFUNCTION("""COMPUTED_VALUE"""),"Professional services")</f>
        <v>Professional services</v>
      </c>
      <c r="P6" s="19" t="str">
        <f ca="1">IFERROR(__xludf.DUMMYFUNCTION("""COMPUTED_VALUE"""),"Painting work ")</f>
        <v xml:space="preserve">Painting work </v>
      </c>
      <c r="Q6" s="19"/>
      <c r="R6" s="19" t="str">
        <f ca="1">IFERROR(__xludf.DUMMYFUNCTION("""COMPUTED_VALUE"""),"Nagpur")</f>
        <v>Nagpur</v>
      </c>
      <c r="S6" s="19"/>
    </row>
    <row r="7" spans="1:23" ht="15" customHeight="1" x14ac:dyDescent="0.25">
      <c r="A7" s="33">
        <f ca="1">IFERROR(__xludf.DUMMYFUNCTION("""COMPUTED_VALUE"""),44998.3644654976)</f>
        <v>44998.364465497601</v>
      </c>
      <c r="B7" s="19" t="str">
        <f ca="1">IFERROR(__xludf.DUMMYFUNCTION("""COMPUTED_VALUE"""),"N.S. CONSTRUCTION")</f>
        <v>N.S. CONSTRUCTION</v>
      </c>
      <c r="C7" s="19" t="str">
        <f ca="1">IFERROR(__xludf.DUMMYFUNCTION("""COMPUTED_VALUE"""),"SOMALWADA NAGPUR")</f>
        <v>SOMALWADA NAGPUR</v>
      </c>
      <c r="D7" s="19">
        <f ca="1">IFERROR(__xludf.DUMMYFUNCTION("""COMPUTED_VALUE"""),9028912285)</f>
        <v>9028912285</v>
      </c>
      <c r="E7" s="19" t="str">
        <f ca="1">IFERROR(__xludf.DUMMYFUNCTION("""COMPUTED_VALUE"""),"-")</f>
        <v>-</v>
      </c>
      <c r="F7" s="19" t="str">
        <f ca="1">IFERROR(__xludf.DUMMYFUNCTION("""COMPUTED_VALUE"""),"nsconstruction225@gmail.com")</f>
        <v>nsconstruction225@gmail.com</v>
      </c>
      <c r="G7" s="19" t="str">
        <f ca="1">IFERROR(__xludf.DUMMYFUNCTION("""COMPUTED_VALUE"""),"-")</f>
        <v>-</v>
      </c>
      <c r="H7" s="19" t="str">
        <f ca="1">IFERROR(__xludf.DUMMYFUNCTION("""COMPUTED_VALUE"""),"-")</f>
        <v>-</v>
      </c>
      <c r="I7" s="19" t="str">
        <f ca="1">IFERROR(__xludf.DUMMYFUNCTION("""COMPUTED_VALUE"""),"ECAPK8880C")</f>
        <v>ECAPK8880C</v>
      </c>
      <c r="J7" s="19" t="str">
        <f ca="1">IFERROR(__xludf.DUMMYFUNCTION("""COMPUTED_VALUE"""),"BUILDING CONSTRUCTION &amp; BUILDING SOLUTIONS")</f>
        <v>BUILDING CONSTRUCTION &amp; BUILDING SOLUTIONS</v>
      </c>
      <c r="K7" s="19" t="str">
        <f ca="1">IFERROR(__xludf.DUMMYFUNCTION("""COMPUTED_VALUE"""),"aditya.kachore2.ak@gmail.com")</f>
        <v>aditya.kachore2.ak@gmail.com</v>
      </c>
      <c r="L7" s="20">
        <f ca="1">IFERROR(__xludf.DUMMYFUNCTION("""COMPUTED_VALUE"""),44791)</f>
        <v>44791</v>
      </c>
      <c r="M7" s="19" t="str">
        <f ca="1">IFERROR(__xludf.DUMMYFUNCTION("""COMPUTED_VALUE"""),"Option 1")</f>
        <v>Option 1</v>
      </c>
      <c r="N7" s="19" t="str">
        <f ca="1">IFERROR(__xludf.DUMMYFUNCTION("""COMPUTED_VALUE"""),"Solo Properitership")</f>
        <v>Solo Properitership</v>
      </c>
      <c r="O7" s="19" t="str">
        <f ca="1">IFERROR(__xludf.DUMMYFUNCTION("""COMPUTED_VALUE"""),"Construction contractor")</f>
        <v>Construction contractor</v>
      </c>
      <c r="P7" s="19" t="str">
        <f ca="1">IFERROR(__xludf.DUMMYFUNCTION("""COMPUTED_VALUE"""),"Vendor Availability, material supply vendors, consultant &amp; management. ")</f>
        <v xml:space="preserve">Vendor Availability, material supply vendors, consultant &amp; management. </v>
      </c>
      <c r="Q7" s="19" t="str">
        <f ca="1">IFERROR(__xludf.DUMMYFUNCTION("""COMPUTED_VALUE"""),"BANK NAME :- INDIAN BANK 
ADDRESS:- MANISH NAGAR  BARNCH
BENEIFICIARY NAME:- N S CONSRUCTION
ACCOUNT NUMBER:- 7296814750")</f>
        <v>BANK NAME :- INDIAN BANK 
ADDRESS:- MANISH NAGAR  BARNCH
BENEIFICIARY NAME:- N S CONSRUCTION
ACCOUNT NUMBER:- 7296814750</v>
      </c>
      <c r="R7" s="19" t="str">
        <f ca="1">IFERROR(__xludf.DUMMYFUNCTION("""COMPUTED_VALUE"""),"Nagpur")</f>
        <v>Nagpur</v>
      </c>
      <c r="S7" s="19"/>
    </row>
    <row r="8" spans="1:23" ht="18" customHeight="1" x14ac:dyDescent="0.25">
      <c r="A8" s="33">
        <f ca="1">IFERROR(__xludf.DUMMYFUNCTION("""COMPUTED_VALUE"""),44998.3707602199)</f>
        <v>44998.370760219899</v>
      </c>
      <c r="B8" s="19" t="str">
        <f ca="1">IFERROR(__xludf.DUMMYFUNCTION("""COMPUTED_VALUE"""),"ABDUL GAFFAR KHAN ")</f>
        <v xml:space="preserve">ABDUL GAFFAR KHAN </v>
      </c>
      <c r="C8" s="19" t="str">
        <f ca="1">IFERROR(__xludf.DUMMYFUNCTION("""COMPUTED_VALUE"""),"NAGPUR ")</f>
        <v xml:space="preserve">NAGPUR </v>
      </c>
      <c r="D8" s="19"/>
      <c r="E8" s="19" t="str">
        <f ca="1">IFERROR(__xludf.DUMMYFUNCTION("""COMPUTED_VALUE"""),"-")</f>
        <v>-</v>
      </c>
      <c r="F8" s="19" t="str">
        <f ca="1">IFERROR(__xludf.DUMMYFUNCTION("""COMPUTED_VALUE"""),"-")</f>
        <v>-</v>
      </c>
      <c r="G8" s="19" t="str">
        <f ca="1">IFERROR(__xludf.DUMMYFUNCTION("""COMPUTED_VALUE"""),"-")</f>
        <v>-</v>
      </c>
      <c r="H8" s="19" t="str">
        <f ca="1">IFERROR(__xludf.DUMMYFUNCTION("""COMPUTED_VALUE"""),"-")</f>
        <v>-</v>
      </c>
      <c r="I8" s="19"/>
      <c r="J8" s="19" t="str">
        <f ca="1">IFERROR(__xludf.DUMMYFUNCTION("""COMPUTED_VALUE"""),"GAFFAR KAHN")</f>
        <v>GAFFAR KAHN</v>
      </c>
      <c r="K8" s="19" t="str">
        <f ca="1">IFERROR(__xludf.DUMMYFUNCTION("""COMPUTED_VALUE"""),"-")</f>
        <v>-</v>
      </c>
      <c r="L8" s="20">
        <f ca="1">IFERROR(__xludf.DUMMYFUNCTION("""COMPUTED_VALUE"""),37906)</f>
        <v>37906</v>
      </c>
      <c r="M8" s="19" t="str">
        <f ca="1">IFERROR(__xludf.DUMMYFUNCTION("""COMPUTED_VALUE"""),"Option 1")</f>
        <v>Option 1</v>
      </c>
      <c r="N8" s="19" t="str">
        <f ca="1">IFERROR(__xludf.DUMMYFUNCTION("""COMPUTED_VALUE"""),"Solo Properitership")</f>
        <v>Solo Properitership</v>
      </c>
      <c r="O8" s="19" t="str">
        <f ca="1">IFERROR(__xludf.DUMMYFUNCTION("""COMPUTED_VALUE"""),"Professional services")</f>
        <v>Professional services</v>
      </c>
      <c r="P8" s="19" t="str">
        <f ca="1">IFERROR(__xludf.DUMMYFUNCTION("""COMPUTED_VALUE"""),"PLASTER OF PARIS AND GYPSUM WORK EXPERT ")</f>
        <v xml:space="preserve">PLASTER OF PARIS AND GYPSUM WORK EXPERT </v>
      </c>
      <c r="Q8" s="19" t="str">
        <f ca="1">IFERROR(__xludf.DUMMYFUNCTION("""COMPUTED_VALUE"""),"BANK NAME :- STATE BANK OF INDIA 
ADDRESS:- KINGSWAY S.V. PATEL MARG,NAGPUR 440001
BENEFICIARY NAME :- ABDUL GAFFAR ABDUL RAUF KHAN 
A/C NUMBER:- 11172415485")</f>
        <v>BANK NAME :- STATE BANK OF INDIA 
ADDRESS:- KINGSWAY S.V. PATEL MARG,NAGPUR 440001
BENEFICIARY NAME :- ABDUL GAFFAR ABDUL RAUF KHAN 
A/C NUMBER:- 11172415485</v>
      </c>
      <c r="R8" s="19" t="str">
        <f ca="1">IFERROR(__xludf.DUMMYFUNCTION("""COMPUTED_VALUE"""),"Nagpur")</f>
        <v>Nagpur</v>
      </c>
      <c r="S8" s="19"/>
    </row>
    <row r="9" spans="1:23" ht="13.2" x14ac:dyDescent="0.25">
      <c r="A9" s="33">
        <f ca="1">IFERROR(__xludf.DUMMYFUNCTION("""COMPUTED_VALUE"""),45002.3456126273)</f>
        <v>45002.345612627301</v>
      </c>
      <c r="B9" s="19" t="str">
        <f ca="1">IFERROR(__xludf.DUMMYFUNCTION("""COMPUTED_VALUE"""),"UJWALA PLYWOOD ")</f>
        <v xml:space="preserve">UJWALA PLYWOOD </v>
      </c>
      <c r="C9" s="19" t="str">
        <f ca="1">IFERROR(__xludf.DUMMYFUNCTION("""COMPUTED_VALUE"""),"Plot No.55, Agney Layout, Sahakar Nagar, Nagpur, Maharashtra - 440022")</f>
        <v>Plot No.55, Agney Layout, Sahakar Nagar, Nagpur, Maharashtra - 440022</v>
      </c>
      <c r="D9" s="19">
        <f ca="1">IFERROR(__xludf.DUMMYFUNCTION("""COMPUTED_VALUE"""),8007375777)</f>
        <v>8007375777</v>
      </c>
      <c r="E9" s="19"/>
      <c r="F9" s="19" t="str">
        <f ca="1">IFERROR(__xludf.DUMMYFUNCTION("""COMPUTED_VALUE"""),"kadesatyajit@gmail.com")</f>
        <v>kadesatyajit@gmail.com</v>
      </c>
      <c r="G9" s="19"/>
      <c r="H9" s="19" t="str">
        <f ca="1">IFERROR(__xludf.DUMMYFUNCTION("""COMPUTED_VALUE"""),"27IVFPK3107J1ZG")</f>
        <v>27IVFPK3107J1ZG</v>
      </c>
      <c r="I9" s="19" t="str">
        <f ca="1">IFERROR(__xludf.DUMMYFUNCTION("""COMPUTED_VALUE"""),"IVFPK3107J")</f>
        <v>IVFPK3107J</v>
      </c>
      <c r="J9" s="19" t="str">
        <f ca="1">IFERROR(__xludf.DUMMYFUNCTION("""COMPUTED_VALUE"""),"Mr. SATYAJIT KADE")</f>
        <v>Mr. SATYAJIT KADE</v>
      </c>
      <c r="K9" s="19" t="str">
        <f ca="1">IFERROR(__xludf.DUMMYFUNCTION("""COMPUTED_VALUE"""),"kadesatyajit@yahoo.com")</f>
        <v>kadesatyajit@yahoo.com</v>
      </c>
      <c r="L9" s="20">
        <f ca="1">IFERROR(__xludf.DUMMYFUNCTION("""COMPUTED_VALUE"""),40969)</f>
        <v>40969</v>
      </c>
      <c r="M9" s="19" t="str">
        <f ca="1">IFERROR(__xludf.DUMMYFUNCTION("""COMPUTED_VALUE"""),"Option 1")</f>
        <v>Option 1</v>
      </c>
      <c r="N9" s="19" t="str">
        <f ca="1">IFERROR(__xludf.DUMMYFUNCTION("""COMPUTED_VALUE"""),"Solo Properitership")</f>
        <v>Solo Properitership</v>
      </c>
      <c r="O9" s="19" t="str">
        <f ca="1">IFERROR(__xludf.DUMMYFUNCTION("""COMPUTED_VALUE"""),"RETAILER")</f>
        <v>RETAILER</v>
      </c>
      <c r="P9" s="19" t="str">
        <f ca="1">IFERROR(__xludf.DUMMYFUNCTION("""COMPUTED_VALUE"""),"All plywood materials and hardware")</f>
        <v>All plywood materials and hardware</v>
      </c>
      <c r="Q9" s="19" t="str">
        <f ca="1">IFERROR(__xludf.DUMMYFUNCTION("""COMPUTED_VALUE"""),"The Yavatmal Urban Co-op. Bank Ltd. Yavatmal, Dev Nagar, Khamla Road, Nagpur, Account number - 22021001742, IFSC Code - IBKL0041Y23")</f>
        <v>The Yavatmal Urban Co-op. Bank Ltd. Yavatmal, Dev Nagar, Khamla Road, Nagpur, Account number - 22021001742, IFSC Code - IBKL0041Y23</v>
      </c>
      <c r="R9" s="19" t="str">
        <f ca="1">IFERROR(__xludf.DUMMYFUNCTION("""COMPUTED_VALUE"""),"Nagpur")</f>
        <v>Nagpur</v>
      </c>
      <c r="S9" s="19"/>
    </row>
    <row r="10" spans="1:23" ht="13.2" x14ac:dyDescent="0.25">
      <c r="A10" s="33">
        <f ca="1">IFERROR(__xludf.DUMMYFUNCTION("""COMPUTED_VALUE"""),45077.4653804745)</f>
        <v>45077.465380474503</v>
      </c>
      <c r="B10" s="19" t="str">
        <f ca="1">IFERROR(__xludf.DUMMYFUNCTION("""COMPUTED_VALUE"""),"Kachore electrical &amp; zoomber")</f>
        <v>Kachore electrical &amp; zoomber</v>
      </c>
      <c r="C10" s="19" t="str">
        <f ca="1">IFERROR(__xludf.DUMMYFUNCTION("""COMPUTED_VALUE"""),"Nagpur")</f>
        <v>Nagpur</v>
      </c>
      <c r="D10" s="19">
        <f ca="1">IFERROR(__xludf.DUMMYFUNCTION("""COMPUTED_VALUE"""),9326733388)</f>
        <v>9326733388</v>
      </c>
      <c r="E10" s="19"/>
      <c r="F10" s="19"/>
      <c r="G10" s="19"/>
      <c r="H10" s="19" t="str">
        <f ca="1">IFERROR(__xludf.DUMMYFUNCTION("""COMPUTED_VALUE"""),"27AGWPK9473H1Z1")</f>
        <v>27AGWPK9473H1Z1</v>
      </c>
      <c r="I10" s="19"/>
      <c r="J10" s="19"/>
      <c r="K10" s="19"/>
      <c r="L10" s="20"/>
      <c r="M10" s="19"/>
      <c r="N10" s="19" t="str">
        <f ca="1">IFERROR(__xludf.DUMMYFUNCTION("""COMPUTED_VALUE"""),"Solo Properitership")</f>
        <v>Solo Properitership</v>
      </c>
      <c r="O10" s="19" t="str">
        <f ca="1">IFERROR(__xludf.DUMMYFUNCTION("""COMPUTED_VALUE"""),"RETAILER")</f>
        <v>RETAILER</v>
      </c>
      <c r="P10" s="19" t="str">
        <f ca="1">IFERROR(__xludf.DUMMYFUNCTION("""COMPUTED_VALUE"""),"Electrical services ")</f>
        <v xml:space="preserve">Electrical services </v>
      </c>
      <c r="Q10" s="19"/>
      <c r="R10" s="19" t="str">
        <f ca="1">IFERROR(__xludf.DUMMYFUNCTION("""COMPUTED_VALUE"""),"Nagpur")</f>
        <v>Nagpur</v>
      </c>
      <c r="S10" s="19"/>
    </row>
    <row r="11" spans="1:23" ht="13.2" x14ac:dyDescent="0.25">
      <c r="A11" s="33">
        <f ca="1">IFERROR(__xludf.DUMMYFUNCTION("""COMPUTED_VALUE"""),45077.4734924189)</f>
        <v>45077.473492418903</v>
      </c>
      <c r="B11" s="19" t="str">
        <f ca="1">IFERROR(__xludf.DUMMYFUNCTION("""COMPUTED_VALUE"""),"Neel tradelink ")</f>
        <v xml:space="preserve">Neel tradelink </v>
      </c>
      <c r="C11" s="19" t="str">
        <f ca="1">IFERROR(__xludf.DUMMYFUNCTION("""COMPUTED_VALUE"""),"Nagpur ")</f>
        <v xml:space="preserve">Nagpur </v>
      </c>
      <c r="D11" s="19">
        <f ca="1">IFERROR(__xludf.DUMMYFUNCTION("""COMPUTED_VALUE"""),9823022293)</f>
        <v>9823022293</v>
      </c>
      <c r="E11" s="19"/>
      <c r="F11" s="19" t="str">
        <f ca="1">IFERROR(__xludf.DUMMYFUNCTION("""COMPUTED_VALUE"""),"snsvee1971@gmail.com")</f>
        <v>snsvee1971@gmail.com</v>
      </c>
      <c r="G11" s="19"/>
      <c r="H11" s="19" t="str">
        <f ca="1">IFERROR(__xludf.DUMMYFUNCTION("""COMPUTED_VALUE"""),"27AWFPSS709R2ZL")</f>
        <v>27AWFPSS709R2ZL</v>
      </c>
      <c r="I11" s="19"/>
      <c r="J11" s="19"/>
      <c r="K11" s="19"/>
      <c r="L11" s="20"/>
      <c r="M11" s="19"/>
      <c r="N11" s="19" t="str">
        <f ca="1">IFERROR(__xludf.DUMMYFUNCTION("""COMPUTED_VALUE"""),"Solo Properitership")</f>
        <v>Solo Properitership</v>
      </c>
      <c r="O11" s="19" t="str">
        <f ca="1">IFERROR(__xludf.DUMMYFUNCTION("""COMPUTED_VALUE"""),"Construction contractor")</f>
        <v>Construction contractor</v>
      </c>
      <c r="P11" s="19" t="str">
        <f ca="1">IFERROR(__xludf.DUMMYFUNCTION("""COMPUTED_VALUE"""),"Material and labour supplier")</f>
        <v>Material and labour supplier</v>
      </c>
      <c r="Q11" s="19"/>
      <c r="R11" s="19" t="str">
        <f ca="1">IFERROR(__xludf.DUMMYFUNCTION("""COMPUTED_VALUE"""),"Nagpur")</f>
        <v>Nagpur</v>
      </c>
      <c r="S11" s="19"/>
    </row>
    <row r="12" spans="1:23" ht="13.2" x14ac:dyDescent="0.25">
      <c r="A12" s="33">
        <f ca="1">IFERROR(__xludf.DUMMYFUNCTION("""COMPUTED_VALUE"""),45098.745087905)</f>
        <v>45098.745087905001</v>
      </c>
      <c r="B12" s="19" t="str">
        <f ca="1">IFERROR(__xludf.DUMMYFUNCTION("""COMPUTED_VALUE"""),"Dadakrupa glass solutions")</f>
        <v>Dadakrupa glass solutions</v>
      </c>
      <c r="C12" s="19" t="str">
        <f ca="1">IFERROR(__xludf.DUMMYFUNCTION("""COMPUTED_VALUE"""),"Plot no. 11, Near Subhash nagar metro station hingna road, nag.16")</f>
        <v>Plot no. 11, Near Subhash nagar metro station hingna road, nag.16</v>
      </c>
      <c r="D12" s="19">
        <f ca="1">IFERROR(__xludf.DUMMYFUNCTION("""COMPUTED_VALUE"""),8983048201)</f>
        <v>8983048201</v>
      </c>
      <c r="E12" s="19"/>
      <c r="F12" s="19" t="str">
        <f ca="1">IFERROR(__xludf.DUMMYFUNCTION("""COMPUTED_VALUE"""),"dadakrupaglass@gmail.com")</f>
        <v>dadakrupaglass@gmail.com</v>
      </c>
      <c r="G12" s="19"/>
      <c r="H12" s="19"/>
      <c r="I12" s="19"/>
      <c r="J12" s="19"/>
      <c r="K12" s="19"/>
      <c r="L12" s="20"/>
      <c r="M12" s="19"/>
      <c r="N12" s="19" t="str">
        <f ca="1">IFERROR(__xludf.DUMMYFUNCTION("""COMPUTED_VALUE"""),"Solo Properitership")</f>
        <v>Solo Properitership</v>
      </c>
      <c r="O12" s="19" t="str">
        <f ca="1">IFERROR(__xludf.DUMMYFUNCTION("""COMPUTED_VALUE"""),"RETAILER")</f>
        <v>RETAILER</v>
      </c>
      <c r="P12" s="19" t="str">
        <f ca="1">IFERROR(__xludf.DUMMYFUNCTION("""COMPUTED_VALUE"""),"Glass supplier ")</f>
        <v xml:space="preserve">Glass supplier </v>
      </c>
      <c r="Q12" s="19"/>
      <c r="R12" s="19" t="str">
        <f ca="1">IFERROR(__xludf.DUMMYFUNCTION("""COMPUTED_VALUE"""),"Nagpur")</f>
        <v>Nagpur</v>
      </c>
      <c r="S12" s="19"/>
    </row>
    <row r="13" spans="1:23" ht="13.2" x14ac:dyDescent="0.25">
      <c r="A13" s="33">
        <f ca="1">IFERROR(__xludf.DUMMYFUNCTION("""COMPUTED_VALUE"""),45098.747927743)</f>
        <v>45098.747927743003</v>
      </c>
      <c r="B13" s="19" t="str">
        <f ca="1">IFERROR(__xludf.DUMMYFUNCTION("""COMPUTED_VALUE"""),"S M Electricals")</f>
        <v>S M Electricals</v>
      </c>
      <c r="C13" s="19" t="str">
        <f ca="1">IFERROR(__xludf.DUMMYFUNCTION("""COMPUTED_VALUE"""),"Jay malhar nivas shivneri nagar, Lane-22 kondhwa, pune- 48")</f>
        <v>Jay malhar nivas shivneri nagar, Lane-22 kondhwa, pune- 48</v>
      </c>
      <c r="D13" s="19">
        <f ca="1">IFERROR(__xludf.DUMMYFUNCTION("""COMPUTED_VALUE"""),8380001113)</f>
        <v>8380001113</v>
      </c>
      <c r="E13" s="19"/>
      <c r="F13" s="19" t="str">
        <f ca="1">IFERROR(__xludf.DUMMYFUNCTION("""COMPUTED_VALUE"""),"smelctricals@gmail.com")</f>
        <v>smelctricals@gmail.com</v>
      </c>
      <c r="G13" s="19"/>
      <c r="H13" s="19"/>
      <c r="I13" s="19"/>
      <c r="J13" s="19"/>
      <c r="K13" s="19"/>
      <c r="L13" s="20"/>
      <c r="M13" s="19"/>
      <c r="N13" s="19" t="str">
        <f ca="1">IFERROR(__xludf.DUMMYFUNCTION("""COMPUTED_VALUE"""),"Solo Properitership")</f>
        <v>Solo Properitership</v>
      </c>
      <c r="O13" s="19" t="str">
        <f ca="1">IFERROR(__xludf.DUMMYFUNCTION("""COMPUTED_VALUE"""),"RETAILER")</f>
        <v>RETAILER</v>
      </c>
      <c r="P13" s="19" t="str">
        <f ca="1">IFERROR(__xludf.DUMMYFUNCTION("""COMPUTED_VALUE"""),"All electrical material ")</f>
        <v xml:space="preserve">All electrical material </v>
      </c>
      <c r="Q13" s="19"/>
      <c r="R13" s="19" t="str">
        <f ca="1">IFERROR(__xludf.DUMMYFUNCTION("""COMPUTED_VALUE"""),"Nagpur")</f>
        <v>Nagpur</v>
      </c>
      <c r="S13" s="19"/>
    </row>
    <row r="14" spans="1:23" ht="13.2" x14ac:dyDescent="0.25">
      <c r="A14" s="33">
        <f ca="1">IFERROR(__xludf.DUMMYFUNCTION("""COMPUTED_VALUE"""),45098.7502097569)</f>
        <v>45098.750209756901</v>
      </c>
      <c r="B14" s="19" t="str">
        <f ca="1">IFERROR(__xludf.DUMMYFUNCTION("""COMPUTED_VALUE"""),"Finewood concepts pvt ltd")</f>
        <v>Finewood concepts pvt ltd</v>
      </c>
      <c r="C14" s="19" t="str">
        <f ca="1">IFERROR(__xludf.DUMMYFUNCTION("""COMPUTED_VALUE"""),"MIDC industrial area, Hingama nagar 440016")</f>
        <v>MIDC industrial area, Hingama nagar 440016</v>
      </c>
      <c r="D14" s="19">
        <f ca="1">IFERROR(__xludf.DUMMYFUNCTION("""COMPUTED_VALUE"""),9373256650)</f>
        <v>9373256650</v>
      </c>
      <c r="E14" s="19"/>
      <c r="F14" s="19" t="str">
        <f ca="1">IFERROR(__xludf.DUMMYFUNCTION("""COMPUTED_VALUE"""),"sales@finewood.in")</f>
        <v>sales@finewood.in</v>
      </c>
      <c r="G14" s="37" t="str">
        <f ca="1">IFERROR(__xludf.DUMMYFUNCTION("""COMPUTED_VALUE"""),"www.finewood.in")</f>
        <v>www.finewood.in</v>
      </c>
      <c r="H14" s="19"/>
      <c r="I14" s="19"/>
      <c r="J14" s="19"/>
      <c r="K14" s="19"/>
      <c r="L14" s="20"/>
      <c r="M14" s="19"/>
      <c r="N14" s="19" t="str">
        <f ca="1">IFERROR(__xludf.DUMMYFUNCTION("""COMPUTED_VALUE"""),"Partnership")</f>
        <v>Partnership</v>
      </c>
      <c r="O14" s="19" t="str">
        <f ca="1">IFERROR(__xludf.DUMMYFUNCTION("""COMPUTED_VALUE"""),"Manufacturer")</f>
        <v>Manufacturer</v>
      </c>
      <c r="P14" s="19" t="str">
        <f ca="1">IFERROR(__xludf.DUMMYFUNCTION("""COMPUTED_VALUE"""),"Readymade furniture ")</f>
        <v xml:space="preserve">Readymade furniture </v>
      </c>
      <c r="Q14" s="19"/>
      <c r="R14" s="19" t="str">
        <f ca="1">IFERROR(__xludf.DUMMYFUNCTION("""COMPUTED_VALUE"""),"Nagpur")</f>
        <v>Nagpur</v>
      </c>
      <c r="S14" s="19"/>
    </row>
    <row r="15" spans="1:23" ht="13.2" x14ac:dyDescent="0.25">
      <c r="A15" s="33">
        <f ca="1">IFERROR(__xludf.DUMMYFUNCTION("""COMPUTED_VALUE"""),45098.7521887615)</f>
        <v>45098.7521887615</v>
      </c>
      <c r="B15" s="19" t="str">
        <f ca="1">IFERROR(__xludf.DUMMYFUNCTION("""COMPUTED_VALUE"""),"Vivek refrigeration ")</f>
        <v xml:space="preserve">Vivek refrigeration </v>
      </c>
      <c r="C15" s="19" t="str">
        <f ca="1">IFERROR(__xludf.DUMMYFUNCTION("""COMPUTED_VALUE"""),"Behind Arya samaj mandir, near lodhipura, central Avenue, nagpur-44018")</f>
        <v>Behind Arya samaj mandir, near lodhipura, central Avenue, nagpur-44018</v>
      </c>
      <c r="D15" s="19">
        <f ca="1">IFERROR(__xludf.DUMMYFUNCTION("""COMPUTED_VALUE"""),9923168907)</f>
        <v>9923168907</v>
      </c>
      <c r="E15" s="19"/>
      <c r="F15" s="19" t="str">
        <f ca="1">IFERROR(__xludf.DUMMYFUNCTION("""COMPUTED_VALUE"""),"Vhsjsks")</f>
        <v>Vhsjsks</v>
      </c>
      <c r="G15" s="19"/>
      <c r="H15" s="19"/>
      <c r="I15" s="19"/>
      <c r="J15" s="19"/>
      <c r="K15" s="19"/>
      <c r="L15" s="20"/>
      <c r="M15" s="19"/>
      <c r="N15" s="19" t="str">
        <f ca="1">IFERROR(__xludf.DUMMYFUNCTION("""COMPUTED_VALUE"""),"Solo Properitership")</f>
        <v>Solo Properitership</v>
      </c>
      <c r="O15" s="19" t="str">
        <f ca="1">IFERROR(__xludf.DUMMYFUNCTION("""COMPUTED_VALUE"""),"RETAILER")</f>
        <v>RETAILER</v>
      </c>
      <c r="P15" s="19" t="str">
        <f ca="1">IFERROR(__xludf.DUMMYFUNCTION("""COMPUTED_VALUE"""),"Electronic purchase ")</f>
        <v xml:space="preserve">Electronic purchase </v>
      </c>
      <c r="Q15" s="19"/>
      <c r="R15" s="19" t="str">
        <f ca="1">IFERROR(__xludf.DUMMYFUNCTION("""COMPUTED_VALUE"""),"Nagpur")</f>
        <v>Nagpur</v>
      </c>
      <c r="S15" s="19"/>
    </row>
    <row r="16" spans="1:23" ht="13.2" x14ac:dyDescent="0.25">
      <c r="A16" s="33">
        <f ca="1">IFERROR(__xludf.DUMMYFUNCTION("""COMPUTED_VALUE"""),45098.7572830555)</f>
        <v>45098.7572830555</v>
      </c>
      <c r="B16" s="19" t="str">
        <f ca="1">IFERROR(__xludf.DUMMYFUNCTION("""COMPUTED_VALUE"""),"Thakrani timbers")</f>
        <v>Thakrani timbers</v>
      </c>
      <c r="C16" s="19" t="str">
        <f ca="1">IFERROR(__xludf.DUMMYFUNCTION("""COMPUTED_VALUE"""),"At.post - nagpur")</f>
        <v>At.post - nagpur</v>
      </c>
      <c r="D16" s="19">
        <f ca="1">IFERROR(__xludf.DUMMYFUNCTION("""COMPUTED_VALUE"""),9822945496)</f>
        <v>9822945496</v>
      </c>
      <c r="E16" s="19"/>
      <c r="F16" s="19" t="str">
        <f ca="1">IFERROR(__xludf.DUMMYFUNCTION("""COMPUTED_VALUE"""),"SG hmm dh")</f>
        <v>SG hmm dh</v>
      </c>
      <c r="G16" s="19"/>
      <c r="H16" s="19" t="str">
        <f ca="1">IFERROR(__xludf.DUMMYFUNCTION("""COMPUTED_VALUE"""),"27ADPPP0862P1ZQ")</f>
        <v>27ADPPP0862P1ZQ</v>
      </c>
      <c r="I16" s="19"/>
      <c r="J16" s="19"/>
      <c r="K16" s="19"/>
      <c r="L16" s="20"/>
      <c r="M16" s="19"/>
      <c r="N16" s="19" t="str">
        <f ca="1">IFERROR(__xludf.DUMMYFUNCTION("""COMPUTED_VALUE"""),"Solo Properitership")</f>
        <v>Solo Properitership</v>
      </c>
      <c r="O16" s="19" t="str">
        <f ca="1">IFERROR(__xludf.DUMMYFUNCTION("""COMPUTED_VALUE"""),"RETAILER")</f>
        <v>RETAILER</v>
      </c>
      <c r="P16" s="19" t="str">
        <f ca="1">IFERROR(__xludf.DUMMYFUNCTION("""COMPUTED_VALUE"""),"Plywood and hardware supply ")</f>
        <v xml:space="preserve">Plywood and hardware supply </v>
      </c>
      <c r="Q16" s="19"/>
      <c r="R16" s="19" t="str">
        <f ca="1">IFERROR(__xludf.DUMMYFUNCTION("""COMPUTED_VALUE"""),"Nagpur")</f>
        <v>Nagpur</v>
      </c>
      <c r="S16" s="19"/>
    </row>
    <row r="17" spans="1:19" ht="13.2" x14ac:dyDescent="0.25">
      <c r="A17" s="33">
        <f ca="1">IFERROR(__xludf.DUMMYFUNCTION("""COMPUTED_VALUE"""),45098.7617473726)</f>
        <v>45098.761747372599</v>
      </c>
      <c r="B17" s="19" t="str">
        <f ca="1">IFERROR(__xludf.DUMMYFUNCTION("""COMPUTED_VALUE"""),"Rudra traders")</f>
        <v>Rudra traders</v>
      </c>
      <c r="C17" s="19" t="str">
        <f ca="1">IFERROR(__xludf.DUMMYFUNCTION("""COMPUTED_VALUE"""),"Rulkar road, Mahal , nagpur ")</f>
        <v xml:space="preserve">Rulkar road, Mahal , nagpur </v>
      </c>
      <c r="D17" s="19">
        <f ca="1">IFERROR(__xludf.DUMMYFUNCTION("""COMPUTED_VALUE"""),9850850301)</f>
        <v>9850850301</v>
      </c>
      <c r="E17" s="19"/>
      <c r="F17" s="19" t="str">
        <f ca="1">IFERROR(__xludf.DUMMYFUNCTION("""COMPUTED_VALUE"""),"rudra.amirish@gmail.com")</f>
        <v>rudra.amirish@gmail.com</v>
      </c>
      <c r="G17" s="19"/>
      <c r="H17" s="19"/>
      <c r="I17" s="19"/>
      <c r="J17" s="19"/>
      <c r="K17" s="19"/>
      <c r="L17" s="20"/>
      <c r="M17" s="19"/>
      <c r="N17" s="19" t="str">
        <f ca="1">IFERROR(__xludf.DUMMYFUNCTION("""COMPUTED_VALUE"""),"Solo Properitership")</f>
        <v>Solo Properitership</v>
      </c>
      <c r="O17" s="19" t="str">
        <f ca="1">IFERROR(__xludf.DUMMYFUNCTION("""COMPUTED_VALUE"""),"RETAILER")</f>
        <v>RETAILER</v>
      </c>
      <c r="P17" s="19" t="str">
        <f ca="1">IFERROR(__xludf.DUMMYFUNCTION("""COMPUTED_VALUE"""),"Painting work ")</f>
        <v xml:space="preserve">Painting work </v>
      </c>
      <c r="Q17" s="19"/>
      <c r="R17" s="19" t="str">
        <f ca="1">IFERROR(__xludf.DUMMYFUNCTION("""COMPUTED_VALUE"""),"Nagpur")</f>
        <v>Nagpur</v>
      </c>
      <c r="S17" s="19"/>
    </row>
    <row r="18" spans="1:19" ht="13.2" x14ac:dyDescent="0.25">
      <c r="A18" s="33">
        <f ca="1">IFERROR(__xludf.DUMMYFUNCTION("""COMPUTED_VALUE"""),45098.7640629629)</f>
        <v>45098.764062962902</v>
      </c>
      <c r="B18" s="19" t="str">
        <f ca="1">IFERROR(__xludf.DUMMYFUNCTION("""COMPUTED_VALUE"""),"CABLE AND CABLE ")</f>
        <v xml:space="preserve">CABLE AND CABLE </v>
      </c>
      <c r="C18" s="19" t="str">
        <f ca="1">IFERROR(__xludf.DUMMYFUNCTION("""COMPUTED_VALUE"""),"Electronic market, telipura sitabuldi, nagpur-12")</f>
        <v>Electronic market, telipura sitabuldi, nagpur-12</v>
      </c>
      <c r="D18" s="19">
        <f ca="1">IFERROR(__xludf.DUMMYFUNCTION("""COMPUTED_VALUE"""),8888807609)</f>
        <v>8888807609</v>
      </c>
      <c r="E18" s="19"/>
      <c r="F18" s="19" t="str">
        <f ca="1">IFERROR(__xludf.DUMMYFUNCTION("""COMPUTED_VALUE"""),"sales@cablencable.com")</f>
        <v>sales@cablencable.com</v>
      </c>
      <c r="G18" s="19"/>
      <c r="H18" s="19"/>
      <c r="I18" s="19"/>
      <c r="J18" s="19"/>
      <c r="K18" s="19"/>
      <c r="L18" s="20"/>
      <c r="M18" s="19"/>
      <c r="N18" s="19" t="str">
        <f ca="1">IFERROR(__xludf.DUMMYFUNCTION("""COMPUTED_VALUE"""),"Solo Properitership")</f>
        <v>Solo Properitership</v>
      </c>
      <c r="O18" s="19" t="str">
        <f ca="1">IFERROR(__xludf.DUMMYFUNCTION("""COMPUTED_VALUE"""),"RETAILER")</f>
        <v>RETAILER</v>
      </c>
      <c r="P18" s="19" t="str">
        <f ca="1">IFERROR(__xludf.DUMMYFUNCTION("""COMPUTED_VALUE"""),"Fiber &amp; copper networking products CCTV cameras &amp; surveillance productas")</f>
        <v>Fiber &amp; copper networking products CCTV cameras &amp; surveillance productas</v>
      </c>
      <c r="Q18" s="19"/>
      <c r="R18" s="19" t="str">
        <f ca="1">IFERROR(__xludf.DUMMYFUNCTION("""COMPUTED_VALUE"""),"Nagpur")</f>
        <v>Nagpur</v>
      </c>
      <c r="S18" s="19"/>
    </row>
    <row r="19" spans="1:19" ht="13.2" x14ac:dyDescent="0.25">
      <c r="A19" s="33">
        <f ca="1">IFERROR(__xludf.DUMMYFUNCTION("""COMPUTED_VALUE"""),45098.7663662268)</f>
        <v>45098.766366226802</v>
      </c>
      <c r="B19" s="19" t="str">
        <f ca="1">IFERROR(__xludf.DUMMYFUNCTION("""COMPUTED_VALUE"""),"Wahid trading corporation ")</f>
        <v xml:space="preserve">Wahid trading corporation </v>
      </c>
      <c r="C19" s="19" t="str">
        <f ca="1">IFERROR(__xludf.DUMMYFUNCTION("""COMPUTED_VALUE"""),"Mirza lane , khadan, behind agrasen square central Avenue, nagpur 440018")</f>
        <v>Mirza lane , khadan, behind agrasen square central Avenue, nagpur 440018</v>
      </c>
      <c r="D19" s="19"/>
      <c r="E19" s="19"/>
      <c r="F19" s="19" t="str">
        <f ca="1">IFERROR(__xludf.DUMMYFUNCTION("""COMPUTED_VALUE"""),"sales@wahidpipes.com")</f>
        <v>sales@wahidpipes.com</v>
      </c>
      <c r="G19" s="19"/>
      <c r="H19" s="19"/>
      <c r="I19" s="19"/>
      <c r="J19" s="19"/>
      <c r="K19" s="19"/>
      <c r="L19" s="20"/>
      <c r="M19" s="19"/>
      <c r="N19" s="19" t="str">
        <f ca="1">IFERROR(__xludf.DUMMYFUNCTION("""COMPUTED_VALUE"""),"Solo Properitership")</f>
        <v>Solo Properitership</v>
      </c>
      <c r="O19" s="19" t="str">
        <f ca="1">IFERROR(__xludf.DUMMYFUNCTION("""COMPUTED_VALUE"""),"Professional services")</f>
        <v>Professional services</v>
      </c>
      <c r="P19" s="19" t="str">
        <f ca="1">IFERROR(__xludf.DUMMYFUNCTION("""COMPUTED_VALUE"""),"Electrical material, cable,wire")</f>
        <v>Electrical material, cable,wire</v>
      </c>
      <c r="Q19" s="19"/>
      <c r="R19" s="19" t="str">
        <f ca="1">IFERROR(__xludf.DUMMYFUNCTION("""COMPUTED_VALUE"""),"Nagpur")</f>
        <v>Nagpur</v>
      </c>
      <c r="S19" s="19"/>
    </row>
    <row r="20" spans="1:19" ht="13.2" x14ac:dyDescent="0.25">
      <c r="A20" s="33">
        <f ca="1">IFERROR(__xludf.DUMMYFUNCTION("""COMPUTED_VALUE"""),45098.7681138657)</f>
        <v>45098.768113865699</v>
      </c>
      <c r="B20" s="19" t="str">
        <f ca="1">IFERROR(__xludf.DUMMYFUNCTION("""COMPUTED_VALUE"""),"Stone campus ")</f>
        <v xml:space="preserve">Stone campus </v>
      </c>
      <c r="C20" s="19" t="str">
        <f ca="1">IFERROR(__xludf.DUMMYFUNCTION("""COMPUTED_VALUE"""),"Raja Ram nagar, chinch bhawan, wardha road nagpur - 441108")</f>
        <v>Raja Ram nagar, chinch bhawan, wardha road nagpur - 441108</v>
      </c>
      <c r="D20" s="19">
        <f ca="1">IFERROR(__xludf.DUMMYFUNCTION("""COMPUTED_VALUE"""),9422441788)</f>
        <v>9422441788</v>
      </c>
      <c r="E20" s="19"/>
      <c r="F20" s="19" t="str">
        <f ca="1">IFERROR(__xludf.DUMMYFUNCTION("""COMPUTED_VALUE"""),"Hi dujd")</f>
        <v>Hi dujd</v>
      </c>
      <c r="G20" s="19"/>
      <c r="H20" s="19"/>
      <c r="I20" s="19"/>
      <c r="J20" s="19"/>
      <c r="K20" s="19"/>
      <c r="L20" s="20"/>
      <c r="M20" s="19"/>
      <c r="N20" s="19" t="str">
        <f ca="1">IFERROR(__xludf.DUMMYFUNCTION("""COMPUTED_VALUE"""),"Solo Properitership")</f>
        <v>Solo Properitership</v>
      </c>
      <c r="O20" s="19" t="str">
        <f ca="1">IFERROR(__xludf.DUMMYFUNCTION("""COMPUTED_VALUE"""),"RETAILER")</f>
        <v>RETAILER</v>
      </c>
      <c r="P20" s="19" t="str">
        <f ca="1">IFERROR(__xludf.DUMMYFUNCTION("""COMPUTED_VALUE"""),"Granite material ")</f>
        <v xml:space="preserve">Granite material </v>
      </c>
      <c r="Q20" s="19"/>
      <c r="R20" s="19" t="str">
        <f ca="1">IFERROR(__xludf.DUMMYFUNCTION("""COMPUTED_VALUE"""),"Nagpur")</f>
        <v>Nagpur</v>
      </c>
      <c r="S20" s="19"/>
    </row>
    <row r="21" spans="1:19" ht="13.2" x14ac:dyDescent="0.25">
      <c r="A21" s="33">
        <f ca="1">IFERROR(__xludf.DUMMYFUNCTION("""COMPUTED_VALUE"""),45098.7702541782)</f>
        <v>45098.770254178198</v>
      </c>
      <c r="B21" s="19" t="str">
        <f ca="1">IFERROR(__xludf.DUMMYFUNCTION("""COMPUTED_VALUE"""),"Mahajan traders")</f>
        <v>Mahajan traders</v>
      </c>
      <c r="C21" s="19" t="str">
        <f ca="1">IFERROR(__xludf.DUMMYFUNCTION("""COMPUTED_VALUE"""),"Aadiwasi society beltarodi road, Manish nagar nagpur ")</f>
        <v xml:space="preserve">Aadiwasi society beltarodi road, Manish nagar nagpur </v>
      </c>
      <c r="D21" s="19">
        <f ca="1">IFERROR(__xludf.DUMMYFUNCTION("""COMPUTED_VALUE"""),9373105187)</f>
        <v>9373105187</v>
      </c>
      <c r="E21" s="19"/>
      <c r="F21" s="19" t="str">
        <f ca="1">IFERROR(__xludf.DUMMYFUNCTION("""COMPUTED_VALUE"""),"MahajanTraders.nagpur@gmail.com")</f>
        <v>MahajanTraders.nagpur@gmail.com</v>
      </c>
      <c r="G21" s="19"/>
      <c r="H21" s="19"/>
      <c r="I21" s="19"/>
      <c r="J21" s="19"/>
      <c r="K21" s="19"/>
      <c r="L21" s="20"/>
      <c r="M21" s="19"/>
      <c r="N21" s="19" t="str">
        <f ca="1">IFERROR(__xludf.DUMMYFUNCTION("""COMPUTED_VALUE"""),"Solo Properitership")</f>
        <v>Solo Properitership</v>
      </c>
      <c r="O21" s="19" t="str">
        <f ca="1">IFERROR(__xludf.DUMMYFUNCTION("""COMPUTED_VALUE"""),"RETAILER")</f>
        <v>RETAILER</v>
      </c>
      <c r="P21" s="19" t="str">
        <f ca="1">IFERROR(__xludf.DUMMYFUNCTION("""COMPUTED_VALUE"""),"Plumbing materials ")</f>
        <v xml:space="preserve">Plumbing materials </v>
      </c>
      <c r="Q21" s="19"/>
      <c r="R21" s="19" t="str">
        <f ca="1">IFERROR(__xludf.DUMMYFUNCTION("""COMPUTED_VALUE"""),"Nagpur")</f>
        <v>Nagpur</v>
      </c>
      <c r="S21" s="19"/>
    </row>
    <row r="22" spans="1:19" ht="13.2" x14ac:dyDescent="0.25">
      <c r="A22" s="33"/>
      <c r="B22" s="19" t="str">
        <f ca="1">IFERROR(__xludf.DUMMYFUNCTION("""COMPUTED_VALUE"""),"Vighnesh Ramling gaikwad")</f>
        <v>Vighnesh Ramling gaikwad</v>
      </c>
      <c r="C22" s="19" t="str">
        <f ca="1">IFERROR(__xludf.DUMMYFUNCTION("""COMPUTED_VALUE"""),"Pune")</f>
        <v>Pune</v>
      </c>
      <c r="D22" s="19">
        <f ca="1">IFERROR(__xludf.DUMMYFUNCTION("""COMPUTED_VALUE"""),7385452088)</f>
        <v>7385452088</v>
      </c>
      <c r="E22" s="19"/>
      <c r="F22" s="19" t="str">
        <f ca="1">IFERROR(__xludf.DUMMYFUNCTION("""COMPUTED_VALUE"""),"vighneshgaikwad7385@gmail.com")</f>
        <v>vighneshgaikwad7385@gmail.com</v>
      </c>
      <c r="G22" s="19"/>
      <c r="H22" s="19"/>
      <c r="I22" s="19"/>
      <c r="J22" s="19" t="str">
        <f ca="1">IFERROR(__xludf.DUMMYFUNCTION("""COMPUTED_VALUE"""),"Vighnesh gaikwad")</f>
        <v>Vighnesh gaikwad</v>
      </c>
      <c r="K22" s="19"/>
      <c r="L22" s="20"/>
      <c r="M22" s="19"/>
      <c r="N22" s="19"/>
      <c r="O22" s="19"/>
      <c r="P22" s="19" t="str">
        <f ca="1">IFERROR(__xludf.DUMMYFUNCTION("""COMPUTED_VALUE"""),"Infrastructure")</f>
        <v>Infrastructure</v>
      </c>
      <c r="Q22" s="19"/>
      <c r="R22" s="19" t="str">
        <f ca="1">IFERROR(__xludf.DUMMYFUNCTION("""COMPUTED_VALUE"""),"Nagpur")</f>
        <v>Nagpur</v>
      </c>
      <c r="S22" s="19"/>
    </row>
    <row r="23" spans="1:19" ht="13.2" x14ac:dyDescent="0.25">
      <c r="A23" s="33"/>
      <c r="B23" s="19" t="str">
        <f ca="1">IFERROR(__xludf.DUMMYFUNCTION("""COMPUTED_VALUE"""),"Design Elements")</f>
        <v>Design Elements</v>
      </c>
      <c r="C23" s="19" t="str">
        <f ca="1">IFERROR(__xludf.DUMMYFUNCTION("""COMPUTED_VALUE"""),"Kadegaon")</f>
        <v>Kadegaon</v>
      </c>
      <c r="D23" s="19">
        <f ca="1">IFERROR(__xludf.DUMMYFUNCTION("""COMPUTED_VALUE"""),7840984147)</f>
        <v>7840984147</v>
      </c>
      <c r="E23" s="19"/>
      <c r="F23" s="19" t="str">
        <f ca="1">IFERROR(__xludf.DUMMYFUNCTION("""COMPUTED_VALUE"""),"lokhandeshubham9000@gmail.com")</f>
        <v>lokhandeshubham9000@gmail.com</v>
      </c>
      <c r="G23" s="19"/>
      <c r="H23" s="19"/>
      <c r="I23" s="19"/>
      <c r="J23" s="19" t="str">
        <f ca="1">IFERROR(__xludf.DUMMYFUNCTION("""COMPUTED_VALUE"""),"Shubham Santosh Lokhande")</f>
        <v>Shubham Santosh Lokhande</v>
      </c>
      <c r="K23" s="19"/>
      <c r="L23" s="20"/>
      <c r="M23" s="19"/>
      <c r="N23" s="19"/>
      <c r="O23" s="19"/>
      <c r="P23" s="19" t="str">
        <f ca="1">IFERROR(__xludf.DUMMYFUNCTION("""COMPUTED_VALUE"""),"Interior Designer")</f>
        <v>Interior Designer</v>
      </c>
      <c r="Q23" s="19"/>
      <c r="R23" s="19" t="str">
        <f ca="1">IFERROR(__xludf.DUMMYFUNCTION("""COMPUTED_VALUE"""),"Nagpur")</f>
        <v>Nagpur</v>
      </c>
      <c r="S23" s="19"/>
    </row>
    <row r="24" spans="1:19" ht="13.2" x14ac:dyDescent="0.25">
      <c r="A24" s="33"/>
      <c r="B24" s="19" t="str">
        <f ca="1">IFERROR(__xludf.DUMMYFUNCTION("""COMPUTED_VALUE"""),"RVI DESIGN AND INTERIORS PVT LTD")</f>
        <v>RVI DESIGN AND INTERIORS PVT LTD</v>
      </c>
      <c r="C24" s="19" t="str">
        <f ca="1">IFERROR(__xludf.DUMMYFUNCTION("""COMPUTED_VALUE"""),"Pune")</f>
        <v>Pune</v>
      </c>
      <c r="D24" s="19">
        <f ca="1">IFERROR(__xludf.DUMMYFUNCTION("""COMPUTED_VALUE"""),7972792839)</f>
        <v>7972792839</v>
      </c>
      <c r="E24" s="19"/>
      <c r="F24" s="19" t="str">
        <f ca="1">IFERROR(__xludf.DUMMYFUNCTION("""COMPUTED_VALUE"""),"srvkrma@gmail.com")</f>
        <v>srvkrma@gmail.com</v>
      </c>
      <c r="G24" s="19"/>
      <c r="H24" s="19"/>
      <c r="I24" s="19"/>
      <c r="J24" s="19" t="str">
        <f ca="1">IFERROR(__xludf.DUMMYFUNCTION("""COMPUTED_VALUE"""),"Rohit Vishvakarma")</f>
        <v>Rohit Vishvakarma</v>
      </c>
      <c r="K24" s="19"/>
      <c r="L24" s="20"/>
      <c r="M24" s="19"/>
      <c r="N24" s="19"/>
      <c r="O24" s="19"/>
      <c r="P24" s="19" t="str">
        <f ca="1">IFERROR(__xludf.DUMMYFUNCTION("""COMPUTED_VALUE"""),"INTERIORS")</f>
        <v>INTERIORS</v>
      </c>
      <c r="Q24" s="19"/>
      <c r="R24" s="19" t="str">
        <f ca="1">IFERROR(__xludf.DUMMYFUNCTION("""COMPUTED_VALUE"""),"Nagpur")</f>
        <v>Nagpur</v>
      </c>
      <c r="S24" s="19"/>
    </row>
    <row r="25" spans="1:19" ht="13.2" x14ac:dyDescent="0.25">
      <c r="A25" s="33"/>
      <c r="B25" s="19" t="str">
        <f ca="1">IFERROR(__xludf.DUMMYFUNCTION("""COMPUTED_VALUE"""),"interior design &amp; cilvil work engineering")</f>
        <v>interior design &amp; cilvil work engineering</v>
      </c>
      <c r="C25" s="19" t="str">
        <f ca="1">IFERROR(__xludf.DUMMYFUNCTION("""COMPUTED_VALUE"""),"navi mumbai")</f>
        <v>navi mumbai</v>
      </c>
      <c r="D25" s="19">
        <f ca="1">IFERROR(__xludf.DUMMYFUNCTION("""COMPUTED_VALUE"""),9594073243)</f>
        <v>9594073243</v>
      </c>
      <c r="E25" s="19"/>
      <c r="F25" s="19" t="str">
        <f ca="1">IFERROR(__xludf.DUMMYFUNCTION("""COMPUTED_VALUE"""),"maheshsutar0094@gmail.com")</f>
        <v>maheshsutar0094@gmail.com</v>
      </c>
      <c r="G25" s="19"/>
      <c r="H25" s="19"/>
      <c r="I25" s="19"/>
      <c r="J25" s="19" t="str">
        <f ca="1">IFERROR(__xludf.DUMMYFUNCTION("""COMPUTED_VALUE"""),"mahesh sutar")</f>
        <v>mahesh sutar</v>
      </c>
      <c r="K25" s="19"/>
      <c r="L25" s="20"/>
      <c r="M25" s="19"/>
      <c r="N25" s="19"/>
      <c r="O25" s="19"/>
      <c r="P25" s="19" t="str">
        <f ca="1">IFERROR(__xludf.DUMMYFUNCTION("""COMPUTED_VALUE"""),"interior design &amp; cilvil work engineering")</f>
        <v>interior design &amp; cilvil work engineering</v>
      </c>
      <c r="Q25" s="19"/>
      <c r="R25" s="19" t="str">
        <f ca="1">IFERROR(__xludf.DUMMYFUNCTION("""COMPUTED_VALUE"""),"Nagpur")</f>
        <v>Nagpur</v>
      </c>
      <c r="S25" s="19"/>
    </row>
    <row r="26" spans="1:19" ht="13.2" x14ac:dyDescent="0.25">
      <c r="A26" s="33"/>
      <c r="B26" s="19" t="str">
        <f ca="1">IFERROR(__xludf.DUMMYFUNCTION("""COMPUTED_VALUE"""),"Om Sai Enterprises")</f>
        <v>Om Sai Enterprises</v>
      </c>
      <c r="C26" s="19" t="str">
        <f ca="1">IFERROR(__xludf.DUMMYFUNCTION("""COMPUTED_VALUE"""),"Interior Decorator and storage solutions")</f>
        <v>Interior Decorator and storage solutions</v>
      </c>
      <c r="D26" s="19">
        <f ca="1">IFERROR(__xludf.DUMMYFUNCTION("""COMPUTED_VALUE"""),9082270290)</f>
        <v>9082270290</v>
      </c>
      <c r="E26" s="19"/>
      <c r="F26" s="19" t="str">
        <f ca="1">IFERROR(__xludf.DUMMYFUNCTION("""COMPUTED_VALUE"""),"omsaienterprises039@gmail.com")</f>
        <v>omsaienterprises039@gmail.com</v>
      </c>
      <c r="G26" s="19"/>
      <c r="H26" s="19"/>
      <c r="I26" s="19"/>
      <c r="J26" s="19" t="str">
        <f ca="1">IFERROR(__xludf.DUMMYFUNCTION("""COMPUTED_VALUE"""),"Yogesh Mahajan")</f>
        <v>Yogesh Mahajan</v>
      </c>
      <c r="K26" s="19"/>
      <c r="L26" s="20"/>
      <c r="M26" s="19"/>
      <c r="N26" s="19"/>
      <c r="O26" s="19"/>
      <c r="P26" s="19"/>
      <c r="Q26" s="19"/>
      <c r="R26" s="19" t="str">
        <f ca="1">IFERROR(__xludf.DUMMYFUNCTION("""COMPUTED_VALUE"""),"Nagpur")</f>
        <v>Nagpur</v>
      </c>
      <c r="S26" s="19"/>
    </row>
    <row r="27" spans="1:19" ht="13.2" x14ac:dyDescent="0.25">
      <c r="A27" s="33"/>
      <c r="B27" s="19" t="str">
        <f ca="1">IFERROR(__xludf.DUMMYFUNCTION("""COMPUTED_VALUE"""),"Vinod Enterprises")</f>
        <v>Vinod Enterprises</v>
      </c>
      <c r="C27" s="19" t="str">
        <f ca="1">IFERROR(__xludf.DUMMYFUNCTION("""COMPUTED_VALUE"""),"Interior decorator")</f>
        <v>Interior decorator</v>
      </c>
      <c r="D27" s="19">
        <f ca="1">IFERROR(__xludf.DUMMYFUNCTION("""COMPUTED_VALUE"""),9172195222)</f>
        <v>9172195222</v>
      </c>
      <c r="E27" s="19"/>
      <c r="F27" s="19" t="str">
        <f ca="1">IFERROR(__xludf.DUMMYFUNCTION("""COMPUTED_VALUE"""),"vinodenterprises@gmail.com")</f>
        <v>vinodenterprises@gmail.com</v>
      </c>
      <c r="G27" s="19"/>
      <c r="H27" s="19"/>
      <c r="I27" s="19"/>
      <c r="J27" s="19" t="str">
        <f ca="1">IFERROR(__xludf.DUMMYFUNCTION("""COMPUTED_VALUE"""),"Vinod Namaye")</f>
        <v>Vinod Namaye</v>
      </c>
      <c r="K27" s="19"/>
      <c r="L27" s="20"/>
      <c r="M27" s="19"/>
      <c r="N27" s="19"/>
      <c r="O27" s="19"/>
      <c r="P27" s="19"/>
      <c r="Q27" s="19"/>
      <c r="R27" s="19" t="str">
        <f ca="1">IFERROR(__xludf.DUMMYFUNCTION("""COMPUTED_VALUE"""),"Nagpur")</f>
        <v>Nagpur</v>
      </c>
      <c r="S27" s="19"/>
    </row>
    <row r="28" spans="1:19" ht="13.2" x14ac:dyDescent="0.25">
      <c r="A28" s="33"/>
      <c r="B28" s="19" t="str">
        <f ca="1">IFERROR(__xludf.DUMMYFUNCTION("""COMPUTED_VALUE"""),"Aamodha Design Studio")</f>
        <v>Aamodha Design Studio</v>
      </c>
      <c r="C28" s="19" t="str">
        <f ca="1">IFERROR(__xludf.DUMMYFUNCTION("""COMPUTED_VALUE"""),"Mumbai")</f>
        <v>Mumbai</v>
      </c>
      <c r="D28" s="19">
        <f ca="1">IFERROR(__xludf.DUMMYFUNCTION("""COMPUTED_VALUE"""),8828498824)</f>
        <v>8828498824</v>
      </c>
      <c r="E28" s="19"/>
      <c r="F28" s="19" t="str">
        <f ca="1">IFERROR(__xludf.DUMMYFUNCTION("""COMPUTED_VALUE"""),"hjadhav51@gmail.com")</f>
        <v>hjadhav51@gmail.com</v>
      </c>
      <c r="G28" s="19"/>
      <c r="H28" s="19"/>
      <c r="I28" s="19"/>
      <c r="J28" s="19" t="str">
        <f ca="1">IFERROR(__xludf.DUMMYFUNCTION("""COMPUTED_VALUE"""),"Harsh Pramod Jadhav")</f>
        <v>Harsh Pramod Jadhav</v>
      </c>
      <c r="K28" s="19"/>
      <c r="L28" s="20"/>
      <c r="M28" s="19"/>
      <c r="N28" s="19"/>
      <c r="O28" s="19"/>
      <c r="P28" s="19" t="str">
        <f ca="1">IFERROR(__xludf.DUMMYFUNCTION("""COMPUTED_VALUE"""),"Architect")</f>
        <v>Architect</v>
      </c>
      <c r="Q28" s="19"/>
      <c r="R28" s="19" t="str">
        <f ca="1">IFERROR(__xludf.DUMMYFUNCTION("""COMPUTED_VALUE"""),"Nagpur")</f>
        <v>Nagpur</v>
      </c>
      <c r="S28" s="19"/>
    </row>
    <row r="29" spans="1:19" ht="13.2" x14ac:dyDescent="0.25">
      <c r="A29" s="33"/>
      <c r="B29" s="19" t="str">
        <f ca="1">IFERROR(__xludf.DUMMYFUNCTION("""COMPUTED_VALUE"""),"Sainath estate agency and interior")</f>
        <v>Sainath estate agency and interior</v>
      </c>
      <c r="C29" s="19" t="str">
        <f ca="1">IFERROR(__xludf.DUMMYFUNCTION("""COMPUTED_VALUE"""),"Estate agency and interior")</f>
        <v>Estate agency and interior</v>
      </c>
      <c r="D29" s="19">
        <f ca="1">IFERROR(__xludf.DUMMYFUNCTION("""COMPUTED_VALUE"""),8779202062)</f>
        <v>8779202062</v>
      </c>
      <c r="E29" s="19"/>
      <c r="F29" s="19" t="str">
        <f ca="1">IFERROR(__xludf.DUMMYFUNCTION("""COMPUTED_VALUE"""),"dilipballe@gmail.com")</f>
        <v>dilipballe@gmail.com</v>
      </c>
      <c r="G29" s="19"/>
      <c r="H29" s="19"/>
      <c r="I29" s="19"/>
      <c r="J29" s="19" t="str">
        <f ca="1">IFERROR(__xludf.DUMMYFUNCTION("""COMPUTED_VALUE"""),"Dilip Balle")</f>
        <v>Dilip Balle</v>
      </c>
      <c r="K29" s="19"/>
      <c r="L29" s="20"/>
      <c r="M29" s="19"/>
      <c r="N29" s="19"/>
      <c r="O29" s="19"/>
      <c r="P29" s="19"/>
      <c r="Q29" s="19"/>
      <c r="R29" s="19" t="str">
        <f ca="1">IFERROR(__xludf.DUMMYFUNCTION("""COMPUTED_VALUE"""),"Nagpur")</f>
        <v>Nagpur</v>
      </c>
      <c r="S29" s="19"/>
    </row>
  </sheetData>
  <hyperlinks>
    <hyperlink ref="G4" r:id="rId1" display="http://www.decordefine.com/" xr:uid="{00000000-0004-0000-0500-000000000000}"/>
    <hyperlink ref="G14" r:id="rId2" display="http://www.finewood.in/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2"/>
  <sheetViews>
    <sheetView workbookViewId="0"/>
  </sheetViews>
  <sheetFormatPr defaultColWidth="12.6640625" defaultRowHeight="15.75" customHeight="1" x14ac:dyDescent="0.25"/>
  <cols>
    <col min="2" max="2" width="31.21875" customWidth="1"/>
  </cols>
  <sheetData>
    <row r="1" spans="1:23" ht="15.75" customHeight="1" x14ac:dyDescent="0.3">
      <c r="A1" s="3" t="s">
        <v>0</v>
      </c>
      <c r="B1" s="3" t="s">
        <v>634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635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636</v>
      </c>
      <c r="Q1" s="3" t="s">
        <v>16</v>
      </c>
      <c r="R1" s="3"/>
      <c r="S1" s="3"/>
      <c r="T1" s="3"/>
      <c r="U1" s="3"/>
      <c r="V1" s="3"/>
      <c r="W1" s="3"/>
    </row>
    <row r="2" spans="1:23" x14ac:dyDescent="0.25">
      <c r="A2" s="33" t="str">
        <f ca="1">IFERROR(__xludf.DUMMYFUNCTION("QUERY('Form Responses 1'!A2:S1000, ""select * where R='Kolhapur'"") "),"")</f>
        <v/>
      </c>
      <c r="B2" s="19" t="str">
        <f ca="1">IFERROR(__xludf.DUMMYFUNCTION("""COMPUTED_VALUE"""),"Pava technologies Pvt Ltd")</f>
        <v>Pava technologies Pvt Ltd</v>
      </c>
      <c r="C2" s="19" t="str">
        <f ca="1">IFERROR(__xludf.DUMMYFUNCTION("""COMPUTED_VALUE"""),"Kolhapur kaneri")</f>
        <v>Kolhapur kaneri</v>
      </c>
      <c r="D2" s="19">
        <f ca="1">IFERROR(__xludf.DUMMYFUNCTION("""COMPUTED_VALUE"""),8888366635)</f>
        <v>8888366635</v>
      </c>
      <c r="E2" s="19"/>
      <c r="F2" s="19" t="str">
        <f ca="1">IFERROR(__xludf.DUMMYFUNCTION("""COMPUTED_VALUE"""),"avadhutmali21@pava.in")</f>
        <v>avadhutmali21@pava.in</v>
      </c>
      <c r="G2" s="19"/>
      <c r="H2" s="19"/>
      <c r="I2" s="19"/>
      <c r="J2" s="19" t="str">
        <f ca="1">IFERROR(__xludf.DUMMYFUNCTION("""COMPUTED_VALUE"""),"Avadhut sudam mali")</f>
        <v>Avadhut sudam mali</v>
      </c>
      <c r="K2" s="19"/>
      <c r="L2" s="20"/>
      <c r="M2" s="19"/>
      <c r="N2" s="19"/>
      <c r="O2" s="19"/>
      <c r="P2" s="19" t="str">
        <f ca="1">IFERROR(__xludf.DUMMYFUNCTION("""COMPUTED_VALUE"""),"Hotel kitchen equipment &amp; exhaust systems")</f>
        <v>Hotel kitchen equipment &amp; exhaust systems</v>
      </c>
      <c r="Q2" s="19"/>
      <c r="R2" s="19" t="str">
        <f ca="1">IFERROR(__xludf.DUMMYFUNCTION("""COMPUTED_VALUE"""),"Kolhapur")</f>
        <v>Kolhapur</v>
      </c>
      <c r="S2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3"/>
  <sheetViews>
    <sheetView workbookViewId="0"/>
  </sheetViews>
  <sheetFormatPr defaultColWidth="12.6640625" defaultRowHeight="15.75" customHeight="1" x14ac:dyDescent="0.25"/>
  <cols>
    <col min="2" max="2" width="31.21875" customWidth="1"/>
  </cols>
  <sheetData>
    <row r="1" spans="1:23" ht="15.75" customHeight="1" x14ac:dyDescent="0.3">
      <c r="A1" s="3" t="s">
        <v>0</v>
      </c>
      <c r="B1" s="3" t="s">
        <v>634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635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636</v>
      </c>
      <c r="Q1" s="3" t="s">
        <v>16</v>
      </c>
      <c r="R1" s="3"/>
      <c r="S1" s="3"/>
      <c r="T1" s="3"/>
      <c r="U1" s="3"/>
      <c r="V1" s="3"/>
      <c r="W1" s="3"/>
    </row>
    <row r="2" spans="1:23" x14ac:dyDescent="0.25">
      <c r="A2" s="33">
        <f ca="1">IFERROR(__xludf.DUMMYFUNCTION("QUERY('Form Responses 1'!A2:S1000, ""select * where R='Mangao'"") "),45076.854901875)</f>
        <v>45076.854901874998</v>
      </c>
      <c r="B2" s="19" t="str">
        <f ca="1">IFERROR(__xludf.DUMMYFUNCTION("""COMPUTED_VALUE""")," Infra Asia Pvt Ltd")</f>
        <v xml:space="preserve"> Infra Asia Pvt Ltd</v>
      </c>
      <c r="C2" s="19" t="str">
        <f ca="1">IFERROR(__xludf.DUMMYFUNCTION("""COMPUTED_VALUE"""),"Shop No.19, B wing, Balaji Complex ")</f>
        <v xml:space="preserve">Shop No.19, B wing, Balaji Complex </v>
      </c>
      <c r="D2" s="19">
        <f ca="1">IFERROR(__xludf.DUMMYFUNCTION("""COMPUTED_VALUE"""),7709650503)</f>
        <v>7709650503</v>
      </c>
      <c r="E2" s="19"/>
      <c r="F2" s="19"/>
      <c r="G2" s="19"/>
      <c r="H2" s="19"/>
      <c r="I2" s="19"/>
      <c r="J2" s="19" t="str">
        <f ca="1">IFERROR(__xludf.DUMMYFUNCTION("""COMPUTED_VALUE"""),"Nilesh Thore")</f>
        <v>Nilesh Thore</v>
      </c>
      <c r="K2" s="19" t="str">
        <f ca="1">IFERROR(__xludf.DUMMYFUNCTION("""COMPUTED_VALUE"""),"t. nilesh.k@gmail.com")</f>
        <v>t. nilesh.k@gmail.com</v>
      </c>
      <c r="L2" s="20"/>
      <c r="M2" s="19" t="str">
        <f ca="1">IFERROR(__xludf.DUMMYFUNCTION("""COMPUTED_VALUE"""),"Option 1")</f>
        <v>Option 1</v>
      </c>
      <c r="N2" s="19" t="str">
        <f ca="1">IFERROR(__xludf.DUMMYFUNCTION("""COMPUTED_VALUE"""),"Partnership")</f>
        <v>Partnership</v>
      </c>
      <c r="O2" s="19" t="str">
        <f ca="1">IFERROR(__xludf.DUMMYFUNCTION("""COMPUTED_VALUE"""),"Construction contractor")</f>
        <v>Construction contractor</v>
      </c>
      <c r="P2" s="19"/>
      <c r="Q2" s="19"/>
      <c r="R2" s="19" t="str">
        <f ca="1">IFERROR(__xludf.DUMMYFUNCTION("""COMPUTED_VALUE"""),"Mangao")</f>
        <v>Mangao</v>
      </c>
      <c r="S2" s="19"/>
    </row>
    <row r="3" spans="1:23" x14ac:dyDescent="0.25">
      <c r="A3" s="33">
        <f ca="1">IFERROR(__xludf.DUMMYFUNCTION("""COMPUTED_VALUE"""),45099.6189869907)</f>
        <v>45099.618986990703</v>
      </c>
      <c r="B3" s="19" t="str">
        <f ca="1">IFERROR(__xludf.DUMMYFUNCTION("""COMPUTED_VALUE"""),"Om sai Pawan furniture ")</f>
        <v xml:space="preserve">Om sai Pawan furniture </v>
      </c>
      <c r="C3" s="19" t="str">
        <f ca="1">IFERROR(__xludf.DUMMYFUNCTION("""COMPUTED_VALUE"""),"Dhalghar fata , konkan railway bridge near, mangao Raigad 402104")</f>
        <v>Dhalghar fata , konkan railway bridge near, mangao Raigad 402104</v>
      </c>
      <c r="D3" s="19">
        <f ca="1">IFERROR(__xludf.DUMMYFUNCTION("""COMPUTED_VALUE"""),9850442757)</f>
        <v>9850442757</v>
      </c>
      <c r="E3" s="19"/>
      <c r="F3" s="19" t="str">
        <f ca="1">IFERROR(__xludf.DUMMYFUNCTION("""COMPUTED_VALUE"""),"Fhhddh")</f>
        <v>Fhhddh</v>
      </c>
      <c r="G3" s="19"/>
      <c r="H3" s="19"/>
      <c r="I3" s="19"/>
      <c r="J3" s="19"/>
      <c r="K3" s="19"/>
      <c r="L3" s="20"/>
      <c r="M3" s="19"/>
      <c r="N3" s="19" t="str">
        <f ca="1">IFERROR(__xludf.DUMMYFUNCTION("""COMPUTED_VALUE"""),"Solo Properitership")</f>
        <v>Solo Properitership</v>
      </c>
      <c r="O3" s="19" t="str">
        <f ca="1">IFERROR(__xludf.DUMMYFUNCTION("""COMPUTED_VALUE"""),"Manufacturer")</f>
        <v>Manufacturer</v>
      </c>
      <c r="P3" s="19" t="str">
        <f ca="1">IFERROR(__xludf.DUMMYFUNCTION("""COMPUTED_VALUE"""),"All furniture work")</f>
        <v>All furniture work</v>
      </c>
      <c r="Q3" s="19"/>
      <c r="R3" s="19" t="str">
        <f ca="1">IFERROR(__xludf.DUMMYFUNCTION("""COMPUTED_VALUE"""),"Mangao")</f>
        <v>Mangao</v>
      </c>
      <c r="S3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2"/>
  <sheetViews>
    <sheetView workbookViewId="0"/>
  </sheetViews>
  <sheetFormatPr defaultColWidth="12.6640625" defaultRowHeight="15.75" customHeight="1" x14ac:dyDescent="0.25"/>
  <cols>
    <col min="2" max="2" width="31.21875" customWidth="1"/>
  </cols>
  <sheetData>
    <row r="1" spans="1:23" ht="15.75" customHeight="1" x14ac:dyDescent="0.3">
      <c r="A1" s="3" t="s">
        <v>0</v>
      </c>
      <c r="B1" s="3" t="s">
        <v>634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635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636</v>
      </c>
      <c r="Q1" s="3" t="s">
        <v>16</v>
      </c>
      <c r="R1" s="3"/>
      <c r="S1" s="3"/>
      <c r="T1" s="3"/>
      <c r="U1" s="3"/>
      <c r="V1" s="3"/>
      <c r="W1" s="3"/>
    </row>
    <row r="2" spans="1:23" x14ac:dyDescent="0.25">
      <c r="A2" s="19" t="str">
        <f ca="1">IFERROR(__xludf.DUMMYFUNCTION("QUERY('Form Responses 1'!A2:S1000, ""select * where R='Jalgao'"") "),"#N/A")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 Responses 1</vt:lpstr>
      <vt:lpstr>Pune</vt:lpstr>
      <vt:lpstr>Aurangabad</vt:lpstr>
      <vt:lpstr>Sangli</vt:lpstr>
      <vt:lpstr>Mumbai</vt:lpstr>
      <vt:lpstr>Nagpur</vt:lpstr>
      <vt:lpstr>Kolhapur</vt:lpstr>
      <vt:lpstr>Mangao</vt:lpstr>
      <vt:lpstr>Jalgao</vt:lpstr>
      <vt:lpstr>Yavatmal</vt:lpstr>
      <vt:lpstr>Chiplun</vt:lpstr>
      <vt:lpstr>Ratnagiri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TWJ IT Department</dc:creator>
  <cp:lastModifiedBy>TWJ IT Department</cp:lastModifiedBy>
  <dcterms:modified xsi:type="dcterms:W3CDTF">2023-06-23T13:11:01Z</dcterms:modified>
</cp:coreProperties>
</file>