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SHAN D K\OneDrive - University of Brighton\Dissertation project\WOE_folder_excel\"/>
    </mc:Choice>
  </mc:AlternateContent>
  <xr:revisionPtr revIDLastSave="0" documentId="13_ncr:1_{1DF0A54C-CEE5-4053-ACD9-640F0D269097}" xr6:coauthVersionLast="47" xr6:coauthVersionMax="47" xr10:uidLastSave="{00000000-0000-0000-0000-000000000000}"/>
  <bookViews>
    <workbookView xWindow="-120" yWindow="-120" windowWidth="20730" windowHeight="11310" firstSheet="1" activeTab="8" xr2:uid="{00000000-000D-0000-FFFF-FFFF00000000}"/>
  </bookViews>
  <sheets>
    <sheet name="capbal" sheetId="1" r:id="rId1"/>
    <sheet name="loan" sheetId="2" r:id="rId2"/>
    <sheet name="overdue" sheetId="3" r:id="rId3"/>
    <sheet name="payment_plan" sheetId="4" r:id="rId4"/>
    <sheet name="gross_income" sheetId="12" r:id="rId5"/>
    <sheet name="employmnt_status" sheetId="6" r:id="rId6"/>
    <sheet name="age_range" sheetId="7" r:id="rId7"/>
    <sheet name="gross_income2" sheetId="11" state="hidden" r:id="rId8"/>
    <sheet name="term" sheetId="9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6" l="1"/>
  <c r="M13" i="6"/>
  <c r="M12" i="6"/>
  <c r="M11" i="6"/>
  <c r="M10" i="6"/>
  <c r="N24" i="12"/>
  <c r="N23" i="12"/>
  <c r="N22" i="12"/>
  <c r="N21" i="12"/>
  <c r="N20" i="12"/>
  <c r="N19" i="12"/>
  <c r="N18" i="12"/>
  <c r="N17" i="12"/>
  <c r="N16" i="12"/>
  <c r="N15" i="12"/>
  <c r="N15" i="4"/>
  <c r="N14" i="4"/>
  <c r="N13" i="4"/>
  <c r="N12" i="4"/>
  <c r="N11" i="4"/>
  <c r="M15" i="3"/>
  <c r="M14" i="3"/>
  <c r="M13" i="3"/>
  <c r="M12" i="3"/>
  <c r="N15" i="2"/>
  <c r="N14" i="2"/>
  <c r="N13" i="2"/>
  <c r="N12" i="2"/>
  <c r="N11" i="2"/>
  <c r="R4" i="6"/>
  <c r="S4" i="6"/>
  <c r="U6" i="12"/>
  <c r="O16" i="1"/>
  <c r="O14" i="1"/>
  <c r="O15" i="1"/>
  <c r="O13" i="1"/>
  <c r="O11" i="1"/>
  <c r="O12" i="1"/>
  <c r="O10" i="1"/>
  <c r="R5" i="12"/>
  <c r="S5" i="12"/>
  <c r="T5" i="12"/>
  <c r="U5" i="12" s="1"/>
  <c r="U6" i="1"/>
  <c r="U2" i="6"/>
  <c r="T4" i="6" l="1"/>
  <c r="R3" i="12"/>
  <c r="S3" i="12"/>
  <c r="R4" i="12"/>
  <c r="S4" i="12"/>
  <c r="S2" i="12"/>
  <c r="R2" i="12"/>
  <c r="T2" i="12" s="1"/>
  <c r="V2" i="6"/>
  <c r="R3" i="1"/>
  <c r="S3" i="1"/>
  <c r="R2" i="1"/>
  <c r="R3" i="6"/>
  <c r="R2" i="6"/>
  <c r="S2" i="6"/>
  <c r="S3" i="6"/>
  <c r="S2" i="1"/>
  <c r="W5" i="11"/>
  <c r="W2" i="11"/>
  <c r="W3" i="11"/>
  <c r="W4" i="11"/>
  <c r="T3" i="11"/>
  <c r="V3" i="11" s="1"/>
  <c r="U3" i="11"/>
  <c r="T4" i="11"/>
  <c r="V4" i="11" s="1"/>
  <c r="U4" i="11"/>
  <c r="V2" i="11"/>
  <c r="U2" i="11"/>
  <c r="T2" i="11"/>
  <c r="F3" i="11"/>
  <c r="F2" i="11"/>
  <c r="F11" i="11"/>
  <c r="F10" i="11"/>
  <c r="F9" i="11"/>
  <c r="F8" i="11"/>
  <c r="F7" i="11"/>
  <c r="F6" i="11"/>
  <c r="F5" i="11"/>
  <c r="F4" i="11"/>
  <c r="T3" i="9"/>
  <c r="U3" i="9"/>
  <c r="T2" i="9"/>
  <c r="U2" i="9"/>
  <c r="F2" i="9"/>
  <c r="F3" i="9"/>
  <c r="F4" i="9"/>
  <c r="F5" i="9"/>
  <c r="F6" i="9"/>
  <c r="F7" i="9"/>
  <c r="F8" i="9"/>
  <c r="F9" i="9"/>
  <c r="F10" i="9"/>
  <c r="F11" i="9"/>
  <c r="F12" i="9"/>
  <c r="F13" i="9"/>
  <c r="R3" i="7"/>
  <c r="S3" i="7"/>
  <c r="R4" i="7"/>
  <c r="S4" i="7"/>
  <c r="S2" i="7"/>
  <c r="R2" i="7"/>
  <c r="R3" i="4"/>
  <c r="S3" i="4"/>
  <c r="R4" i="4"/>
  <c r="T4" i="4" s="1"/>
  <c r="S4" i="4"/>
  <c r="S2" i="4"/>
  <c r="R2" i="4"/>
  <c r="R3" i="3"/>
  <c r="S3" i="3"/>
  <c r="R4" i="3"/>
  <c r="T4" i="3" s="1"/>
  <c r="S4" i="3"/>
  <c r="S2" i="3"/>
  <c r="R2" i="3"/>
  <c r="T2" i="3" s="1"/>
  <c r="R3" i="2"/>
  <c r="S3" i="2"/>
  <c r="R4" i="2"/>
  <c r="T4" i="2" s="1"/>
  <c r="S4" i="2"/>
  <c r="S2" i="2"/>
  <c r="R2" i="2"/>
  <c r="T2" i="2" s="1"/>
  <c r="T3" i="7" l="1"/>
  <c r="U3" i="7" s="1"/>
  <c r="T4" i="7"/>
  <c r="U4" i="7" s="1"/>
  <c r="V3" i="9"/>
  <c r="R13" i="9" s="1"/>
  <c r="V2" i="9"/>
  <c r="R12" i="9" s="1"/>
  <c r="T2" i="7"/>
  <c r="T3" i="6"/>
  <c r="T3" i="12"/>
  <c r="T4" i="12"/>
  <c r="T3" i="4"/>
  <c r="U3" i="4"/>
  <c r="T2" i="4"/>
  <c r="U4" i="4"/>
  <c r="T3" i="3"/>
  <c r="T2" i="1"/>
  <c r="U4" i="2"/>
  <c r="U2" i="2"/>
  <c r="T3" i="2"/>
  <c r="T3" i="1"/>
  <c r="U4" i="12"/>
  <c r="U3" i="12"/>
  <c r="U2" i="12"/>
  <c r="U4" i="3"/>
  <c r="U2" i="3"/>
  <c r="U3" i="3"/>
  <c r="O19" i="7" l="1"/>
  <c r="O17" i="7"/>
  <c r="O18" i="7"/>
  <c r="O20" i="7"/>
  <c r="O23" i="7"/>
  <c r="O22" i="7"/>
  <c r="O21" i="7"/>
  <c r="O16" i="7"/>
  <c r="O15" i="7"/>
  <c r="O14" i="7"/>
  <c r="U2" i="7"/>
  <c r="U5" i="7" s="1"/>
  <c r="V3" i="6"/>
  <c r="U3" i="6"/>
  <c r="U4" i="6" s="1"/>
  <c r="U5" i="6" s="1"/>
  <c r="U2" i="4"/>
  <c r="U5" i="4" s="1"/>
  <c r="U5" i="3"/>
  <c r="U3" i="2"/>
  <c r="U5" i="2" s="1"/>
  <c r="U2" i="1"/>
  <c r="U3" i="1"/>
  <c r="W3" i="9"/>
  <c r="W2" i="9"/>
  <c r="W5" i="9" l="1"/>
</calcChain>
</file>

<file path=xl/sharedStrings.xml><?xml version="1.0" encoding="utf-8"?>
<sst xmlns="http://schemas.openxmlformats.org/spreadsheetml/2006/main" count="243" uniqueCount="68">
  <si>
    <t>Var</t>
  </si>
  <si>
    <t>Total</t>
  </si>
  <si>
    <t>Total_Defaults</t>
  </si>
  <si>
    <t>Total_Goods</t>
  </si>
  <si>
    <t>N_Class</t>
  </si>
  <si>
    <t>perct_obs</t>
  </si>
  <si>
    <t>PCT_B</t>
  </si>
  <si>
    <t>PCT_G</t>
  </si>
  <si>
    <t>Defaults</t>
  </si>
  <si>
    <t>Goods</t>
  </si>
  <si>
    <t>WOE</t>
  </si>
  <si>
    <t>IVi</t>
  </si>
  <si>
    <t>1-500</t>
  </si>
  <si>
    <t>501-1000</t>
  </si>
  <si>
    <t>&gt;2501</t>
  </si>
  <si>
    <t>1-250</t>
  </si>
  <si>
    <t>251-500</t>
  </si>
  <si>
    <t>501-750</t>
  </si>
  <si>
    <t>751-1000</t>
  </si>
  <si>
    <t>&gt;1000</t>
  </si>
  <si>
    <t>&gt;100</t>
  </si>
  <si>
    <t>26-50</t>
  </si>
  <si>
    <t>1 to 25</t>
  </si>
  <si>
    <t>51-75</t>
  </si>
  <si>
    <t>76-100</t>
  </si>
  <si>
    <t>Homemaker</t>
  </si>
  <si>
    <t>Other</t>
  </si>
  <si>
    <t>Self Employed</t>
  </si>
  <si>
    <t>Full Time</t>
  </si>
  <si>
    <t>18 to 20</t>
  </si>
  <si>
    <t>21 to 23</t>
  </si>
  <si>
    <t>24 to 30</t>
  </si>
  <si>
    <t>31 to 35</t>
  </si>
  <si>
    <t>36 to 40</t>
  </si>
  <si>
    <t>41 to 50</t>
  </si>
  <si>
    <t>51 to 60</t>
  </si>
  <si>
    <t>61 to 70</t>
  </si>
  <si>
    <t>CLUSTER</t>
  </si>
  <si>
    <t>Total_Bads</t>
  </si>
  <si>
    <t>Min</t>
  </si>
  <si>
    <t>Max</t>
  </si>
  <si>
    <t>Bads</t>
  </si>
  <si>
    <t>Class</t>
  </si>
  <si>
    <t>Row Labels</t>
  </si>
  <si>
    <t>Grand Total</t>
  </si>
  <si>
    <t>Sum of Goods</t>
  </si>
  <si>
    <t>Sum of Defaults</t>
  </si>
  <si>
    <t>%G</t>
  </si>
  <si>
    <t>%B</t>
  </si>
  <si>
    <t>Ivi</t>
  </si>
  <si>
    <t>class</t>
  </si>
  <si>
    <t>%class</t>
  </si>
  <si>
    <t>Sum of Bads</t>
  </si>
  <si>
    <t>Iv1</t>
  </si>
  <si>
    <t>IV1</t>
  </si>
  <si>
    <t>1001-1500</t>
  </si>
  <si>
    <t>1501-2000</t>
  </si>
  <si>
    <t>2001-2500</t>
  </si>
  <si>
    <t>Retired</t>
  </si>
  <si>
    <t>71 to 80</t>
  </si>
  <si>
    <t>Over 100</t>
  </si>
  <si>
    <t>code</t>
  </si>
  <si>
    <t>Code</t>
  </si>
  <si>
    <t>&gt;0.02 (yes)</t>
  </si>
  <si>
    <t>&gt;0.6 (NO)</t>
  </si>
  <si>
    <t>&gt;0.02 (Yes)</t>
  </si>
  <si>
    <t>&gt;0.6 (No)</t>
  </si>
  <si>
    <t>&lt;0.02  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</si>
</sst>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2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capbal!$T$2:$T$3</c:f>
              <c:numCache>
                <c:formatCode>General</c:formatCode>
                <c:ptCount val="2"/>
                <c:pt idx="0">
                  <c:v>-1.9130355730757262E-2</c:v>
                </c:pt>
                <c:pt idx="1">
                  <c:v>0.72381527513413246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4825-904B-98F2E428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77232"/>
        <c:axId val="628080472"/>
      </c:lineChart>
      <c:catAx>
        <c:axId val="62807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80472"/>
        <c:crosses val="autoZero"/>
        <c:auto val="1"/>
        <c:lblAlgn val="ctr"/>
        <c:lblOffset val="100"/>
        <c:noMultiLvlLbl val="0"/>
      </c:catAx>
      <c:valAx>
        <c:axId val="62808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7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term!$V$2:$V$3</c:f>
              <c:numCache>
                <c:formatCode>General</c:formatCode>
                <c:ptCount val="2"/>
                <c:pt idx="0">
                  <c:v>-0.11165707918059034</c:v>
                </c:pt>
                <c:pt idx="1">
                  <c:v>3.3812645696567722E-2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5-4005-AD46-27DA2E84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16656"/>
        <c:axId val="448517016"/>
      </c:lineChart>
      <c:catAx>
        <c:axId val="44851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17016"/>
        <c:crosses val="autoZero"/>
        <c:auto val="1"/>
        <c:lblAlgn val="ctr"/>
        <c:lblOffset val="100"/>
        <c:noMultiLvlLbl val="0"/>
      </c:catAx>
      <c:valAx>
        <c:axId val="4485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loan!$T$2:$T$4</c:f>
              <c:numCache>
                <c:formatCode>General</c:formatCode>
                <c:ptCount val="3"/>
                <c:pt idx="0">
                  <c:v>0.26185833016002891</c:v>
                </c:pt>
                <c:pt idx="1">
                  <c:v>9.6403385950132661E-2</c:v>
                </c:pt>
                <c:pt idx="2">
                  <c:v>-8.1693855803147183E-2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E-4F16-9549-58B960C2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899560"/>
        <c:axId val="676889480"/>
      </c:lineChart>
      <c:catAx>
        <c:axId val="67689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89480"/>
        <c:crosses val="autoZero"/>
        <c:auto val="1"/>
        <c:lblAlgn val="ctr"/>
        <c:lblOffset val="100"/>
        <c:noMultiLvlLbl val="0"/>
      </c:catAx>
      <c:valAx>
        <c:axId val="6768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overdue!$T$2:$T$4</c:f>
              <c:numCache>
                <c:formatCode>General</c:formatCode>
                <c:ptCount val="3"/>
                <c:pt idx="0">
                  <c:v>-2.4229870314843835</c:v>
                </c:pt>
                <c:pt idx="1">
                  <c:v>-1.5198970444924398</c:v>
                </c:pt>
                <c:pt idx="2">
                  <c:v>0.27737049633827648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3-46E5-A404-376FEE11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9552"/>
        <c:axId val="112592072"/>
      </c:lineChart>
      <c:catAx>
        <c:axId val="11258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072"/>
        <c:crosses val="autoZero"/>
        <c:auto val="1"/>
        <c:lblAlgn val="ctr"/>
        <c:lblOffset val="100"/>
        <c:noMultiLvlLbl val="0"/>
      </c:catAx>
      <c:valAx>
        <c:axId val="1125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payment_plan!$T$2:$T$4</c:f>
              <c:numCache>
                <c:formatCode>General</c:formatCode>
                <c:ptCount val="3"/>
                <c:pt idx="0">
                  <c:v>-7.1547532342802034E-2</c:v>
                </c:pt>
                <c:pt idx="1">
                  <c:v>4.3584040901970718E-2</c:v>
                </c:pt>
                <c:pt idx="2">
                  <c:v>0.38858797438620979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3-481A-BAA5-3288A223B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03152"/>
        <c:axId val="626205312"/>
      </c:lineChart>
      <c:catAx>
        <c:axId val="62620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05312"/>
        <c:crosses val="autoZero"/>
        <c:auto val="1"/>
        <c:lblAlgn val="ctr"/>
        <c:lblOffset val="100"/>
        <c:noMultiLvlLbl val="0"/>
      </c:catAx>
      <c:valAx>
        <c:axId val="626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gross_income!$T$2:$T$5</c:f>
              <c:numCache>
                <c:formatCode>General</c:formatCode>
                <c:ptCount val="4"/>
                <c:pt idx="0">
                  <c:v>-0.17477561284533075</c:v>
                </c:pt>
                <c:pt idx="1">
                  <c:v>-7.7865599837274313E-2</c:v>
                </c:pt>
                <c:pt idx="2">
                  <c:v>0.18673513020003193</c:v>
                </c:pt>
                <c:pt idx="3">
                  <c:v>0.57501399365967099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1-46FB-BE6A-131C6BF9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3848"/>
        <c:axId val="628682488"/>
      </c:lineChart>
      <c:catAx>
        <c:axId val="62867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2488"/>
        <c:crosses val="autoZero"/>
        <c:auto val="1"/>
        <c:lblAlgn val="ctr"/>
        <c:lblOffset val="100"/>
        <c:noMultiLvlLbl val="0"/>
      </c:catAx>
      <c:valAx>
        <c:axId val="6286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employmnt_status!$T$2:$T$4</c:f>
              <c:numCache>
                <c:formatCode>General</c:formatCode>
                <c:ptCount val="3"/>
                <c:pt idx="0">
                  <c:v>0</c:v>
                </c:pt>
                <c:pt idx="1">
                  <c:v>-0.25924528898200844</c:v>
                </c:pt>
                <c:pt idx="2">
                  <c:v>1.7613706824137071E-2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9-40C8-A9F9-2E23AF8D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36960"/>
        <c:axId val="680335880"/>
      </c:lineChart>
      <c:catAx>
        <c:axId val="68033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5880"/>
        <c:crosses val="autoZero"/>
        <c:auto val="1"/>
        <c:lblAlgn val="ctr"/>
        <c:lblOffset val="100"/>
        <c:noMultiLvlLbl val="0"/>
      </c:catAx>
      <c:valAx>
        <c:axId val="6803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age_range!$K$2:$K$8</c:f>
              <c:numCache>
                <c:formatCode>General</c:formatCode>
                <c:ptCount val="7"/>
                <c:pt idx="0">
                  <c:v>-1.9956148810000001</c:v>
                </c:pt>
                <c:pt idx="1">
                  <c:v>-1.3402080279999999</c:v>
                </c:pt>
                <c:pt idx="2">
                  <c:v>0.18918717660000001</c:v>
                </c:pt>
                <c:pt idx="3">
                  <c:v>0.3818715204</c:v>
                </c:pt>
                <c:pt idx="4">
                  <c:v>0.24981179840000001</c:v>
                </c:pt>
                <c:pt idx="5">
                  <c:v>-0.17465625700000001</c:v>
                </c:pt>
                <c:pt idx="6">
                  <c:v>0.48929176899999999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9-4254-B076-AC16C05C6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870208"/>
        <c:axId val="634865528"/>
      </c:lineChart>
      <c:catAx>
        <c:axId val="63487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5528"/>
        <c:crosses val="autoZero"/>
        <c:auto val="1"/>
        <c:lblAlgn val="ctr"/>
        <c:lblOffset val="100"/>
        <c:noMultiLvlLbl val="0"/>
      </c:catAx>
      <c:valAx>
        <c:axId val="63486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age_range!$T$2:$T$4</c:f>
              <c:numCache>
                <c:formatCode>General</c:formatCode>
                <c:ptCount val="3"/>
                <c:pt idx="0">
                  <c:v>-0.22499316295763896</c:v>
                </c:pt>
                <c:pt idx="1">
                  <c:v>4.002764882956035E-2</c:v>
                </c:pt>
                <c:pt idx="2">
                  <c:v>0.37142656101763077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9-4B79-A9C9-FD9108FD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79832"/>
        <c:axId val="112580192"/>
      </c:lineChart>
      <c:catAx>
        <c:axId val="11257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192"/>
        <c:crosses val="autoZero"/>
        <c:auto val="1"/>
        <c:lblAlgn val="ctr"/>
        <c:lblOffset val="100"/>
        <c:noMultiLvlLbl val="0"/>
      </c:catAx>
      <c:valAx>
        <c:axId val="1125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gross_income2!$V$2:$V$4</c:f>
              <c:numCache>
                <c:formatCode>General</c:formatCode>
                <c:ptCount val="3"/>
                <c:pt idx="0">
                  <c:v>-0.6713929482802129</c:v>
                </c:pt>
                <c:pt idx="1">
                  <c:v>6.865619785981737E-3</c:v>
                </c:pt>
                <c:pt idx="2">
                  <c:v>0.9009107427128169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6-45F6-851A-9880A48A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143232"/>
        <c:axId val="678142872"/>
      </c:lineChart>
      <c:catAx>
        <c:axId val="67814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42872"/>
        <c:crosses val="autoZero"/>
        <c:auto val="1"/>
        <c:lblAlgn val="ctr"/>
        <c:lblOffset val="100"/>
        <c:noMultiLvlLbl val="0"/>
      </c:catAx>
      <c:valAx>
        <c:axId val="6781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157162</xdr:rowOff>
    </xdr:from>
    <xdr:to>
      <xdr:col>12</xdr:col>
      <xdr:colOff>590550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1BAA4-9525-CCF9-F6D6-EE06CD0A0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9</xdr:row>
      <xdr:rowOff>157162</xdr:rowOff>
    </xdr:from>
    <xdr:to>
      <xdr:col>9</xdr:col>
      <xdr:colOff>28575</xdr:colOff>
      <xdr:row>24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C67CA-A07D-68A4-7B0B-9296A9676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</xdr:row>
      <xdr:rowOff>33337</xdr:rowOff>
    </xdr:from>
    <xdr:to>
      <xdr:col>7</xdr:col>
      <xdr:colOff>533400</xdr:colOff>
      <xdr:row>24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C03DC5-8552-5723-A9A6-D709C9B7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90487</xdr:rowOff>
    </xdr:from>
    <xdr:to>
      <xdr:col>8</xdr:col>
      <xdr:colOff>228600</xdr:colOff>
      <xdr:row>23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8D0DF-1605-0241-59E2-E9321A2FE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80962</xdr:rowOff>
    </xdr:from>
    <xdr:to>
      <xdr:col>8</xdr:col>
      <xdr:colOff>342900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F014-B65F-5A32-DDD0-A697E3914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14287</xdr:rowOff>
    </xdr:from>
    <xdr:to>
      <xdr:col>7</xdr:col>
      <xdr:colOff>581025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734FC-16E9-5ED5-7B9D-630D8CE25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14</xdr:row>
      <xdr:rowOff>128587</xdr:rowOff>
    </xdr:from>
    <xdr:to>
      <xdr:col>12</xdr:col>
      <xdr:colOff>47625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0D2EB-9957-CE9A-0F23-8949603C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5</xdr:row>
      <xdr:rowOff>61912</xdr:rowOff>
    </xdr:from>
    <xdr:to>
      <xdr:col>29</xdr:col>
      <xdr:colOff>104775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10573-07E8-9F28-17E9-D86F95C0B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7</xdr:row>
      <xdr:rowOff>157162</xdr:rowOff>
    </xdr:from>
    <xdr:to>
      <xdr:col>22</xdr:col>
      <xdr:colOff>142875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13F6A-E3A3-0EFB-7605-560F4E64E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17</xdr:row>
      <xdr:rowOff>14287</xdr:rowOff>
    </xdr:from>
    <xdr:to>
      <xdr:col>8</xdr:col>
      <xdr:colOff>238125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1D100-B4E4-7C21-BEB0-6A6F61D2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excel_all.xlsx#BgEIDA4ADAMGBAcBBAQECw=17.0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D K" refreshedDate="45168.720921643515" createdVersion="8" refreshedVersion="8" minRefreshableVersion="3" recordCount="10" xr:uid="{7BE5B95E-EACC-4A61-B004-2EDC6E7BAE67}">
  <cacheSource type="worksheet">
    <worksheetSource ref="A1:O11" sheet="gross_income2" r:id="rId2"/>
  </cacheSource>
  <cacheFields count="15">
    <cacheField name="CLUSTER" numFmtId="0">
      <sharedItems containsSemiMixedTypes="0" containsString="0" containsNumber="1" containsInteger="1" minValue="1" maxValue="10"/>
    </cacheField>
    <cacheField name="Total" numFmtId="0">
      <sharedItems containsSemiMixedTypes="0" containsString="0" containsNumber="1" containsInteger="1" minValue="648" maxValue="648"/>
    </cacheField>
    <cacheField name="Total_Bads" numFmtId="0">
      <sharedItems containsSemiMixedTypes="0" containsString="0" containsNumber="1" containsInteger="1" minValue="19" maxValue="19"/>
    </cacheField>
    <cacheField name="Total_Goods" numFmtId="0">
      <sharedItems containsSemiMixedTypes="0" containsString="0" containsNumber="1" containsInteger="1" minValue="629" maxValue="629"/>
    </cacheField>
    <cacheField name="N_Class" numFmtId="0">
      <sharedItems containsSemiMixedTypes="0" containsString="0" containsNumber="1" containsInteger="1" minValue="4" maxValue="153"/>
    </cacheField>
    <cacheField name="%class" numFmtId="10">
      <sharedItems containsSemiMixedTypes="0" containsString="0" containsNumber="1" minValue="6.1728395061728392E-3" maxValue="0.2361111111111111"/>
    </cacheField>
    <cacheField name="Min" numFmtId="0">
      <sharedItems containsSemiMixedTypes="0" containsString="0" containsNumber="1" containsInteger="1" minValue="2500" maxValue="85000"/>
    </cacheField>
    <cacheField name="Max" numFmtId="0">
      <sharedItems containsSemiMixedTypes="0" containsString="0" containsNumber="1" containsInteger="1" minValue="2500" maxValue="85000"/>
    </cacheField>
    <cacheField name="PCT_B" numFmtId="0">
      <sharedItems containsSemiMixedTypes="0" containsString="0" containsNumber="1" minValue="0" maxValue="42.11"/>
    </cacheField>
    <cacheField name="PCT_G" numFmtId="0">
      <sharedItems containsSemiMixedTypes="0" containsString="0" containsNumber="1" minValue="0.64" maxValue="23.05"/>
    </cacheField>
    <cacheField name="Bads" numFmtId="0">
      <sharedItems containsSemiMixedTypes="0" containsString="0" containsNumber="1" containsInteger="1" minValue="0" maxValue="8"/>
    </cacheField>
    <cacheField name="Goods" numFmtId="0">
      <sharedItems containsSemiMixedTypes="0" containsString="0" containsNumber="1" containsInteger="1" minValue="4" maxValue="145"/>
    </cacheField>
    <cacheField name="WOE" numFmtId="0">
      <sharedItems containsString="0" containsBlank="1" containsNumber="1" minValue="-1.222424993" maxValue="6.8656198000000002E-3"/>
    </cacheField>
    <cacheField name="IVi" numFmtId="0">
      <sharedItems containsString="0" containsBlank="1" containsNumber="1" minValue="7.4682500000000001E-4" maxValue="18.155839358000001"/>
    </cacheField>
    <cacheField name="class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D K" refreshedDate="45169.564414814813" createdVersion="8" refreshedVersion="8" minRefreshableVersion="3" recordCount="5" xr:uid="{5BFDE6C9-5882-45B3-915B-E3FA045F9B01}">
  <cacheSource type="worksheet">
    <worksheetSource ref="A1:M6" sheet="loan"/>
  </cacheSource>
  <cacheFields count="13">
    <cacheField name="Var" numFmtId="0">
      <sharedItems/>
    </cacheField>
    <cacheField name="Total" numFmtId="0">
      <sharedItems containsSemiMixedTypes="0" containsString="0" containsNumber="1" containsInteger="1" minValue="648" maxValue="648"/>
    </cacheField>
    <cacheField name="Total_Defaults" numFmtId="0">
      <sharedItems containsSemiMixedTypes="0" containsString="0" containsNumber="1" containsInteger="1" minValue="19" maxValue="19"/>
    </cacheField>
    <cacheField name="Total_Goods" numFmtId="0">
      <sharedItems containsSemiMixedTypes="0" containsString="0" containsNumber="1" containsInteger="1" minValue="629" maxValue="629"/>
    </cacheField>
    <cacheField name="N_Class" numFmtId="0">
      <sharedItems containsSemiMixedTypes="0" containsString="0" containsNumber="1" containsInteger="1" minValue="47" maxValue="398"/>
    </cacheField>
    <cacheField name="perct_obs" numFmtId="0">
      <sharedItems containsSemiMixedTypes="0" containsString="0" containsNumber="1" minValue="7.2530864197999998" maxValue="61.419753086"/>
    </cacheField>
    <cacheField name="PCT_B" numFmtId="0">
      <sharedItems containsSemiMixedTypes="0" containsString="0" containsNumber="1" minValue="0" maxValue="73.680000000000007"/>
    </cacheField>
    <cacheField name="PCT_G" numFmtId="0">
      <sharedItems containsSemiMixedTypes="0" containsString="0" containsNumber="1" minValue="7.47" maxValue="61.05"/>
    </cacheField>
    <cacheField name="Defaults" numFmtId="0">
      <sharedItems containsSemiMixedTypes="0" containsString="0" containsNumber="1" containsInteger="1" minValue="0" maxValue="14"/>
    </cacheField>
    <cacheField name="Goods" numFmtId="0">
      <sharedItems containsSemiMixedTypes="0" containsString="0" containsNumber="1" containsInteger="1" minValue="47" maxValue="384"/>
    </cacheField>
    <cacheField name="WOE" numFmtId="0">
      <sharedItems containsString="0" containsBlank="1" containsNumber="1" minValue="-0.188107055" maxValue="0.73441422710000004"/>
    </cacheField>
    <cacheField name="IVi" numFmtId="0">
      <sharedItems containsString="0" containsBlank="1" containsNumber="1" minValue="0.1377407246" maxValue="4.1910342470000002"/>
    </cacheField>
    <cacheField name="Class" numFmtId="0">
      <sharedItems containsSemiMixedTypes="0" containsString="0" containsNumber="1" containsInteger="1" minValue="2" maxValue="4" count="3"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D K" refreshedDate="45169.610913657409" createdVersion="8" refreshedVersion="8" minRefreshableVersion="3" recordCount="7" xr:uid="{086F0D62-9970-41FE-9A22-37D0281334B9}">
  <cacheSource type="worksheet">
    <worksheetSource ref="A1:M8" sheet="capbal"/>
  </cacheSource>
  <cacheFields count="13">
    <cacheField name="Var" numFmtId="0">
      <sharedItems containsMixedTypes="1" containsNumber="1" containsInteger="1" minValue="0" maxValue="0"/>
    </cacheField>
    <cacheField name="Total" numFmtId="0">
      <sharedItems containsSemiMixedTypes="0" containsString="0" containsNumber="1" containsInteger="1" minValue="648" maxValue="648"/>
    </cacheField>
    <cacheField name="Total_Defaults" numFmtId="0">
      <sharedItems containsSemiMixedTypes="0" containsString="0" containsNumber="1" containsInteger="1" minValue="19" maxValue="19"/>
    </cacheField>
    <cacheField name="Total_Goods" numFmtId="0">
      <sharedItems containsSemiMixedTypes="0" containsString="0" containsNumber="1" containsInteger="1" minValue="629" maxValue="629"/>
    </cacheField>
    <cacheField name="N_Class" numFmtId="0">
      <sharedItems containsSemiMixedTypes="0" containsString="0" containsNumber="1" containsInteger="1" minValue="1" maxValue="204"/>
    </cacheField>
    <cacheField name="perct_obs" numFmtId="0">
      <sharedItems containsSemiMixedTypes="0" containsString="0" containsNumber="1" minValue="0.1543209877" maxValue="31.481481480999999"/>
    </cacheField>
    <cacheField name="PCT_B" numFmtId="0">
      <sharedItems containsSemiMixedTypes="0" containsString="0" containsNumber="1" minValue="0" maxValue="47.37"/>
    </cacheField>
    <cacheField name="PCT_G" numFmtId="0">
      <sharedItems containsSemiMixedTypes="0" containsString="0" containsNumber="1" minValue="0.16" maxValue="31"/>
    </cacheField>
    <cacheField name="Defaults" numFmtId="0">
      <sharedItems containsSemiMixedTypes="0" containsString="0" containsNumber="1" containsInteger="1" minValue="0" maxValue="9"/>
    </cacheField>
    <cacheField name="Goods" numFmtId="0">
      <sharedItems containsSemiMixedTypes="0" containsString="0" containsNumber="1" containsInteger="1" minValue="1" maxValue="195"/>
    </cacheField>
    <cacheField name="WOE" numFmtId="0">
      <sharedItems containsString="0" containsBlank="1" containsNumber="1" minValue="-0.423917296" maxValue="-3.3956374999999997E-2"/>
    </cacheField>
    <cacheField name="IVi" numFmtId="0">
      <sharedItems containsString="0" containsBlank="1" containsNumber="1" minValue="1.1933459400000001E-2" maxValue="6.9381828430999999"/>
    </cacheField>
    <cacheField name="class" numFmtId="0">
      <sharedItems containsSemiMixedTypes="0" containsString="0" containsNumber="1" containsInteger="1" minValue="1" maxValue="3" count="3">
        <n v="1"/>
        <n v="3"/>
        <n v="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D K" refreshedDate="45169.635575810185" createdVersion="8" refreshedVersion="8" minRefreshableVersion="3" recordCount="4" xr:uid="{763F537A-D2ED-4D83-A087-48C5E6B6BAC1}">
  <cacheSource type="worksheet">
    <worksheetSource ref="A1:M5" sheet="overdue"/>
  </cacheSource>
  <cacheFields count="13">
    <cacheField name="Var" numFmtId="0">
      <sharedItems containsMixedTypes="1" containsNumber="1" containsInteger="1" minValue="0" maxValue="0"/>
    </cacheField>
    <cacheField name="Total" numFmtId="0">
      <sharedItems containsSemiMixedTypes="0" containsString="0" containsNumber="1" containsInteger="1" minValue="648" maxValue="648"/>
    </cacheField>
    <cacheField name="Total_Defaults" numFmtId="0">
      <sharedItems containsSemiMixedTypes="0" containsString="0" containsNumber="1" containsInteger="1" minValue="19" maxValue="19"/>
    </cacheField>
    <cacheField name="Total_Goods" numFmtId="0">
      <sharedItems containsSemiMixedTypes="0" containsString="0" containsNumber="1" containsInteger="1" minValue="629" maxValue="629"/>
    </cacheField>
    <cacheField name="N_Class" numFmtId="0">
      <sharedItems containsSemiMixedTypes="0" containsString="0" containsNumber="1" containsInteger="1" minValue="2" maxValue="637"/>
    </cacheField>
    <cacheField name="perct_obs" numFmtId="0">
      <sharedItems containsSemiMixedTypes="0" containsString="0" containsNumber="1" minValue="0.30864197529999998" maxValue="98.302469135999999"/>
    </cacheField>
    <cacheField name="PCT_B" numFmtId="0">
      <sharedItems containsSemiMixedTypes="0" containsString="0" containsNumber="1" minValue="5.26" maxValue="52.63"/>
    </cacheField>
    <cacheField name="PCT_G" numFmtId="0">
      <sharedItems containsSemiMixedTypes="0" containsString="0" containsNumber="1" minValue="0" maxValue="99.68"/>
    </cacheField>
    <cacheField name="Defaults" numFmtId="0">
      <sharedItems containsSemiMixedTypes="0" containsString="0" containsNumber="1" containsInteger="1" minValue="1" maxValue="10"/>
    </cacheField>
    <cacheField name="Goods" numFmtId="0">
      <sharedItems containsSemiMixedTypes="0" containsString="0" containsNumber="1" containsInteger="1" minValue="0" maxValue="627"/>
    </cacheField>
    <cacheField name="WOE" numFmtId="0">
      <sharedItems containsString="0" containsBlank="1" containsNumber="1" minValue="-4.1928394579999999" maxValue="0.63866917010000002"/>
    </cacheField>
    <cacheField name="IVi" numFmtId="0">
      <sharedItems containsString="0" containsBlank="1" containsNumber="1" minValue="17.863043170000001" maxValue="43.468564041"/>
    </cacheField>
    <cacheField name="class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D K" refreshedDate="45169.637367129631" createdVersion="8" refreshedVersion="8" minRefreshableVersion="3" recordCount="5" xr:uid="{06E2C5D0-AEC1-467A-BBDE-1F0A9408C1E2}">
  <cacheSource type="worksheet">
    <worksheetSource ref="A1:M6" sheet="payment_plan"/>
  </cacheSource>
  <cacheFields count="13">
    <cacheField name="Var" numFmtId="0">
      <sharedItems/>
    </cacheField>
    <cacheField name="Total" numFmtId="0">
      <sharedItems containsSemiMixedTypes="0" containsString="0" containsNumber="1" containsInteger="1" minValue="648" maxValue="648"/>
    </cacheField>
    <cacheField name="Total_Defaults" numFmtId="0">
      <sharedItems containsSemiMixedTypes="0" containsString="0" containsNumber="1" containsInteger="1" minValue="19" maxValue="19"/>
    </cacheField>
    <cacheField name="Total_Goods" numFmtId="0">
      <sharedItems containsSemiMixedTypes="0" containsString="0" containsNumber="1" containsInteger="1" minValue="629" maxValue="629"/>
    </cacheField>
    <cacheField name="N_Class" numFmtId="0">
      <sharedItems containsSemiMixedTypes="0" containsString="0" containsNumber="1" containsInteger="1" minValue="67" maxValue="250"/>
    </cacheField>
    <cacheField name="perct_obs" numFmtId="0">
      <sharedItems containsSemiMixedTypes="0" containsString="0" containsNumber="1" minValue="10.339506173" maxValue="38.580246914"/>
    </cacheField>
    <cacheField name="PCT_B" numFmtId="0">
      <sharedItems containsSemiMixedTypes="0" containsString="0" containsNumber="1" minValue="5.26" maxValue="57.89"/>
    </cacheField>
    <cacheField name="PCT_G" numFmtId="0">
      <sharedItems containsSemiMixedTypes="0" containsString="0" containsNumber="1" minValue="10.17" maxValue="38"/>
    </cacheField>
    <cacheField name="Defaults" numFmtId="0">
      <sharedItems containsSemiMixedTypes="0" containsString="0" containsNumber="1" containsInteger="1" minValue="1" maxValue="11"/>
    </cacheField>
    <cacheField name="Goods" numFmtId="0">
      <sharedItems containsSemiMixedTypes="0" containsString="0" containsNumber="1" containsInteger="1" minValue="64" maxValue="239"/>
    </cacheField>
    <cacheField name="WOE" numFmtId="0">
      <sharedItems containsSemiMixedTypes="0" containsString="0" containsNumber="1" minValue="-0.439421483" maxValue="0.89475687709999996"/>
    </cacheField>
    <cacheField name="IVi" numFmtId="0">
      <sharedItems containsSemiMixedTypes="0" containsString="0" containsNumber="1" minValue="2.4671727469000002" maxValue="8.3794901531000008"/>
    </cacheField>
    <cacheField name="class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D K" refreshedDate="45169.63879178241" createdVersion="8" refreshedVersion="8" minRefreshableVersion="3" recordCount="10" xr:uid="{D822FBE5-2205-45CB-B4F0-58889FE53BCE}">
  <cacheSource type="worksheet">
    <worksheetSource ref="A1:M11" sheet="gross_income"/>
  </cacheSource>
  <cacheFields count="13">
    <cacheField name="Var" numFmtId="0">
      <sharedItems containsSemiMixedTypes="0" containsString="0" containsNumber="1" containsInteger="1" minValue="2500" maxValue="85000"/>
    </cacheField>
    <cacheField name="Total" numFmtId="0">
      <sharedItems containsSemiMixedTypes="0" containsString="0" containsNumber="1" containsInteger="1" minValue="648" maxValue="648"/>
    </cacheField>
    <cacheField name="Total_Defaults" numFmtId="0">
      <sharedItems containsSemiMixedTypes="0" containsString="0" containsNumber="1" containsInteger="1" minValue="19" maxValue="19"/>
    </cacheField>
    <cacheField name="Total_Goods" numFmtId="0">
      <sharedItems containsSemiMixedTypes="0" containsString="0" containsNumber="1" containsInteger="1" minValue="629" maxValue="629"/>
    </cacheField>
    <cacheField name="N_Class" numFmtId="0">
      <sharedItems containsSemiMixedTypes="0" containsString="0" containsNumber="1" containsInteger="1" minValue="4" maxValue="153"/>
    </cacheField>
    <cacheField name="perct_obs" numFmtId="0">
      <sharedItems containsSemiMixedTypes="0" containsString="0" containsNumber="1" minValue="0.61728395059999996" maxValue="23.611111111"/>
    </cacheField>
    <cacheField name="PCT_B" numFmtId="0">
      <sharedItems containsSemiMixedTypes="0" containsString="0" containsNumber="1" minValue="0" maxValue="42.11"/>
    </cacheField>
    <cacheField name="PCT_G" numFmtId="0">
      <sharedItems containsSemiMixedTypes="0" containsString="0" containsNumber="1" minValue="0.64" maxValue="23.05"/>
    </cacheField>
    <cacheField name="Defaults" numFmtId="0">
      <sharedItems containsSemiMixedTypes="0" containsString="0" containsNumber="1" containsInteger="1" minValue="0" maxValue="8"/>
    </cacheField>
    <cacheField name="Goods" numFmtId="0">
      <sharedItems containsSemiMixedTypes="0" containsString="0" containsNumber="1" containsInteger="1" minValue="4" maxValue="145"/>
    </cacheField>
    <cacheField name="WOE" numFmtId="0">
      <sharedItems containsString="0" containsBlank="1" containsNumber="1" minValue="-1.222424993" maxValue="6.8656198000000002E-3"/>
    </cacheField>
    <cacheField name="IVi" numFmtId="0">
      <sharedItems containsString="0" containsBlank="1" containsNumber="1" minValue="7.4682500000000001E-4" maxValue="18.155839358000001"/>
    </cacheField>
    <cacheField name="class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D K" refreshedDate="45169.648063078705" createdVersion="8" refreshedVersion="8" minRefreshableVersion="3" recordCount="10" xr:uid="{F1414CB2-A76D-45D7-9E17-F0E866A9F9B3}">
  <cacheSource type="worksheet">
    <worksheetSource ref="A1:M11" sheet="age_range"/>
  </cacheSource>
  <cacheFields count="13">
    <cacheField name="Var" numFmtId="0">
      <sharedItems/>
    </cacheField>
    <cacheField name="Total" numFmtId="0">
      <sharedItems containsSemiMixedTypes="0" containsString="0" containsNumber="1" containsInteger="1" minValue="648" maxValue="648"/>
    </cacheField>
    <cacheField name="Total_Defaults" numFmtId="0">
      <sharedItems containsSemiMixedTypes="0" containsString="0" containsNumber="1" containsInteger="1" minValue="19" maxValue="19"/>
    </cacheField>
    <cacheField name="Total_Goods" numFmtId="0">
      <sharedItems containsSemiMixedTypes="0" containsString="0" containsNumber="1" containsInteger="1" minValue="629" maxValue="629"/>
    </cacheField>
    <cacheField name="N_Class" numFmtId="0">
      <sharedItems containsSemiMixedTypes="0" containsString="0" containsNumber="1" containsInteger="1" minValue="1" maxValue="144"/>
    </cacheField>
    <cacheField name="perct_obs" numFmtId="0">
      <sharedItems containsSemiMixedTypes="0" containsString="0" containsNumber="1" minValue="0.1543209877" maxValue="22.222222221999999"/>
    </cacheField>
    <cacheField name="PCT_B" numFmtId="0">
      <sharedItems containsSemiMixedTypes="0" containsString="0" containsNumber="1" minValue="0" maxValue="26.32"/>
    </cacheField>
    <cacheField name="PCT_G" numFmtId="0">
      <sharedItems containsSemiMixedTypes="0" containsString="0" containsNumber="1" minValue="0.16" maxValue="22.1"/>
    </cacheField>
    <cacheField name="Defaults" numFmtId="0">
      <sharedItems containsSemiMixedTypes="0" containsString="0" containsNumber="1" containsInteger="1" minValue="0" maxValue="5"/>
    </cacheField>
    <cacheField name="Goods" numFmtId="0">
      <sharedItems containsSemiMixedTypes="0" containsString="0" containsNumber="1" containsInteger="1" minValue="1" maxValue="139"/>
    </cacheField>
    <cacheField name="WOE" numFmtId="0">
      <sharedItems containsString="0" containsBlank="1" containsNumber="1" minValue="-1.9956148810000001" maxValue="0.48929176899999999"/>
    </cacheField>
    <cacheField name="IVi" numFmtId="0">
      <sharedItems containsString="0" containsBlank="1" containsNumber="1" minValue="0.6221283608" maxValue="18.151061630000001"/>
    </cacheField>
    <cacheField name="class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D K" refreshedDate="45169.663528124998" createdVersion="8" refreshedVersion="8" minRefreshableVersion="3" recordCount="12" xr:uid="{4EB273C4-066D-47D7-B4BF-FB132B8FEAFD}">
  <cacheSource type="worksheet">
    <worksheetSource ref="A1:O13" sheet="term"/>
  </cacheSource>
  <cacheFields count="15">
    <cacheField name="CLUSTER" numFmtId="0">
      <sharedItems containsSemiMixedTypes="0" containsString="0" containsNumber="1" containsInteger="1" minValue="1" maxValue="12"/>
    </cacheField>
    <cacheField name="Total" numFmtId="0">
      <sharedItems containsSemiMixedTypes="0" containsString="0" containsNumber="1" containsInteger="1" minValue="648" maxValue="648"/>
    </cacheField>
    <cacheField name="Total_Bads" numFmtId="0">
      <sharedItems containsSemiMixedTypes="0" containsString="0" containsNumber="1" containsInteger="1" minValue="19" maxValue="19"/>
    </cacheField>
    <cacheField name="Total_Goods" numFmtId="0">
      <sharedItems containsSemiMixedTypes="0" containsString="0" containsNumber="1" containsInteger="1" minValue="629" maxValue="629"/>
    </cacheField>
    <cacheField name="N_Class" numFmtId="0">
      <sharedItems containsSemiMixedTypes="0" containsString="0" containsNumber="1" containsInteger="1" minValue="1" maxValue="329"/>
    </cacheField>
    <cacheField name="%class" numFmtId="10">
      <sharedItems containsSemiMixedTypes="0" containsString="0" containsNumber="1" minValue="1.5432098765432098E-3" maxValue="0.50771604938271608"/>
    </cacheField>
    <cacheField name="Min" numFmtId="0">
      <sharedItems containsSemiMixedTypes="0" containsString="0" containsNumber="1" containsInteger="1" minValue="8" maxValue="9999"/>
    </cacheField>
    <cacheField name="Max" numFmtId="0">
      <sharedItems containsSemiMixedTypes="0" containsString="0" containsNumber="1" containsInteger="1" minValue="10" maxValue="9999"/>
    </cacheField>
    <cacheField name="PCT_B" numFmtId="0">
      <sharedItems containsSemiMixedTypes="0" containsString="0" containsNumber="1" minValue="0" maxValue="52.63"/>
    </cacheField>
    <cacheField name="PCT_G" numFmtId="0">
      <sharedItems containsSemiMixedTypes="0" containsString="0" containsNumber="1" minValue="0.16" maxValue="50.72"/>
    </cacheField>
    <cacheField name="Bads" numFmtId="0">
      <sharedItems containsSemiMixedTypes="0" containsString="0" containsNumber="1" containsInteger="1" minValue="0" maxValue="10"/>
    </cacheField>
    <cacheField name="Goods" numFmtId="0">
      <sharedItems containsSemiMixedTypes="0" containsString="0" containsNumber="1" containsInteger="1" minValue="1" maxValue="319"/>
    </cacheField>
    <cacheField name="WOE" numFmtId="0">
      <sharedItems containsString="0" containsBlank="1" containsNumber="1" minValue="-2.246929309" maxValue="0.28449735640000001"/>
    </cacheField>
    <cacheField name="IVi" numFmtId="0">
      <sharedItems containsString="0" containsBlank="1" containsNumber="1" minValue="5.0714683400000002E-2" maxValue="21.151330204000001"/>
    </cacheField>
    <cacheField name="class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D K" refreshedDate="45169.668561805556" createdVersion="8" refreshedVersion="8" minRefreshableVersion="3" recordCount="5" xr:uid="{E4CC2E27-344F-4B1D-8369-94DCCFA185B2}">
  <cacheSource type="worksheet">
    <worksheetSource ref="A1:M6" sheet="employmnt_status"/>
  </cacheSource>
  <cacheFields count="13">
    <cacheField name="Var" numFmtId="0">
      <sharedItems/>
    </cacheField>
    <cacheField name="Total" numFmtId="0">
      <sharedItems containsSemiMixedTypes="0" containsString="0" containsNumber="1" containsInteger="1" minValue="648" maxValue="648"/>
    </cacheField>
    <cacheField name="Total_Defaults" numFmtId="0">
      <sharedItems containsSemiMixedTypes="0" containsString="0" containsNumber="1" containsInteger="1" minValue="19" maxValue="19"/>
    </cacheField>
    <cacheField name="Total_Goods" numFmtId="0">
      <sharedItems containsSemiMixedTypes="0" containsString="0" containsNumber="1" containsInteger="1" minValue="629" maxValue="629"/>
    </cacheField>
    <cacheField name="N_Class" numFmtId="0">
      <sharedItems containsSemiMixedTypes="0" containsString="0" containsNumber="1" containsInteger="1" minValue="6" maxValue="553"/>
    </cacheField>
    <cacheField name="perct_obs" numFmtId="0">
      <sharedItems containsSemiMixedTypes="0" containsString="0" containsNumber="1" minValue="0.9259259259" maxValue="85.339506173000004"/>
    </cacheField>
    <cacheField name="PCT_B" numFmtId="0">
      <sharedItems containsSemiMixedTypes="0" containsString="0" containsNumber="1" minValue="0" maxValue="73.680000000000007"/>
    </cacheField>
    <cacheField name="PCT_G" numFmtId="0">
      <sharedItems containsSemiMixedTypes="0" containsString="0" containsNumber="1" minValue="0.79" maxValue="85.69"/>
    </cacheField>
    <cacheField name="Defaults" numFmtId="0">
      <sharedItems containsSemiMixedTypes="0" containsString="0" containsNumber="1" containsInteger="1" minValue="0" maxValue="14"/>
    </cacheField>
    <cacheField name="Goods" numFmtId="0">
      <sharedItems containsSemiMixedTypes="0" containsString="0" containsNumber="1" containsInteger="1" minValue="5" maxValue="539"/>
    </cacheField>
    <cacheField name="WOE" numFmtId="0">
      <sharedItems containsString="0" containsBlank="1" containsNumber="1" minValue="-1.8902543650000001" maxValue="0.15096596379999999"/>
    </cacheField>
    <cacheField name="IVi" numFmtId="0">
      <sharedItems containsString="0" containsBlank="1" containsNumber="1" minValue="1.812703188" maxValue="15.000898764"/>
    </cacheField>
    <cacheField name="class" numFmtId="0">
      <sharedItems containsSemiMixedTypes="0" containsString="0" containsNumber="1" containsInteger="1" minValue="2" maxValue="4" count="3">
        <n v="2"/>
        <n v="4"/>
        <n v="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648"/>
    <n v="19"/>
    <n v="629"/>
    <n v="9"/>
    <n v="1.3888888888888888E-2"/>
    <n v="2500"/>
    <n v="2500"/>
    <n v="0"/>
    <n v="1.43"/>
    <n v="0"/>
    <n v="9"/>
    <m/>
    <m/>
    <x v="0"/>
  </r>
  <r>
    <n v="2"/>
    <n v="648"/>
    <n v="19"/>
    <n v="629"/>
    <n v="4"/>
    <n v="6.1728395061728392E-3"/>
    <n v="6250"/>
    <n v="6250"/>
    <n v="0"/>
    <n v="0.64"/>
    <n v="0"/>
    <n v="4"/>
    <m/>
    <m/>
    <x v="0"/>
  </r>
  <r>
    <n v="3"/>
    <n v="648"/>
    <n v="19"/>
    <n v="629"/>
    <n v="6"/>
    <n v="9.2592592592592587E-3"/>
    <n v="8750"/>
    <n v="8750"/>
    <n v="0"/>
    <n v="0.95"/>
    <n v="0"/>
    <n v="6"/>
    <m/>
    <m/>
    <x v="0"/>
  </r>
  <r>
    <n v="4"/>
    <n v="648"/>
    <n v="19"/>
    <n v="629"/>
    <n v="43"/>
    <n v="6.6358024691358028E-2"/>
    <n v="14000"/>
    <n v="14000"/>
    <n v="21.05"/>
    <n v="6.2"/>
    <n v="4"/>
    <n v="39"/>
    <n v="-1.222424993"/>
    <n v="18.155839358000001"/>
    <x v="0"/>
  </r>
  <r>
    <n v="5"/>
    <n v="648"/>
    <n v="19"/>
    <n v="629"/>
    <n v="153"/>
    <n v="0.2361111111111111"/>
    <n v="22500"/>
    <n v="22500"/>
    <n v="42.11"/>
    <n v="23.05"/>
    <n v="8"/>
    <n v="145"/>
    <n v="-0.60240007699999998"/>
    <n v="11.477407538"/>
    <x v="0"/>
  </r>
  <r>
    <n v="6"/>
    <n v="648"/>
    <n v="19"/>
    <n v="629"/>
    <n v="103"/>
    <n v="0.15895061728395063"/>
    <n v="27500"/>
    <n v="27500"/>
    <n v="15.79"/>
    <n v="15.9"/>
    <n v="3"/>
    <n v="100"/>
    <n v="6.8656198000000002E-3"/>
    <n v="7.4682500000000001E-4"/>
    <x v="1"/>
  </r>
  <r>
    <n v="7"/>
    <n v="648"/>
    <n v="19"/>
    <n v="629"/>
    <n v="123"/>
    <n v="0.18981481481481483"/>
    <n v="35000"/>
    <n v="35000"/>
    <n v="21.05"/>
    <n v="18.920000000000002"/>
    <n v="4"/>
    <n v="119"/>
    <n v="-0.10686314600000001"/>
    <n v="0.22801524649999999"/>
    <x v="2"/>
  </r>
  <r>
    <n v="8"/>
    <n v="648"/>
    <n v="19"/>
    <n v="629"/>
    <n v="78"/>
    <n v="0.12037037037037036"/>
    <n v="45000"/>
    <n v="45000"/>
    <n v="0"/>
    <n v="12.4"/>
    <n v="0"/>
    <n v="78"/>
    <m/>
    <m/>
    <x v="2"/>
  </r>
  <r>
    <n v="9"/>
    <n v="648"/>
    <n v="19"/>
    <n v="629"/>
    <n v="77"/>
    <n v="0.11882716049382716"/>
    <n v="60000"/>
    <n v="60000"/>
    <n v="0"/>
    <n v="12.24"/>
    <n v="0"/>
    <n v="77"/>
    <m/>
    <m/>
    <x v="2"/>
  </r>
  <r>
    <n v="10"/>
    <n v="648"/>
    <n v="19"/>
    <n v="629"/>
    <n v="52"/>
    <n v="8.0246913580246909E-2"/>
    <n v="85000"/>
    <n v="85000"/>
    <n v="0"/>
    <n v="8.27"/>
    <n v="0"/>
    <n v="52"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1-250"/>
    <n v="648"/>
    <n v="19"/>
    <n v="629"/>
    <n v="76"/>
    <n v="11.728395062000001"/>
    <n v="10.53"/>
    <n v="11.76"/>
    <n v="2"/>
    <n v="74"/>
    <n v="0.1112256351"/>
    <n v="0.1377407246"/>
    <x v="0"/>
  </r>
  <r>
    <s v="251-500"/>
    <n v="648"/>
    <n v="19"/>
    <n v="629"/>
    <n v="47"/>
    <n v="7.2530864197999998"/>
    <n v="0"/>
    <n v="7.47"/>
    <n v="0"/>
    <n v="47"/>
    <m/>
    <m/>
    <x v="0"/>
  </r>
  <r>
    <s v="501-750"/>
    <n v="648"/>
    <n v="19"/>
    <n v="629"/>
    <n v="57"/>
    <n v="8.7962962962999995"/>
    <n v="10.53"/>
    <n v="8.74"/>
    <n v="2"/>
    <n v="55"/>
    <n v="-0.185506273"/>
    <n v="0.330623681"/>
    <x v="1"/>
  </r>
  <r>
    <s v="751-1000"/>
    <n v="648"/>
    <n v="19"/>
    <n v="629"/>
    <n v="70"/>
    <n v="10.802469135999999"/>
    <n v="5.26"/>
    <n v="10.97"/>
    <n v="1"/>
    <n v="69"/>
    <n v="0.73441422710000004"/>
    <n v="4.1910342470000002"/>
    <x v="1"/>
  </r>
  <r>
    <s v="&gt;1000"/>
    <n v="648"/>
    <n v="19"/>
    <n v="629"/>
    <n v="398"/>
    <n v="61.419753086"/>
    <n v="73.680000000000007"/>
    <n v="61.05"/>
    <n v="14"/>
    <n v="384"/>
    <n v="-0.188107055"/>
    <n v="2.3767187046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0"/>
    <n v="648"/>
    <n v="19"/>
    <n v="629"/>
    <n v="1"/>
    <n v="0.1543209877"/>
    <n v="0"/>
    <n v="0.16"/>
    <n v="0"/>
    <n v="1"/>
    <m/>
    <m/>
    <x v="0"/>
  </r>
  <r>
    <s v="1-500"/>
    <n v="648"/>
    <n v="19"/>
    <n v="629"/>
    <n v="204"/>
    <n v="31.481481480999999"/>
    <n v="47.37"/>
    <n v="31"/>
    <n v="9"/>
    <n v="195"/>
    <n v="-0.423917296"/>
    <n v="6.9381828430999999"/>
    <x v="0"/>
  </r>
  <r>
    <s v="501-1000"/>
    <n v="648"/>
    <n v="19"/>
    <n v="629"/>
    <n v="193"/>
    <n v="29.783950616999999"/>
    <n v="42.11"/>
    <n v="29.41"/>
    <n v="8"/>
    <n v="185"/>
    <n v="-0.35877799399999999"/>
    <n v="4.5541479131999996"/>
    <x v="0"/>
  </r>
  <r>
    <s v="1001-1500"/>
    <n v="648"/>
    <n v="19"/>
    <n v="629"/>
    <n v="95"/>
    <n v="14.660493827"/>
    <n v="0"/>
    <n v="15.1"/>
    <n v="0"/>
    <n v="95"/>
    <m/>
    <m/>
    <x v="1"/>
  </r>
  <r>
    <s v="1501-2000"/>
    <n v="648"/>
    <n v="19"/>
    <n v="629"/>
    <n v="68"/>
    <n v="10.49382716"/>
    <n v="0"/>
    <n v="10.81"/>
    <n v="0"/>
    <n v="68"/>
    <m/>
    <m/>
    <x v="1"/>
  </r>
  <r>
    <s v="2001-2500"/>
    <n v="648"/>
    <n v="19"/>
    <n v="629"/>
    <n v="21"/>
    <n v="3.2407407407000002"/>
    <n v="0"/>
    <n v="3.34"/>
    <n v="0"/>
    <n v="21"/>
    <m/>
    <m/>
    <x v="1"/>
  </r>
  <r>
    <s v="&gt;2501"/>
    <n v="648"/>
    <n v="19"/>
    <n v="629"/>
    <n v="66"/>
    <n v="10.185185185"/>
    <n v="10.53"/>
    <n v="10.17"/>
    <n v="2"/>
    <n v="64"/>
    <n v="-3.3956374999999997E-2"/>
    <n v="1.1933459400000001E-2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&gt;100"/>
    <n v="648"/>
    <n v="19"/>
    <n v="629"/>
    <n v="6"/>
    <n v="0.9259259259"/>
    <n v="31.58"/>
    <n v="0"/>
    <n v="6"/>
    <n v="0"/>
    <m/>
    <m/>
    <x v="0"/>
  </r>
  <r>
    <s v="26-50"/>
    <n v="648"/>
    <n v="19"/>
    <n v="629"/>
    <n v="3"/>
    <n v="0.46296296300000001"/>
    <n v="10.53"/>
    <n v="0.16"/>
    <n v="2"/>
    <n v="1"/>
    <n v="-4.1928394579999999"/>
    <n v="43.468564041"/>
    <x v="0"/>
  </r>
  <r>
    <s v="1 to 25"/>
    <n v="648"/>
    <n v="19"/>
    <n v="629"/>
    <n v="2"/>
    <n v="0.30864197529999998"/>
    <n v="5.26"/>
    <n v="0.16"/>
    <n v="1"/>
    <n v="1"/>
    <n v="-3.4996922779999999"/>
    <n v="17.863043170000001"/>
    <x v="1"/>
  </r>
  <r>
    <n v="0"/>
    <n v="648"/>
    <n v="19"/>
    <n v="629"/>
    <n v="637"/>
    <n v="98.302469135999999"/>
    <n v="52.63"/>
    <n v="99.68"/>
    <n v="10"/>
    <n v="627"/>
    <n v="0.63866917010000002"/>
    <n v="30.049675704999999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1 to 25"/>
    <n v="648"/>
    <n v="19"/>
    <n v="629"/>
    <n v="128"/>
    <n v="19.753086419999999"/>
    <n v="10.53"/>
    <n v="20.03"/>
    <n v="2"/>
    <n v="126"/>
    <n v="0.64344244890000002"/>
    <n v="6.1162297875"/>
    <x v="0"/>
  </r>
  <r>
    <s v="26-50"/>
    <n v="648"/>
    <n v="19"/>
    <n v="629"/>
    <n v="250"/>
    <n v="38.580246914"/>
    <n v="57.89"/>
    <n v="38"/>
    <n v="11"/>
    <n v="239"/>
    <n v="-0.421123998"/>
    <n v="8.3794901531000008"/>
    <x v="0"/>
  </r>
  <r>
    <s v="51-75"/>
    <n v="648"/>
    <n v="19"/>
    <n v="629"/>
    <n v="121"/>
    <n v="18.672839505999999"/>
    <n v="10.53"/>
    <n v="18.920000000000002"/>
    <n v="2"/>
    <n v="119"/>
    <n v="0.58628403500000004"/>
    <n v="4.9204492269999998"/>
    <x v="1"/>
  </r>
  <r>
    <s v="76-100"/>
    <n v="648"/>
    <n v="19"/>
    <n v="629"/>
    <n v="67"/>
    <n v="10.339506173"/>
    <n v="15.79"/>
    <n v="10.17"/>
    <n v="3"/>
    <n v="64"/>
    <n v="-0.439421483"/>
    <n v="2.4671727469000002"/>
    <x v="1"/>
  </r>
  <r>
    <s v="&gt;100"/>
    <n v="648"/>
    <n v="19"/>
    <n v="629"/>
    <n v="82"/>
    <n v="12.654320988"/>
    <n v="5.26"/>
    <n v="12.88"/>
    <n v="1"/>
    <n v="81"/>
    <n v="0.89475687709999996"/>
    <n v="6.8130596452000001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500"/>
    <n v="648"/>
    <n v="19"/>
    <n v="629"/>
    <n v="9"/>
    <n v="1.3888888889"/>
    <n v="0"/>
    <n v="1.43"/>
    <n v="0"/>
    <n v="9"/>
    <m/>
    <m/>
    <x v="0"/>
  </r>
  <r>
    <n v="6250"/>
    <n v="648"/>
    <n v="19"/>
    <n v="629"/>
    <n v="4"/>
    <n v="0.61728395059999996"/>
    <n v="0"/>
    <n v="0.64"/>
    <n v="0"/>
    <n v="4"/>
    <m/>
    <m/>
    <x v="0"/>
  </r>
  <r>
    <n v="8750"/>
    <n v="648"/>
    <n v="19"/>
    <n v="629"/>
    <n v="6"/>
    <n v="0.9259259259"/>
    <n v="0"/>
    <n v="0.95"/>
    <n v="0"/>
    <n v="6"/>
    <m/>
    <m/>
    <x v="0"/>
  </r>
  <r>
    <n v="14000"/>
    <n v="648"/>
    <n v="19"/>
    <n v="629"/>
    <n v="43"/>
    <n v="6.6358024690999997"/>
    <n v="21.05"/>
    <n v="6.2"/>
    <n v="4"/>
    <n v="39"/>
    <n v="-1.222424993"/>
    <n v="18.155839358000001"/>
    <x v="0"/>
  </r>
  <r>
    <n v="22500"/>
    <n v="648"/>
    <n v="19"/>
    <n v="629"/>
    <n v="153"/>
    <n v="23.611111111"/>
    <n v="42.11"/>
    <n v="23.05"/>
    <n v="8"/>
    <n v="145"/>
    <n v="-0.60240007699999998"/>
    <n v="11.477407538"/>
    <x v="1"/>
  </r>
  <r>
    <n v="27500"/>
    <n v="648"/>
    <n v="19"/>
    <n v="629"/>
    <n v="103"/>
    <n v="15.895061728"/>
    <n v="15.79"/>
    <n v="15.9"/>
    <n v="3"/>
    <n v="100"/>
    <n v="6.8656198000000002E-3"/>
    <n v="7.4682500000000001E-4"/>
    <x v="2"/>
  </r>
  <r>
    <n v="35000"/>
    <n v="648"/>
    <n v="19"/>
    <n v="629"/>
    <n v="123"/>
    <n v="18.981481480999999"/>
    <n v="21.05"/>
    <n v="18.920000000000002"/>
    <n v="4"/>
    <n v="119"/>
    <n v="-0.10686314600000001"/>
    <n v="0.22801524649999999"/>
    <x v="3"/>
  </r>
  <r>
    <n v="45000"/>
    <n v="648"/>
    <n v="19"/>
    <n v="629"/>
    <n v="78"/>
    <n v="12.037037036999999"/>
    <n v="0"/>
    <n v="12.4"/>
    <n v="0"/>
    <n v="78"/>
    <m/>
    <m/>
    <x v="3"/>
  </r>
  <r>
    <n v="60000"/>
    <n v="648"/>
    <n v="19"/>
    <n v="629"/>
    <n v="77"/>
    <n v="11.882716049000001"/>
    <n v="0"/>
    <n v="12.24"/>
    <n v="0"/>
    <n v="77"/>
    <m/>
    <m/>
    <x v="3"/>
  </r>
  <r>
    <n v="85000"/>
    <n v="648"/>
    <n v="19"/>
    <n v="629"/>
    <n v="52"/>
    <n v="8.0246913580000001"/>
    <n v="0"/>
    <n v="8.27"/>
    <n v="0"/>
    <n v="52"/>
    <m/>
    <m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8 to 20"/>
    <n v="648"/>
    <n v="19"/>
    <n v="629"/>
    <n v="11"/>
    <n v="1.6975308642"/>
    <n v="10.53"/>
    <n v="1.43"/>
    <n v="2"/>
    <n v="9"/>
    <n v="-1.9956148810000001"/>
    <n v="18.151061630000001"/>
    <x v="0"/>
  </r>
  <r>
    <s v="21 to 23"/>
    <n v="648"/>
    <n v="19"/>
    <n v="629"/>
    <n v="29"/>
    <n v="4.4753086419999999"/>
    <n v="15.79"/>
    <n v="4.13"/>
    <n v="3"/>
    <n v="26"/>
    <n v="-1.3402080279999999"/>
    <n v="15.621368782999999"/>
    <x v="0"/>
  </r>
  <r>
    <s v="24 to 30"/>
    <n v="648"/>
    <n v="19"/>
    <n v="629"/>
    <n v="123"/>
    <n v="18.981481480999999"/>
    <n v="15.79"/>
    <n v="19.079999999999998"/>
    <n v="3"/>
    <n v="120"/>
    <n v="0.18918717660000001"/>
    <n v="0.6221283608"/>
    <x v="0"/>
  </r>
  <r>
    <s v="31 to 35"/>
    <n v="648"/>
    <n v="19"/>
    <n v="629"/>
    <n v="99"/>
    <n v="15.277777778000001"/>
    <n v="10.53"/>
    <n v="15.42"/>
    <n v="2"/>
    <n v="97"/>
    <n v="0.3818715204"/>
    <n v="1.8692564592000001"/>
    <x v="1"/>
  </r>
  <r>
    <s v="36 to 40"/>
    <n v="648"/>
    <n v="19"/>
    <n v="629"/>
    <n v="87"/>
    <n v="13.425925926"/>
    <n v="10.53"/>
    <n v="13.51"/>
    <n v="2"/>
    <n v="85"/>
    <n v="0.24981179840000001"/>
    <n v="0.74623723559999999"/>
    <x v="1"/>
  </r>
  <r>
    <s v="41 to 50"/>
    <n v="648"/>
    <n v="19"/>
    <n v="629"/>
    <n v="144"/>
    <n v="22.222222221999999"/>
    <n v="26.32"/>
    <n v="22.1"/>
    <n v="5"/>
    <n v="139"/>
    <n v="-0.17465625700000001"/>
    <n v="0.73656391470000004"/>
    <x v="1"/>
  </r>
  <r>
    <s v="51 to 60"/>
    <n v="648"/>
    <n v="19"/>
    <n v="629"/>
    <n v="110"/>
    <n v="16.975308642000002"/>
    <n v="10.53"/>
    <n v="17.170000000000002"/>
    <n v="2"/>
    <n v="108"/>
    <n v="0.48929176899999999"/>
    <n v="3.2507544523999998"/>
    <x v="2"/>
  </r>
  <r>
    <s v="61 to 70"/>
    <n v="648"/>
    <n v="19"/>
    <n v="629"/>
    <n v="34"/>
    <n v="5.2469135802000002"/>
    <n v="0"/>
    <n v="5.41"/>
    <n v="0"/>
    <n v="34"/>
    <m/>
    <m/>
    <x v="2"/>
  </r>
  <r>
    <s v="71 to 80"/>
    <n v="648"/>
    <n v="19"/>
    <n v="629"/>
    <n v="10"/>
    <n v="1.5432098765"/>
    <n v="0"/>
    <n v="1.59"/>
    <n v="0"/>
    <n v="10"/>
    <m/>
    <m/>
    <x v="2"/>
  </r>
  <r>
    <s v="Over 100"/>
    <n v="648"/>
    <n v="19"/>
    <n v="629"/>
    <n v="1"/>
    <n v="0.1543209877"/>
    <n v="0"/>
    <n v="0.16"/>
    <n v="0"/>
    <n v="1"/>
    <m/>
    <m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5"/>
    <n v="648"/>
    <n v="19"/>
    <n v="629"/>
    <n v="9"/>
    <n v="1.3888888888888888E-2"/>
    <n v="8"/>
    <n v="10"/>
    <n v="10.53"/>
    <n v="1.1100000000000001"/>
    <n v="2"/>
    <n v="7"/>
    <n v="-2.246929309"/>
    <n v="21.151330204000001"/>
    <x v="0"/>
  </r>
  <r>
    <n v="11"/>
    <n v="648"/>
    <n v="19"/>
    <n v="629"/>
    <n v="10"/>
    <n v="1.5432098765432098E-2"/>
    <n v="12"/>
    <n v="12"/>
    <n v="5.26"/>
    <n v="1.43"/>
    <n v="1"/>
    <n v="9"/>
    <n v="-1.3024677"/>
    <n v="4.9914668787999998"/>
    <x v="0"/>
  </r>
  <r>
    <n v="8"/>
    <n v="648"/>
    <n v="19"/>
    <n v="629"/>
    <n v="14"/>
    <n v="2.1604938271604937E-2"/>
    <n v="18"/>
    <n v="20"/>
    <n v="0"/>
    <n v="2.23"/>
    <n v="0"/>
    <n v="14"/>
    <m/>
    <m/>
    <x v="0"/>
  </r>
  <r>
    <n v="1"/>
    <n v="648"/>
    <n v="19"/>
    <n v="629"/>
    <n v="90"/>
    <n v="0.1388888888888889"/>
    <n v="24"/>
    <n v="25"/>
    <n v="10.53"/>
    <n v="13.99"/>
    <n v="2"/>
    <n v="88"/>
    <n v="0.28449735640000001"/>
    <n v="0.98554016850000004"/>
    <x v="0"/>
  </r>
  <r>
    <n v="9"/>
    <n v="648"/>
    <n v="19"/>
    <n v="629"/>
    <n v="10"/>
    <n v="1.5432098765432098E-2"/>
    <n v="28"/>
    <n v="31"/>
    <n v="0"/>
    <n v="1.59"/>
    <n v="0"/>
    <n v="10"/>
    <m/>
    <m/>
    <x v="0"/>
  </r>
  <r>
    <n v="10"/>
    <n v="648"/>
    <n v="19"/>
    <n v="629"/>
    <n v="4"/>
    <n v="6.1728395061728392E-3"/>
    <n v="32"/>
    <n v="34"/>
    <n v="0"/>
    <n v="0.64"/>
    <n v="0"/>
    <n v="4"/>
    <m/>
    <m/>
    <x v="1"/>
  </r>
  <r>
    <n v="3"/>
    <n v="648"/>
    <n v="19"/>
    <n v="629"/>
    <n v="143"/>
    <n v="0.22067901234567902"/>
    <n v="35"/>
    <n v="38"/>
    <n v="21.05"/>
    <n v="22.1"/>
    <n v="4"/>
    <n v="139"/>
    <n v="4.84872945E-2"/>
    <n v="5.0714683400000002E-2"/>
    <x v="1"/>
  </r>
  <r>
    <n v="7"/>
    <n v="648"/>
    <n v="19"/>
    <n v="629"/>
    <n v="13"/>
    <n v="2.0061728395061727E-2"/>
    <n v="40"/>
    <n v="44"/>
    <n v="0"/>
    <n v="2.0699999999999998"/>
    <n v="0"/>
    <n v="13"/>
    <m/>
    <m/>
    <x v="1"/>
  </r>
  <r>
    <n v="4"/>
    <n v="648"/>
    <n v="19"/>
    <n v="629"/>
    <n v="329"/>
    <n v="0.50771604938271608"/>
    <n v="45"/>
    <n v="48"/>
    <n v="52.63"/>
    <n v="50.72"/>
    <n v="10"/>
    <n v="319"/>
    <n v="-3.7086267999999999E-2"/>
    <n v="7.1063135400000005E-2"/>
    <x v="1"/>
  </r>
  <r>
    <n v="6"/>
    <n v="648"/>
    <n v="19"/>
    <n v="629"/>
    <n v="24"/>
    <n v="3.7037037037037035E-2"/>
    <n v="60"/>
    <n v="60"/>
    <n v="0"/>
    <n v="3.82"/>
    <n v="0"/>
    <n v="24"/>
    <m/>
    <m/>
    <x v="1"/>
  </r>
  <r>
    <n v="12"/>
    <n v="648"/>
    <n v="19"/>
    <n v="629"/>
    <n v="1"/>
    <n v="1.5432098765432098E-3"/>
    <n v="72"/>
    <n v="72"/>
    <n v="0"/>
    <n v="0.16"/>
    <n v="0"/>
    <n v="1"/>
    <m/>
    <m/>
    <x v="1"/>
  </r>
  <r>
    <n v="2"/>
    <n v="648"/>
    <n v="19"/>
    <n v="629"/>
    <n v="1"/>
    <n v="1.5432098765432098E-3"/>
    <n v="9999"/>
    <n v="9999"/>
    <n v="0"/>
    <n v="0.16"/>
    <n v="0"/>
    <n v="1"/>
    <m/>
    <m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Full Time"/>
    <n v="648"/>
    <n v="19"/>
    <n v="629"/>
    <n v="553"/>
    <n v="85.339506173000004"/>
    <n v="73.680000000000007"/>
    <n v="85.69"/>
    <n v="14"/>
    <n v="539"/>
    <n v="0.15096596379999999"/>
    <n v="1.812703188"/>
    <x v="0"/>
  </r>
  <r>
    <s v="Homemaker"/>
    <n v="648"/>
    <n v="19"/>
    <n v="629"/>
    <n v="15"/>
    <n v="2.3148148148000001"/>
    <n v="0"/>
    <n v="2.38"/>
    <n v="0"/>
    <n v="15"/>
    <m/>
    <m/>
    <x v="0"/>
  </r>
  <r>
    <s v="Other"/>
    <n v="648"/>
    <n v="19"/>
    <n v="629"/>
    <n v="6"/>
    <n v="0.9259259259"/>
    <n v="5.26"/>
    <n v="0.79"/>
    <n v="1"/>
    <n v="5"/>
    <n v="-1.8902543650000001"/>
    <n v="8.4461202489999998"/>
    <x v="0"/>
  </r>
  <r>
    <s v="Retired"/>
    <n v="648"/>
    <n v="19"/>
    <n v="629"/>
    <n v="25"/>
    <n v="3.8580246913999998"/>
    <n v="0"/>
    <n v="3.97"/>
    <n v="0"/>
    <n v="25"/>
    <m/>
    <m/>
    <x v="1"/>
  </r>
  <r>
    <s v="Self Employed"/>
    <n v="648"/>
    <n v="19"/>
    <n v="629"/>
    <n v="49"/>
    <n v="7.5617283951000003"/>
    <n v="21.05"/>
    <n v="7.15"/>
    <n v="4"/>
    <n v="45"/>
    <n v="-1.0793241490000001"/>
    <n v="15.00089876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5E214-91B2-4E39-A99D-020B0A8768AE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4">
        <item x="0"/>
        <item m="1" x="2"/>
        <item x="1"/>
        <item t="default"/>
      </items>
    </pivotField>
  </pivotFields>
  <rowFields count="1">
    <field x="12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ods" fld="9" baseField="0" baseItem="0"/>
    <dataField name="Sum of Defaul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6CF48-704E-4CF9-9B6C-7FE6A842FDE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5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ods" fld="9" baseField="0" baseItem="0"/>
    <dataField name="Sum of Defaul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605D5-8AD9-4151-B067-46281C93D18D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5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ods" fld="9" baseField="0" baseItem="0"/>
    <dataField name="Sum of Defaul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4B418-C5A2-4AD5-9027-E971B6D36318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5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ods" fld="9" baseField="0" baseItem="0"/>
    <dataField name="Sum of Defaul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52764-FB0D-4CFC-8488-8F1CABEEA40B}" name="PivotTable2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6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ods" fld="9" baseField="0" baseItem="0"/>
    <dataField name="Sum of Defaul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274FE-9D4E-4EA1-A778-D6C1658EA44D}" name="PivotTable1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 sortType="ascending">
      <items count="4">
        <item x="0"/>
        <item m="1" x="2"/>
        <item x="1"/>
        <item t="default"/>
      </items>
    </pivotField>
  </pivotFields>
  <rowFields count="1">
    <field x="12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ods" fld="9" baseField="0" baseItem="0"/>
    <dataField name="Sum of Defaul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C3D87-2F87-4785-8FF5-598D752A71CF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5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ods" fld="9" baseField="0" baseItem="0"/>
    <dataField name="Sum of Defaul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AF627-7F67-44DA-95D7-6253D139B62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S5" firstHeaderRow="0" firstDataRow="1" firstDataCol="1"/>
  <pivotFields count="15"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ods" fld="11" baseField="0" baseItem="0"/>
    <dataField name="Sum of Ba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0CBFB-8660-4FAF-BEE9-49C83BBF96E4}" name="PivotTable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S4" firstHeaderRow="0" firstDataRow="1" firstDataCol="1"/>
  <pivotFields count="15"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ods" fld="11" baseField="0" baseItem="0"/>
    <dataField name="Sum of Ba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opLeftCell="K1" workbookViewId="0">
      <selection activeCell="V6" sqref="V6"/>
    </sheetView>
  </sheetViews>
  <sheetFormatPr defaultRowHeight="15" x14ac:dyDescent="0.25"/>
  <cols>
    <col min="15" max="15" width="13.140625" bestFit="1" customWidth="1"/>
    <col min="16" max="16" width="13.42578125" bestFit="1" customWidth="1"/>
    <col min="17" max="17" width="15.140625" bestFit="1" customWidth="1"/>
    <col min="22" max="22" width="69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50</v>
      </c>
      <c r="O1" s="3" t="s">
        <v>43</v>
      </c>
      <c r="P1" t="s">
        <v>45</v>
      </c>
      <c r="Q1" t="s">
        <v>46</v>
      </c>
      <c r="R1" t="s">
        <v>47</v>
      </c>
      <c r="S1" t="s">
        <v>48</v>
      </c>
      <c r="T1" t="s">
        <v>10</v>
      </c>
      <c r="U1" t="s">
        <v>49</v>
      </c>
    </row>
    <row r="2" spans="1:22" x14ac:dyDescent="0.25">
      <c r="A2">
        <v>0</v>
      </c>
      <c r="B2">
        <v>648</v>
      </c>
      <c r="C2">
        <v>19</v>
      </c>
      <c r="D2">
        <v>629</v>
      </c>
      <c r="E2">
        <v>1</v>
      </c>
      <c r="F2">
        <v>0.1543209877</v>
      </c>
      <c r="G2">
        <v>0</v>
      </c>
      <c r="H2">
        <v>0.16</v>
      </c>
      <c r="I2">
        <v>0</v>
      </c>
      <c r="J2">
        <v>1</v>
      </c>
      <c r="M2">
        <v>1</v>
      </c>
      <c r="O2" s="4">
        <v>1</v>
      </c>
      <c r="P2">
        <v>381</v>
      </c>
      <c r="Q2">
        <v>17</v>
      </c>
      <c r="R2">
        <f>P2/445</f>
        <v>0.85617977528089884</v>
      </c>
      <c r="S2">
        <f>Q2/19</f>
        <v>0.89473684210526316</v>
      </c>
      <c r="T2">
        <f>LOG10(R2/S2)</f>
        <v>-1.9130355730757262E-2</v>
      </c>
      <c r="U2">
        <f>(R2-S2)*T2</f>
        <v>7.3761040428466887E-4</v>
      </c>
      <c r="V2" s="7"/>
    </row>
    <row r="3" spans="1:22" x14ac:dyDescent="0.25">
      <c r="A3" t="s">
        <v>12</v>
      </c>
      <c r="B3">
        <v>648</v>
      </c>
      <c r="C3">
        <v>19</v>
      </c>
      <c r="D3">
        <v>629</v>
      </c>
      <c r="E3">
        <v>204</v>
      </c>
      <c r="F3">
        <v>31.481481480999999</v>
      </c>
      <c r="G3">
        <v>47.37</v>
      </c>
      <c r="H3">
        <v>31</v>
      </c>
      <c r="I3">
        <v>9</v>
      </c>
      <c r="J3">
        <v>195</v>
      </c>
      <c r="K3">
        <v>-0.423917296</v>
      </c>
      <c r="L3">
        <v>6.9381828430999999</v>
      </c>
      <c r="M3">
        <v>1</v>
      </c>
      <c r="O3" s="4">
        <v>3</v>
      </c>
      <c r="P3">
        <v>248</v>
      </c>
      <c r="Q3">
        <v>2</v>
      </c>
      <c r="R3">
        <f t="shared" ref="R3" si="0">P3/445</f>
        <v>0.55730337078651682</v>
      </c>
      <c r="S3">
        <f t="shared" ref="S3" si="1">Q3/19</f>
        <v>0.10526315789473684</v>
      </c>
      <c r="T3">
        <f t="shared" ref="T3" si="2">LOG10(R3/S3)</f>
        <v>0.72381527513413246</v>
      </c>
      <c r="U3">
        <f t="shared" ref="U3" si="3">(R3-S3)*T3</f>
        <v>0.32719361106595551</v>
      </c>
      <c r="V3" s="7"/>
    </row>
    <row r="4" spans="1:22" x14ac:dyDescent="0.25">
      <c r="A4" t="s">
        <v>13</v>
      </c>
      <c r="B4">
        <v>648</v>
      </c>
      <c r="C4">
        <v>19</v>
      </c>
      <c r="D4">
        <v>629</v>
      </c>
      <c r="E4">
        <v>193</v>
      </c>
      <c r="F4">
        <v>29.783950616999999</v>
      </c>
      <c r="G4">
        <v>42.11</v>
      </c>
      <c r="H4">
        <v>29.41</v>
      </c>
      <c r="I4">
        <v>8</v>
      </c>
      <c r="J4">
        <v>185</v>
      </c>
      <c r="K4">
        <v>-0.35877799399999999</v>
      </c>
      <c r="L4">
        <v>4.5541479131999996</v>
      </c>
      <c r="M4">
        <v>1</v>
      </c>
      <c r="O4" s="4" t="s">
        <v>44</v>
      </c>
      <c r="P4">
        <v>629</v>
      </c>
      <c r="Q4">
        <v>19</v>
      </c>
      <c r="V4" s="7"/>
    </row>
    <row r="5" spans="1:22" x14ac:dyDescent="0.25">
      <c r="A5" t="s">
        <v>55</v>
      </c>
      <c r="B5">
        <v>648</v>
      </c>
      <c r="C5">
        <v>19</v>
      </c>
      <c r="D5">
        <v>629</v>
      </c>
      <c r="E5">
        <v>95</v>
      </c>
      <c r="F5">
        <v>14.660493827</v>
      </c>
      <c r="G5">
        <v>0</v>
      </c>
      <c r="H5">
        <v>15.1</v>
      </c>
      <c r="I5">
        <v>0</v>
      </c>
      <c r="J5">
        <v>95</v>
      </c>
      <c r="M5">
        <v>3</v>
      </c>
    </row>
    <row r="6" spans="1:22" x14ac:dyDescent="0.25">
      <c r="A6" t="s">
        <v>56</v>
      </c>
      <c r="B6">
        <v>648</v>
      </c>
      <c r="C6">
        <v>19</v>
      </c>
      <c r="D6">
        <v>629</v>
      </c>
      <c r="E6">
        <v>68</v>
      </c>
      <c r="F6">
        <v>10.49382716</v>
      </c>
      <c r="G6">
        <v>0</v>
      </c>
      <c r="H6">
        <v>10.81</v>
      </c>
      <c r="I6">
        <v>0</v>
      </c>
      <c r="J6">
        <v>68</v>
      </c>
      <c r="M6">
        <v>3</v>
      </c>
      <c r="U6">
        <f>SUM(U2:U5)</f>
        <v>0.32793122147024018</v>
      </c>
      <c r="V6" t="s">
        <v>63</v>
      </c>
    </row>
    <row r="7" spans="1:22" x14ac:dyDescent="0.25">
      <c r="A7" t="s">
        <v>57</v>
      </c>
      <c r="B7">
        <v>648</v>
      </c>
      <c r="C7">
        <v>19</v>
      </c>
      <c r="D7">
        <v>629</v>
      </c>
      <c r="E7">
        <v>21</v>
      </c>
      <c r="F7">
        <v>3.2407407407000002</v>
      </c>
      <c r="G7">
        <v>0</v>
      </c>
      <c r="H7">
        <v>3.34</v>
      </c>
      <c r="I7">
        <v>0</v>
      </c>
      <c r="J7">
        <v>21</v>
      </c>
      <c r="M7">
        <v>3</v>
      </c>
    </row>
    <row r="8" spans="1:22" x14ac:dyDescent="0.25">
      <c r="A8" t="s">
        <v>14</v>
      </c>
      <c r="B8">
        <v>648</v>
      </c>
      <c r="C8">
        <v>19</v>
      </c>
      <c r="D8">
        <v>629</v>
      </c>
      <c r="E8">
        <v>66</v>
      </c>
      <c r="F8">
        <v>10.185185185</v>
      </c>
      <c r="G8">
        <v>10.53</v>
      </c>
      <c r="H8">
        <v>10.17</v>
      </c>
      <c r="I8">
        <v>2</v>
      </c>
      <c r="J8">
        <v>64</v>
      </c>
      <c r="K8">
        <v>-3.3956374999999997E-2</v>
      </c>
      <c r="L8">
        <v>1.1933459400000001E-2</v>
      </c>
      <c r="M8">
        <v>3</v>
      </c>
    </row>
    <row r="9" spans="1:22" x14ac:dyDescent="0.25">
      <c r="O9" t="s">
        <v>61</v>
      </c>
    </row>
    <row r="10" spans="1:22" x14ac:dyDescent="0.25">
      <c r="O10" s="7" t="str">
        <f>+CONCATENATE("IF capbal IN ('",A2,"') then WoE_capbal=",$T$2,";Else")</f>
        <v>IF capbal IN ('0') then WoE_capbal=-0.0191303557307573;Else</v>
      </c>
    </row>
    <row r="11" spans="1:22" x14ac:dyDescent="0.25">
      <c r="O11" s="7" t="str">
        <f t="shared" ref="O11:O12" si="4">+CONCATENATE("IF capbal IN ('",A3,"') then WoE_capbal=",$T$2,";Else")</f>
        <v>IF capbal IN ('1-500') then WoE_capbal=-0.0191303557307573;Else</v>
      </c>
    </row>
    <row r="12" spans="1:22" x14ac:dyDescent="0.25">
      <c r="O12" s="7" t="str">
        <f t="shared" si="4"/>
        <v>IF capbal IN ('501-1000') then WoE_capbal=-0.0191303557307573;Else</v>
      </c>
    </row>
    <row r="13" spans="1:22" x14ac:dyDescent="0.25">
      <c r="O13" s="7" t="str">
        <f>+CONCATENATE("IF capbal IN ('",A5,"') then WoE_capbal=",$T$3,";Else")</f>
        <v>IF capbal IN ('1001-1500') then WoE_capbal=0.723815275134132;Else</v>
      </c>
    </row>
    <row r="14" spans="1:22" x14ac:dyDescent="0.25">
      <c r="O14" s="7" t="str">
        <f t="shared" ref="O14:O15" si="5">+CONCATENATE("IF capbal IN ('",A6,"') then WoE_capbal=",$T$3,";Else")</f>
        <v>IF capbal IN ('1501-2000') then WoE_capbal=0.723815275134132;Else</v>
      </c>
    </row>
    <row r="15" spans="1:22" x14ac:dyDescent="0.25">
      <c r="O15" s="7" t="str">
        <f t="shared" si="5"/>
        <v>IF capbal IN ('2001-2500') then WoE_capbal=0.723815275134132;Else</v>
      </c>
    </row>
    <row r="16" spans="1:22" x14ac:dyDescent="0.25">
      <c r="O16" s="7" t="str">
        <f>+CONCATENATE("IF capbal IN ('",A8,"') then WoE_capbal=",$T$3,";")</f>
        <v>IF capbal IN ('&gt;2501') then WoE_capbal=0.723815275134132;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B4B7-EB15-4495-81D2-6C7828E84935}">
  <dimension ref="A1:V15"/>
  <sheetViews>
    <sheetView topLeftCell="G1" workbookViewId="0">
      <selection activeCell="M15" sqref="M15"/>
    </sheetView>
  </sheetViews>
  <sheetFormatPr defaultRowHeight="15" x14ac:dyDescent="0.25"/>
  <cols>
    <col min="15" max="15" width="13.140625" bestFit="1" customWidth="1"/>
    <col min="16" max="16" width="13.42578125" bestFit="1" customWidth="1"/>
    <col min="17" max="17" width="15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O1" s="3" t="s">
        <v>43</v>
      </c>
      <c r="P1" t="s">
        <v>45</v>
      </c>
      <c r="Q1" t="s">
        <v>46</v>
      </c>
      <c r="R1" t="s">
        <v>47</v>
      </c>
      <c r="S1" t="s">
        <v>48</v>
      </c>
      <c r="T1" t="s">
        <v>10</v>
      </c>
      <c r="U1" t="s">
        <v>49</v>
      </c>
    </row>
    <row r="2" spans="1:22" x14ac:dyDescent="0.25">
      <c r="A2" t="s">
        <v>15</v>
      </c>
      <c r="B2">
        <v>648</v>
      </c>
      <c r="C2">
        <v>19</v>
      </c>
      <c r="D2">
        <v>629</v>
      </c>
      <c r="E2">
        <v>76</v>
      </c>
      <c r="F2">
        <v>11.728395062000001</v>
      </c>
      <c r="G2">
        <v>10.53</v>
      </c>
      <c r="H2">
        <v>11.76</v>
      </c>
      <c r="I2">
        <v>2</v>
      </c>
      <c r="J2">
        <v>74</v>
      </c>
      <c r="K2">
        <v>0.1112256351</v>
      </c>
      <c r="L2">
        <v>0.1377407246</v>
      </c>
      <c r="M2">
        <v>2</v>
      </c>
      <c r="O2" s="4">
        <v>2</v>
      </c>
      <c r="P2">
        <v>121</v>
      </c>
      <c r="Q2">
        <v>2</v>
      </c>
      <c r="R2">
        <f>P2/629</f>
        <v>0.19236883942766295</v>
      </c>
      <c r="S2">
        <f>Q2/19</f>
        <v>0.10526315789473684</v>
      </c>
      <c r="T2">
        <f>LOG10(R2/S2)</f>
        <v>0.26185833016002891</v>
      </c>
      <c r="U2">
        <f>(R2-S2)*T2</f>
        <v>2.2809348313663297E-2</v>
      </c>
      <c r="V2" s="7"/>
    </row>
    <row r="3" spans="1:22" x14ac:dyDescent="0.25">
      <c r="A3" t="s">
        <v>16</v>
      </c>
      <c r="B3">
        <v>648</v>
      </c>
      <c r="C3">
        <v>19</v>
      </c>
      <c r="D3">
        <v>629</v>
      </c>
      <c r="E3">
        <v>47</v>
      </c>
      <c r="F3">
        <v>7.2530864197999998</v>
      </c>
      <c r="G3">
        <v>0</v>
      </c>
      <c r="H3">
        <v>7.47</v>
      </c>
      <c r="I3">
        <v>0</v>
      </c>
      <c r="J3">
        <v>47</v>
      </c>
      <c r="M3">
        <v>2</v>
      </c>
      <c r="O3" s="4">
        <v>3</v>
      </c>
      <c r="P3">
        <v>124</v>
      </c>
      <c r="Q3">
        <v>3</v>
      </c>
      <c r="R3">
        <f t="shared" ref="R3:R4" si="0">P3/629</f>
        <v>0.19713831478537361</v>
      </c>
      <c r="S3">
        <f t="shared" ref="S3:S4" si="1">Q3/19</f>
        <v>0.15789473684210525</v>
      </c>
      <c r="T3">
        <f t="shared" ref="T3:T4" si="2">LOG10(R3/S3)</f>
        <v>9.6403385950132661E-2</v>
      </c>
      <c r="U3">
        <f t="shared" ref="U3:U4" si="3">(R3-S3)*T3</f>
        <v>3.7832137905290126E-3</v>
      </c>
      <c r="V3" s="7"/>
    </row>
    <row r="4" spans="1:22" x14ac:dyDescent="0.25">
      <c r="A4" t="s">
        <v>17</v>
      </c>
      <c r="B4">
        <v>648</v>
      </c>
      <c r="C4">
        <v>19</v>
      </c>
      <c r="D4">
        <v>629</v>
      </c>
      <c r="E4">
        <v>57</v>
      </c>
      <c r="F4">
        <v>8.7962962962999995</v>
      </c>
      <c r="G4">
        <v>10.53</v>
      </c>
      <c r="H4">
        <v>8.74</v>
      </c>
      <c r="I4">
        <v>2</v>
      </c>
      <c r="J4">
        <v>55</v>
      </c>
      <c r="K4">
        <v>-0.185506273</v>
      </c>
      <c r="L4">
        <v>0.330623681</v>
      </c>
      <c r="M4">
        <v>3</v>
      </c>
      <c r="O4" s="4">
        <v>4</v>
      </c>
      <c r="P4">
        <v>384</v>
      </c>
      <c r="Q4">
        <v>14</v>
      </c>
      <c r="R4">
        <f t="shared" si="0"/>
        <v>0.61049284578696339</v>
      </c>
      <c r="S4">
        <f t="shared" si="1"/>
        <v>0.73684210526315785</v>
      </c>
      <c r="T4">
        <f t="shared" si="2"/>
        <v>-8.1693855803147183E-2</v>
      </c>
      <c r="U4">
        <f t="shared" si="3"/>
        <v>1.0321958184482659E-2</v>
      </c>
      <c r="V4" s="7"/>
    </row>
    <row r="5" spans="1:22" x14ac:dyDescent="0.25">
      <c r="A5" t="s">
        <v>18</v>
      </c>
      <c r="B5">
        <v>648</v>
      </c>
      <c r="C5">
        <v>19</v>
      </c>
      <c r="D5">
        <v>629</v>
      </c>
      <c r="E5">
        <v>70</v>
      </c>
      <c r="F5">
        <v>10.802469135999999</v>
      </c>
      <c r="G5">
        <v>5.26</v>
      </c>
      <c r="H5">
        <v>10.97</v>
      </c>
      <c r="I5">
        <v>1</v>
      </c>
      <c r="J5">
        <v>69</v>
      </c>
      <c r="K5">
        <v>0.73441422710000004</v>
      </c>
      <c r="L5">
        <v>4.1910342470000002</v>
      </c>
      <c r="M5">
        <v>3</v>
      </c>
      <c r="O5" s="4" t="s">
        <v>44</v>
      </c>
      <c r="P5">
        <v>629</v>
      </c>
      <c r="Q5">
        <v>19</v>
      </c>
      <c r="U5">
        <f>SUM(U2:U4)</f>
        <v>3.6914520288674965E-2</v>
      </c>
      <c r="V5" t="s">
        <v>63</v>
      </c>
    </row>
    <row r="6" spans="1:22" x14ac:dyDescent="0.25">
      <c r="A6" t="s">
        <v>19</v>
      </c>
      <c r="B6">
        <v>648</v>
      </c>
      <c r="C6">
        <v>19</v>
      </c>
      <c r="D6">
        <v>629</v>
      </c>
      <c r="E6">
        <v>398</v>
      </c>
      <c r="F6">
        <v>61.419753086</v>
      </c>
      <c r="G6">
        <v>73.680000000000007</v>
      </c>
      <c r="H6">
        <v>61.05</v>
      </c>
      <c r="I6">
        <v>14</v>
      </c>
      <c r="J6">
        <v>384</v>
      </c>
      <c r="K6">
        <v>-0.188107055</v>
      </c>
      <c r="L6">
        <v>2.3767187046</v>
      </c>
      <c r="M6">
        <v>4</v>
      </c>
    </row>
    <row r="10" spans="1:22" x14ac:dyDescent="0.25">
      <c r="N10" t="s">
        <v>61</v>
      </c>
    </row>
    <row r="11" spans="1:22" x14ac:dyDescent="0.25">
      <c r="N11" s="7" t="str">
        <f>+CONCATENATE("IF loan IN ('",A2,"') then WoE_loan =",$T$2,";Else")</f>
        <v>IF loan IN ('1-250') then WoE_loan =0.261858330160029;Else</v>
      </c>
    </row>
    <row r="12" spans="1:22" x14ac:dyDescent="0.25">
      <c r="N12" s="7" t="str">
        <f>+CONCATENATE("IF loan IN ('",A3,"') then WoE_loan=",$T$2,";Else")</f>
        <v>IF loan IN ('251-500') then WoE_loan=0.261858330160029;Else</v>
      </c>
    </row>
    <row r="13" spans="1:22" x14ac:dyDescent="0.25">
      <c r="N13" s="7" t="str">
        <f>+CONCATENATE("IF loan IN ('",A4,"') then WoE_loan=",$T$3,";Else")</f>
        <v>IF loan IN ('501-750') then WoE_loan=0.0964033859501327;Else</v>
      </c>
    </row>
    <row r="14" spans="1:22" x14ac:dyDescent="0.25">
      <c r="N14" s="7" t="str">
        <f>+CONCATENATE("IF loan IN ('",A5,"') then WoE_loan=",$T$3,";Else")</f>
        <v>IF loan IN ('751-1000') then WoE_loan=0.0964033859501327;Else</v>
      </c>
    </row>
    <row r="15" spans="1:22" x14ac:dyDescent="0.25">
      <c r="N15" s="7" t="str">
        <f>+CONCATENATE("IF loan IN ('",A6,"') then WoE_loan=",$T$4,";")</f>
        <v>IF loan IN ('&gt;1000') then WoE_loan=-0.0816938558031472;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EB4C-FF3D-4A58-8F46-A915915738DA}">
  <sheetPr>
    <tabColor rgb="FFC00000"/>
  </sheetPr>
  <dimension ref="A1:V15"/>
  <sheetViews>
    <sheetView topLeftCell="H1" workbookViewId="0">
      <selection activeCell="V5" sqref="V5"/>
    </sheetView>
  </sheetViews>
  <sheetFormatPr defaultRowHeight="15" x14ac:dyDescent="0.25"/>
  <cols>
    <col min="15" max="15" width="13.140625" bestFit="1" customWidth="1"/>
    <col min="16" max="16" width="13.42578125" bestFit="1" customWidth="1"/>
    <col min="17" max="17" width="15.140625" bestFit="1" customWidth="1"/>
    <col min="20" max="20" width="12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50</v>
      </c>
      <c r="O1" s="3" t="s">
        <v>43</v>
      </c>
      <c r="P1" t="s">
        <v>45</v>
      </c>
      <c r="Q1" t="s">
        <v>46</v>
      </c>
      <c r="R1" t="s">
        <v>47</v>
      </c>
      <c r="S1" t="s">
        <v>48</v>
      </c>
      <c r="T1" t="s">
        <v>10</v>
      </c>
      <c r="U1" t="s">
        <v>49</v>
      </c>
    </row>
    <row r="2" spans="1:22" x14ac:dyDescent="0.25">
      <c r="A2" t="s">
        <v>20</v>
      </c>
      <c r="B2">
        <v>648</v>
      </c>
      <c r="C2">
        <v>19</v>
      </c>
      <c r="D2">
        <v>629</v>
      </c>
      <c r="E2">
        <v>6</v>
      </c>
      <c r="F2">
        <v>0.9259259259</v>
      </c>
      <c r="G2">
        <v>31.58</v>
      </c>
      <c r="H2">
        <v>0</v>
      </c>
      <c r="I2">
        <v>6</v>
      </c>
      <c r="J2">
        <v>0</v>
      </c>
      <c r="M2">
        <v>1</v>
      </c>
      <c r="O2" s="4">
        <v>1</v>
      </c>
      <c r="P2">
        <v>1</v>
      </c>
      <c r="Q2">
        <v>8</v>
      </c>
      <c r="R2">
        <f>P2/629</f>
        <v>1.589825119236884E-3</v>
      </c>
      <c r="S2">
        <f>Q2/19</f>
        <v>0.42105263157894735</v>
      </c>
      <c r="T2">
        <f>LOG10(R2/S2)</f>
        <v>-2.4229870314843835</v>
      </c>
      <c r="U2">
        <f>(R2-S2)*T2</f>
        <v>1.0163529402419222</v>
      </c>
      <c r="V2" s="7"/>
    </row>
    <row r="3" spans="1:22" x14ac:dyDescent="0.25">
      <c r="A3" t="s">
        <v>21</v>
      </c>
      <c r="B3">
        <v>648</v>
      </c>
      <c r="C3">
        <v>19</v>
      </c>
      <c r="D3">
        <v>629</v>
      </c>
      <c r="E3">
        <v>3</v>
      </c>
      <c r="F3">
        <v>0.46296296300000001</v>
      </c>
      <c r="G3">
        <v>10.53</v>
      </c>
      <c r="H3">
        <v>0.16</v>
      </c>
      <c r="I3">
        <v>2</v>
      </c>
      <c r="J3">
        <v>1</v>
      </c>
      <c r="K3">
        <v>-4.1928394579999999</v>
      </c>
      <c r="L3">
        <v>43.468564041</v>
      </c>
      <c r="M3">
        <v>1</v>
      </c>
      <c r="O3" s="4">
        <v>2</v>
      </c>
      <c r="P3">
        <v>1</v>
      </c>
      <c r="Q3">
        <v>1</v>
      </c>
      <c r="R3">
        <f t="shared" ref="R3:R4" si="0">P3/629</f>
        <v>1.589825119236884E-3</v>
      </c>
      <c r="S3">
        <f t="shared" ref="S3:S4" si="1">Q3/19</f>
        <v>5.2631578947368418E-2</v>
      </c>
      <c r="T3">
        <f t="shared" ref="T3:T4" si="2">LOG10(R3/S3)</f>
        <v>-1.5198970444924398</v>
      </c>
      <c r="U3">
        <f t="shared" ref="U3:U4" si="3">(R3-S3)*T3</f>
        <v>7.757821078908779E-2</v>
      </c>
      <c r="V3" s="7"/>
    </row>
    <row r="4" spans="1:22" x14ac:dyDescent="0.25">
      <c r="A4" s="1" t="s">
        <v>22</v>
      </c>
      <c r="B4">
        <v>648</v>
      </c>
      <c r="C4">
        <v>19</v>
      </c>
      <c r="D4">
        <v>629</v>
      </c>
      <c r="E4">
        <v>2</v>
      </c>
      <c r="F4">
        <v>0.30864197529999998</v>
      </c>
      <c r="G4">
        <v>5.26</v>
      </c>
      <c r="H4">
        <v>0.16</v>
      </c>
      <c r="I4">
        <v>1</v>
      </c>
      <c r="J4">
        <v>1</v>
      </c>
      <c r="K4">
        <v>-3.4996922779999999</v>
      </c>
      <c r="L4">
        <v>17.863043170000001</v>
      </c>
      <c r="M4">
        <v>2</v>
      </c>
      <c r="O4" s="4">
        <v>3</v>
      </c>
      <c r="P4">
        <v>627</v>
      </c>
      <c r="Q4">
        <v>10</v>
      </c>
      <c r="R4">
        <f t="shared" si="0"/>
        <v>0.99682034976152623</v>
      </c>
      <c r="S4">
        <f t="shared" si="1"/>
        <v>0.52631578947368418</v>
      </c>
      <c r="T4">
        <f t="shared" si="2"/>
        <v>0.27737049633827648</v>
      </c>
      <c r="U4">
        <f t="shared" si="3"/>
        <v>0.13050408341646128</v>
      </c>
      <c r="V4" s="7"/>
    </row>
    <row r="5" spans="1:22" x14ac:dyDescent="0.25">
      <c r="A5">
        <v>0</v>
      </c>
      <c r="B5">
        <v>648</v>
      </c>
      <c r="C5">
        <v>19</v>
      </c>
      <c r="D5">
        <v>629</v>
      </c>
      <c r="E5">
        <v>637</v>
      </c>
      <c r="F5">
        <v>98.302469135999999</v>
      </c>
      <c r="G5">
        <v>52.63</v>
      </c>
      <c r="H5">
        <v>99.68</v>
      </c>
      <c r="I5">
        <v>10</v>
      </c>
      <c r="J5">
        <v>627</v>
      </c>
      <c r="K5">
        <v>0.63866917010000002</v>
      </c>
      <c r="L5">
        <v>30.049675704999999</v>
      </c>
      <c r="M5">
        <v>3</v>
      </c>
      <c r="O5" s="4" t="s">
        <v>44</v>
      </c>
      <c r="P5">
        <v>629</v>
      </c>
      <c r="Q5">
        <v>19</v>
      </c>
      <c r="U5">
        <f>SUM(U2:U4)</f>
        <v>1.2244352344474714</v>
      </c>
      <c r="V5" t="s">
        <v>64</v>
      </c>
    </row>
    <row r="11" spans="1:22" x14ac:dyDescent="0.25">
      <c r="M11" t="s">
        <v>61</v>
      </c>
    </row>
    <row r="12" spans="1:22" x14ac:dyDescent="0.25">
      <c r="M12" s="7" t="str">
        <f>+CONCATENATE("IF overdue IN ('",A2,"') then WoE_overdue=",$T$2,";Else")</f>
        <v>IF overdue IN ('&gt;100') then WoE_overdue=-2.42298703148438;Else</v>
      </c>
    </row>
    <row r="13" spans="1:22" x14ac:dyDescent="0.25">
      <c r="M13" s="7" t="str">
        <f>+CONCATENATE("IF overdue IN ('",A3,"') then WoE_overdue=",$T$2,";Else")</f>
        <v>IF overdue IN ('26-50') then WoE_overdue=-2.42298703148438;Else</v>
      </c>
    </row>
    <row r="14" spans="1:22" x14ac:dyDescent="0.25">
      <c r="M14" s="7" t="str">
        <f>+CONCATENATE("IF overdue IN ('",A4,"') then WoE_overdue=",$T$3,";Else")</f>
        <v>IF overdue IN ('1 to 25') then WoE_overdue=-1.51989704449244;Else</v>
      </c>
    </row>
    <row r="15" spans="1:22" x14ac:dyDescent="0.25">
      <c r="M15" s="7" t="str">
        <f>+CONCATENATE("IF overdue IN ('",A5,"') then WoE_overdue=",$T$4,";")</f>
        <v>IF overdue IN ('0') then WoE_overdue=0.277370496338276;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7D56-E7A8-415E-A892-93D5946D2F6D}">
  <dimension ref="A1:V15"/>
  <sheetViews>
    <sheetView workbookViewId="0">
      <selection activeCell="N10" sqref="N10:N15"/>
    </sheetView>
  </sheetViews>
  <sheetFormatPr defaultRowHeight="15" x14ac:dyDescent="0.25"/>
  <cols>
    <col min="15" max="15" width="13.140625" bestFit="1" customWidth="1"/>
    <col min="16" max="16" width="13.42578125" bestFit="1" customWidth="1"/>
    <col min="17" max="17" width="15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50</v>
      </c>
      <c r="O1" s="3" t="s">
        <v>43</v>
      </c>
      <c r="P1" t="s">
        <v>45</v>
      </c>
      <c r="Q1" t="s">
        <v>46</v>
      </c>
      <c r="R1" t="s">
        <v>47</v>
      </c>
      <c r="S1" t="s">
        <v>48</v>
      </c>
      <c r="T1" t="s">
        <v>10</v>
      </c>
      <c r="U1" t="s">
        <v>49</v>
      </c>
    </row>
    <row r="2" spans="1:22" x14ac:dyDescent="0.25">
      <c r="A2" s="2" t="s">
        <v>22</v>
      </c>
      <c r="B2">
        <v>648</v>
      </c>
      <c r="C2">
        <v>19</v>
      </c>
      <c r="D2">
        <v>629</v>
      </c>
      <c r="E2">
        <v>128</v>
      </c>
      <c r="F2">
        <v>19.753086419999999</v>
      </c>
      <c r="G2">
        <v>10.53</v>
      </c>
      <c r="H2">
        <v>20.03</v>
      </c>
      <c r="I2">
        <v>2</v>
      </c>
      <c r="J2">
        <v>126</v>
      </c>
      <c r="K2">
        <v>0.64344244890000002</v>
      </c>
      <c r="L2">
        <v>6.1162297875</v>
      </c>
      <c r="M2">
        <v>1</v>
      </c>
      <c r="O2" s="4">
        <v>1</v>
      </c>
      <c r="P2">
        <v>365</v>
      </c>
      <c r="Q2">
        <v>13</v>
      </c>
      <c r="R2">
        <f>P2/629</f>
        <v>0.58028616852146264</v>
      </c>
      <c r="S2">
        <f>Q2/19</f>
        <v>0.68421052631578949</v>
      </c>
      <c r="T2">
        <f>LOG10(R2/S2)</f>
        <v>-7.1547532342802034E-2</v>
      </c>
      <c r="U2">
        <f>(R2-S2)*T2</f>
        <v>7.4355313504945305E-3</v>
      </c>
      <c r="V2" s="7"/>
    </row>
    <row r="3" spans="1:22" x14ac:dyDescent="0.25">
      <c r="A3" t="s">
        <v>21</v>
      </c>
      <c r="B3">
        <v>648</v>
      </c>
      <c r="C3">
        <v>19</v>
      </c>
      <c r="D3">
        <v>629</v>
      </c>
      <c r="E3">
        <v>250</v>
      </c>
      <c r="F3">
        <v>38.580246914</v>
      </c>
      <c r="G3">
        <v>57.89</v>
      </c>
      <c r="H3">
        <v>38</v>
      </c>
      <c r="I3">
        <v>11</v>
      </c>
      <c r="J3">
        <v>239</v>
      </c>
      <c r="K3">
        <v>-0.421123998</v>
      </c>
      <c r="L3">
        <v>8.3794901531000008</v>
      </c>
      <c r="M3">
        <v>1</v>
      </c>
      <c r="O3" s="4">
        <v>2</v>
      </c>
      <c r="P3">
        <v>183</v>
      </c>
      <c r="Q3">
        <v>5</v>
      </c>
      <c r="R3">
        <f t="shared" ref="R3:R4" si="0">P3/629</f>
        <v>0.29093799682034976</v>
      </c>
      <c r="S3">
        <f t="shared" ref="S3:S4" si="1">Q3/19</f>
        <v>0.26315789473684209</v>
      </c>
      <c r="T3">
        <f t="shared" ref="T3:T4" si="2">LOG10(R3/S3)</f>
        <v>4.3584040901970718E-2</v>
      </c>
      <c r="U3">
        <f t="shared" ref="U3:U4" si="3">(R3-S3)*T3</f>
        <v>1.2107691054685204E-3</v>
      </c>
      <c r="V3" s="7"/>
    </row>
    <row r="4" spans="1:22" x14ac:dyDescent="0.25">
      <c r="A4" t="s">
        <v>23</v>
      </c>
      <c r="B4">
        <v>648</v>
      </c>
      <c r="C4">
        <v>19</v>
      </c>
      <c r="D4">
        <v>629</v>
      </c>
      <c r="E4">
        <v>121</v>
      </c>
      <c r="F4">
        <v>18.672839505999999</v>
      </c>
      <c r="G4">
        <v>10.53</v>
      </c>
      <c r="H4">
        <v>18.920000000000002</v>
      </c>
      <c r="I4">
        <v>2</v>
      </c>
      <c r="J4">
        <v>119</v>
      </c>
      <c r="K4">
        <v>0.58628403500000004</v>
      </c>
      <c r="L4">
        <v>4.9204492269999998</v>
      </c>
      <c r="M4">
        <v>2</v>
      </c>
      <c r="O4" s="4">
        <v>3</v>
      </c>
      <c r="P4">
        <v>81</v>
      </c>
      <c r="Q4">
        <v>1</v>
      </c>
      <c r="R4">
        <f t="shared" si="0"/>
        <v>0.12877583465818759</v>
      </c>
      <c r="S4">
        <f t="shared" si="1"/>
        <v>5.2631578947368418E-2</v>
      </c>
      <c r="T4">
        <f t="shared" si="2"/>
        <v>0.38858797438620979</v>
      </c>
      <c r="U4">
        <f t="shared" si="3"/>
        <v>2.958874208781281E-2</v>
      </c>
      <c r="V4" s="7"/>
    </row>
    <row r="5" spans="1:22" x14ac:dyDescent="0.25">
      <c r="A5" t="s">
        <v>24</v>
      </c>
      <c r="B5">
        <v>648</v>
      </c>
      <c r="C5">
        <v>19</v>
      </c>
      <c r="D5">
        <v>629</v>
      </c>
      <c r="E5">
        <v>67</v>
      </c>
      <c r="F5">
        <v>10.339506173</v>
      </c>
      <c r="G5">
        <v>15.79</v>
      </c>
      <c r="H5">
        <v>10.17</v>
      </c>
      <c r="I5">
        <v>3</v>
      </c>
      <c r="J5">
        <v>64</v>
      </c>
      <c r="K5">
        <v>-0.439421483</v>
      </c>
      <c r="L5">
        <v>2.4671727469000002</v>
      </c>
      <c r="M5">
        <v>2</v>
      </c>
      <c r="O5" s="4" t="s">
        <v>44</v>
      </c>
      <c r="P5">
        <v>629</v>
      </c>
      <c r="Q5">
        <v>19</v>
      </c>
      <c r="U5">
        <f>SUM(U2:U4)</f>
        <v>3.8235042543775861E-2</v>
      </c>
      <c r="V5" t="s">
        <v>65</v>
      </c>
    </row>
    <row r="6" spans="1:22" x14ac:dyDescent="0.25">
      <c r="A6" t="s">
        <v>20</v>
      </c>
      <c r="B6">
        <v>648</v>
      </c>
      <c r="C6">
        <v>19</v>
      </c>
      <c r="D6">
        <v>629</v>
      </c>
      <c r="E6">
        <v>82</v>
      </c>
      <c r="F6">
        <v>12.654320988</v>
      </c>
      <c r="G6">
        <v>5.26</v>
      </c>
      <c r="H6">
        <v>12.88</v>
      </c>
      <c r="I6">
        <v>1</v>
      </c>
      <c r="J6">
        <v>81</v>
      </c>
      <c r="K6">
        <v>0.89475687709999996</v>
      </c>
      <c r="L6">
        <v>6.8130596452000001</v>
      </c>
      <c r="M6">
        <v>3</v>
      </c>
    </row>
    <row r="10" spans="1:22" x14ac:dyDescent="0.25">
      <c r="N10" t="s">
        <v>61</v>
      </c>
    </row>
    <row r="11" spans="1:22" x14ac:dyDescent="0.25">
      <c r="N11" s="7" t="str">
        <f>+CONCATENATE("IF payment_plan IN ('",A2,"') then WoE_payment_plan=",$T$2,";Else")</f>
        <v>IF payment_plan IN ('1 to 25') then WoE_payment_plan=-0.071547532342802;Else</v>
      </c>
    </row>
    <row r="12" spans="1:22" x14ac:dyDescent="0.25">
      <c r="N12" s="7" t="str">
        <f>+CONCATENATE("IF payment_plan IN ('",A3,"') then WoE_payment_plan=",$T$2,";Else")</f>
        <v>IF payment_plan IN ('26-50') then WoE_payment_plan=-0.071547532342802;Else</v>
      </c>
    </row>
    <row r="13" spans="1:22" x14ac:dyDescent="0.25">
      <c r="N13" s="7" t="str">
        <f>+CONCATENATE("IF payment_plan IN ('",A4,"') then WoE_payment_plan=",$T$3,";Else")</f>
        <v>IF payment_plan IN ('51-75') then WoE_payment_plan=0.0435840409019707;Else</v>
      </c>
    </row>
    <row r="14" spans="1:22" x14ac:dyDescent="0.25">
      <c r="N14" s="7" t="str">
        <f>+CONCATENATE("IF payment_plan IN ('",A5,"') then WoE_payment_plan=",$T$3,";Else")</f>
        <v>IF payment_plan IN ('76-100') then WoE_payment_plan=0.0435840409019707;Else</v>
      </c>
    </row>
    <row r="15" spans="1:22" x14ac:dyDescent="0.25">
      <c r="N15" s="7" t="str">
        <f>+CONCATENATE("IF payment_plan IN ('",A6,"') then WoE_payment_plan=",$T$4,";")</f>
        <v>IF payment_plan IN ('&gt;100') then WoE_payment_plan=0.38858797438621;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B0CD-6B5E-4580-A075-D3B9CE3C2955}">
  <dimension ref="A1:V24"/>
  <sheetViews>
    <sheetView topLeftCell="A7" workbookViewId="0">
      <selection activeCell="A24" sqref="A24"/>
    </sheetView>
  </sheetViews>
  <sheetFormatPr defaultRowHeight="15" x14ac:dyDescent="0.25"/>
  <cols>
    <col min="15" max="15" width="13.140625" bestFit="1" customWidth="1"/>
    <col min="16" max="16" width="13.42578125" bestFit="1" customWidth="1"/>
    <col min="17" max="17" width="15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50</v>
      </c>
      <c r="O1" s="3" t="s">
        <v>43</v>
      </c>
      <c r="P1" t="s">
        <v>45</v>
      </c>
      <c r="Q1" t="s">
        <v>46</v>
      </c>
      <c r="R1" t="s">
        <v>47</v>
      </c>
      <c r="S1" t="s">
        <v>48</v>
      </c>
      <c r="T1" t="s">
        <v>10</v>
      </c>
      <c r="U1" t="s">
        <v>54</v>
      </c>
    </row>
    <row r="2" spans="1:22" x14ac:dyDescent="0.25">
      <c r="A2">
        <v>2500</v>
      </c>
      <c r="B2">
        <v>648</v>
      </c>
      <c r="C2">
        <v>19</v>
      </c>
      <c r="D2">
        <v>629</v>
      </c>
      <c r="E2">
        <v>9</v>
      </c>
      <c r="F2">
        <v>1.3888888889</v>
      </c>
      <c r="G2">
        <v>0</v>
      </c>
      <c r="H2">
        <v>1.43</v>
      </c>
      <c r="I2">
        <v>0</v>
      </c>
      <c r="J2">
        <v>9</v>
      </c>
      <c r="M2">
        <v>1</v>
      </c>
      <c r="O2" s="4">
        <v>1</v>
      </c>
      <c r="P2">
        <v>58</v>
      </c>
      <c r="Q2">
        <v>4</v>
      </c>
      <c r="R2">
        <f>P2/412</f>
        <v>0.14077669902912621</v>
      </c>
      <c r="S2">
        <f>Q2/19</f>
        <v>0.21052631578947367</v>
      </c>
      <c r="T2">
        <f>LOG10(R2/S2)</f>
        <v>-0.17477561284533075</v>
      </c>
      <c r="U2">
        <f>(R2-S2)*T2</f>
        <v>1.2190532015016681E-2</v>
      </c>
      <c r="V2" s="7"/>
    </row>
    <row r="3" spans="1:22" x14ac:dyDescent="0.25">
      <c r="A3">
        <v>6250</v>
      </c>
      <c r="B3">
        <v>648</v>
      </c>
      <c r="C3">
        <v>19</v>
      </c>
      <c r="D3">
        <v>629</v>
      </c>
      <c r="E3">
        <v>4</v>
      </c>
      <c r="F3">
        <v>0.61728395059999996</v>
      </c>
      <c r="G3">
        <v>0</v>
      </c>
      <c r="H3">
        <v>0.64</v>
      </c>
      <c r="I3">
        <v>0</v>
      </c>
      <c r="J3">
        <v>4</v>
      </c>
      <c r="M3">
        <v>1</v>
      </c>
      <c r="O3" s="4">
        <v>2</v>
      </c>
      <c r="P3">
        <v>145</v>
      </c>
      <c r="Q3">
        <v>8</v>
      </c>
      <c r="R3">
        <f t="shared" ref="R3:R4" si="0">P3/412</f>
        <v>0.35194174757281554</v>
      </c>
      <c r="S3">
        <f t="shared" ref="S3:S4" si="1">Q3/19</f>
        <v>0.42105263157894735</v>
      </c>
      <c r="T3">
        <f t="shared" ref="T3:T4" si="2">LOG10(R3/S3)</f>
        <v>-7.7865599837274313E-2</v>
      </c>
      <c r="U3">
        <f t="shared" ref="U3:U4" si="3">(R3-S3)*T3</f>
        <v>5.3813604384217398E-3</v>
      </c>
      <c r="V3" s="7"/>
    </row>
    <row r="4" spans="1:22" x14ac:dyDescent="0.25">
      <c r="A4">
        <v>8750</v>
      </c>
      <c r="B4">
        <v>648</v>
      </c>
      <c r="C4">
        <v>19</v>
      </c>
      <c r="D4">
        <v>629</v>
      </c>
      <c r="E4">
        <v>6</v>
      </c>
      <c r="F4">
        <v>0.9259259259</v>
      </c>
      <c r="G4">
        <v>0</v>
      </c>
      <c r="H4">
        <v>0.95</v>
      </c>
      <c r="I4">
        <v>0</v>
      </c>
      <c r="J4">
        <v>6</v>
      </c>
      <c r="M4">
        <v>1</v>
      </c>
      <c r="O4" s="4">
        <v>3</v>
      </c>
      <c r="P4">
        <v>100</v>
      </c>
      <c r="Q4">
        <v>3</v>
      </c>
      <c r="R4">
        <f t="shared" si="0"/>
        <v>0.24271844660194175</v>
      </c>
      <c r="S4">
        <f t="shared" si="1"/>
        <v>0.15789473684210525</v>
      </c>
      <c r="T4">
        <f t="shared" si="2"/>
        <v>0.18673513020003193</v>
      </c>
      <c r="U4">
        <f t="shared" si="3"/>
        <v>1.5839566486052788E-2</v>
      </c>
      <c r="V4" s="7"/>
    </row>
    <row r="5" spans="1:22" x14ac:dyDescent="0.25">
      <c r="A5">
        <v>14000</v>
      </c>
      <c r="B5">
        <v>648</v>
      </c>
      <c r="C5">
        <v>19</v>
      </c>
      <c r="D5">
        <v>629</v>
      </c>
      <c r="E5">
        <v>43</v>
      </c>
      <c r="F5">
        <v>6.6358024690999997</v>
      </c>
      <c r="G5">
        <v>21.05</v>
      </c>
      <c r="H5">
        <v>6.2</v>
      </c>
      <c r="I5">
        <v>4</v>
      </c>
      <c r="J5">
        <v>39</v>
      </c>
      <c r="K5">
        <v>-1.222424993</v>
      </c>
      <c r="L5">
        <v>18.155839358000001</v>
      </c>
      <c r="M5">
        <v>1</v>
      </c>
      <c r="O5" s="4">
        <v>4</v>
      </c>
      <c r="P5">
        <v>326</v>
      </c>
      <c r="Q5">
        <v>4</v>
      </c>
      <c r="R5">
        <f t="shared" ref="R5" si="4">P5/412</f>
        <v>0.79126213592233008</v>
      </c>
      <c r="S5">
        <f t="shared" ref="S5" si="5">Q5/19</f>
        <v>0.21052631578947367</v>
      </c>
      <c r="T5">
        <f t="shared" ref="T5" si="6">LOG10(R5/S5)</f>
        <v>0.57501399365967099</v>
      </c>
      <c r="U5">
        <f t="shared" ref="U5" si="7">(R5-S5)*T5</f>
        <v>0.33393122319581814</v>
      </c>
    </row>
    <row r="6" spans="1:22" x14ac:dyDescent="0.25">
      <c r="A6">
        <v>22500</v>
      </c>
      <c r="B6">
        <v>648</v>
      </c>
      <c r="C6">
        <v>19</v>
      </c>
      <c r="D6">
        <v>629</v>
      </c>
      <c r="E6">
        <v>153</v>
      </c>
      <c r="F6">
        <v>23.611111111</v>
      </c>
      <c r="G6">
        <v>42.11</v>
      </c>
      <c r="H6">
        <v>23.05</v>
      </c>
      <c r="I6">
        <v>8</v>
      </c>
      <c r="J6">
        <v>145</v>
      </c>
      <c r="K6">
        <v>-0.60240007699999998</v>
      </c>
      <c r="L6">
        <v>11.477407538</v>
      </c>
      <c r="M6">
        <v>2</v>
      </c>
      <c r="O6" s="4" t="s">
        <v>44</v>
      </c>
      <c r="P6">
        <v>629</v>
      </c>
      <c r="Q6">
        <v>19</v>
      </c>
      <c r="U6">
        <f>SUM(U2:U5)</f>
        <v>0.36734268213530935</v>
      </c>
      <c r="V6" t="s">
        <v>63</v>
      </c>
    </row>
    <row r="7" spans="1:22" x14ac:dyDescent="0.25">
      <c r="A7">
        <v>27500</v>
      </c>
      <c r="B7">
        <v>648</v>
      </c>
      <c r="C7">
        <v>19</v>
      </c>
      <c r="D7">
        <v>629</v>
      </c>
      <c r="E7">
        <v>103</v>
      </c>
      <c r="F7">
        <v>15.895061728</v>
      </c>
      <c r="G7">
        <v>15.79</v>
      </c>
      <c r="H7">
        <v>15.9</v>
      </c>
      <c r="I7">
        <v>3</v>
      </c>
      <c r="J7">
        <v>100</v>
      </c>
      <c r="K7">
        <v>6.8656198000000002E-3</v>
      </c>
      <c r="L7">
        <v>7.4682500000000001E-4</v>
      </c>
      <c r="M7">
        <v>3</v>
      </c>
    </row>
    <row r="8" spans="1:22" x14ac:dyDescent="0.25">
      <c r="A8">
        <v>35000</v>
      </c>
      <c r="B8">
        <v>648</v>
      </c>
      <c r="C8">
        <v>19</v>
      </c>
      <c r="D8">
        <v>629</v>
      </c>
      <c r="E8">
        <v>123</v>
      </c>
      <c r="F8">
        <v>18.981481480999999</v>
      </c>
      <c r="G8">
        <v>21.05</v>
      </c>
      <c r="H8">
        <v>18.920000000000002</v>
      </c>
      <c r="I8">
        <v>4</v>
      </c>
      <c r="J8">
        <v>119</v>
      </c>
      <c r="K8">
        <v>-0.10686314600000001</v>
      </c>
      <c r="L8">
        <v>0.22801524649999999</v>
      </c>
      <c r="M8">
        <v>4</v>
      </c>
    </row>
    <row r="9" spans="1:22" x14ac:dyDescent="0.25">
      <c r="A9">
        <v>45000</v>
      </c>
      <c r="B9">
        <v>648</v>
      </c>
      <c r="C9">
        <v>19</v>
      </c>
      <c r="D9">
        <v>629</v>
      </c>
      <c r="E9">
        <v>78</v>
      </c>
      <c r="F9">
        <v>12.037037036999999</v>
      </c>
      <c r="G9">
        <v>0</v>
      </c>
      <c r="H9">
        <v>12.4</v>
      </c>
      <c r="I9">
        <v>0</v>
      </c>
      <c r="J9">
        <v>78</v>
      </c>
      <c r="M9">
        <v>4</v>
      </c>
    </row>
    <row r="10" spans="1:22" x14ac:dyDescent="0.25">
      <c r="A10">
        <v>60000</v>
      </c>
      <c r="B10">
        <v>648</v>
      </c>
      <c r="C10">
        <v>19</v>
      </c>
      <c r="D10">
        <v>629</v>
      </c>
      <c r="E10">
        <v>77</v>
      </c>
      <c r="F10">
        <v>11.882716049000001</v>
      </c>
      <c r="G10">
        <v>0</v>
      </c>
      <c r="H10">
        <v>12.24</v>
      </c>
      <c r="I10">
        <v>0</v>
      </c>
      <c r="J10">
        <v>77</v>
      </c>
      <c r="M10">
        <v>4</v>
      </c>
    </row>
    <row r="11" spans="1:22" x14ac:dyDescent="0.25">
      <c r="A11">
        <v>85000</v>
      </c>
      <c r="B11">
        <v>648</v>
      </c>
      <c r="C11">
        <v>19</v>
      </c>
      <c r="D11">
        <v>629</v>
      </c>
      <c r="E11">
        <v>52</v>
      </c>
      <c r="F11">
        <v>8.0246913580000001</v>
      </c>
      <c r="G11">
        <v>0</v>
      </c>
      <c r="H11">
        <v>8.27</v>
      </c>
      <c r="I11">
        <v>0</v>
      </c>
      <c r="J11">
        <v>52</v>
      </c>
      <c r="M11">
        <v>4</v>
      </c>
    </row>
    <row r="14" spans="1:22" x14ac:dyDescent="0.25">
      <c r="N14" t="s">
        <v>61</v>
      </c>
    </row>
    <row r="15" spans="1:22" x14ac:dyDescent="0.25">
      <c r="N15" s="7" t="str">
        <f>+CONCATENATE("IF gross_income IN ('",A2,"') then WoE_gross_income=",$T$2,";Else")</f>
        <v>IF gross_income IN ('2500') then WoE_gross_income=-0.174775612845331;Else</v>
      </c>
    </row>
    <row r="16" spans="1:22" x14ac:dyDescent="0.25">
      <c r="N16" s="7" t="str">
        <f>+CONCATENATE("IF gross_income IN ('",A3,"') then WoE_gross_income=",$T$2,";Else")</f>
        <v>IF gross_income IN ('6250') then WoE_gross_income=-0.174775612845331;Else</v>
      </c>
    </row>
    <row r="17" spans="14:14" x14ac:dyDescent="0.25">
      <c r="N17" s="7" t="str">
        <f>+CONCATENATE("IF gross_income IN ('",A4,"') then WoE_gross_income=",$T$2,";Else")</f>
        <v>IF gross_income IN ('8750') then WoE_gross_income=-0.174775612845331;Else</v>
      </c>
    </row>
    <row r="18" spans="14:14" x14ac:dyDescent="0.25">
      <c r="N18" s="7" t="str">
        <f>+CONCATENATE("IF gross_income IN ('",A5,"') then WoE_gross_income=",$T$2,";Else")</f>
        <v>IF gross_income IN ('14000') then WoE_gross_income=-0.174775612845331;Else</v>
      </c>
    </row>
    <row r="19" spans="14:14" x14ac:dyDescent="0.25">
      <c r="N19" s="7" t="str">
        <f>+CONCATENATE("IF gross_income IN ('",A6,"') then WoE_gross_income=",$T$3,";Else")</f>
        <v>IF gross_income IN ('22500') then WoE_gross_income=-0.0778655998372743;Else</v>
      </c>
    </row>
    <row r="20" spans="14:14" x14ac:dyDescent="0.25">
      <c r="N20" s="7" t="str">
        <f>+CONCATENATE("IF gross_income IN ('",A7,"') then WoE_gross_income=",$T$4,";Else")</f>
        <v>IF gross_income IN ('27500') then WoE_gross_income=0.186735130200032;Else</v>
      </c>
    </row>
    <row r="21" spans="14:14" x14ac:dyDescent="0.25">
      <c r="N21" s="7" t="str">
        <f>+CONCATENATE("IF gross_income IN ('",A8,"') then WoE_gross_income=",$T$5,";Else")</f>
        <v>IF gross_income IN ('35000') then WoE_gross_income=0.575013993659671;Else</v>
      </c>
    </row>
    <row r="22" spans="14:14" x14ac:dyDescent="0.25">
      <c r="N22" s="7" t="str">
        <f>+CONCATENATE("IF gross_income IN ('",A9,"') then WoE_gross_income=",$T$5,";Else")</f>
        <v>IF gross_income IN ('45000') then WoE_gross_income=0.575013993659671;Else</v>
      </c>
    </row>
    <row r="23" spans="14:14" x14ac:dyDescent="0.25">
      <c r="N23" s="7" t="str">
        <f>+CONCATENATE("IF gross_income IN ('",A10,"') then WoE_gross_income=",$T$5,";Else")</f>
        <v>IF gross_income IN ('60000') then WoE_gross_income=0.575013993659671;Else</v>
      </c>
    </row>
    <row r="24" spans="14:14" x14ac:dyDescent="0.25">
      <c r="N24" s="7" t="str">
        <f>+CONCATENATE("IF gross_income IN ('",A11,"') then WoE_gross_income=",$T$5,";")</f>
        <v>IF gross_income IN ('85000') then WoE_gross_income=0.575013993659671;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4AAB-E562-4679-A303-1862A94BBA28}">
  <sheetPr>
    <tabColor rgb="FFC00000"/>
  </sheetPr>
  <dimension ref="A1:V14"/>
  <sheetViews>
    <sheetView topLeftCell="H1" workbookViewId="0">
      <selection activeCell="N21" sqref="N21"/>
    </sheetView>
  </sheetViews>
  <sheetFormatPr defaultRowHeight="15" x14ac:dyDescent="0.25"/>
  <cols>
    <col min="15" max="15" width="13.140625" bestFit="1" customWidth="1"/>
    <col min="16" max="16" width="13.42578125" bestFit="1" customWidth="1"/>
    <col min="17" max="17" width="15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50</v>
      </c>
      <c r="O1" s="3" t="s">
        <v>43</v>
      </c>
      <c r="P1" t="s">
        <v>45</v>
      </c>
      <c r="Q1" t="s">
        <v>46</v>
      </c>
      <c r="R1" t="s">
        <v>47</v>
      </c>
      <c r="S1" t="s">
        <v>48</v>
      </c>
      <c r="T1" t="s">
        <v>10</v>
      </c>
      <c r="U1" t="s">
        <v>53</v>
      </c>
    </row>
    <row r="2" spans="1:22" x14ac:dyDescent="0.25">
      <c r="A2" t="s">
        <v>28</v>
      </c>
      <c r="B2">
        <v>648</v>
      </c>
      <c r="C2">
        <v>19</v>
      </c>
      <c r="D2">
        <v>629</v>
      </c>
      <c r="E2">
        <v>553</v>
      </c>
      <c r="F2">
        <v>85.339506173000004</v>
      </c>
      <c r="G2">
        <v>73.680000000000007</v>
      </c>
      <c r="H2">
        <v>85.69</v>
      </c>
      <c r="I2">
        <v>14</v>
      </c>
      <c r="J2">
        <v>539</v>
      </c>
      <c r="K2">
        <v>0.15096596379999999</v>
      </c>
      <c r="L2">
        <v>1.812703188</v>
      </c>
      <c r="M2">
        <v>2</v>
      </c>
      <c r="O2" s="4">
        <v>2</v>
      </c>
      <c r="P2">
        <v>559</v>
      </c>
      <c r="Q2">
        <v>15</v>
      </c>
      <c r="R2">
        <f>P2/604</f>
        <v>0.92549668874172186</v>
      </c>
      <c r="S2">
        <f>Q2/19</f>
        <v>0.78947368421052633</v>
      </c>
      <c r="T2">
        <v>0</v>
      </c>
      <c r="U2">
        <f>(H2-G2)*K2</f>
        <v>1.8131012252379985</v>
      </c>
      <c r="V2" s="7" t="str">
        <f>+CONCATENATE("IF employmnt_status IN ('","other","') then WoE_employmnt_status=",T2,";Else")</f>
        <v>IF employmnt_status IN ('other') then WoE_employmnt_status=0;Else</v>
      </c>
    </row>
    <row r="3" spans="1:22" x14ac:dyDescent="0.25">
      <c r="A3" t="s">
        <v>25</v>
      </c>
      <c r="B3">
        <v>648</v>
      </c>
      <c r="C3">
        <v>19</v>
      </c>
      <c r="D3">
        <v>629</v>
      </c>
      <c r="E3">
        <v>15</v>
      </c>
      <c r="F3">
        <v>2.3148148148000001</v>
      </c>
      <c r="G3">
        <v>0</v>
      </c>
      <c r="H3">
        <v>2.38</v>
      </c>
      <c r="I3">
        <v>0</v>
      </c>
      <c r="J3">
        <v>15</v>
      </c>
      <c r="M3">
        <v>2</v>
      </c>
      <c r="O3" s="4">
        <v>4</v>
      </c>
      <c r="P3">
        <v>70</v>
      </c>
      <c r="Q3">
        <v>4</v>
      </c>
      <c r="R3">
        <f>P3/604</f>
        <v>0.11589403973509933</v>
      </c>
      <c r="S3">
        <f t="shared" ref="S3" si="0">Q3/19</f>
        <v>0.21052631578947367</v>
      </c>
      <c r="T3">
        <f>LOG10(R3/S3)</f>
        <v>-0.25924528898200844</v>
      </c>
      <c r="U3">
        <f>(R3-S3)*T3</f>
        <v>2.4532971752741474E-2</v>
      </c>
      <c r="V3" s="7" t="str">
        <f>+CONCATENATE("IF employmnt_status IN ('","Full Time","') then WoE_employmnt_status=",T3,";")</f>
        <v>IF employmnt_status IN ('Full Time') then WoE_employmnt_status=-0.259245288982008;</v>
      </c>
    </row>
    <row r="4" spans="1:22" x14ac:dyDescent="0.25">
      <c r="A4" t="s">
        <v>26</v>
      </c>
      <c r="B4">
        <v>648</v>
      </c>
      <c r="C4">
        <v>19</v>
      </c>
      <c r="D4">
        <v>629</v>
      </c>
      <c r="E4">
        <v>6</v>
      </c>
      <c r="F4">
        <v>0.9259259259</v>
      </c>
      <c r="G4">
        <v>5.26</v>
      </c>
      <c r="H4">
        <v>0.79</v>
      </c>
      <c r="I4">
        <v>1</v>
      </c>
      <c r="J4">
        <v>5</v>
      </c>
      <c r="K4">
        <v>-1.8902543650000001</v>
      </c>
      <c r="L4">
        <v>8.4461202489999998</v>
      </c>
      <c r="M4">
        <v>2</v>
      </c>
      <c r="O4" s="4" t="s">
        <v>44</v>
      </c>
      <c r="P4">
        <v>629</v>
      </c>
      <c r="Q4">
        <v>19</v>
      </c>
      <c r="R4">
        <f>P4/604</f>
        <v>1.0413907284768211</v>
      </c>
      <c r="S4">
        <f t="shared" ref="S4" si="1">Q4/19</f>
        <v>1</v>
      </c>
      <c r="T4">
        <f>LOG10(R4/S4)</f>
        <v>1.7613706824137071E-2</v>
      </c>
      <c r="U4">
        <f>SUM(U2:U3)</f>
        <v>1.8376341969907399</v>
      </c>
    </row>
    <row r="5" spans="1:22" x14ac:dyDescent="0.25">
      <c r="A5" t="s">
        <v>58</v>
      </c>
      <c r="B5">
        <v>648</v>
      </c>
      <c r="C5">
        <v>19</v>
      </c>
      <c r="D5">
        <v>629</v>
      </c>
      <c r="E5">
        <v>25</v>
      </c>
      <c r="F5">
        <v>3.8580246913999998</v>
      </c>
      <c r="G5">
        <v>0</v>
      </c>
      <c r="H5">
        <v>3.97</v>
      </c>
      <c r="I5">
        <v>0</v>
      </c>
      <c r="J5">
        <v>25</v>
      </c>
      <c r="M5">
        <v>4</v>
      </c>
      <c r="U5">
        <f>SUM(U2:U4)</f>
        <v>3.6752683939814799</v>
      </c>
      <c r="V5" t="s">
        <v>66</v>
      </c>
    </row>
    <row r="6" spans="1:22" x14ac:dyDescent="0.25">
      <c r="A6" t="s">
        <v>27</v>
      </c>
      <c r="B6">
        <v>648</v>
      </c>
      <c r="C6">
        <v>19</v>
      </c>
      <c r="D6">
        <v>629</v>
      </c>
      <c r="E6">
        <v>49</v>
      </c>
      <c r="F6">
        <v>7.5617283951000003</v>
      </c>
      <c r="G6">
        <v>21.05</v>
      </c>
      <c r="H6">
        <v>7.15</v>
      </c>
      <c r="I6">
        <v>4</v>
      </c>
      <c r="J6">
        <v>45</v>
      </c>
      <c r="K6">
        <v>-1.0793241490000001</v>
      </c>
      <c r="L6">
        <v>15.000898764</v>
      </c>
      <c r="M6">
        <v>4</v>
      </c>
    </row>
    <row r="9" spans="1:22" x14ac:dyDescent="0.25">
      <c r="M9" t="s">
        <v>61</v>
      </c>
    </row>
    <row r="10" spans="1:22" x14ac:dyDescent="0.25">
      <c r="M10" s="7" t="str">
        <f>+CONCATENATE("IF employmnt_status IN ('",A2,"') then WoE_employmnt_status=",$T$2,";Else")</f>
        <v>IF employmnt_status IN ('Full Time') then WoE_employmnt_status=0;Else</v>
      </c>
    </row>
    <row r="11" spans="1:22" x14ac:dyDescent="0.25">
      <c r="M11" s="7" t="str">
        <f>+CONCATENATE("IF employmnt_status IN ('",A3,"') then WoE_employmnt_status=",$T$2,";Else")</f>
        <v>IF employmnt_status IN ('Homemaker') then WoE_employmnt_status=0;Else</v>
      </c>
    </row>
    <row r="12" spans="1:22" x14ac:dyDescent="0.25">
      <c r="M12" s="7" t="str">
        <f>+CONCATENATE("IF employmnt_status IN ('",A4,"') then WoE_employmnt_status=",$T$2,";Else")</f>
        <v>IF employmnt_status IN ('Other') then WoE_employmnt_status=0;Else</v>
      </c>
    </row>
    <row r="13" spans="1:22" x14ac:dyDescent="0.25">
      <c r="M13" s="7" t="str">
        <f>+CONCATENATE("IF employmnt_status IN ('",A5,"') then WoE_employmnt_status=",$T$3,";Else")</f>
        <v>IF employmnt_status IN ('Retired') then WoE_employmnt_status=-0.259245288982008;Else</v>
      </c>
    </row>
    <row r="14" spans="1:22" x14ac:dyDescent="0.25">
      <c r="M14" s="7" t="str">
        <f>+CONCATENATE("IF employmnt_status IN ('",A6,"') then WoE_employmnt_status=",$T$3,";")</f>
        <v>IF employmnt_status IN ('Self Employed') then WoE_employmnt_status=-0.259245288982008;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A2E5-49F0-4A4E-8212-CE5F5BAA578F}">
  <dimension ref="A1:V23"/>
  <sheetViews>
    <sheetView topLeftCell="I1" workbookViewId="0">
      <selection activeCell="Q11" sqref="Q11"/>
    </sheetView>
  </sheetViews>
  <sheetFormatPr defaultRowHeight="15" x14ac:dyDescent="0.25"/>
  <cols>
    <col min="15" max="15" width="13.140625" bestFit="1" customWidth="1"/>
    <col min="16" max="16" width="13.42578125" bestFit="1" customWidth="1"/>
    <col min="17" max="17" width="15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50</v>
      </c>
      <c r="O1" s="3" t="s">
        <v>43</v>
      </c>
      <c r="P1" t="s">
        <v>45</v>
      </c>
      <c r="Q1" t="s">
        <v>46</v>
      </c>
      <c r="R1" t="s">
        <v>47</v>
      </c>
      <c r="S1" t="s">
        <v>48</v>
      </c>
      <c r="T1" t="s">
        <v>10</v>
      </c>
      <c r="U1" t="s">
        <v>49</v>
      </c>
    </row>
    <row r="2" spans="1:22" x14ac:dyDescent="0.25">
      <c r="A2" t="s">
        <v>29</v>
      </c>
      <c r="B2">
        <v>648</v>
      </c>
      <c r="C2">
        <v>19</v>
      </c>
      <c r="D2">
        <v>629</v>
      </c>
      <c r="E2">
        <v>11</v>
      </c>
      <c r="F2">
        <v>1.6975308642</v>
      </c>
      <c r="G2">
        <v>10.53</v>
      </c>
      <c r="H2">
        <v>1.43</v>
      </c>
      <c r="I2">
        <v>2</v>
      </c>
      <c r="J2">
        <v>9</v>
      </c>
      <c r="K2">
        <v>-1.9956148810000001</v>
      </c>
      <c r="L2">
        <v>18.151061630000001</v>
      </c>
      <c r="M2">
        <v>1</v>
      </c>
      <c r="O2" s="4">
        <v>1</v>
      </c>
      <c r="P2">
        <v>155</v>
      </c>
      <c r="Q2">
        <v>8</v>
      </c>
      <c r="R2">
        <f>P2/618</f>
        <v>0.25080906148867316</v>
      </c>
      <c r="S2">
        <f>Q2/19</f>
        <v>0.42105263157894735</v>
      </c>
      <c r="T2">
        <f>LOG10(R2/S2)</f>
        <v>-0.22499316295763896</v>
      </c>
      <c r="U2">
        <f>(R2-S2)*T2</f>
        <v>3.8303639307811291E-2</v>
      </c>
      <c r="V2" s="7"/>
    </row>
    <row r="3" spans="1:22" x14ac:dyDescent="0.25">
      <c r="A3" t="s">
        <v>30</v>
      </c>
      <c r="B3">
        <v>648</v>
      </c>
      <c r="C3">
        <v>19</v>
      </c>
      <c r="D3">
        <v>629</v>
      </c>
      <c r="E3">
        <v>29</v>
      </c>
      <c r="F3">
        <v>4.4753086419999999</v>
      </c>
      <c r="G3">
        <v>15.79</v>
      </c>
      <c r="H3">
        <v>4.13</v>
      </c>
      <c r="I3">
        <v>3</v>
      </c>
      <c r="J3">
        <v>26</v>
      </c>
      <c r="K3">
        <v>-1.3402080279999999</v>
      </c>
      <c r="L3">
        <v>15.621368782999999</v>
      </c>
      <c r="M3">
        <v>1</v>
      </c>
      <c r="O3" s="4">
        <v>2</v>
      </c>
      <c r="P3">
        <v>321</v>
      </c>
      <c r="Q3">
        <v>9</v>
      </c>
      <c r="R3">
        <f t="shared" ref="R3:R4" si="0">P3/618</f>
        <v>0.51941747572815533</v>
      </c>
      <c r="S3">
        <f t="shared" ref="S3:S4" si="1">Q3/19</f>
        <v>0.47368421052631576</v>
      </c>
      <c r="T3">
        <f>LOG10(R3/S3)</f>
        <v>4.002764882956035E-2</v>
      </c>
      <c r="U3">
        <f t="shared" ref="U3:U4" si="2">(R3-S3)*T3</f>
        <v>1.8305950793283867E-3</v>
      </c>
      <c r="V3" s="7"/>
    </row>
    <row r="4" spans="1:22" x14ac:dyDescent="0.25">
      <c r="A4" t="s">
        <v>31</v>
      </c>
      <c r="B4">
        <v>648</v>
      </c>
      <c r="C4">
        <v>19</v>
      </c>
      <c r="D4">
        <v>629</v>
      </c>
      <c r="E4">
        <v>123</v>
      </c>
      <c r="F4">
        <v>18.981481480999999</v>
      </c>
      <c r="G4">
        <v>15.79</v>
      </c>
      <c r="H4">
        <v>19.079999999999998</v>
      </c>
      <c r="I4">
        <v>3</v>
      </c>
      <c r="J4">
        <v>120</v>
      </c>
      <c r="K4">
        <v>0.18918717660000001</v>
      </c>
      <c r="L4">
        <v>0.6221283608</v>
      </c>
      <c r="M4">
        <v>1</v>
      </c>
      <c r="O4" s="4">
        <v>3</v>
      </c>
      <c r="P4">
        <v>153</v>
      </c>
      <c r="Q4">
        <v>2</v>
      </c>
      <c r="R4">
        <f t="shared" si="0"/>
        <v>0.24757281553398058</v>
      </c>
      <c r="S4">
        <f t="shared" si="1"/>
        <v>0.10526315789473684</v>
      </c>
      <c r="T4">
        <f>LOG10(R4/S4)</f>
        <v>0.37142656101763077</v>
      </c>
      <c r="U4">
        <f t="shared" si="2"/>
        <v>5.2857586736540715E-2</v>
      </c>
      <c r="V4" s="7"/>
    </row>
    <row r="5" spans="1:22" x14ac:dyDescent="0.25">
      <c r="A5" t="s">
        <v>32</v>
      </c>
      <c r="B5">
        <v>648</v>
      </c>
      <c r="C5">
        <v>19</v>
      </c>
      <c r="D5">
        <v>629</v>
      </c>
      <c r="E5">
        <v>99</v>
      </c>
      <c r="F5">
        <v>15.277777778000001</v>
      </c>
      <c r="G5">
        <v>10.53</v>
      </c>
      <c r="H5">
        <v>15.42</v>
      </c>
      <c r="I5">
        <v>2</v>
      </c>
      <c r="J5">
        <v>97</v>
      </c>
      <c r="K5">
        <v>0.3818715204</v>
      </c>
      <c r="L5">
        <v>1.8692564592000001</v>
      </c>
      <c r="M5">
        <v>2</v>
      </c>
      <c r="O5" s="4" t="s">
        <v>44</v>
      </c>
      <c r="P5">
        <v>629</v>
      </c>
      <c r="Q5">
        <v>19</v>
      </c>
      <c r="U5">
        <f>SUM(U2:U4)</f>
        <v>9.2991821123680402E-2</v>
      </c>
      <c r="V5" t="s">
        <v>63</v>
      </c>
    </row>
    <row r="6" spans="1:22" x14ac:dyDescent="0.25">
      <c r="A6" t="s">
        <v>33</v>
      </c>
      <c r="B6">
        <v>648</v>
      </c>
      <c r="C6">
        <v>19</v>
      </c>
      <c r="D6">
        <v>629</v>
      </c>
      <c r="E6">
        <v>87</v>
      </c>
      <c r="F6">
        <v>13.425925926</v>
      </c>
      <c r="G6">
        <v>10.53</v>
      </c>
      <c r="H6">
        <v>13.51</v>
      </c>
      <c r="I6">
        <v>2</v>
      </c>
      <c r="J6">
        <v>85</v>
      </c>
      <c r="K6">
        <v>0.24981179840000001</v>
      </c>
      <c r="L6">
        <v>0.74623723559999999</v>
      </c>
      <c r="M6">
        <v>2</v>
      </c>
    </row>
    <row r="7" spans="1:22" x14ac:dyDescent="0.25">
      <c r="A7" t="s">
        <v>34</v>
      </c>
      <c r="B7">
        <v>648</v>
      </c>
      <c r="C7">
        <v>19</v>
      </c>
      <c r="D7">
        <v>629</v>
      </c>
      <c r="E7">
        <v>144</v>
      </c>
      <c r="F7">
        <v>22.222222221999999</v>
      </c>
      <c r="G7">
        <v>26.32</v>
      </c>
      <c r="H7">
        <v>22.1</v>
      </c>
      <c r="I7">
        <v>5</v>
      </c>
      <c r="J7">
        <v>139</v>
      </c>
      <c r="K7">
        <v>-0.17465625700000001</v>
      </c>
      <c r="L7">
        <v>0.73656391470000004</v>
      </c>
      <c r="M7">
        <v>2</v>
      </c>
    </row>
    <row r="8" spans="1:22" x14ac:dyDescent="0.25">
      <c r="A8" t="s">
        <v>35</v>
      </c>
      <c r="B8">
        <v>648</v>
      </c>
      <c r="C8">
        <v>19</v>
      </c>
      <c r="D8">
        <v>629</v>
      </c>
      <c r="E8">
        <v>110</v>
      </c>
      <c r="F8">
        <v>16.975308642000002</v>
      </c>
      <c r="G8">
        <v>10.53</v>
      </c>
      <c r="H8">
        <v>17.170000000000002</v>
      </c>
      <c r="I8">
        <v>2</v>
      </c>
      <c r="J8">
        <v>108</v>
      </c>
      <c r="K8">
        <v>0.48929176899999999</v>
      </c>
      <c r="L8">
        <v>3.2507544523999998</v>
      </c>
      <c r="M8">
        <v>3</v>
      </c>
    </row>
    <row r="9" spans="1:22" x14ac:dyDescent="0.25">
      <c r="A9" t="s">
        <v>36</v>
      </c>
      <c r="B9">
        <v>648</v>
      </c>
      <c r="C9">
        <v>19</v>
      </c>
      <c r="D9">
        <v>629</v>
      </c>
      <c r="E9">
        <v>34</v>
      </c>
      <c r="F9">
        <v>5.2469135802000002</v>
      </c>
      <c r="G9">
        <v>0</v>
      </c>
      <c r="H9">
        <v>5.41</v>
      </c>
      <c r="I9">
        <v>0</v>
      </c>
      <c r="J9">
        <v>34</v>
      </c>
      <c r="M9">
        <v>3</v>
      </c>
    </row>
    <row r="10" spans="1:22" x14ac:dyDescent="0.25">
      <c r="A10" t="s">
        <v>59</v>
      </c>
      <c r="B10">
        <v>648</v>
      </c>
      <c r="C10">
        <v>19</v>
      </c>
      <c r="D10">
        <v>629</v>
      </c>
      <c r="E10">
        <v>10</v>
      </c>
      <c r="F10">
        <v>1.5432098765</v>
      </c>
      <c r="G10">
        <v>0</v>
      </c>
      <c r="H10">
        <v>1.59</v>
      </c>
      <c r="I10">
        <v>0</v>
      </c>
      <c r="J10">
        <v>10</v>
      </c>
      <c r="M10">
        <v>3</v>
      </c>
    </row>
    <row r="11" spans="1:22" x14ac:dyDescent="0.25">
      <c r="A11" t="s">
        <v>60</v>
      </c>
      <c r="B11">
        <v>648</v>
      </c>
      <c r="C11">
        <v>19</v>
      </c>
      <c r="D11">
        <v>629</v>
      </c>
      <c r="E11">
        <v>1</v>
      </c>
      <c r="F11">
        <v>0.1543209877</v>
      </c>
      <c r="G11">
        <v>0</v>
      </c>
      <c r="H11">
        <v>0.16</v>
      </c>
      <c r="I11">
        <v>0</v>
      </c>
      <c r="J11">
        <v>1</v>
      </c>
      <c r="M11">
        <v>3</v>
      </c>
    </row>
    <row r="13" spans="1:22" x14ac:dyDescent="0.25">
      <c r="O13" t="s">
        <v>61</v>
      </c>
    </row>
    <row r="14" spans="1:22" x14ac:dyDescent="0.25">
      <c r="O14" s="7" t="str">
        <f>+CONCATENATE("IF age_range IN ('",A2,"') then WoE_age_range=",$T$2,";Else")</f>
        <v>IF age_range IN ('18 to 20') then WoE_age_range=-0.224993162957639;Else</v>
      </c>
    </row>
    <row r="15" spans="1:22" x14ac:dyDescent="0.25">
      <c r="O15" s="7" t="str">
        <f>+CONCATENATE("IF age_range IN ('",A3,"') then WoE_age_range=",$T$2,";Else")</f>
        <v>IF age_range IN ('21 to 23') then WoE_age_range=-0.224993162957639;Else</v>
      </c>
    </row>
    <row r="16" spans="1:22" x14ac:dyDescent="0.25">
      <c r="O16" s="7" t="str">
        <f>+CONCATENATE("IF age_range IN ('",A4,"') then WoE_age_range=",$T$2,";Else")</f>
        <v>IF age_range IN ('24 to 30') then WoE_age_range=-0.224993162957639;Else</v>
      </c>
    </row>
    <row r="17" spans="15:15" x14ac:dyDescent="0.25">
      <c r="O17" s="7" t="str">
        <f>+CONCATENATE("IF age_range IN ('",A5,"') then WoE_age_range=",$T$3,";Else")</f>
        <v>IF age_range IN ('31 to 35') then WoE_age_range=0.0400276488295603;Else</v>
      </c>
    </row>
    <row r="18" spans="15:15" x14ac:dyDescent="0.25">
      <c r="O18" s="7" t="str">
        <f>+CONCATENATE("IF age_range IN ('",A6,"') then WoE_age_range=",$T$3,";Else")</f>
        <v>IF age_range IN ('36 to 40') then WoE_age_range=0.0400276488295603;Else</v>
      </c>
    </row>
    <row r="19" spans="15:15" x14ac:dyDescent="0.25">
      <c r="O19" s="7" t="str">
        <f>+CONCATENATE("IF age_range IN ('",A7,"') then WoE_age_range=",$T$3,";Else")</f>
        <v>IF age_range IN ('41 to 50') then WoE_age_range=0.0400276488295603;Else</v>
      </c>
    </row>
    <row r="20" spans="15:15" x14ac:dyDescent="0.25">
      <c r="O20" s="7" t="str">
        <f>+CONCATENATE("IF age_range IN ('",A8,"') then WoE_age_range=",$T$4,";Else")</f>
        <v>IF age_range IN ('51 to 60') then WoE_age_range=0.371426561017631;Else</v>
      </c>
    </row>
    <row r="21" spans="15:15" x14ac:dyDescent="0.25">
      <c r="O21" s="7" t="str">
        <f>+CONCATENATE("IF age_range IN ('",A9,"') then WoE_age_range=",$T$4,";Else")</f>
        <v>IF age_range IN ('61 to 70') then WoE_age_range=0.371426561017631;Else</v>
      </c>
    </row>
    <row r="22" spans="15:15" x14ac:dyDescent="0.25">
      <c r="O22" s="7" t="str">
        <f>+CONCATENATE("IF age_range IN ('",A10,"') then WoE_age_range=",$T$4,";Else")</f>
        <v>IF age_range IN ('71 to 80') then WoE_age_range=0.371426561017631;Else</v>
      </c>
    </row>
    <row r="23" spans="15:15" x14ac:dyDescent="0.25">
      <c r="O23" s="7" t="str">
        <f>+CONCATENATE("IF age_range IN ('",A11,"') then WoE_age_range=",$T$4,";")</f>
        <v>IF age_range IN ('Over 100') then WoE_age_range=0.371426561017631;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24FC-AD09-4478-BB97-F13844F128C6}">
  <sheetPr>
    <tabColor rgb="FF0070C0"/>
  </sheetPr>
  <dimension ref="A1:W11"/>
  <sheetViews>
    <sheetView topLeftCell="G1" workbookViewId="0">
      <selection activeCell="L19" sqref="L19"/>
    </sheetView>
  </sheetViews>
  <sheetFormatPr defaultRowHeight="15" x14ac:dyDescent="0.25"/>
  <cols>
    <col min="17" max="17" width="13.140625" bestFit="1" customWidth="1"/>
    <col min="18" max="18" width="13.42578125" bestFit="1" customWidth="1"/>
    <col min="19" max="19" width="11.7109375" bestFit="1" customWidth="1"/>
  </cols>
  <sheetData>
    <row r="1" spans="1:23" x14ac:dyDescent="0.25">
      <c r="A1" t="s">
        <v>37</v>
      </c>
      <c r="B1" t="s">
        <v>1</v>
      </c>
      <c r="C1" t="s">
        <v>38</v>
      </c>
      <c r="D1" t="s">
        <v>3</v>
      </c>
      <c r="E1" t="s">
        <v>4</v>
      </c>
      <c r="F1" t="s">
        <v>51</v>
      </c>
      <c r="G1" t="s">
        <v>39</v>
      </c>
      <c r="H1" t="s">
        <v>40</v>
      </c>
      <c r="I1" t="s">
        <v>6</v>
      </c>
      <c r="J1" t="s">
        <v>7</v>
      </c>
      <c r="K1" t="s">
        <v>41</v>
      </c>
      <c r="L1" t="s">
        <v>9</v>
      </c>
      <c r="M1" t="s">
        <v>10</v>
      </c>
      <c r="N1" t="s">
        <v>11</v>
      </c>
      <c r="O1" t="s">
        <v>50</v>
      </c>
      <c r="Q1" s="3" t="s">
        <v>43</v>
      </c>
      <c r="R1" t="s">
        <v>45</v>
      </c>
      <c r="S1" t="s">
        <v>52</v>
      </c>
      <c r="T1" t="s">
        <v>47</v>
      </c>
      <c r="U1" t="s">
        <v>48</v>
      </c>
      <c r="V1" t="s">
        <v>10</v>
      </c>
      <c r="W1" t="s">
        <v>49</v>
      </c>
    </row>
    <row r="2" spans="1:23" x14ac:dyDescent="0.25">
      <c r="A2">
        <v>1</v>
      </c>
      <c r="B2">
        <v>648</v>
      </c>
      <c r="C2">
        <v>19</v>
      </c>
      <c r="D2">
        <v>629</v>
      </c>
      <c r="E2">
        <v>9</v>
      </c>
      <c r="F2" s="5">
        <f>E2/648</f>
        <v>1.3888888888888888E-2</v>
      </c>
      <c r="G2">
        <v>2500</v>
      </c>
      <c r="H2">
        <v>2500</v>
      </c>
      <c r="I2">
        <v>0</v>
      </c>
      <c r="J2">
        <v>1.43</v>
      </c>
      <c r="K2">
        <v>0</v>
      </c>
      <c r="L2">
        <v>9</v>
      </c>
      <c r="O2">
        <v>1</v>
      </c>
      <c r="Q2" s="4">
        <v>1</v>
      </c>
      <c r="R2">
        <v>203</v>
      </c>
      <c r="S2">
        <v>12</v>
      </c>
      <c r="T2">
        <f>R2/629</f>
        <v>0.32273449920508746</v>
      </c>
      <c r="U2">
        <f>S2/19</f>
        <v>0.63157894736842102</v>
      </c>
      <c r="V2">
        <f>LN(T2/U2)</f>
        <v>-0.6713929482802129</v>
      </c>
      <c r="W2">
        <f>(T2-U2)*V2</f>
        <v>0.20735598461235591</v>
      </c>
    </row>
    <row r="3" spans="1:23" x14ac:dyDescent="0.25">
      <c r="A3">
        <v>2</v>
      </c>
      <c r="B3">
        <v>648</v>
      </c>
      <c r="C3">
        <v>19</v>
      </c>
      <c r="D3">
        <v>629</v>
      </c>
      <c r="E3">
        <v>4</v>
      </c>
      <c r="F3" s="5">
        <f>E3/648</f>
        <v>6.1728395061728392E-3</v>
      </c>
      <c r="G3">
        <v>6250</v>
      </c>
      <c r="H3">
        <v>6250</v>
      </c>
      <c r="I3">
        <v>0</v>
      </c>
      <c r="J3">
        <v>0.64</v>
      </c>
      <c r="K3">
        <v>0</v>
      </c>
      <c r="L3">
        <v>4</v>
      </c>
      <c r="O3">
        <v>1</v>
      </c>
      <c r="Q3" s="4">
        <v>2</v>
      </c>
      <c r="R3">
        <v>100</v>
      </c>
      <c r="S3">
        <v>3</v>
      </c>
      <c r="T3">
        <f t="shared" ref="T3:T4" si="0">R3/629</f>
        <v>0.1589825119236884</v>
      </c>
      <c r="U3">
        <f t="shared" ref="U3:U4" si="1">S3/19</f>
        <v>0.15789473684210525</v>
      </c>
      <c r="V3">
        <f t="shared" ref="V3:V4" si="2">LN(T3/U3)</f>
        <v>6.865619785981737E-3</v>
      </c>
      <c r="W3">
        <f t="shared" ref="W3:W4" si="3">(T3-U3)*V3</f>
        <v>7.4682501228151195E-6</v>
      </c>
    </row>
    <row r="4" spans="1:23" x14ac:dyDescent="0.25">
      <c r="A4">
        <v>3</v>
      </c>
      <c r="B4">
        <v>648</v>
      </c>
      <c r="C4">
        <v>19</v>
      </c>
      <c r="D4">
        <v>629</v>
      </c>
      <c r="E4">
        <v>6</v>
      </c>
      <c r="F4" s="5">
        <f t="shared" ref="F4:F11" si="4">E4/648</f>
        <v>9.2592592592592587E-3</v>
      </c>
      <c r="G4">
        <v>8750</v>
      </c>
      <c r="H4">
        <v>8750</v>
      </c>
      <c r="I4">
        <v>0</v>
      </c>
      <c r="J4">
        <v>0.95</v>
      </c>
      <c r="K4">
        <v>0</v>
      </c>
      <c r="L4">
        <v>6</v>
      </c>
      <c r="O4">
        <v>1</v>
      </c>
      <c r="Q4" s="4">
        <v>3</v>
      </c>
      <c r="R4">
        <v>326</v>
      </c>
      <c r="S4">
        <v>4</v>
      </c>
      <c r="T4">
        <f t="shared" si="0"/>
        <v>0.51828298887122415</v>
      </c>
      <c r="U4">
        <f t="shared" si="1"/>
        <v>0.21052631578947367</v>
      </c>
      <c r="V4">
        <f t="shared" si="2"/>
        <v>0.9009107427128169</v>
      </c>
      <c r="W4">
        <f t="shared" si="3"/>
        <v>0.2772612929209054</v>
      </c>
    </row>
    <row r="5" spans="1:23" x14ac:dyDescent="0.25">
      <c r="A5">
        <v>4</v>
      </c>
      <c r="B5">
        <v>648</v>
      </c>
      <c r="C5">
        <v>19</v>
      </c>
      <c r="D5">
        <v>629</v>
      </c>
      <c r="E5">
        <v>43</v>
      </c>
      <c r="F5" s="5">
        <f t="shared" si="4"/>
        <v>6.6358024691358028E-2</v>
      </c>
      <c r="G5">
        <v>14000</v>
      </c>
      <c r="H5">
        <v>14000</v>
      </c>
      <c r="I5">
        <v>21.05</v>
      </c>
      <c r="J5">
        <v>6.2</v>
      </c>
      <c r="K5">
        <v>4</v>
      </c>
      <c r="L5">
        <v>39</v>
      </c>
      <c r="M5">
        <v>-1.222424993</v>
      </c>
      <c r="N5">
        <v>18.155839358000001</v>
      </c>
      <c r="O5">
        <v>1</v>
      </c>
      <c r="Q5" s="4" t="s">
        <v>44</v>
      </c>
      <c r="R5">
        <v>629</v>
      </c>
      <c r="S5">
        <v>19</v>
      </c>
      <c r="W5">
        <f>SUM(W2:W4)</f>
        <v>0.4846247457833841</v>
      </c>
    </row>
    <row r="6" spans="1:23" x14ac:dyDescent="0.25">
      <c r="A6">
        <v>5</v>
      </c>
      <c r="B6">
        <v>648</v>
      </c>
      <c r="C6">
        <v>19</v>
      </c>
      <c r="D6">
        <v>629</v>
      </c>
      <c r="E6">
        <v>153</v>
      </c>
      <c r="F6" s="5">
        <f t="shared" si="4"/>
        <v>0.2361111111111111</v>
      </c>
      <c r="G6">
        <v>22500</v>
      </c>
      <c r="H6">
        <v>22500</v>
      </c>
      <c r="I6">
        <v>42.11</v>
      </c>
      <c r="J6">
        <v>23.05</v>
      </c>
      <c r="K6">
        <v>8</v>
      </c>
      <c r="L6">
        <v>145</v>
      </c>
      <c r="M6">
        <v>-0.60240007699999998</v>
      </c>
      <c r="N6">
        <v>11.477407538</v>
      </c>
      <c r="O6">
        <v>1</v>
      </c>
    </row>
    <row r="7" spans="1:23" x14ac:dyDescent="0.25">
      <c r="A7">
        <v>6</v>
      </c>
      <c r="B7">
        <v>648</v>
      </c>
      <c r="C7">
        <v>19</v>
      </c>
      <c r="D7">
        <v>629</v>
      </c>
      <c r="E7">
        <v>103</v>
      </c>
      <c r="F7" s="5">
        <f t="shared" si="4"/>
        <v>0.15895061728395063</v>
      </c>
      <c r="G7">
        <v>27500</v>
      </c>
      <c r="H7">
        <v>27500</v>
      </c>
      <c r="I7">
        <v>15.79</v>
      </c>
      <c r="J7">
        <v>15.9</v>
      </c>
      <c r="K7">
        <v>3</v>
      </c>
      <c r="L7">
        <v>100</v>
      </c>
      <c r="M7">
        <v>6.8656198000000002E-3</v>
      </c>
      <c r="N7">
        <v>7.4682500000000001E-4</v>
      </c>
      <c r="O7">
        <v>2</v>
      </c>
    </row>
    <row r="8" spans="1:23" x14ac:dyDescent="0.25">
      <c r="A8">
        <v>7</v>
      </c>
      <c r="B8">
        <v>648</v>
      </c>
      <c r="C8">
        <v>19</v>
      </c>
      <c r="D8">
        <v>629</v>
      </c>
      <c r="E8">
        <v>123</v>
      </c>
      <c r="F8" s="5">
        <f t="shared" si="4"/>
        <v>0.18981481481481483</v>
      </c>
      <c r="G8">
        <v>35000</v>
      </c>
      <c r="H8">
        <v>35000</v>
      </c>
      <c r="I8">
        <v>21.05</v>
      </c>
      <c r="J8">
        <v>18.920000000000002</v>
      </c>
      <c r="K8">
        <v>4</v>
      </c>
      <c r="L8">
        <v>119</v>
      </c>
      <c r="M8">
        <v>-0.10686314600000001</v>
      </c>
      <c r="N8">
        <v>0.22801524649999999</v>
      </c>
      <c r="O8">
        <v>3</v>
      </c>
    </row>
    <row r="9" spans="1:23" x14ac:dyDescent="0.25">
      <c r="A9">
        <v>8</v>
      </c>
      <c r="B9">
        <v>648</v>
      </c>
      <c r="C9">
        <v>19</v>
      </c>
      <c r="D9">
        <v>629</v>
      </c>
      <c r="E9">
        <v>78</v>
      </c>
      <c r="F9" s="5">
        <f t="shared" si="4"/>
        <v>0.12037037037037036</v>
      </c>
      <c r="G9">
        <v>45000</v>
      </c>
      <c r="H9">
        <v>45000</v>
      </c>
      <c r="I9">
        <v>0</v>
      </c>
      <c r="J9">
        <v>12.4</v>
      </c>
      <c r="K9">
        <v>0</v>
      </c>
      <c r="L9">
        <v>78</v>
      </c>
      <c r="O9">
        <v>3</v>
      </c>
    </row>
    <row r="10" spans="1:23" x14ac:dyDescent="0.25">
      <c r="A10">
        <v>9</v>
      </c>
      <c r="B10">
        <v>648</v>
      </c>
      <c r="C10">
        <v>19</v>
      </c>
      <c r="D10">
        <v>629</v>
      </c>
      <c r="E10">
        <v>77</v>
      </c>
      <c r="F10" s="5">
        <f t="shared" si="4"/>
        <v>0.11882716049382716</v>
      </c>
      <c r="G10">
        <v>60000</v>
      </c>
      <c r="H10">
        <v>60000</v>
      </c>
      <c r="I10">
        <v>0</v>
      </c>
      <c r="J10">
        <v>12.24</v>
      </c>
      <c r="K10">
        <v>0</v>
      </c>
      <c r="L10">
        <v>77</v>
      </c>
      <c r="O10">
        <v>3</v>
      </c>
    </row>
    <row r="11" spans="1:23" x14ac:dyDescent="0.25">
      <c r="A11">
        <v>10</v>
      </c>
      <c r="B11">
        <v>648</v>
      </c>
      <c r="C11">
        <v>19</v>
      </c>
      <c r="D11">
        <v>629</v>
      </c>
      <c r="E11">
        <v>52</v>
      </c>
      <c r="F11" s="5">
        <f t="shared" si="4"/>
        <v>8.0246913580246909E-2</v>
      </c>
      <c r="G11">
        <v>85000</v>
      </c>
      <c r="H11">
        <v>85000</v>
      </c>
      <c r="I11">
        <v>0</v>
      </c>
      <c r="J11">
        <v>8.27</v>
      </c>
      <c r="K11">
        <v>0</v>
      </c>
      <c r="L11">
        <v>52</v>
      </c>
      <c r="O11">
        <v>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B44B-1BD9-4CC8-A861-9EC9DC069D9C}">
  <sheetPr>
    <tabColor rgb="FFC00000"/>
  </sheetPr>
  <dimension ref="A1:X13"/>
  <sheetViews>
    <sheetView tabSelected="1" topLeftCell="L1" workbookViewId="0">
      <selection activeCell="X5" sqref="X5"/>
    </sheetView>
  </sheetViews>
  <sheetFormatPr defaultRowHeight="15" x14ac:dyDescent="0.25"/>
  <cols>
    <col min="6" max="6" width="9.140625" style="6"/>
    <col min="17" max="17" width="13.140625" bestFit="1" customWidth="1"/>
    <col min="18" max="18" width="13.42578125" bestFit="1" customWidth="1"/>
    <col min="19" max="19" width="11.7109375" bestFit="1" customWidth="1"/>
  </cols>
  <sheetData>
    <row r="1" spans="1:24" x14ac:dyDescent="0.25">
      <c r="A1" t="s">
        <v>37</v>
      </c>
      <c r="B1" t="s">
        <v>1</v>
      </c>
      <c r="C1" t="s">
        <v>38</v>
      </c>
      <c r="D1" t="s">
        <v>3</v>
      </c>
      <c r="E1" t="s">
        <v>4</v>
      </c>
      <c r="F1" s="6" t="s">
        <v>51</v>
      </c>
      <c r="G1" t="s">
        <v>39</v>
      </c>
      <c r="H1" t="s">
        <v>40</v>
      </c>
      <c r="I1" t="s">
        <v>6</v>
      </c>
      <c r="J1" t="s">
        <v>7</v>
      </c>
      <c r="K1" t="s">
        <v>41</v>
      </c>
      <c r="L1" t="s">
        <v>9</v>
      </c>
      <c r="M1" t="s">
        <v>10</v>
      </c>
      <c r="N1" t="s">
        <v>11</v>
      </c>
      <c r="O1" t="s">
        <v>50</v>
      </c>
      <c r="Q1" s="3" t="s">
        <v>43</v>
      </c>
      <c r="R1" t="s">
        <v>45</v>
      </c>
      <c r="S1" t="s">
        <v>52</v>
      </c>
      <c r="T1" t="s">
        <v>47</v>
      </c>
      <c r="U1" t="s">
        <v>48</v>
      </c>
      <c r="V1" t="s">
        <v>10</v>
      </c>
      <c r="W1" t="s">
        <v>49</v>
      </c>
    </row>
    <row r="2" spans="1:24" x14ac:dyDescent="0.25">
      <c r="A2">
        <v>5</v>
      </c>
      <c r="B2">
        <v>648</v>
      </c>
      <c r="C2">
        <v>19</v>
      </c>
      <c r="D2">
        <v>629</v>
      </c>
      <c r="E2">
        <v>9</v>
      </c>
      <c r="F2" s="5">
        <f>E2/648</f>
        <v>1.3888888888888888E-2</v>
      </c>
      <c r="G2">
        <v>8</v>
      </c>
      <c r="H2">
        <v>10</v>
      </c>
      <c r="I2">
        <v>10.53</v>
      </c>
      <c r="J2">
        <v>1.1100000000000001</v>
      </c>
      <c r="K2">
        <v>2</v>
      </c>
      <c r="L2">
        <v>7</v>
      </c>
      <c r="M2">
        <v>-2.246929309</v>
      </c>
      <c r="N2">
        <v>21.151330204000001</v>
      </c>
      <c r="O2">
        <v>1</v>
      </c>
      <c r="Q2" s="4">
        <v>1</v>
      </c>
      <c r="R2">
        <v>128</v>
      </c>
      <c r="S2">
        <v>5</v>
      </c>
      <c r="T2">
        <f>R2/629</f>
        <v>0.20349761526232116</v>
      </c>
      <c r="U2">
        <f>S2/19</f>
        <v>0.26315789473684209</v>
      </c>
      <c r="V2">
        <f>LOG10(T2/U2)</f>
        <v>-0.11165707918059034</v>
      </c>
      <c r="W2">
        <f>(T2-U2)*V2</f>
        <v>6.6614925492227322E-3</v>
      </c>
    </row>
    <row r="3" spans="1:24" x14ac:dyDescent="0.25">
      <c r="A3">
        <v>11</v>
      </c>
      <c r="B3">
        <v>648</v>
      </c>
      <c r="C3">
        <v>19</v>
      </c>
      <c r="D3">
        <v>629</v>
      </c>
      <c r="E3">
        <v>10</v>
      </c>
      <c r="F3" s="5">
        <f t="shared" ref="F3:F13" si="0">E3/648</f>
        <v>1.5432098765432098E-2</v>
      </c>
      <c r="G3">
        <v>12</v>
      </c>
      <c r="H3">
        <v>12</v>
      </c>
      <c r="I3">
        <v>5.26</v>
      </c>
      <c r="J3">
        <v>1.43</v>
      </c>
      <c r="K3">
        <v>1</v>
      </c>
      <c r="L3">
        <v>9</v>
      </c>
      <c r="M3">
        <v>-1.3024677</v>
      </c>
      <c r="N3">
        <v>4.9914668787999998</v>
      </c>
      <c r="O3">
        <v>1</v>
      </c>
      <c r="Q3" s="4">
        <v>2</v>
      </c>
      <c r="R3">
        <v>501</v>
      </c>
      <c r="S3">
        <v>14</v>
      </c>
      <c r="T3">
        <f t="shared" ref="T3" si="1">R3/629</f>
        <v>0.79650238473767887</v>
      </c>
      <c r="U3">
        <f t="shared" ref="U3" si="2">S3/19</f>
        <v>0.73684210526315785</v>
      </c>
      <c r="V3">
        <f>LOG10(T3/U3)</f>
        <v>3.3812645696567722E-2</v>
      </c>
      <c r="W3">
        <f>(T3-U3)*V3</f>
        <v>2.0172718920301908E-3</v>
      </c>
    </row>
    <row r="4" spans="1:24" x14ac:dyDescent="0.25">
      <c r="A4">
        <v>8</v>
      </c>
      <c r="B4">
        <v>648</v>
      </c>
      <c r="C4">
        <v>19</v>
      </c>
      <c r="D4">
        <v>629</v>
      </c>
      <c r="E4">
        <v>14</v>
      </c>
      <c r="F4" s="5">
        <f t="shared" si="0"/>
        <v>2.1604938271604937E-2</v>
      </c>
      <c r="G4">
        <v>18</v>
      </c>
      <c r="H4">
        <v>20</v>
      </c>
      <c r="I4">
        <v>0</v>
      </c>
      <c r="J4">
        <v>2.23</v>
      </c>
      <c r="K4">
        <v>0</v>
      </c>
      <c r="L4">
        <v>14</v>
      </c>
      <c r="O4">
        <v>1</v>
      </c>
      <c r="Q4" s="4" t="s">
        <v>44</v>
      </c>
      <c r="R4">
        <v>629</v>
      </c>
      <c r="S4">
        <v>19</v>
      </c>
    </row>
    <row r="5" spans="1:24" x14ac:dyDescent="0.25">
      <c r="A5">
        <v>1</v>
      </c>
      <c r="B5">
        <v>648</v>
      </c>
      <c r="C5">
        <v>19</v>
      </c>
      <c r="D5">
        <v>629</v>
      </c>
      <c r="E5">
        <v>90</v>
      </c>
      <c r="F5" s="5">
        <f t="shared" si="0"/>
        <v>0.1388888888888889</v>
      </c>
      <c r="G5">
        <v>24</v>
      </c>
      <c r="H5">
        <v>25</v>
      </c>
      <c r="I5">
        <v>10.53</v>
      </c>
      <c r="J5">
        <v>13.99</v>
      </c>
      <c r="K5">
        <v>2</v>
      </c>
      <c r="L5">
        <v>88</v>
      </c>
      <c r="M5">
        <v>0.28449735640000001</v>
      </c>
      <c r="N5">
        <v>0.98554016850000004</v>
      </c>
      <c r="O5">
        <v>1</v>
      </c>
      <c r="W5">
        <f>SUM(W2:W3)</f>
        <v>8.6787644412529234E-3</v>
      </c>
      <c r="X5" t="s">
        <v>67</v>
      </c>
    </row>
    <row r="6" spans="1:24" x14ac:dyDescent="0.25">
      <c r="A6">
        <v>9</v>
      </c>
      <c r="B6">
        <v>648</v>
      </c>
      <c r="C6">
        <v>19</v>
      </c>
      <c r="D6">
        <v>629</v>
      </c>
      <c r="E6">
        <v>10</v>
      </c>
      <c r="F6" s="5">
        <f t="shared" si="0"/>
        <v>1.5432098765432098E-2</v>
      </c>
      <c r="G6">
        <v>28</v>
      </c>
      <c r="H6">
        <v>31</v>
      </c>
      <c r="I6">
        <v>0</v>
      </c>
      <c r="J6">
        <v>1.59</v>
      </c>
      <c r="K6">
        <v>0</v>
      </c>
      <c r="L6">
        <v>10</v>
      </c>
      <c r="O6">
        <v>1</v>
      </c>
    </row>
    <row r="7" spans="1:24" x14ac:dyDescent="0.25">
      <c r="A7">
        <v>10</v>
      </c>
      <c r="B7">
        <v>648</v>
      </c>
      <c r="C7">
        <v>19</v>
      </c>
      <c r="D7">
        <v>629</v>
      </c>
      <c r="E7">
        <v>4</v>
      </c>
      <c r="F7" s="5">
        <f t="shared" si="0"/>
        <v>6.1728395061728392E-3</v>
      </c>
      <c r="G7">
        <v>32</v>
      </c>
      <c r="H7">
        <v>34</v>
      </c>
      <c r="I7">
        <v>0</v>
      </c>
      <c r="J7">
        <v>0.64</v>
      </c>
      <c r="K7">
        <v>0</v>
      </c>
      <c r="L7">
        <v>4</v>
      </c>
      <c r="O7">
        <v>2</v>
      </c>
    </row>
    <row r="8" spans="1:24" x14ac:dyDescent="0.25">
      <c r="A8">
        <v>3</v>
      </c>
      <c r="B8">
        <v>648</v>
      </c>
      <c r="C8">
        <v>19</v>
      </c>
      <c r="D8">
        <v>629</v>
      </c>
      <c r="E8">
        <v>143</v>
      </c>
      <c r="F8" s="5">
        <f t="shared" si="0"/>
        <v>0.22067901234567902</v>
      </c>
      <c r="G8">
        <v>35</v>
      </c>
      <c r="H8">
        <v>38</v>
      </c>
      <c r="I8">
        <v>21.05</v>
      </c>
      <c r="J8">
        <v>22.1</v>
      </c>
      <c r="K8">
        <v>4</v>
      </c>
      <c r="L8">
        <v>139</v>
      </c>
      <c r="M8">
        <v>4.84872945E-2</v>
      </c>
      <c r="N8">
        <v>5.0714683400000002E-2</v>
      </c>
      <c r="O8">
        <v>2</v>
      </c>
    </row>
    <row r="9" spans="1:24" x14ac:dyDescent="0.25">
      <c r="A9">
        <v>7</v>
      </c>
      <c r="B9">
        <v>648</v>
      </c>
      <c r="C9">
        <v>19</v>
      </c>
      <c r="D9">
        <v>629</v>
      </c>
      <c r="E9">
        <v>13</v>
      </c>
      <c r="F9" s="5">
        <f t="shared" si="0"/>
        <v>2.0061728395061727E-2</v>
      </c>
      <c r="G9">
        <v>40</v>
      </c>
      <c r="H9">
        <v>44</v>
      </c>
      <c r="I9">
        <v>0</v>
      </c>
      <c r="J9">
        <v>2.0699999999999998</v>
      </c>
      <c r="K9">
        <v>0</v>
      </c>
      <c r="L9">
        <v>13</v>
      </c>
      <c r="O9">
        <v>2</v>
      </c>
    </row>
    <row r="10" spans="1:24" x14ac:dyDescent="0.25">
      <c r="A10">
        <v>4</v>
      </c>
      <c r="B10">
        <v>648</v>
      </c>
      <c r="C10">
        <v>19</v>
      </c>
      <c r="D10">
        <v>629</v>
      </c>
      <c r="E10">
        <v>329</v>
      </c>
      <c r="F10" s="5">
        <f t="shared" si="0"/>
        <v>0.50771604938271608</v>
      </c>
      <c r="G10">
        <v>45</v>
      </c>
      <c r="H10">
        <v>48</v>
      </c>
      <c r="I10">
        <v>52.63</v>
      </c>
      <c r="J10">
        <v>50.72</v>
      </c>
      <c r="K10">
        <v>10</v>
      </c>
      <c r="L10">
        <v>319</v>
      </c>
      <c r="M10">
        <v>-3.7086267999999999E-2</v>
      </c>
      <c r="N10">
        <v>7.1063135400000005E-2</v>
      </c>
      <c r="O10">
        <v>2</v>
      </c>
    </row>
    <row r="11" spans="1:24" x14ac:dyDescent="0.25">
      <c r="A11">
        <v>6</v>
      </c>
      <c r="B11">
        <v>648</v>
      </c>
      <c r="C11">
        <v>19</v>
      </c>
      <c r="D11">
        <v>629</v>
      </c>
      <c r="E11">
        <v>24</v>
      </c>
      <c r="F11" s="5">
        <f t="shared" si="0"/>
        <v>3.7037037037037035E-2</v>
      </c>
      <c r="G11">
        <v>60</v>
      </c>
      <c r="H11">
        <v>60</v>
      </c>
      <c r="I11">
        <v>0</v>
      </c>
      <c r="J11">
        <v>3.82</v>
      </c>
      <c r="K11">
        <v>0</v>
      </c>
      <c r="L11">
        <v>24</v>
      </c>
      <c r="O11">
        <v>2</v>
      </c>
      <c r="R11" t="s">
        <v>62</v>
      </c>
    </row>
    <row r="12" spans="1:24" x14ac:dyDescent="0.25">
      <c r="A12">
        <v>12</v>
      </c>
      <c r="B12">
        <v>648</v>
      </c>
      <c r="C12">
        <v>19</v>
      </c>
      <c r="D12">
        <v>629</v>
      </c>
      <c r="E12">
        <v>1</v>
      </c>
      <c r="F12" s="5">
        <f t="shared" si="0"/>
        <v>1.5432098765432098E-3</v>
      </c>
      <c r="G12">
        <v>72</v>
      </c>
      <c r="H12">
        <v>72</v>
      </c>
      <c r="I12">
        <v>0</v>
      </c>
      <c r="J12">
        <v>0.16</v>
      </c>
      <c r="K12">
        <v>0</v>
      </c>
      <c r="L12">
        <v>1</v>
      </c>
      <c r="O12">
        <v>2</v>
      </c>
      <c r="R12" t="str">
        <f>+CONCATENATE("IF term &lt;",ROUND(G7,6)," then WoE_term =",V2,";Else")</f>
        <v>IF term &lt;32 then WoE_term =-0.11165707918059;Else</v>
      </c>
    </row>
    <row r="13" spans="1:24" x14ac:dyDescent="0.25">
      <c r="A13">
        <v>2</v>
      </c>
      <c r="B13">
        <v>648</v>
      </c>
      <c r="C13">
        <v>19</v>
      </c>
      <c r="D13">
        <v>629</v>
      </c>
      <c r="E13">
        <v>1</v>
      </c>
      <c r="F13" s="5">
        <f t="shared" si="0"/>
        <v>1.5432098765432098E-3</v>
      </c>
      <c r="G13">
        <v>9999</v>
      </c>
      <c r="H13">
        <v>9999</v>
      </c>
      <c r="I13">
        <v>0</v>
      </c>
      <c r="J13">
        <v>0.16</v>
      </c>
      <c r="K13">
        <v>0</v>
      </c>
      <c r="L13">
        <v>1</v>
      </c>
      <c r="O13">
        <v>2</v>
      </c>
      <c r="R13" t="str">
        <f>+CONCATENATE("IF term &gt;=",ROUND(G7,6)," then WoE_term=",V3,";")</f>
        <v>IF term &gt;=32 then WoE_term=0.0338126456965677;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capbal</vt:lpstr>
      <vt:lpstr>loan</vt:lpstr>
      <vt:lpstr>overdue</vt:lpstr>
      <vt:lpstr>payment_plan</vt:lpstr>
      <vt:lpstr>gross_income</vt:lpstr>
      <vt:lpstr>employmnt_status</vt:lpstr>
      <vt:lpstr>age_range</vt:lpstr>
      <vt:lpstr>gross_income2</vt:lpstr>
      <vt:lpstr>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D K</dc:creator>
  <cp:lastModifiedBy>Roshan Deepak Kachwal (student)</cp:lastModifiedBy>
  <dcterms:created xsi:type="dcterms:W3CDTF">2015-06-05T18:17:20Z</dcterms:created>
  <dcterms:modified xsi:type="dcterms:W3CDTF">2023-09-04T14:12:23Z</dcterms:modified>
</cp:coreProperties>
</file>