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dmin\Desktop\mini project\mini project files for references\"/>
    </mc:Choice>
  </mc:AlternateContent>
  <xr:revisionPtr revIDLastSave="0" documentId="13_ncr:1_{0F5E0581-80DD-46DD-AF1F-DD1F4BD484FB}" xr6:coauthVersionLast="47" xr6:coauthVersionMax="47" xr10:uidLastSave="{00000000-0000-0000-0000-000000000000}"/>
  <bookViews>
    <workbookView xWindow="-120" yWindow="-120" windowWidth="20730" windowHeight="11160" tabRatio="494" firstSheet="1" activeTab="3" xr2:uid="{00000000-000D-0000-FFFF-FFFF00000000}"/>
  </bookViews>
  <sheets>
    <sheet name="Cash flow and assets" sheetId="6" r:id="rId1"/>
    <sheet name="Goals analysis" sheetId="1" r:id="rId2"/>
    <sheet name="Cash flow projection" sheetId="7" r:id="rId3"/>
    <sheet name="Passive income projection" sheetId="12" r:id="rId4"/>
    <sheet name="Disclaimer" sheetId="11" r:id="rId5"/>
    <sheet name="Calculation data" sheetId="10" state="hidden" r:id="rId6"/>
  </sheets>
  <definedNames>
    <definedName name="E">'Cash flow and assets'!$C$36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12" l="1"/>
  <c r="G10" i="12"/>
  <c r="G9" i="12"/>
  <c r="G8" i="12"/>
  <c r="F8" i="12"/>
  <c r="U7" i="7"/>
  <c r="Y8" i="7"/>
  <c r="P9" i="7"/>
  <c r="W9" i="7"/>
  <c r="U9" i="7"/>
  <c r="C18" i="1"/>
  <c r="C14" i="1"/>
  <c r="G18" i="6"/>
  <c r="J7" i="7"/>
  <c r="L7" i="7"/>
  <c r="C16" i="1"/>
  <c r="C50" i="1"/>
  <c r="C33" i="1"/>
  <c r="C26" i="6"/>
  <c r="C8" i="7" l="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B8" i="7"/>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8" i="12" l="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C8" i="12"/>
  <c r="C9" i="12" s="1"/>
  <c r="C10" i="12" s="1"/>
  <c r="C11" i="12" s="1"/>
  <c r="C12" i="12" s="1"/>
  <c r="C13" i="12" s="1"/>
  <c r="C14" i="12" s="1"/>
  <c r="C15" i="12" s="1"/>
  <c r="C16" i="12" s="1"/>
  <c r="C17" i="12" s="1"/>
  <c r="C18" i="12" s="1"/>
  <c r="C19" i="12" s="1"/>
  <c r="C20" i="12" s="1"/>
  <c r="C21" i="12" s="1"/>
  <c r="C22" i="12" s="1"/>
  <c r="C23" i="12" s="1"/>
  <c r="C24" i="12" s="1"/>
  <c r="C25" i="12" s="1"/>
  <c r="C26" i="12" s="1"/>
  <c r="C27" i="12" s="1"/>
  <c r="C28" i="12" s="1"/>
  <c r="C29" i="12" s="1"/>
  <c r="C30" i="12" s="1"/>
  <c r="C31" i="12" s="1"/>
  <c r="C32" i="12" s="1"/>
  <c r="C33" i="12" s="1"/>
  <c r="C34" i="12" s="1"/>
  <c r="C35" i="12" s="1"/>
  <c r="C36" i="12" s="1"/>
  <c r="C37" i="12" s="1"/>
  <c r="C38" i="12" s="1"/>
  <c r="C39" i="12" s="1"/>
  <c r="C40" i="12" s="1"/>
  <c r="C41" i="12" s="1"/>
  <c r="C42" i="12" s="1"/>
  <c r="C43" i="12" s="1"/>
  <c r="C44" i="12" s="1"/>
  <c r="C45" i="12" s="1"/>
  <c r="C46" i="12" s="1"/>
  <c r="C47" i="12" s="1"/>
  <c r="C48" i="12" s="1"/>
  <c r="C49" i="12" s="1"/>
  <c r="F7" i="7"/>
  <c r="F8" i="7" s="1"/>
  <c r="F9" i="7" s="1"/>
  <c r="F10" i="7" s="1"/>
  <c r="F11" i="7" s="1"/>
  <c r="F12" i="7" s="1"/>
  <c r="F13" i="7" s="1"/>
  <c r="F15" i="7" s="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F41" i="7" s="1"/>
  <c r="F42" i="7" s="1"/>
  <c r="F43" i="7" s="1"/>
  <c r="F44" i="7" s="1"/>
  <c r="F45" i="7" s="1"/>
  <c r="F46" i="7" s="1"/>
  <c r="F47" i="7" s="1"/>
  <c r="F48" i="7" s="1"/>
  <c r="F49" i="7" s="1"/>
  <c r="S7" i="7"/>
  <c r="S8" i="7" s="1"/>
  <c r="S9" i="7" s="1"/>
  <c r="S10" i="7" s="1"/>
  <c r="AG6" i="1"/>
  <c r="AH6" i="1"/>
  <c r="AI6" i="1"/>
  <c r="AG7" i="1"/>
  <c r="AH7" i="1"/>
  <c r="AI7" i="1"/>
  <c r="AG9" i="1"/>
  <c r="AH9" i="1"/>
  <c r="AI9" i="1"/>
  <c r="AG12" i="1"/>
  <c r="AH12" i="1"/>
  <c r="AI12" i="1"/>
  <c r="AF6" i="1"/>
  <c r="AF7" i="1"/>
  <c r="AF9" i="1"/>
  <c r="AF12" i="1"/>
  <c r="AI4" i="1"/>
  <c r="AI3" i="1"/>
  <c r="AH4" i="1"/>
  <c r="AH3" i="1"/>
  <c r="AG4" i="1"/>
  <c r="AG3" i="1"/>
  <c r="AF4" i="1"/>
  <c r="AF3" i="1"/>
  <c r="AD7" i="1"/>
  <c r="AD6" i="1"/>
  <c r="AE6" i="1"/>
  <c r="AE7" i="1"/>
  <c r="AD9" i="1"/>
  <c r="AE9" i="1"/>
  <c r="AD12" i="1"/>
  <c r="AE12" i="1"/>
  <c r="AE4" i="1"/>
  <c r="AE3" i="1"/>
  <c r="AD4" i="1"/>
  <c r="AD3" i="1"/>
  <c r="AC20" i="1"/>
  <c r="AC5" i="1"/>
  <c r="AC9" i="1"/>
  <c r="AC11" i="1"/>
  <c r="AC12" i="1"/>
  <c r="AC13" i="1"/>
  <c r="AC17" i="1"/>
  <c r="AC4" i="1"/>
  <c r="AC3" i="1"/>
  <c r="AB3" i="1"/>
  <c r="AA3" i="1"/>
  <c r="AB6" i="1"/>
  <c r="AB7" i="1"/>
  <c r="AB9" i="1"/>
  <c r="AB12" i="1"/>
  <c r="AB4" i="1"/>
  <c r="AA6" i="1"/>
  <c r="AA7" i="1"/>
  <c r="AA9" i="1"/>
  <c r="AA12" i="1"/>
  <c r="AA4" i="1"/>
  <c r="AC6" i="1"/>
  <c r="R7" i="7"/>
  <c r="G7" i="7"/>
  <c r="G8" i="7" s="1"/>
  <c r="G9" i="7" s="1"/>
  <c r="G10" i="7" s="1"/>
  <c r="AI10" i="1"/>
  <c r="AG10" i="1"/>
  <c r="AF10" i="1"/>
  <c r="AE10" i="1"/>
  <c r="C48" i="1"/>
  <c r="AD10" i="1" s="1"/>
  <c r="C31" i="1"/>
  <c r="AB10" i="1" s="1"/>
  <c r="AA10" i="1"/>
  <c r="F6" i="7"/>
  <c r="L6" i="7"/>
  <c r="K6" i="7"/>
  <c r="J6" i="7"/>
  <c r="I6" i="7"/>
  <c r="H6" i="7"/>
  <c r="C59" i="1"/>
  <c r="O4" i="7"/>
  <c r="N4" i="7"/>
  <c r="M4" i="7"/>
  <c r="C27" i="6"/>
  <c r="B59" i="1"/>
  <c r="B50" i="1"/>
  <c r="B33" i="1"/>
  <c r="B16" i="1"/>
  <c r="L8" i="7"/>
  <c r="L9" i="7" s="1"/>
  <c r="L10" i="7" s="1"/>
  <c r="L11" i="7" s="1"/>
  <c r="L12" i="7" s="1"/>
  <c r="L13" i="7" s="1"/>
  <c r="L14" i="7" s="1"/>
  <c r="L15" i="7" s="1"/>
  <c r="L16" i="7" s="1"/>
  <c r="L17" i="7" s="1"/>
  <c r="L18" i="7" s="1"/>
  <c r="L19"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L45" i="7" s="1"/>
  <c r="L46" i="7" s="1"/>
  <c r="L47" i="7" s="1"/>
  <c r="L48" i="7" s="1"/>
  <c r="L49" i="7" s="1"/>
  <c r="K7" i="7"/>
  <c r="K8" i="7" s="1"/>
  <c r="K9" i="7" s="1"/>
  <c r="K10" i="7" s="1"/>
  <c r="K11" i="7" s="1"/>
  <c r="K12" i="7" s="1"/>
  <c r="K13" i="7" s="1"/>
  <c r="K14" i="7" s="1"/>
  <c r="K15" i="7" s="1"/>
  <c r="K16" i="7" s="1"/>
  <c r="K17" i="7" s="1"/>
  <c r="K18" i="7" s="1"/>
  <c r="K19" i="7" s="1"/>
  <c r="K20" i="7" s="1"/>
  <c r="K21" i="7" s="1"/>
  <c r="K22" i="7" s="1"/>
  <c r="K23" i="7" s="1"/>
  <c r="K24" i="7" s="1"/>
  <c r="K25" i="7" s="1"/>
  <c r="K26" i="7" s="1"/>
  <c r="K27" i="7" s="1"/>
  <c r="K28" i="7" s="1"/>
  <c r="K29" i="7" s="1"/>
  <c r="K30" i="7" s="1"/>
  <c r="K31" i="7" s="1"/>
  <c r="K32" i="7" s="1"/>
  <c r="K33" i="7" s="1"/>
  <c r="K34" i="7" s="1"/>
  <c r="K35" i="7" s="1"/>
  <c r="K36" i="7" s="1"/>
  <c r="K37" i="7" s="1"/>
  <c r="K38" i="7" s="1"/>
  <c r="K39" i="7" s="1"/>
  <c r="K40" i="7" s="1"/>
  <c r="K41" i="7" s="1"/>
  <c r="K42" i="7" s="1"/>
  <c r="K43" i="7" s="1"/>
  <c r="K44" i="7" s="1"/>
  <c r="K45" i="7" s="1"/>
  <c r="K46" i="7" s="1"/>
  <c r="K47" i="7" s="1"/>
  <c r="K48" i="7" s="1"/>
  <c r="K49" i="7" s="1"/>
  <c r="J8" i="7"/>
  <c r="J9" i="7" s="1"/>
  <c r="J10" i="7" s="1"/>
  <c r="J11" i="7" s="1"/>
  <c r="J12" i="7" s="1"/>
  <c r="J13" i="7" s="1"/>
  <c r="J14" i="7" s="1"/>
  <c r="J15" i="7" s="1"/>
  <c r="J16" i="7" s="1"/>
  <c r="J17" i="7" s="1"/>
  <c r="J18" i="7" s="1"/>
  <c r="J19" i="7" s="1"/>
  <c r="J20" i="7" s="1"/>
  <c r="J21" i="7" s="1"/>
  <c r="J22" i="7" s="1"/>
  <c r="J23" i="7" s="1"/>
  <c r="J24" i="7" s="1"/>
  <c r="J25" i="7" s="1"/>
  <c r="J26" i="7" s="1"/>
  <c r="J27" i="7" s="1"/>
  <c r="J28" i="7" s="1"/>
  <c r="J29" i="7" s="1"/>
  <c r="J30" i="7" s="1"/>
  <c r="J31" i="7" s="1"/>
  <c r="J32" i="7" s="1"/>
  <c r="J33" i="7" s="1"/>
  <c r="J34" i="7" s="1"/>
  <c r="J35" i="7" s="1"/>
  <c r="J36" i="7" s="1"/>
  <c r="J37" i="7" s="1"/>
  <c r="J38" i="7" s="1"/>
  <c r="J39" i="7" s="1"/>
  <c r="J40" i="7" s="1"/>
  <c r="J41" i="7" s="1"/>
  <c r="J42" i="7" s="1"/>
  <c r="J43" i="7" s="1"/>
  <c r="J44" i="7" s="1"/>
  <c r="J45" i="7" s="1"/>
  <c r="J46" i="7" s="1"/>
  <c r="J47" i="7" s="1"/>
  <c r="J48" i="7" s="1"/>
  <c r="J49" i="7" s="1"/>
  <c r="I7" i="7"/>
  <c r="I8" i="7" s="1"/>
  <c r="I9" i="7" s="1"/>
  <c r="I10" i="7" s="1"/>
  <c r="I11" i="7" s="1"/>
  <c r="I12" i="7" s="1"/>
  <c r="I13" i="7" s="1"/>
  <c r="I14" i="7" s="1"/>
  <c r="I15" i="7" s="1"/>
  <c r="I16" i="7" s="1"/>
  <c r="I17" i="7" s="1"/>
  <c r="I18" i="7" s="1"/>
  <c r="I19" i="7" s="1"/>
  <c r="I20" i="7" s="1"/>
  <c r="I21" i="7" s="1"/>
  <c r="I22" i="7" s="1"/>
  <c r="I23" i="7" s="1"/>
  <c r="I24" i="7" s="1"/>
  <c r="I25" i="7" s="1"/>
  <c r="I26" i="7" s="1"/>
  <c r="I27" i="7" s="1"/>
  <c r="I28" i="7" s="1"/>
  <c r="I29" i="7" s="1"/>
  <c r="I30" i="7" s="1"/>
  <c r="I31" i="7" s="1"/>
  <c r="I32" i="7" s="1"/>
  <c r="I33" i="7" s="1"/>
  <c r="I34" i="7" s="1"/>
  <c r="I35" i="7" s="1"/>
  <c r="I36" i="7" s="1"/>
  <c r="I37" i="7" s="1"/>
  <c r="I38" i="7" s="1"/>
  <c r="I39" i="7" s="1"/>
  <c r="I40" i="7" s="1"/>
  <c r="I41" i="7" s="1"/>
  <c r="I42" i="7" s="1"/>
  <c r="I43" i="7" s="1"/>
  <c r="I44" i="7" s="1"/>
  <c r="I45" i="7" s="1"/>
  <c r="I46" i="7" s="1"/>
  <c r="I47" i="7" s="1"/>
  <c r="I48" i="7" s="1"/>
  <c r="I49" i="7" s="1"/>
  <c r="H7" i="7"/>
  <c r="H8" i="7" s="1"/>
  <c r="H9" i="7" s="1"/>
  <c r="H10" i="7" s="1"/>
  <c r="H11" i="7" s="1"/>
  <c r="H12" i="7" s="1"/>
  <c r="H13" i="7" s="1"/>
  <c r="H14" i="7" s="1"/>
  <c r="H15" i="7" s="1"/>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E7" i="7"/>
  <c r="E8" i="7" s="1"/>
  <c r="E9" i="7" s="1"/>
  <c r="E10" i="7" s="1"/>
  <c r="E11" i="7" s="1"/>
  <c r="E12" i="7" s="1"/>
  <c r="E13" i="7" s="1"/>
  <c r="E14" i="7" s="1"/>
  <c r="E15" i="7" s="1"/>
  <c r="E16" i="7" s="1"/>
  <c r="E17" i="7" s="1"/>
  <c r="E18" i="7" s="1"/>
  <c r="E19" i="7" s="1"/>
  <c r="E20" i="7" s="1"/>
  <c r="E21" i="7" s="1"/>
  <c r="E22" i="7" s="1"/>
  <c r="E23" i="7" s="1"/>
  <c r="E24" i="7" s="1"/>
  <c r="E25" i="7" s="1"/>
  <c r="E26" i="7" s="1"/>
  <c r="E27" i="7" s="1"/>
  <c r="E28" i="7" s="1"/>
  <c r="E29" i="7" s="1"/>
  <c r="E30" i="7" s="1"/>
  <c r="E31" i="7" s="1"/>
  <c r="E32" i="7" s="1"/>
  <c r="E33" i="7" s="1"/>
  <c r="E34" i="7" s="1"/>
  <c r="E35" i="7" s="1"/>
  <c r="E36" i="7" s="1"/>
  <c r="E37" i="7" s="1"/>
  <c r="E38" i="7" s="1"/>
  <c r="E39" i="7" s="1"/>
  <c r="E40" i="7" s="1"/>
  <c r="E41" i="7" s="1"/>
  <c r="E42" i="7" s="1"/>
  <c r="E43" i="7" s="1"/>
  <c r="E44" i="7" s="1"/>
  <c r="E45" i="7" s="1"/>
  <c r="E46" i="7" s="1"/>
  <c r="E47" i="7" s="1"/>
  <c r="E48" i="7" s="1"/>
  <c r="E49" i="7" s="1"/>
  <c r="F5" i="1"/>
  <c r="G5" i="1"/>
  <c r="C10" i="6"/>
  <c r="D8" i="7"/>
  <c r="B53" i="1"/>
  <c r="H8" i="1" s="1"/>
  <c r="B52" i="1"/>
  <c r="B48" i="1"/>
  <c r="B36" i="1"/>
  <c r="H7" i="1" s="1"/>
  <c r="B35" i="1"/>
  <c r="B31" i="1"/>
  <c r="B19" i="1"/>
  <c r="H6" i="1" s="1"/>
  <c r="B18" i="1"/>
  <c r="B14" i="1"/>
  <c r="G27" i="6"/>
  <c r="F9" i="1"/>
  <c r="F8" i="1"/>
  <c r="F7" i="1"/>
  <c r="F6" i="1"/>
  <c r="E9" i="1"/>
  <c r="E8" i="1"/>
  <c r="O6" i="7" s="1"/>
  <c r="E7" i="1"/>
  <c r="N6" i="7" s="1"/>
  <c r="E6" i="1"/>
  <c r="M6" i="7" s="1"/>
  <c r="AC14" i="1"/>
  <c r="S12" i="7" l="1"/>
  <c r="S13" i="7" s="1"/>
  <c r="S14" i="7" s="1"/>
  <c r="S11" i="7"/>
  <c r="F17" i="1"/>
  <c r="AI14" i="1"/>
  <c r="C52" i="1"/>
  <c r="AD14" i="1" s="1"/>
  <c r="D8" i="12"/>
  <c r="I7" i="12" s="1"/>
  <c r="R8" i="7"/>
  <c r="R9" i="7" s="1"/>
  <c r="R12" i="7" s="1"/>
  <c r="R13" i="7" s="1"/>
  <c r="R14" i="7" s="1"/>
  <c r="R15" i="7" s="1"/>
  <c r="R16" i="7" s="1"/>
  <c r="AC8" i="1"/>
  <c r="AE14" i="1"/>
  <c r="AH10" i="1"/>
  <c r="C29" i="6"/>
  <c r="T8" i="7"/>
  <c r="T9" i="7" s="1"/>
  <c r="T11" i="7" s="1"/>
  <c r="T12" i="7" s="1"/>
  <c r="T13" i="7" s="1"/>
  <c r="T14" i="7" s="1"/>
  <c r="T15" i="7" s="1"/>
  <c r="T16" i="7" s="1"/>
  <c r="T17" i="7" s="1"/>
  <c r="T18" i="7" s="1"/>
  <c r="T19" i="7" s="1"/>
  <c r="T20" i="7" s="1"/>
  <c r="T21" i="7" s="1"/>
  <c r="T22" i="7" s="1"/>
  <c r="T23" i="7" s="1"/>
  <c r="T24" i="7" s="1"/>
  <c r="T25" i="7" s="1"/>
  <c r="T26" i="7" s="1"/>
  <c r="T27" i="7" s="1"/>
  <c r="T28" i="7" s="1"/>
  <c r="T29" i="7" s="1"/>
  <c r="T30" i="7" s="1"/>
  <c r="T31" i="7" s="1"/>
  <c r="T32" i="7" s="1"/>
  <c r="T33" i="7" s="1"/>
  <c r="T34" i="7" s="1"/>
  <c r="T35" i="7" s="1"/>
  <c r="T36" i="7" s="1"/>
  <c r="T37" i="7" s="1"/>
  <c r="T38" i="7" s="1"/>
  <c r="T39" i="7" s="1"/>
  <c r="T40" i="7" s="1"/>
  <c r="T41" i="7" s="1"/>
  <c r="T42" i="7" s="1"/>
  <c r="T43" i="7" s="1"/>
  <c r="T44" i="7" s="1"/>
  <c r="T45" i="7" s="1"/>
  <c r="T46" i="7" s="1"/>
  <c r="T47" i="7" s="1"/>
  <c r="T48" i="7" s="1"/>
  <c r="D9" i="7"/>
  <c r="AH14" i="1"/>
  <c r="D9" i="12" l="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B3" i="12"/>
  <c r="M9" i="7"/>
  <c r="O9" i="7"/>
  <c r="N9" i="7"/>
  <c r="G19" i="1"/>
  <c r="G19" i="6"/>
  <c r="G29" i="6" s="1"/>
  <c r="F19" i="1" s="1"/>
  <c r="F23" i="1" s="1"/>
  <c r="G3" i="12" s="1"/>
  <c r="G8" i="1"/>
  <c r="O8" i="7" s="1"/>
  <c r="AF14" i="1"/>
  <c r="AC16" i="1"/>
  <c r="U8" i="7"/>
  <c r="T49" i="7"/>
  <c r="AG14" i="1"/>
  <c r="G6" i="1"/>
  <c r="M8" i="7" s="1"/>
  <c r="AA14" i="1"/>
  <c r="D10" i="7"/>
  <c r="AB14" i="1"/>
  <c r="G7" i="1"/>
  <c r="M10" i="7" l="1"/>
  <c r="N10" i="7"/>
  <c r="O10" i="7"/>
  <c r="D11" i="7"/>
  <c r="Y9" i="7"/>
  <c r="F9" i="12" s="1"/>
  <c r="N8" i="7"/>
  <c r="AC18" i="1"/>
  <c r="U11" i="7" l="1"/>
  <c r="U10" i="7"/>
  <c r="M11" i="7"/>
  <c r="N11" i="7"/>
  <c r="D12" i="7"/>
  <c r="O11" i="7"/>
  <c r="P10" i="7"/>
  <c r="AC22" i="1"/>
  <c r="N12" i="7" l="1"/>
  <c r="D13" i="7"/>
  <c r="M12" i="7"/>
  <c r="O12" i="7"/>
  <c r="U12" i="7"/>
  <c r="P11" i="7"/>
  <c r="W11" i="7" s="1"/>
  <c r="Y11" i="7" s="1"/>
  <c r="F11" i="12" s="1"/>
  <c r="W10" i="7"/>
  <c r="Y10" i="7" s="1"/>
  <c r="F10" i="12" s="1"/>
  <c r="G17" i="1"/>
  <c r="P8" i="7" l="1"/>
  <c r="W8" i="7" s="1"/>
  <c r="E8" i="12" s="1"/>
  <c r="P7" i="7"/>
  <c r="P12" i="7"/>
  <c r="W12" i="7" s="1"/>
  <c r="Y12" i="7" s="1"/>
  <c r="F12" i="12" s="1"/>
  <c r="O13" i="7"/>
  <c r="N13" i="7"/>
  <c r="M13" i="7"/>
  <c r="D14" i="7"/>
  <c r="U13" i="7"/>
  <c r="P13" i="7" l="1"/>
  <c r="W13" i="7" s="1"/>
  <c r="Y13" i="7" s="1"/>
  <c r="F13" i="12" s="1"/>
  <c r="M14" i="7"/>
  <c r="N14" i="7"/>
  <c r="D15" i="7"/>
  <c r="O14" i="7"/>
  <c r="U14" i="7"/>
  <c r="I8" i="12" l="1"/>
  <c r="E9" i="12"/>
  <c r="I9" i="12"/>
  <c r="E10" i="12"/>
  <c r="M15" i="7"/>
  <c r="D16" i="7"/>
  <c r="N15" i="7"/>
  <c r="O15" i="7"/>
  <c r="U15" i="7"/>
  <c r="P14" i="7"/>
  <c r="W14" i="7" s="1"/>
  <c r="Y14" i="7" s="1"/>
  <c r="F14" i="12" s="1"/>
  <c r="I10" i="12" l="1"/>
  <c r="E11" i="12"/>
  <c r="D17" i="7"/>
  <c r="O16" i="7"/>
  <c r="N16" i="7"/>
  <c r="M16" i="7"/>
  <c r="U16" i="7"/>
  <c r="P15" i="7"/>
  <c r="W15" i="7" s="1"/>
  <c r="Y15" i="7" s="1"/>
  <c r="F15" i="12" s="1"/>
  <c r="I11" i="12" l="1"/>
  <c r="E12" i="12"/>
  <c r="G12" i="12" s="1"/>
  <c r="P16" i="7"/>
  <c r="W16" i="7" s="1"/>
  <c r="Y16" i="7" s="1"/>
  <c r="F16" i="12" s="1"/>
  <c r="D18" i="7"/>
  <c r="O17" i="7"/>
  <c r="N17" i="7"/>
  <c r="M17" i="7"/>
  <c r="U17" i="7"/>
  <c r="I12" i="12" l="1"/>
  <c r="E13" i="12"/>
  <c r="G13" i="12" s="1"/>
  <c r="D19" i="7"/>
  <c r="O18" i="7"/>
  <c r="N18" i="7"/>
  <c r="M18" i="7"/>
  <c r="U18" i="7"/>
  <c r="P17" i="7"/>
  <c r="W17" i="7" s="1"/>
  <c r="Y17" i="7" s="1"/>
  <c r="F17" i="12" s="1"/>
  <c r="I13" i="12" l="1"/>
  <c r="E14" i="12"/>
  <c r="G14" i="12" s="1"/>
  <c r="P18" i="7"/>
  <c r="W18" i="7" s="1"/>
  <c r="Y18" i="7" s="1"/>
  <c r="F18" i="12" s="1"/>
  <c r="D20" i="7"/>
  <c r="N19" i="7"/>
  <c r="O19" i="7"/>
  <c r="M19" i="7"/>
  <c r="U19" i="7"/>
  <c r="I14" i="12" l="1"/>
  <c r="E15" i="12"/>
  <c r="G15" i="12" s="1"/>
  <c r="P19" i="7"/>
  <c r="W19" i="7" s="1"/>
  <c r="Y19" i="7" s="1"/>
  <c r="F19" i="12" s="1"/>
  <c r="N20" i="7"/>
  <c r="M20" i="7"/>
  <c r="D21" i="7"/>
  <c r="O20" i="7"/>
  <c r="U20" i="7"/>
  <c r="I15" i="12" l="1"/>
  <c r="E16" i="12"/>
  <c r="G16" i="12" s="1"/>
  <c r="P20" i="7"/>
  <c r="W20" i="7" s="1"/>
  <c r="Y20" i="7" s="1"/>
  <c r="F20" i="12" s="1"/>
  <c r="M21" i="7"/>
  <c r="D22" i="7"/>
  <c r="N21" i="7"/>
  <c r="O21" i="7"/>
  <c r="U21" i="7"/>
  <c r="I16" i="12" l="1"/>
  <c r="E17" i="12"/>
  <c r="G17" i="12" s="1"/>
  <c r="P21" i="7"/>
  <c r="W21" i="7" s="1"/>
  <c r="Y21" i="7" s="1"/>
  <c r="F21" i="12" s="1"/>
  <c r="N22" i="7"/>
  <c r="M22" i="7"/>
  <c r="D23" i="7"/>
  <c r="O22" i="7"/>
  <c r="U22" i="7"/>
  <c r="I17" i="12" l="1"/>
  <c r="E18" i="12"/>
  <c r="G18" i="12" s="1"/>
  <c r="P22" i="7"/>
  <c r="W22" i="7" s="1"/>
  <c r="Y22" i="7" s="1"/>
  <c r="F22" i="12" s="1"/>
  <c r="M23" i="7"/>
  <c r="D24" i="7"/>
  <c r="N23" i="7"/>
  <c r="O23" i="7"/>
  <c r="U23" i="7"/>
  <c r="I18" i="12" l="1"/>
  <c r="E19" i="12"/>
  <c r="G19" i="12" s="1"/>
  <c r="P23" i="7"/>
  <c r="W23" i="7" s="1"/>
  <c r="Y23" i="7" s="1"/>
  <c r="F23" i="12" s="1"/>
  <c r="O24" i="7"/>
  <c r="N24" i="7"/>
  <c r="M24" i="7"/>
  <c r="D25" i="7"/>
  <c r="U24" i="7"/>
  <c r="I19" i="12" l="1"/>
  <c r="E20" i="12"/>
  <c r="G20" i="12" s="1"/>
  <c r="P24" i="7"/>
  <c r="W24" i="7" s="1"/>
  <c r="Y24" i="7" s="1"/>
  <c r="F24" i="12" s="1"/>
  <c r="O25" i="7"/>
  <c r="M25" i="7"/>
  <c r="D26" i="7"/>
  <c r="N25" i="7"/>
  <c r="U25" i="7"/>
  <c r="I20" i="12" l="1"/>
  <c r="E21" i="12"/>
  <c r="G21" i="12" s="1"/>
  <c r="D27" i="7"/>
  <c r="O26" i="7"/>
  <c r="N26" i="7"/>
  <c r="M26" i="7"/>
  <c r="U26" i="7"/>
  <c r="P25" i="7"/>
  <c r="W25" i="7" s="1"/>
  <c r="Y25" i="7" s="1"/>
  <c r="F25" i="12" s="1"/>
  <c r="I21" i="12" l="1"/>
  <c r="E22" i="12"/>
  <c r="G22" i="12" s="1"/>
  <c r="D28" i="7"/>
  <c r="N27" i="7"/>
  <c r="O27" i="7"/>
  <c r="M27" i="7"/>
  <c r="U27" i="7"/>
  <c r="P26" i="7"/>
  <c r="W26" i="7" s="1"/>
  <c r="Y26" i="7" s="1"/>
  <c r="F26" i="12" s="1"/>
  <c r="I22" i="12" l="1"/>
  <c r="E23" i="12"/>
  <c r="G23" i="12" s="1"/>
  <c r="P27" i="7"/>
  <c r="W27" i="7" s="1"/>
  <c r="Y27" i="7" s="1"/>
  <c r="F27" i="12" s="1"/>
  <c r="N28" i="7"/>
  <c r="M28" i="7"/>
  <c r="D29" i="7"/>
  <c r="O28" i="7"/>
  <c r="U28" i="7"/>
  <c r="I23" i="12" l="1"/>
  <c r="E24" i="12"/>
  <c r="G24" i="12" s="1"/>
  <c r="P28" i="7"/>
  <c r="W28" i="7" s="1"/>
  <c r="Y28" i="7" s="1"/>
  <c r="F28" i="12" s="1"/>
  <c r="N29" i="7"/>
  <c r="M29" i="7"/>
  <c r="D30" i="7"/>
  <c r="O29" i="7"/>
  <c r="U29" i="7"/>
  <c r="I24" i="12" l="1"/>
  <c r="E25" i="12"/>
  <c r="G25" i="12" s="1"/>
  <c r="N30" i="7"/>
  <c r="D31" i="7"/>
  <c r="M30" i="7"/>
  <c r="O30" i="7"/>
  <c r="U30" i="7"/>
  <c r="P29" i="7"/>
  <c r="W29" i="7" s="1"/>
  <c r="Y29" i="7" s="1"/>
  <c r="F29" i="12" s="1"/>
  <c r="I25" i="12" l="1"/>
  <c r="E26" i="12"/>
  <c r="G26" i="12" s="1"/>
  <c r="P30" i="7"/>
  <c r="W30" i="7" s="1"/>
  <c r="Y30" i="7" s="1"/>
  <c r="F30" i="12" s="1"/>
  <c r="N31" i="7"/>
  <c r="D32" i="7"/>
  <c r="M31" i="7"/>
  <c r="O31" i="7"/>
  <c r="U31" i="7"/>
  <c r="I26" i="12" l="1"/>
  <c r="E27" i="12"/>
  <c r="G27" i="12" s="1"/>
  <c r="M32" i="7"/>
  <c r="D33" i="7"/>
  <c r="N32" i="7"/>
  <c r="O32" i="7"/>
  <c r="U32" i="7"/>
  <c r="P31" i="7"/>
  <c r="W31" i="7" s="1"/>
  <c r="Y31" i="7" s="1"/>
  <c r="F31" i="12" s="1"/>
  <c r="I27" i="12" l="1"/>
  <c r="E28" i="12"/>
  <c r="G28" i="12" s="1"/>
  <c r="P32" i="7"/>
  <c r="W32" i="7" s="1"/>
  <c r="Y32" i="7" s="1"/>
  <c r="F32" i="12" s="1"/>
  <c r="O33" i="7"/>
  <c r="N33" i="7"/>
  <c r="D34" i="7"/>
  <c r="M33" i="7"/>
  <c r="U33" i="7"/>
  <c r="I28" i="12" l="1"/>
  <c r="E29" i="12"/>
  <c r="G29" i="12" s="1"/>
  <c r="P33" i="7"/>
  <c r="W33" i="7" s="1"/>
  <c r="Y33" i="7" s="1"/>
  <c r="F33" i="12" s="1"/>
  <c r="O34" i="7"/>
  <c r="N34" i="7"/>
  <c r="D35" i="7"/>
  <c r="M34" i="7"/>
  <c r="U34" i="7"/>
  <c r="I29" i="12" l="1"/>
  <c r="E30" i="12"/>
  <c r="G30" i="12" s="1"/>
  <c r="P34" i="7"/>
  <c r="W34" i="7" s="1"/>
  <c r="Y34" i="7" s="1"/>
  <c r="F34" i="12" s="1"/>
  <c r="D36" i="7"/>
  <c r="M35" i="7"/>
  <c r="O35" i="7"/>
  <c r="N35" i="7"/>
  <c r="U35" i="7"/>
  <c r="I30" i="12" l="1"/>
  <c r="E31" i="12"/>
  <c r="G31" i="12" s="1"/>
  <c r="P35" i="7"/>
  <c r="W35" i="7" s="1"/>
  <c r="Y35" i="7" s="1"/>
  <c r="F35" i="12" s="1"/>
  <c r="N36" i="7"/>
  <c r="D37" i="7"/>
  <c r="M36" i="7"/>
  <c r="O36" i="7"/>
  <c r="U36" i="7"/>
  <c r="I31" i="12" l="1"/>
  <c r="E32" i="12"/>
  <c r="G32" i="12" s="1"/>
  <c r="P36" i="7"/>
  <c r="W36" i="7" s="1"/>
  <c r="Y36" i="7" s="1"/>
  <c r="F36" i="12" s="1"/>
  <c r="N37" i="7"/>
  <c r="D38" i="7"/>
  <c r="M37" i="7"/>
  <c r="O37" i="7"/>
  <c r="U37" i="7"/>
  <c r="I32" i="12" l="1"/>
  <c r="E33" i="12"/>
  <c r="G33" i="12" s="1"/>
  <c r="N38" i="7"/>
  <c r="D39" i="7"/>
  <c r="M38" i="7"/>
  <c r="O38" i="7"/>
  <c r="U38" i="7"/>
  <c r="P37" i="7"/>
  <c r="W37" i="7" s="1"/>
  <c r="Y37" i="7" s="1"/>
  <c r="F37" i="12" s="1"/>
  <c r="I33" i="12" l="1"/>
  <c r="E34" i="12"/>
  <c r="G34" i="12" s="1"/>
  <c r="P38" i="7"/>
  <c r="W38" i="7" s="1"/>
  <c r="Y38" i="7" s="1"/>
  <c r="F38" i="12" s="1"/>
  <c r="M39" i="7"/>
  <c r="D40" i="7"/>
  <c r="N39" i="7"/>
  <c r="O39" i="7"/>
  <c r="U39" i="7"/>
  <c r="I34" i="12" l="1"/>
  <c r="E35" i="12"/>
  <c r="G35" i="12" s="1"/>
  <c r="N40" i="7"/>
  <c r="D41" i="7"/>
  <c r="M40" i="7"/>
  <c r="O40" i="7"/>
  <c r="U40" i="7"/>
  <c r="P39" i="7"/>
  <c r="W39" i="7" s="1"/>
  <c r="Y39" i="7" s="1"/>
  <c r="F39" i="12" s="1"/>
  <c r="I35" i="12" l="1"/>
  <c r="E36" i="12"/>
  <c r="G36" i="12" s="1"/>
  <c r="P40" i="7"/>
  <c r="W40" i="7" s="1"/>
  <c r="Y40" i="7" s="1"/>
  <c r="F40" i="12" s="1"/>
  <c r="O41" i="7"/>
  <c r="N41" i="7"/>
  <c r="D42" i="7"/>
  <c r="M41" i="7"/>
  <c r="U41" i="7"/>
  <c r="I36" i="12" l="1"/>
  <c r="E37" i="12"/>
  <c r="G37" i="12" s="1"/>
  <c r="P41" i="7"/>
  <c r="W41" i="7" s="1"/>
  <c r="Y41" i="7" s="1"/>
  <c r="F41" i="12" s="1"/>
  <c r="O42" i="7"/>
  <c r="M42" i="7"/>
  <c r="D43" i="7"/>
  <c r="N42" i="7"/>
  <c r="U42" i="7"/>
  <c r="I37" i="12" l="1"/>
  <c r="E38" i="12"/>
  <c r="G38" i="12" s="1"/>
  <c r="P42" i="7"/>
  <c r="W42" i="7" s="1"/>
  <c r="Y42" i="7" s="1"/>
  <c r="F42" i="12" s="1"/>
  <c r="D44" i="7"/>
  <c r="O43" i="7"/>
  <c r="N43" i="7"/>
  <c r="M43" i="7"/>
  <c r="U43" i="7"/>
  <c r="I38" i="12" l="1"/>
  <c r="E39" i="12"/>
  <c r="G39" i="12" s="1"/>
  <c r="D45" i="7"/>
  <c r="N44" i="7"/>
  <c r="O44" i="7"/>
  <c r="M44" i="7"/>
  <c r="U44" i="7"/>
  <c r="P43" i="7"/>
  <c r="W43" i="7" s="1"/>
  <c r="Y43" i="7" s="1"/>
  <c r="F43" i="12" s="1"/>
  <c r="I39" i="12" l="1"/>
  <c r="E40" i="12"/>
  <c r="G40" i="12" s="1"/>
  <c r="P44" i="7"/>
  <c r="W44" i="7" s="1"/>
  <c r="Y44" i="7" s="1"/>
  <c r="F44" i="12" s="1"/>
  <c r="D46" i="7"/>
  <c r="M45" i="7"/>
  <c r="N45" i="7"/>
  <c r="O45" i="7"/>
  <c r="U45" i="7"/>
  <c r="I40" i="12" l="1"/>
  <c r="E41" i="12"/>
  <c r="G41" i="12" s="1"/>
  <c r="P45" i="7"/>
  <c r="W45" i="7" s="1"/>
  <c r="Y45" i="7" s="1"/>
  <c r="F45" i="12" s="1"/>
  <c r="D47" i="7"/>
  <c r="D48" i="7" s="1"/>
  <c r="M46" i="7"/>
  <c r="O46" i="7"/>
  <c r="N46" i="7"/>
  <c r="U46" i="7"/>
  <c r="I41" i="12" l="1"/>
  <c r="E42" i="12"/>
  <c r="G42" i="12" s="1"/>
  <c r="D49" i="7"/>
  <c r="O48" i="7"/>
  <c r="M48" i="7"/>
  <c r="N48" i="7"/>
  <c r="P46" i="7"/>
  <c r="W46" i="7" s="1"/>
  <c r="Y46" i="7" s="1"/>
  <c r="F46" i="12" s="1"/>
  <c r="O47" i="7"/>
  <c r="M47" i="7"/>
  <c r="N47" i="7"/>
  <c r="U47" i="7"/>
  <c r="I42" i="12" l="1"/>
  <c r="E43" i="12"/>
  <c r="G43" i="12" s="1"/>
  <c r="P48" i="7"/>
  <c r="M49" i="7"/>
  <c r="N49" i="7"/>
  <c r="O49" i="7"/>
  <c r="P47" i="7"/>
  <c r="W47" i="7" s="1"/>
  <c r="Y47" i="7" s="1"/>
  <c r="F47" i="12" s="1"/>
  <c r="I43" i="12" l="1"/>
  <c r="E44" i="12"/>
  <c r="G44" i="12" s="1"/>
  <c r="P49" i="7"/>
  <c r="U49" i="7"/>
  <c r="U48" i="7"/>
  <c r="W48" i="7" s="1"/>
  <c r="Y48" i="7" s="1"/>
  <c r="F48" i="12" s="1"/>
  <c r="I44" i="12" l="1"/>
  <c r="E45" i="12"/>
  <c r="G45" i="12" s="1"/>
  <c r="W49" i="7"/>
  <c r="Y49" i="7" s="1"/>
  <c r="F49" i="12" s="1"/>
  <c r="I45" i="12" l="1"/>
  <c r="E46" i="12"/>
  <c r="G46" i="12" s="1"/>
  <c r="I46" i="12" l="1"/>
  <c r="E47" i="12"/>
  <c r="G47" i="12" s="1"/>
  <c r="E48" i="12" s="1"/>
  <c r="I47" i="12" l="1"/>
  <c r="G48" i="12"/>
  <c r="E49" i="12" s="1"/>
  <c r="I48" i="12" l="1"/>
  <c r="G49" i="12"/>
  <c r="I49" i="12" l="1"/>
</calcChain>
</file>

<file path=xl/sharedStrings.xml><?xml version="1.0" encoding="utf-8"?>
<sst xmlns="http://schemas.openxmlformats.org/spreadsheetml/2006/main" count="116" uniqueCount="100">
  <si>
    <t>Core lifestyle - annual needs</t>
  </si>
  <si>
    <t>Core lifestyle - monthly needs</t>
  </si>
  <si>
    <t>Life insurance</t>
  </si>
  <si>
    <t>Income</t>
  </si>
  <si>
    <t>Total</t>
  </si>
  <si>
    <t>Regular gifts</t>
  </si>
  <si>
    <t>*** Please change only cells shaded in yellow if needed, others may impact calculations***</t>
  </si>
  <si>
    <t>Future Cash flow projections - Monthly amounts</t>
  </si>
  <si>
    <t>Core lifestyle expenses</t>
  </si>
  <si>
    <t>Total need</t>
  </si>
  <si>
    <t>Total income</t>
  </si>
  <si>
    <t>Available funds</t>
  </si>
  <si>
    <t>Inflation</t>
  </si>
  <si>
    <t>Long term goal savings</t>
  </si>
  <si>
    <t>Cash inflow</t>
  </si>
  <si>
    <t>Cash outflow</t>
  </si>
  <si>
    <t>Total monthly inflow</t>
  </si>
  <si>
    <t>Monthly</t>
  </si>
  <si>
    <t>Total monthly outflow</t>
  </si>
  <si>
    <t>Investable assets</t>
  </si>
  <si>
    <t>Other assets/fixed assets</t>
  </si>
  <si>
    <t>Approx value</t>
  </si>
  <si>
    <t>MONTHLY CASH FLOW SURPLUS</t>
  </si>
  <si>
    <t>CASH FLOW SUMMARY</t>
  </si>
  <si>
    <t>ASSET SUMMARY</t>
  </si>
  <si>
    <t xml:space="preserve">Inflation rate </t>
  </si>
  <si>
    <t>After tax investment return expected</t>
  </si>
  <si>
    <t>(from previous tab)</t>
  </si>
  <si>
    <t>Funds to be maintained for emergencies</t>
  </si>
  <si>
    <t xml:space="preserve">Total </t>
  </si>
  <si>
    <t>SIP Start year</t>
  </si>
  <si>
    <t>Summary of resource allocation for goals</t>
  </si>
  <si>
    <t xml:space="preserve">Funds needed for the goal (in today's value) </t>
  </si>
  <si>
    <t>Data for background workings</t>
  </si>
  <si>
    <t>Difference (Income minus Need)</t>
  </si>
  <si>
    <r>
      <t xml:space="preserve">Funds should be ready for goal by </t>
    </r>
    <r>
      <rPr>
        <u/>
        <sz val="12"/>
        <rFont val="Arial"/>
        <family val="2"/>
      </rPr>
      <t>end of</t>
    </r>
  </si>
  <si>
    <t>Disclaimer</t>
  </si>
  <si>
    <r>
      <t xml:space="preserve">This spreadsheet is the property of INSIGHTFUL - Financial Planning </t>
    </r>
    <r>
      <rPr>
        <b/>
        <sz val="14"/>
        <color theme="1"/>
        <rFont val="Calibri"/>
        <family val="2"/>
        <scheme val="minor"/>
      </rPr>
      <t xml:space="preserve">
</t>
    </r>
  </si>
  <si>
    <t>www.insightful.in</t>
  </si>
  <si>
    <r>
      <t xml:space="preserve">The assumptions and rates of return used in the calculations are for illustration purposes only. These workings </t>
    </r>
    <r>
      <rPr>
        <b/>
        <sz val="14"/>
        <color theme="1"/>
        <rFont val="Calibri"/>
        <family val="2"/>
        <scheme val="minor"/>
      </rPr>
      <t xml:space="preserve">DO NOT GUARANTEE ANY RETURNS OR PERFORMANCE. 
</t>
    </r>
  </si>
  <si>
    <r>
      <t xml:space="preserve">The calculations and formula used in the spreadsheet may be relied upon only at the time of being shared with you. The formulas in this spreadsheet use current dates and other data in the calculations. Use of this spreadsheet by you at a </t>
    </r>
    <r>
      <rPr>
        <b/>
        <sz val="14"/>
        <color theme="1"/>
        <rFont val="Calibri"/>
        <family val="2"/>
        <scheme val="minor"/>
      </rPr>
      <t>future date</t>
    </r>
    <r>
      <rPr>
        <sz val="14"/>
        <color theme="1"/>
        <rFont val="Calibri"/>
        <family val="2"/>
        <scheme val="minor"/>
      </rPr>
      <t xml:space="preserve"> for any calculations or projections </t>
    </r>
    <r>
      <rPr>
        <b/>
        <sz val="14"/>
        <color theme="1"/>
        <rFont val="Calibri"/>
        <family val="2"/>
        <scheme val="minor"/>
      </rPr>
      <t>WILL MOST LIKELY HAVE ERRORS</t>
    </r>
    <r>
      <rPr>
        <sz val="14"/>
        <color theme="1"/>
        <rFont val="Calibri"/>
        <family val="2"/>
        <scheme val="minor"/>
      </rPr>
      <t xml:space="preserve"> and should not be relied upon. It should also not be used on any other person as it is designed specifically for your circumstances and scenarios. </t>
    </r>
  </si>
  <si>
    <t>Other ongoing needs</t>
  </si>
  <si>
    <t>Car upgrade fund</t>
  </si>
  <si>
    <r>
      <t xml:space="preserve">All information, illustrations, calculations and projections shown in this Excel spreadsheet are intented to be used as a tool to facilitate the financial planning exercise and is a working document. It </t>
    </r>
    <r>
      <rPr>
        <b/>
        <sz val="14"/>
        <color theme="1"/>
        <rFont val="Calibri"/>
        <family val="2"/>
        <scheme val="minor"/>
      </rPr>
      <t>SHOULD NOT BE CONSIDERED AS FINANCIAL ADVICE</t>
    </r>
    <r>
      <rPr>
        <sz val="14"/>
        <color theme="1"/>
        <rFont val="Calibri"/>
        <family val="2"/>
        <scheme val="minor"/>
      </rPr>
      <t xml:space="preserve"> in any way and should not be acted on as such. </t>
    </r>
  </si>
  <si>
    <t>Quantifying each of your goals</t>
  </si>
  <si>
    <t xml:space="preserve">Charity </t>
  </si>
  <si>
    <t>Assumed increase&gt;</t>
  </si>
  <si>
    <t>Electronics/ appliances/ furniture</t>
  </si>
  <si>
    <t>Salary 2</t>
  </si>
  <si>
    <t>Vacations</t>
  </si>
  <si>
    <t>Age</t>
  </si>
  <si>
    <t>Year</t>
  </si>
  <si>
    <t>Approx interest/return</t>
  </si>
  <si>
    <t>Annual income needed</t>
  </si>
  <si>
    <t>Approx corpus balance (EOY)</t>
  </si>
  <si>
    <t>From previous tab</t>
  </si>
  <si>
    <t>Inflation base year</t>
  </si>
  <si>
    <t>Lump sum investment year (by end of year)</t>
  </si>
  <si>
    <t>Emergency fund</t>
  </si>
  <si>
    <t>(not used for goal planning)</t>
  </si>
  <si>
    <t>Ongoing non-regular needs</t>
  </si>
  <si>
    <t>Salary 1</t>
  </si>
  <si>
    <t>Self</t>
  </si>
  <si>
    <t>Spouse</t>
  </si>
  <si>
    <t>May change after review</t>
  </si>
  <si>
    <t>*Annual income needed assumed to be withdrawan at the beginning of each year</t>
  </si>
  <si>
    <t>Expected after tax return (when inflation is 7%)</t>
  </si>
  <si>
    <r>
      <t xml:space="preserve">Your Financial Goals can be achieved by using either your </t>
    </r>
    <r>
      <rPr>
        <b/>
        <u/>
        <sz val="14"/>
        <color theme="5" tint="-0.499984740745262"/>
        <rFont val="Calibri"/>
        <family val="2"/>
        <scheme val="minor"/>
      </rPr>
      <t>surplus cash flow</t>
    </r>
    <r>
      <rPr>
        <b/>
        <sz val="14"/>
        <color theme="5" tint="-0.499984740745262"/>
        <rFont val="Calibri"/>
        <family val="2"/>
        <scheme val="minor"/>
      </rPr>
      <t xml:space="preserve">, </t>
    </r>
    <r>
      <rPr>
        <b/>
        <u/>
        <sz val="14"/>
        <color theme="5" tint="-0.499984740745262"/>
        <rFont val="Calibri"/>
        <family val="2"/>
        <scheme val="minor"/>
      </rPr>
      <t>current assets</t>
    </r>
    <r>
      <rPr>
        <b/>
        <sz val="14"/>
        <color theme="5" tint="-0.499984740745262"/>
        <rFont val="Calibri"/>
        <family val="2"/>
        <scheme val="minor"/>
      </rPr>
      <t xml:space="preserve"> or a combination of the two. </t>
    </r>
  </si>
  <si>
    <t>Includes PF, bonus</t>
  </si>
  <si>
    <t>FUNDS AVAILABLE THIS YEAR FOR GOALS</t>
  </si>
  <si>
    <t>ANNUAL</t>
  </si>
  <si>
    <t>ANNUAL Difference</t>
  </si>
  <si>
    <t>&lt;used in the next tab</t>
  </si>
  <si>
    <t>Passive income projections</t>
  </si>
  <si>
    <t>Salary 1 (after tax) + bonus + PF</t>
  </si>
  <si>
    <t>Balance left for Financial Freedom</t>
  </si>
  <si>
    <t>&lt;used in the 'passive income projection' tab</t>
  </si>
  <si>
    <t>Salary 2 (after tax) + PF</t>
  </si>
  <si>
    <t>Giving to family</t>
  </si>
  <si>
    <t>Recurring deposits (RDs)</t>
  </si>
  <si>
    <t>Savings accounts</t>
  </si>
  <si>
    <t>Fixed deposits (FDs)</t>
  </si>
  <si>
    <t>Mutual funds - Equity/balanced funds</t>
  </si>
  <si>
    <t xml:space="preserve">Mutual fund - Debt funds </t>
  </si>
  <si>
    <t>Stocks</t>
  </si>
  <si>
    <t>Primary home</t>
  </si>
  <si>
    <t>Land</t>
  </si>
  <si>
    <t>Land 2</t>
  </si>
  <si>
    <t>Land 3</t>
  </si>
  <si>
    <t>ULIP policy value</t>
  </si>
  <si>
    <t>Life insurance (non ULIP)</t>
  </si>
  <si>
    <t>Home renovation</t>
  </si>
  <si>
    <t>Special function</t>
  </si>
  <si>
    <t>Other</t>
  </si>
  <si>
    <t>PPF Self</t>
  </si>
  <si>
    <t>PPF Spouse</t>
  </si>
  <si>
    <t>EPF current balance (at work) Self</t>
  </si>
  <si>
    <t>Gratuity Self</t>
  </si>
  <si>
    <t>Monthly surpluses until Dec 2022 (5 months)</t>
  </si>
  <si>
    <t>Son's marriage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</si>
</sst>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quot;₹&quot;\ #,##0.00;[Red]&quot;₹&quot;\ \-#,##0.00"/>
    <numFmt numFmtId="165" formatCode="_-* #,##0_-;\-* #,##0_-;_-* &quot;-&quot;??_-;_-@_-"/>
    <numFmt numFmtId="166" formatCode="_ * #,##0_ ;_ * \-#,##0_ ;_ * &quot;-&quot;??_ ;_ @_ "/>
    <numFmt numFmtId="167" formatCode="#,##0_ ;[Red]\-#,##0\ "/>
  </numFmts>
  <fonts count="58" x14ac:knownFonts="1">
    <font>
      <sz val="11"/>
      <color theme="1"/>
      <name val="Calibri"/>
      <family val="2"/>
      <scheme val="minor"/>
    </font>
    <font>
      <sz val="11"/>
      <color theme="1"/>
      <name val="Calibri"/>
      <family val="2"/>
      <scheme val="minor"/>
    </font>
    <font>
      <b/>
      <sz val="14"/>
      <color theme="0"/>
      <name val="Calibri"/>
      <family val="2"/>
      <scheme val="minor"/>
    </font>
    <font>
      <sz val="11"/>
      <color theme="1"/>
      <name val="Arial"/>
      <family val="2"/>
    </font>
    <font>
      <sz val="12"/>
      <name val="Arial"/>
      <family val="2"/>
    </font>
    <font>
      <sz val="12"/>
      <color theme="1"/>
      <name val="Arial"/>
      <family val="2"/>
    </font>
    <font>
      <sz val="12"/>
      <color theme="1"/>
      <name val="Calibri"/>
      <family val="2"/>
      <scheme val="minor"/>
    </font>
    <font>
      <b/>
      <sz val="12"/>
      <color theme="1"/>
      <name val="Arial"/>
      <family val="2"/>
    </font>
    <font>
      <sz val="14"/>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rgb="FFFF0000"/>
      <name val="Calibri"/>
      <family val="2"/>
      <scheme val="minor"/>
    </font>
    <font>
      <sz val="16"/>
      <color theme="1"/>
      <name val="Calibri"/>
      <family val="2"/>
      <scheme val="minor"/>
    </font>
    <font>
      <b/>
      <sz val="16"/>
      <color theme="9"/>
      <name val="Calibri"/>
      <family val="2"/>
      <scheme val="minor"/>
    </font>
    <font>
      <b/>
      <sz val="16"/>
      <color theme="0"/>
      <name val="Calibri"/>
      <family val="2"/>
      <scheme val="minor"/>
    </font>
    <font>
      <sz val="11"/>
      <name val="Calibri"/>
      <family val="2"/>
      <scheme val="minor"/>
    </font>
    <font>
      <sz val="10"/>
      <color theme="1"/>
      <name val="Calibri"/>
      <family val="2"/>
      <scheme val="minor"/>
    </font>
    <font>
      <b/>
      <sz val="14"/>
      <color theme="1" tint="4.9989318521683403E-2"/>
      <name val="Calibri"/>
      <family val="2"/>
      <scheme val="minor"/>
    </font>
    <font>
      <b/>
      <sz val="16"/>
      <color theme="4"/>
      <name val="Calibri"/>
      <family val="2"/>
      <scheme val="minor"/>
    </font>
    <font>
      <b/>
      <sz val="16"/>
      <color theme="5" tint="-0.499984740745262"/>
      <name val="Calibri"/>
      <family val="2"/>
      <scheme val="minor"/>
    </font>
    <font>
      <b/>
      <u/>
      <sz val="16"/>
      <color theme="5" tint="-0.499984740745262"/>
      <name val="Calibri"/>
      <family val="2"/>
      <scheme val="minor"/>
    </font>
    <font>
      <b/>
      <sz val="12"/>
      <color rgb="FFFF0000"/>
      <name val="Calibri"/>
      <family val="2"/>
      <scheme val="minor"/>
    </font>
    <font>
      <sz val="10"/>
      <color rgb="FFFF0000"/>
      <name val="Arial"/>
      <family val="2"/>
    </font>
    <font>
      <b/>
      <sz val="12"/>
      <name val="Arial"/>
      <family val="2"/>
    </font>
    <font>
      <sz val="11"/>
      <color theme="0"/>
      <name val="Calibri"/>
      <family val="2"/>
      <scheme val="minor"/>
    </font>
    <font>
      <b/>
      <sz val="15"/>
      <color theme="0"/>
      <name val="Calibri"/>
      <family val="2"/>
      <scheme val="minor"/>
    </font>
    <font>
      <u/>
      <sz val="14"/>
      <color theme="1"/>
      <name val="Calibri"/>
      <family val="2"/>
      <scheme val="minor"/>
    </font>
    <font>
      <b/>
      <sz val="11"/>
      <color theme="5" tint="-0.499984740745262"/>
      <name val="Calibri"/>
      <family val="2"/>
      <scheme val="minor"/>
    </font>
    <font>
      <b/>
      <sz val="14"/>
      <color theme="1" tint="0.34998626667073579"/>
      <name val="Calibri"/>
      <family val="2"/>
      <scheme val="minor"/>
    </font>
    <font>
      <b/>
      <sz val="11"/>
      <color theme="0"/>
      <name val="Calibri"/>
      <family val="2"/>
      <scheme val="minor"/>
    </font>
    <font>
      <u/>
      <sz val="12"/>
      <name val="Arial"/>
      <family val="2"/>
    </font>
    <font>
      <b/>
      <u/>
      <sz val="16"/>
      <color theme="1"/>
      <name val="Calibri"/>
      <family val="2"/>
      <scheme val="minor"/>
    </font>
    <font>
      <b/>
      <sz val="10"/>
      <color theme="1"/>
      <name val="Calibri"/>
      <family val="2"/>
      <scheme val="minor"/>
    </font>
    <font>
      <sz val="12"/>
      <color theme="8"/>
      <name val="Calibri"/>
      <family val="2"/>
      <scheme val="minor"/>
    </font>
    <font>
      <b/>
      <sz val="12"/>
      <color theme="8"/>
      <name val="Calibri"/>
      <family val="2"/>
      <scheme val="minor"/>
    </font>
    <font>
      <u/>
      <sz val="12"/>
      <color theme="1"/>
      <name val="Calibri"/>
      <family val="2"/>
      <scheme val="minor"/>
    </font>
    <font>
      <b/>
      <u/>
      <sz val="12"/>
      <color theme="1"/>
      <name val="Calibri"/>
      <family val="2"/>
      <scheme val="minor"/>
    </font>
    <font>
      <sz val="10"/>
      <color theme="0" tint="-0.34998626667073579"/>
      <name val="Calibri"/>
      <family val="2"/>
      <scheme val="minor"/>
    </font>
    <font>
      <sz val="8"/>
      <color theme="1"/>
      <name val="Calibri"/>
      <family val="2"/>
      <scheme val="minor"/>
    </font>
    <font>
      <sz val="11"/>
      <color theme="0" tint="-0.34998626667073579"/>
      <name val="Calibri"/>
      <family val="2"/>
      <scheme val="minor"/>
    </font>
    <font>
      <b/>
      <sz val="14"/>
      <color theme="5" tint="-0.499984740745262"/>
      <name val="Calibri"/>
      <family val="2"/>
      <scheme val="minor"/>
    </font>
    <font>
      <b/>
      <u/>
      <sz val="14"/>
      <color theme="5" tint="-0.499984740745262"/>
      <name val="Calibri"/>
      <family val="2"/>
      <scheme val="minor"/>
    </font>
    <font>
      <sz val="14"/>
      <name val="Calibri"/>
      <family val="2"/>
      <scheme val="minor"/>
    </font>
    <font>
      <b/>
      <u/>
      <sz val="10"/>
      <color rgb="FFFF0000"/>
      <name val="Calibri"/>
      <family val="2"/>
      <scheme val="minor"/>
    </font>
    <font>
      <b/>
      <sz val="12"/>
      <color theme="0" tint="-0.249977111117893"/>
      <name val="Calibri"/>
      <family val="2"/>
      <scheme val="minor"/>
    </font>
    <font>
      <sz val="11"/>
      <color theme="0" tint="-0.249977111117893"/>
      <name val="Calibri"/>
      <family val="2"/>
      <scheme val="minor"/>
    </font>
    <font>
      <sz val="11"/>
      <color theme="8"/>
      <name val="Calibri"/>
      <family val="2"/>
      <scheme val="minor"/>
    </font>
    <font>
      <sz val="12"/>
      <name val="Calibri"/>
      <family val="2"/>
      <scheme val="minor"/>
    </font>
    <font>
      <b/>
      <u/>
      <sz val="10"/>
      <color theme="9"/>
      <name val="Calibri"/>
      <family val="2"/>
      <scheme val="minor"/>
    </font>
    <font>
      <b/>
      <sz val="11"/>
      <color theme="9"/>
      <name val="Calibri"/>
      <family val="2"/>
      <scheme val="minor"/>
    </font>
    <font>
      <sz val="11"/>
      <color theme="5" tint="0.39997558519241921"/>
      <name val="Calibri"/>
      <family val="2"/>
      <scheme val="minor"/>
    </font>
    <font>
      <sz val="10"/>
      <color theme="0" tint="-0.14999847407452621"/>
      <name val="Calibri"/>
      <family val="2"/>
      <scheme val="minor"/>
    </font>
    <font>
      <sz val="11"/>
      <color theme="0" tint="-0.499984740745262"/>
      <name val="Calibri"/>
      <family val="2"/>
      <scheme val="minor"/>
    </font>
    <font>
      <b/>
      <sz val="14"/>
      <color theme="9"/>
      <name val="Calibri"/>
      <family val="2"/>
      <scheme val="minor"/>
    </font>
    <font>
      <sz val="11"/>
      <color theme="1" tint="0.499984740745262"/>
      <name val="Calibri"/>
      <family val="2"/>
      <scheme val="minor"/>
    </font>
    <font>
      <b/>
      <sz val="12"/>
      <color theme="5" tint="-0.249977111117893"/>
      <name val="Calibri"/>
      <family val="2"/>
      <scheme val="minor"/>
    </font>
  </fonts>
  <fills count="1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1" tint="0.34998626667073579"/>
        <bgColor indexed="64"/>
      </patternFill>
    </fill>
    <fill>
      <patternFill patternType="solid">
        <fgColor theme="9"/>
        <bgColor indexed="64"/>
      </patternFill>
    </fill>
    <fill>
      <patternFill patternType="solid">
        <fgColor theme="1" tint="0.499984740745262"/>
        <bgColor indexed="64"/>
      </patternFill>
    </fill>
    <fill>
      <patternFill patternType="solid">
        <fgColor theme="4"/>
        <bgColor indexed="64"/>
      </patternFill>
    </fill>
    <fill>
      <patternFill patternType="solid">
        <fgColor theme="8"/>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bgColor indexed="64"/>
      </patternFill>
    </fill>
    <fill>
      <patternFill patternType="solid">
        <fgColor theme="1" tint="0.14999847407452621"/>
        <bgColor indexed="64"/>
      </patternFill>
    </fill>
    <fill>
      <patternFill patternType="solid">
        <fgColor theme="4" tint="0.7999816888943144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249977111117893"/>
      </top>
      <bottom style="thin">
        <color theme="0" tint="-0.249977111117893"/>
      </bottom>
      <diagonal/>
    </border>
    <border>
      <left style="thin">
        <color theme="0" tint="-0.34998626667073579"/>
      </left>
      <right/>
      <top/>
      <bottom style="thin">
        <color theme="0" tint="-0.34998626667073579"/>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14999847407452621"/>
      </left>
      <right/>
      <top style="thin">
        <color theme="0" tint="-0.14999847407452621"/>
      </top>
      <bottom style="thin">
        <color theme="0" tint="-0.14999847407452621"/>
      </bottom>
      <diagonal/>
    </border>
    <border>
      <left style="thin">
        <color theme="0" tint="-0.249977111117893"/>
      </left>
      <right style="thin">
        <color theme="0" tint="-0.249977111117893"/>
      </right>
      <top/>
      <bottom style="thin">
        <color theme="0" tint="-0.249977111117893"/>
      </bottom>
      <diagonal/>
    </border>
    <border>
      <left/>
      <right/>
      <top/>
      <bottom style="thin">
        <color theme="0" tint="-0.149998474074526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8">
    <xf numFmtId="0" fontId="0" fillId="0" borderId="0" xfId="0"/>
    <xf numFmtId="0" fontId="3" fillId="0" borderId="0" xfId="0" applyFont="1"/>
    <xf numFmtId="0" fontId="6" fillId="0" borderId="0" xfId="0" applyFont="1"/>
    <xf numFmtId="0" fontId="5" fillId="0" borderId="0" xfId="0" applyFont="1"/>
    <xf numFmtId="3" fontId="0" fillId="0" borderId="0" xfId="0" applyNumberFormat="1"/>
    <xf numFmtId="0" fontId="4" fillId="0" borderId="0" xfId="0" applyFont="1"/>
    <xf numFmtId="0" fontId="8" fillId="0" borderId="0" xfId="0" applyFont="1"/>
    <xf numFmtId="0" fontId="9" fillId="0" borderId="0" xfId="0" applyFont="1"/>
    <xf numFmtId="0" fontId="12" fillId="0" borderId="0" xfId="0" applyFont="1"/>
    <xf numFmtId="166" fontId="0" fillId="0" borderId="0" xfId="0" applyNumberFormat="1"/>
    <xf numFmtId="0" fontId="6" fillId="0" borderId="0" xfId="0" applyFont="1" applyAlignment="1">
      <alignment horizontal="center"/>
    </xf>
    <xf numFmtId="0" fontId="10" fillId="0" borderId="0" xfId="0" applyFont="1"/>
    <xf numFmtId="166" fontId="6" fillId="0" borderId="0" xfId="1" applyNumberFormat="1" applyFont="1"/>
    <xf numFmtId="0" fontId="14" fillId="0" borderId="0" xfId="0" applyFont="1"/>
    <xf numFmtId="166" fontId="10" fillId="0" borderId="0" xfId="1" applyNumberFormat="1" applyFont="1"/>
    <xf numFmtId="164" fontId="6" fillId="0" borderId="0" xfId="0" applyNumberFormat="1" applyFont="1"/>
    <xf numFmtId="166" fontId="0" fillId="0" borderId="0" xfId="1" applyNumberFormat="1" applyFont="1"/>
    <xf numFmtId="0" fontId="10" fillId="0" borderId="0" xfId="0" applyFont="1" applyAlignment="1">
      <alignment horizontal="right" vertical="center" indent="1"/>
    </xf>
    <xf numFmtId="0" fontId="0" fillId="0" borderId="0" xfId="0" applyAlignment="1">
      <alignment horizontal="right"/>
    </xf>
    <xf numFmtId="0" fontId="13" fillId="0" borderId="0" xfId="0" applyFont="1"/>
    <xf numFmtId="0" fontId="0" fillId="0" borderId="1" xfId="0" applyBorder="1"/>
    <xf numFmtId="166" fontId="9" fillId="0" borderId="1" xfId="1" applyNumberFormat="1" applyFont="1" applyBorder="1" applyAlignment="1">
      <alignment horizontal="center"/>
    </xf>
    <xf numFmtId="166" fontId="10" fillId="9" borderId="1" xfId="1" applyNumberFormat="1" applyFont="1" applyFill="1" applyBorder="1" applyAlignment="1">
      <alignment vertical="center"/>
    </xf>
    <xf numFmtId="0" fontId="6" fillId="0" borderId="1" xfId="0" applyFont="1" applyBorder="1"/>
    <xf numFmtId="166" fontId="6" fillId="0" borderId="1" xfId="1" applyNumberFormat="1" applyFont="1" applyBorder="1"/>
    <xf numFmtId="0" fontId="15" fillId="0" borderId="1" xfId="0" applyFont="1" applyBorder="1" applyAlignment="1">
      <alignment horizontal="left" vertical="center" indent="1"/>
    </xf>
    <xf numFmtId="166" fontId="16" fillId="5" borderId="1" xfId="1" applyNumberFormat="1" applyFont="1" applyFill="1" applyBorder="1" applyAlignment="1">
      <alignment vertical="center"/>
    </xf>
    <xf numFmtId="0" fontId="20" fillId="0" borderId="1" xfId="0" applyFont="1" applyBorder="1" applyAlignment="1">
      <alignment horizontal="left" vertical="center" indent="1"/>
    </xf>
    <xf numFmtId="166" fontId="16" fillId="7" borderId="1" xfId="1" applyNumberFormat="1" applyFont="1" applyFill="1" applyBorder="1" applyAlignment="1">
      <alignment vertical="center"/>
    </xf>
    <xf numFmtId="0" fontId="10" fillId="0" borderId="0" xfId="0" applyFont="1" applyAlignment="1">
      <alignment horizontal="right" indent="1"/>
    </xf>
    <xf numFmtId="0" fontId="23" fillId="0" borderId="0" xfId="0" applyFont="1"/>
    <xf numFmtId="166" fontId="23" fillId="0" borderId="0" xfId="1" applyNumberFormat="1" applyFont="1"/>
    <xf numFmtId="0" fontId="4" fillId="0" borderId="1" xfId="0" applyFont="1" applyBorder="1"/>
    <xf numFmtId="165" fontId="5" fillId="3" borderId="1" xfId="0" applyNumberFormat="1" applyFont="1" applyFill="1" applyBorder="1"/>
    <xf numFmtId="9" fontId="4" fillId="0" borderId="1" xfId="0" applyNumberFormat="1" applyFont="1" applyBorder="1"/>
    <xf numFmtId="0" fontId="5" fillId="0" borderId="1" xfId="0" applyFont="1" applyBorder="1" applyAlignment="1">
      <alignment horizontal="right"/>
    </xf>
    <xf numFmtId="166" fontId="7" fillId="0" borderId="1" xfId="1" applyNumberFormat="1" applyFont="1" applyBorder="1"/>
    <xf numFmtId="165" fontId="5" fillId="0" borderId="0" xfId="0" applyNumberFormat="1" applyFont="1"/>
    <xf numFmtId="0" fontId="24" fillId="0" borderId="0" xfId="0" applyFont="1"/>
    <xf numFmtId="166" fontId="5" fillId="0" borderId="1" xfId="1" applyNumberFormat="1" applyFont="1" applyBorder="1" applyAlignment="1">
      <alignment horizontal="right"/>
    </xf>
    <xf numFmtId="0" fontId="13" fillId="0" borderId="0" xfId="0" applyFont="1" applyAlignment="1">
      <alignment vertical="top"/>
    </xf>
    <xf numFmtId="166" fontId="5" fillId="3" borderId="1" xfId="1" applyNumberFormat="1" applyFont="1" applyFill="1" applyBorder="1" applyAlignment="1">
      <alignment horizontal="right"/>
    </xf>
    <xf numFmtId="43" fontId="13" fillId="0" borderId="0" xfId="0" applyNumberFormat="1" applyFont="1"/>
    <xf numFmtId="0" fontId="25" fillId="10" borderId="1" xfId="0" applyFont="1" applyFill="1" applyBorder="1"/>
    <xf numFmtId="0" fontId="21" fillId="0" borderId="0" xfId="0" applyFont="1"/>
    <xf numFmtId="0" fontId="22" fillId="0" borderId="0" xfId="0" applyFont="1"/>
    <xf numFmtId="166" fontId="0" fillId="0" borderId="2" xfId="1" applyNumberFormat="1" applyFont="1" applyBorder="1"/>
    <xf numFmtId="166" fontId="13" fillId="0" borderId="2" xfId="1" applyNumberFormat="1" applyFont="1" applyBorder="1"/>
    <xf numFmtId="166" fontId="17" fillId="0" borderId="2" xfId="1" applyNumberFormat="1" applyFont="1" applyBorder="1"/>
    <xf numFmtId="166" fontId="9" fillId="0" borderId="2" xfId="1" applyNumberFormat="1" applyFont="1" applyBorder="1"/>
    <xf numFmtId="166" fontId="26" fillId="0" borderId="0" xfId="1" applyNumberFormat="1" applyFont="1"/>
    <xf numFmtId="166" fontId="17" fillId="0" borderId="0" xfId="1" applyNumberFormat="1" applyFont="1"/>
    <xf numFmtId="0" fontId="17" fillId="0" borderId="0" xfId="0" applyFont="1"/>
    <xf numFmtId="0" fontId="28" fillId="0" borderId="0" xfId="0" applyFont="1"/>
    <xf numFmtId="0" fontId="8" fillId="0" borderId="5" xfId="0" applyFont="1" applyBorder="1"/>
    <xf numFmtId="0" fontId="8" fillId="2" borderId="3" xfId="0" applyFont="1" applyFill="1" applyBorder="1"/>
    <xf numFmtId="0" fontId="8" fillId="0" borderId="3" xfId="0" applyFont="1" applyBorder="1"/>
    <xf numFmtId="0" fontId="29" fillId="0" borderId="0" xfId="0" applyFont="1"/>
    <xf numFmtId="0" fontId="9" fillId="0" borderId="0" xfId="0" applyFont="1" applyAlignment="1">
      <alignment horizontal="center" vertical="center"/>
    </xf>
    <xf numFmtId="0" fontId="9" fillId="0" borderId="2" xfId="0" applyFont="1" applyBorder="1" applyAlignment="1">
      <alignment horizontal="center" vertical="center" wrapText="1"/>
    </xf>
    <xf numFmtId="0" fontId="31" fillId="6" borderId="2" xfId="0" applyFont="1" applyFill="1" applyBorder="1" applyAlignment="1">
      <alignment horizontal="center" vertical="center" wrapText="1"/>
    </xf>
    <xf numFmtId="0" fontId="9" fillId="0" borderId="0" xfId="0" applyFont="1" applyAlignment="1">
      <alignment horizontal="center" vertical="center" wrapText="1"/>
    </xf>
    <xf numFmtId="0" fontId="31" fillId="12" borderId="2" xfId="0" applyFont="1" applyFill="1" applyBorder="1" applyAlignment="1">
      <alignment horizontal="center" vertical="center" wrapText="1"/>
    </xf>
    <xf numFmtId="0" fontId="9" fillId="0" borderId="2" xfId="0" applyFont="1" applyBorder="1"/>
    <xf numFmtId="9" fontId="9" fillId="0" borderId="2" xfId="0" applyNumberFormat="1" applyFont="1" applyBorder="1"/>
    <xf numFmtId="0" fontId="8" fillId="0" borderId="0" xfId="0" applyFont="1" applyAlignment="1">
      <alignment horizontal="left" vertical="top" wrapText="1"/>
    </xf>
    <xf numFmtId="0" fontId="33" fillId="0" borderId="0" xfId="0" applyFont="1"/>
    <xf numFmtId="0" fontId="11" fillId="0" borderId="0" xfId="0" applyFont="1"/>
    <xf numFmtId="166" fontId="6" fillId="0" borderId="1" xfId="1" applyNumberFormat="1" applyFont="1" applyBorder="1" applyAlignment="1">
      <alignment horizontal="center"/>
    </xf>
    <xf numFmtId="0" fontId="18" fillId="0" borderId="0" xfId="0" applyFont="1"/>
    <xf numFmtId="9" fontId="34" fillId="0" borderId="0" xfId="0" applyNumberFormat="1" applyFont="1" applyAlignment="1">
      <alignment horizontal="center"/>
    </xf>
    <xf numFmtId="0" fontId="0" fillId="0" borderId="0" xfId="0" applyAlignment="1">
      <alignment horizontal="center" vertical="top" wrapText="1"/>
    </xf>
    <xf numFmtId="166" fontId="10" fillId="3" borderId="1" xfId="1" applyNumberFormat="1" applyFont="1" applyFill="1" applyBorder="1"/>
    <xf numFmtId="0" fontId="10" fillId="0" borderId="1" xfId="0" applyFont="1" applyBorder="1" applyAlignment="1">
      <alignment horizontal="center" wrapText="1"/>
    </xf>
    <xf numFmtId="0" fontId="6" fillId="0" borderId="1" xfId="0" applyFont="1" applyBorder="1" applyAlignment="1">
      <alignment horizontal="center"/>
    </xf>
    <xf numFmtId="166" fontId="35" fillId="0" borderId="1" xfId="1" applyNumberFormat="1" applyFont="1" applyBorder="1"/>
    <xf numFmtId="0" fontId="36" fillId="0" borderId="1" xfId="0" applyFont="1" applyBorder="1" applyAlignment="1">
      <alignment horizontal="center" wrapText="1"/>
    </xf>
    <xf numFmtId="0" fontId="37" fillId="0" borderId="1" xfId="0" applyFont="1" applyBorder="1" applyAlignment="1">
      <alignment horizontal="center" wrapText="1"/>
    </xf>
    <xf numFmtId="0" fontId="6" fillId="3" borderId="1" xfId="0" applyFont="1" applyFill="1" applyBorder="1" applyAlignment="1">
      <alignment horizontal="center"/>
    </xf>
    <xf numFmtId="9" fontId="6" fillId="3" borderId="1" xfId="0" applyNumberFormat="1" applyFont="1" applyFill="1" applyBorder="1"/>
    <xf numFmtId="0" fontId="38" fillId="0" borderId="1" xfId="0" applyFont="1" applyBorder="1"/>
    <xf numFmtId="0" fontId="39" fillId="0" borderId="0" xfId="0" applyFont="1"/>
    <xf numFmtId="0" fontId="39" fillId="0" borderId="0" xfId="0" applyFont="1" applyAlignment="1">
      <alignment horizontal="left" vertical="top" wrapText="1"/>
    </xf>
    <xf numFmtId="0" fontId="39" fillId="0" borderId="0" xfId="0" applyFont="1" applyAlignment="1">
      <alignment horizontal="left"/>
    </xf>
    <xf numFmtId="165" fontId="0" fillId="0" borderId="0" xfId="0" applyNumberFormat="1"/>
    <xf numFmtId="9" fontId="0" fillId="0" borderId="0" xfId="2" applyFont="1"/>
    <xf numFmtId="0" fontId="40" fillId="0" borderId="0" xfId="0" applyFont="1" applyAlignment="1">
      <alignment horizontal="center" vertical="top" wrapText="1"/>
    </xf>
    <xf numFmtId="0" fontId="40" fillId="0" borderId="0" xfId="0" applyFont="1"/>
    <xf numFmtId="166" fontId="41" fillId="0" borderId="0" xfId="0" applyNumberFormat="1" applyFont="1"/>
    <xf numFmtId="0" fontId="9" fillId="0" borderId="2" xfId="0" applyFont="1" applyBorder="1" applyAlignment="1">
      <alignment horizontal="center"/>
    </xf>
    <xf numFmtId="166" fontId="0" fillId="0" borderId="1" xfId="1" applyNumberFormat="1" applyFont="1" applyBorder="1"/>
    <xf numFmtId="166" fontId="9" fillId="0" borderId="1" xfId="1" applyNumberFormat="1" applyFont="1" applyBorder="1"/>
    <xf numFmtId="0" fontId="31" fillId="6" borderId="2" xfId="0" applyFont="1" applyFill="1" applyBorder="1" applyAlignment="1">
      <alignment horizontal="center" vertical="center"/>
    </xf>
    <xf numFmtId="167" fontId="9" fillId="0" borderId="2" xfId="1" applyNumberFormat="1" applyFont="1" applyBorder="1"/>
    <xf numFmtId="0" fontId="9" fillId="0" borderId="9" xfId="0" applyFont="1" applyBorder="1" applyAlignment="1">
      <alignment horizontal="center" vertical="center" wrapText="1"/>
    </xf>
    <xf numFmtId="0" fontId="17" fillId="0" borderId="1" xfId="0" applyFont="1" applyBorder="1"/>
    <xf numFmtId="166" fontId="17" fillId="0" borderId="1" xfId="1" applyNumberFormat="1" applyFont="1" applyBorder="1"/>
    <xf numFmtId="0" fontId="11" fillId="0" borderId="0" xfId="0" applyFont="1" applyBorder="1" applyAlignment="1">
      <alignment horizontal="right"/>
    </xf>
    <xf numFmtId="166" fontId="11" fillId="0" borderId="1" xfId="1" applyNumberFormat="1" applyFont="1" applyBorder="1"/>
    <xf numFmtId="0" fontId="11" fillId="9" borderId="1" xfId="0" applyFont="1" applyFill="1" applyBorder="1"/>
    <xf numFmtId="166" fontId="11" fillId="9" borderId="1" xfId="1" applyNumberFormat="1" applyFont="1" applyFill="1" applyBorder="1"/>
    <xf numFmtId="0" fontId="0" fillId="0" borderId="7" xfId="0" applyBorder="1"/>
    <xf numFmtId="0" fontId="10" fillId="0" borderId="10" xfId="0" applyFont="1" applyBorder="1" applyAlignment="1">
      <alignment horizontal="center" vertical="center" wrapText="1"/>
    </xf>
    <xf numFmtId="166" fontId="10" fillId="13" borderId="1" xfId="1" applyNumberFormat="1" applyFont="1" applyFill="1" applyBorder="1"/>
    <xf numFmtId="0" fontId="11" fillId="13" borderId="1" xfId="0" applyFont="1" applyFill="1" applyBorder="1" applyAlignment="1">
      <alignment horizontal="center"/>
    </xf>
    <xf numFmtId="166" fontId="11" fillId="13" borderId="1" xfId="1" applyNumberFormat="1" applyFont="1" applyFill="1" applyBorder="1" applyAlignment="1">
      <alignment horizontal="center"/>
    </xf>
    <xf numFmtId="0" fontId="41" fillId="0" borderId="0" xfId="0" applyFont="1"/>
    <xf numFmtId="0" fontId="17" fillId="0" borderId="0" xfId="0" applyFont="1" applyAlignment="1">
      <alignment vertical="center"/>
    </xf>
    <xf numFmtId="0" fontId="0" fillId="0" borderId="0" xfId="0" applyAlignment="1">
      <alignment vertical="center"/>
    </xf>
    <xf numFmtId="0" fontId="44" fillId="0" borderId="0" xfId="0" applyFont="1" applyAlignment="1">
      <alignment vertical="center"/>
    </xf>
    <xf numFmtId="0" fontId="8" fillId="0" borderId="0" xfId="0" applyFont="1" applyAlignment="1">
      <alignment vertical="center"/>
    </xf>
    <xf numFmtId="0" fontId="9" fillId="0" borderId="0" xfId="0" applyFont="1" applyAlignment="1">
      <alignment horizontal="right"/>
    </xf>
    <xf numFmtId="0" fontId="17" fillId="0" borderId="0" xfId="0" applyFont="1" applyAlignment="1">
      <alignment horizontal="right" vertical="center"/>
    </xf>
    <xf numFmtId="0" fontId="45" fillId="0" borderId="0" xfId="0" applyFont="1" applyAlignment="1">
      <alignment horizontal="center"/>
    </xf>
    <xf numFmtId="166" fontId="46" fillId="0" borderId="0" xfId="1" applyNumberFormat="1" applyFont="1"/>
    <xf numFmtId="0" fontId="47" fillId="0" borderId="0" xfId="0" applyFont="1"/>
    <xf numFmtId="0" fontId="48" fillId="0" borderId="0" xfId="0" applyFont="1" applyAlignment="1">
      <alignment horizontal="left" vertical="center"/>
    </xf>
    <xf numFmtId="0" fontId="49" fillId="0" borderId="0" xfId="0" applyFont="1" applyAlignment="1">
      <alignment horizontal="right" vertical="center"/>
    </xf>
    <xf numFmtId="0" fontId="49" fillId="0" borderId="0" xfId="0" applyFont="1" applyAlignment="1">
      <alignment horizontal="right" vertical="center" indent="1"/>
    </xf>
    <xf numFmtId="0" fontId="50" fillId="0" borderId="0" xfId="0" applyFont="1" applyAlignment="1">
      <alignment horizontal="center"/>
    </xf>
    <xf numFmtId="0" fontId="51" fillId="12" borderId="2" xfId="0" applyFont="1" applyFill="1" applyBorder="1" applyAlignment="1">
      <alignment horizontal="center" vertical="center" wrapText="1"/>
    </xf>
    <xf numFmtId="0" fontId="52" fillId="0" borderId="0" xfId="0" applyFont="1"/>
    <xf numFmtId="0" fontId="9" fillId="0" borderId="0" xfId="0" applyFont="1" applyAlignment="1">
      <alignment horizontal="left" vertical="center"/>
    </xf>
    <xf numFmtId="0" fontId="35" fillId="0" borderId="1" xfId="0" applyFont="1" applyBorder="1"/>
    <xf numFmtId="0" fontId="9" fillId="0" borderId="0" xfId="0" applyFont="1" applyBorder="1"/>
    <xf numFmtId="9" fontId="9" fillId="0" borderId="0" xfId="0" applyNumberFormat="1" applyFont="1" applyBorder="1"/>
    <xf numFmtId="0" fontId="53" fillId="0" borderId="0" xfId="0" applyFont="1"/>
    <xf numFmtId="0" fontId="54" fillId="0" borderId="0" xfId="0" applyFont="1" applyAlignment="1">
      <alignment horizontal="right"/>
    </xf>
    <xf numFmtId="0" fontId="55" fillId="0" borderId="0" xfId="0" applyFont="1" applyAlignment="1">
      <alignment horizontal="right" vertical="center"/>
    </xf>
    <xf numFmtId="0" fontId="56" fillId="0" borderId="0" xfId="0" applyFont="1" applyAlignment="1">
      <alignment horizontal="left" vertical="center"/>
    </xf>
    <xf numFmtId="0" fontId="57" fillId="0" borderId="1" xfId="0" applyFont="1" applyBorder="1" applyAlignment="1">
      <alignment horizontal="center" wrapText="1"/>
    </xf>
    <xf numFmtId="166" fontId="57" fillId="0" borderId="1" xfId="1" applyNumberFormat="1" applyFont="1" applyBorder="1"/>
    <xf numFmtId="0" fontId="0" fillId="0" borderId="2" xfId="0" applyFont="1" applyBorder="1" applyAlignment="1">
      <alignment horizontal="center"/>
    </xf>
    <xf numFmtId="0" fontId="6" fillId="6" borderId="0" xfId="0" applyFont="1" applyFill="1"/>
    <xf numFmtId="166" fontId="55" fillId="2" borderId="0" xfId="0" applyNumberFormat="1" applyFont="1" applyFill="1" applyAlignment="1">
      <alignment horizontal="right" vertical="center"/>
    </xf>
    <xf numFmtId="0" fontId="9" fillId="2" borderId="2" xfId="0" applyFont="1" applyFill="1" applyBorder="1" applyAlignment="1">
      <alignment horizontal="center"/>
    </xf>
    <xf numFmtId="166" fontId="6" fillId="3" borderId="1" xfId="1" applyNumberFormat="1" applyFont="1" applyFill="1" applyBorder="1"/>
    <xf numFmtId="166" fontId="6" fillId="0" borderId="1" xfId="1" applyNumberFormat="1" applyFont="1" applyFill="1" applyBorder="1"/>
    <xf numFmtId="166" fontId="0" fillId="3" borderId="2" xfId="1" applyNumberFormat="1" applyFont="1" applyFill="1" applyBorder="1"/>
    <xf numFmtId="0" fontId="42" fillId="0" borderId="0" xfId="0" applyFont="1" applyAlignment="1">
      <alignment horizontal="center"/>
    </xf>
    <xf numFmtId="0" fontId="16" fillId="5" borderId="0" xfId="0" applyFont="1" applyFill="1" applyAlignment="1">
      <alignment horizontal="center"/>
    </xf>
    <xf numFmtId="0" fontId="16" fillId="7" borderId="0" xfId="0" applyFont="1" applyFill="1" applyAlignment="1">
      <alignment horizontal="center"/>
    </xf>
    <xf numFmtId="166" fontId="19" fillId="9" borderId="1" xfId="1" applyNumberFormat="1" applyFont="1" applyFill="1" applyBorder="1" applyAlignment="1">
      <alignment horizontal="center"/>
    </xf>
    <xf numFmtId="0" fontId="16" fillId="8" borderId="1" xfId="0" applyFont="1" applyFill="1" applyBorder="1" applyAlignment="1">
      <alignment horizontal="center"/>
    </xf>
    <xf numFmtId="0" fontId="27" fillId="4" borderId="0" xfId="0" applyFont="1" applyFill="1" applyAlignment="1">
      <alignment horizontal="center"/>
    </xf>
    <xf numFmtId="0" fontId="16" fillId="8" borderId="0" xfId="0" applyFont="1" applyFill="1" applyAlignment="1">
      <alignment horizontal="center"/>
    </xf>
    <xf numFmtId="0" fontId="2" fillId="7" borderId="2" xfId="0" applyFont="1" applyFill="1" applyBorder="1" applyAlignment="1">
      <alignment horizontal="center"/>
    </xf>
    <xf numFmtId="0" fontId="2" fillId="5" borderId="2" xfId="0" applyFont="1" applyFill="1" applyBorder="1" applyAlignment="1">
      <alignment horizontal="center"/>
    </xf>
    <xf numFmtId="0" fontId="30" fillId="11" borderId="2" xfId="0" applyFont="1" applyFill="1" applyBorder="1" applyAlignment="1">
      <alignment horizontal="center"/>
    </xf>
    <xf numFmtId="0" fontId="38" fillId="0" borderId="11" xfId="0" applyFont="1" applyBorder="1" applyAlignment="1">
      <alignment horizontal="center"/>
    </xf>
    <xf numFmtId="0" fontId="2" fillId="5" borderId="6" xfId="0" applyFont="1" applyFill="1" applyBorder="1" applyAlignment="1">
      <alignment horizontal="center"/>
    </xf>
    <xf numFmtId="0" fontId="6" fillId="0" borderId="7" xfId="0" applyFont="1" applyBorder="1"/>
    <xf numFmtId="0" fontId="6" fillId="0" borderId="4" xfId="0" applyFont="1" applyBorder="1"/>
    <xf numFmtId="0" fontId="6" fillId="0" borderId="8" xfId="0" applyFont="1" applyBorder="1"/>
    <xf numFmtId="0" fontId="10" fillId="0" borderId="7" xfId="0" applyFont="1" applyBorder="1" applyAlignment="1">
      <alignment horizontal="center"/>
    </xf>
    <xf numFmtId="0" fontId="10" fillId="0" borderId="8" xfId="0" applyFont="1" applyBorder="1" applyAlignment="1">
      <alignment horizontal="center"/>
    </xf>
    <xf numFmtId="0" fontId="8" fillId="0" borderId="0" xfId="0" applyFont="1" applyAlignment="1">
      <alignment horizontal="left" vertical="top" wrapText="1"/>
    </xf>
    <xf numFmtId="0" fontId="8" fillId="0" borderId="0" xfId="0" applyFont="1" applyAlignment="1">
      <alignment horizontal="left" wrapText="1"/>
    </xf>
  </cellXfs>
  <cellStyles count="3">
    <cellStyle name="Comma" xfId="1" builtinId="3"/>
    <cellStyle name="Normal" xfId="0" builtinId="0"/>
    <cellStyle name="Percent" xfId="2" builtinId="5"/>
  </cellStyles>
  <dxfs count="7">
    <dxf>
      <font>
        <b/>
        <i val="0"/>
        <color theme="9"/>
      </font>
    </dxf>
    <dxf>
      <fill>
        <patternFill>
          <bgColor theme="7" tint="0.79998168889431442"/>
        </patternFill>
      </fill>
    </dxf>
    <dxf>
      <fill>
        <patternFill>
          <bgColor theme="7"/>
        </patternFill>
      </fill>
    </dxf>
    <dxf>
      <font>
        <b/>
        <i val="0"/>
        <color theme="9" tint="-0.24994659260841701"/>
      </font>
    </dxf>
    <dxf>
      <font>
        <b/>
        <i val="0"/>
        <color rgb="FFFF0000"/>
      </font>
    </dxf>
    <dxf>
      <font>
        <b/>
        <i val="0"/>
        <color theme="9" tint="-0.24994659260841701"/>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1"/>
          <c:order val="1"/>
          <c:tx>
            <c:strRef>
              <c:f>'Passive income projection'!$G$7</c:f>
              <c:strCache>
                <c:ptCount val="1"/>
                <c:pt idx="0">
                  <c:v>Approx corpus balance (EOY)</c:v>
                </c:pt>
              </c:strCache>
            </c:strRef>
          </c:tx>
          <c:spPr>
            <a:solidFill>
              <a:schemeClr val="accent5">
                <a:lumMod val="60000"/>
                <a:lumOff val="40000"/>
              </a:schemeClr>
            </a:solidFill>
            <a:ln>
              <a:noFill/>
            </a:ln>
            <a:effectLst/>
          </c:spPr>
          <c:val>
            <c:numRef>
              <c:f>'Passive income projection'!$G$8:$G$49</c:f>
              <c:numCache>
                <c:formatCode>_ * #,##0_ ;_ * \-#,##0_ ;_ * "-"??_ ;_ @_ </c:formatCode>
                <c:ptCount val="42"/>
                <c:pt idx="0">
                  <c:v>5817904.4571428569</c:v>
                </c:pt>
                <c:pt idx="1">
                  <c:v>7307147.0285714287</c:v>
                </c:pt>
                <c:pt idx="2">
                  <c:v>7635955.7328685708</c:v>
                </c:pt>
                <c:pt idx="3">
                  <c:v>7994429.2432902856</c:v>
                </c:pt>
                <c:pt idx="4">
                  <c:v>8328832.4577647923</c:v>
                </c:pt>
                <c:pt idx="5">
                  <c:v>8632637.6982253939</c:v>
                </c:pt>
                <c:pt idx="6">
                  <c:v>9002491.1809478439</c:v>
                </c:pt>
                <c:pt idx="7">
                  <c:v>8454727.5365176369</c:v>
                </c:pt>
                <c:pt idx="8">
                  <c:v>7762047.4748095898</c:v>
                </c:pt>
                <c:pt idx="9">
                  <c:v>6905781.0096408371</c:v>
                </c:pt>
                <c:pt idx="10">
                  <c:v>5865269.1888378384</c:v>
                </c:pt>
                <c:pt idx="11">
                  <c:v>4617670.3012604006</c:v>
                </c:pt>
                <c:pt idx="12">
                  <c:v>3695455.1388466684</c:v>
                </c:pt>
                <c:pt idx="13">
                  <c:v>2596710.8283838183</c:v>
                </c:pt>
                <c:pt idx="14">
                  <c:v>1300122.4025739993</c:v>
                </c:pt>
                <c:pt idx="15">
                  <c:v>-201697.95161689096</c:v>
                </c:pt>
                <c:pt idx="16">
                  <c:v>-1820069.7306011433</c:v>
                </c:pt>
                <c:pt idx="17">
                  <c:v>-3563151.5341142928</c:v>
                </c:pt>
                <c:pt idx="18">
                  <c:v>-5439673.0638733637</c:v>
                </c:pt>
                <c:pt idx="19">
                  <c:v>-7458975.1007155692</c:v>
                </c:pt>
                <c:pt idx="20">
                  <c:v>-9631052.2801367287</c:v>
                </c:pt>
                <c:pt idx="21">
                  <c:v>-11966598.862117369</c:v>
                </c:pt>
                <c:pt idx="22">
                  <c:v>-14477057.704836655</c:v>
                </c:pt>
                <c:pt idx="23">
                  <c:v>-17174672.666546293</c:v>
                </c:pt>
                <c:pt idx="24">
                  <c:v>-20072544.675575603</c:v>
                </c:pt>
                <c:pt idx="25">
                  <c:v>-23184691.725236967</c:v>
                </c:pt>
                <c:pt idx="26">
                  <c:v>-26526113.068374626</c:v>
                </c:pt>
                <c:pt idx="27">
                  <c:v>-30112857.90553192</c:v>
                </c:pt>
                <c:pt idx="28">
                  <c:v>-33962098.881290227</c:v>
                </c:pt>
                <c:pt idx="29">
                  <c:v>-38092210.725351617</c:v>
                </c:pt>
                <c:pt idx="30">
                  <c:v>-42522854.398497298</c:v>
                </c:pt>
                <c:pt idx="31">
                  <c:v>-47275067.128763177</c:v>
                </c:pt>
                <c:pt idx="32">
                  <c:v>-52371358.750147671</c:v>
                </c:pt>
                <c:pt idx="33">
                  <c:v>-57835814.785029076</c:v>
                </c:pt>
                <c:pt idx="34">
                  <c:v>-63694206.74235218</c:v>
                </c:pt>
                <c:pt idx="35">
                  <c:v>-69974110.136687905</c:v>
                </c:pt>
                <c:pt idx="36">
                  <c:v>-76705030.768627137</c:v>
                </c:pt>
                <c:pt idx="37">
                  <c:v>-83918539.844802111</c:v>
                </c:pt>
                <c:pt idx="38">
                  <c:v>-91648418.556309327</c:v>
                </c:pt>
                <c:pt idx="39">
                  <c:v>-99930812.777622044</c:v>
                </c:pt>
                <c:pt idx="40">
                  <c:v>-108804398.59442666</c:v>
                </c:pt>
                <c:pt idx="41">
                  <c:v>-118310559.41840759</c:v>
                </c:pt>
              </c:numCache>
            </c:numRef>
          </c:val>
          <c:extLst>
            <c:ext xmlns:c16="http://schemas.microsoft.com/office/drawing/2014/chart" uri="{C3380CC4-5D6E-409C-BE32-E72D297353CC}">
              <c16:uniqueId val="{00000001-FED7-45DF-A360-9ED0B996D9D3}"/>
            </c:ext>
          </c:extLst>
        </c:ser>
        <c:dLbls>
          <c:showLegendKey val="0"/>
          <c:showVal val="0"/>
          <c:showCatName val="0"/>
          <c:showSerName val="0"/>
          <c:showPercent val="0"/>
          <c:showBubbleSize val="0"/>
        </c:dLbls>
        <c:axId val="393537440"/>
        <c:axId val="393536784"/>
      </c:areaChart>
      <c:barChart>
        <c:barDir val="col"/>
        <c:grouping val="clustered"/>
        <c:varyColors val="0"/>
        <c:ser>
          <c:idx val="0"/>
          <c:order val="0"/>
          <c:tx>
            <c:strRef>
              <c:f>'Passive income projection'!$F$7</c:f>
              <c:strCache>
                <c:ptCount val="1"/>
                <c:pt idx="0">
                  <c:v>Annual income needed</c:v>
                </c:pt>
              </c:strCache>
            </c:strRef>
          </c:tx>
          <c:spPr>
            <a:solidFill>
              <a:schemeClr val="accent2">
                <a:lumMod val="75000"/>
              </a:schemeClr>
            </a:solidFill>
            <a:ln>
              <a:noFill/>
            </a:ln>
            <a:effectLst/>
          </c:spPr>
          <c:invertIfNegative val="0"/>
          <c:cat>
            <c:numRef>
              <c:f>'Passive income projection'!$B$8:$B$49</c:f>
              <c:numCache>
                <c:formatCode>General</c:formatCode>
                <c:ptCount val="42"/>
                <c:pt idx="0">
                  <c:v>59</c:v>
                </c:pt>
                <c:pt idx="1">
                  <c:v>60</c:v>
                </c:pt>
                <c:pt idx="2">
                  <c:v>61</c:v>
                </c:pt>
                <c:pt idx="3">
                  <c:v>62</c:v>
                </c:pt>
                <c:pt idx="4">
                  <c:v>63</c:v>
                </c:pt>
                <c:pt idx="5">
                  <c:v>64</c:v>
                </c:pt>
                <c:pt idx="6">
                  <c:v>65</c:v>
                </c:pt>
                <c:pt idx="7">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pt idx="24">
                  <c:v>83</c:v>
                </c:pt>
                <c:pt idx="25">
                  <c:v>84</c:v>
                </c:pt>
                <c:pt idx="26">
                  <c:v>85</c:v>
                </c:pt>
                <c:pt idx="27">
                  <c:v>86</c:v>
                </c:pt>
                <c:pt idx="28">
                  <c:v>87</c:v>
                </c:pt>
                <c:pt idx="29">
                  <c:v>88</c:v>
                </c:pt>
                <c:pt idx="30">
                  <c:v>89</c:v>
                </c:pt>
                <c:pt idx="31">
                  <c:v>90</c:v>
                </c:pt>
                <c:pt idx="32">
                  <c:v>91</c:v>
                </c:pt>
                <c:pt idx="33">
                  <c:v>92</c:v>
                </c:pt>
                <c:pt idx="34">
                  <c:v>93</c:v>
                </c:pt>
                <c:pt idx="35">
                  <c:v>94</c:v>
                </c:pt>
                <c:pt idx="36">
                  <c:v>95</c:v>
                </c:pt>
                <c:pt idx="37">
                  <c:v>96</c:v>
                </c:pt>
                <c:pt idx="38">
                  <c:v>97</c:v>
                </c:pt>
                <c:pt idx="39">
                  <c:v>98</c:v>
                </c:pt>
                <c:pt idx="40">
                  <c:v>99</c:v>
                </c:pt>
                <c:pt idx="41">
                  <c:v>100</c:v>
                </c:pt>
              </c:numCache>
            </c:numRef>
          </c:cat>
          <c:val>
            <c:numRef>
              <c:f>'Passive income projection'!$F$8:$F$49</c:f>
              <c:numCache>
                <c:formatCode>_ * #,##0_ ;_ * \-#,##0_ ;_ * "-"??_ ;_ @_ </c:formatCode>
                <c:ptCount val="42"/>
                <c:pt idx="0">
                  <c:v>-1006234.2857142857</c:v>
                </c:pt>
                <c:pt idx="1">
                  <c:v>-1058286.6857142856</c:v>
                </c:pt>
                <c:pt idx="2">
                  <c:v>236817.64628571435</c:v>
                </c:pt>
                <c:pt idx="3">
                  <c:v>233706.43352571427</c:v>
                </c:pt>
                <c:pt idx="4">
                  <c:v>282547.33795251406</c:v>
                </c:pt>
                <c:pt idx="5">
                  <c:v>335649.40385239001</c:v>
                </c:pt>
                <c:pt idx="6">
                  <c:v>296997.7158662795</c:v>
                </c:pt>
                <c:pt idx="7">
                  <c:v>1174039.7582463287</c:v>
                </c:pt>
                <c:pt idx="8">
                  <c:v>1267646.5413235717</c:v>
                </c:pt>
                <c:pt idx="9">
                  <c:v>1367805.7992162216</c:v>
                </c:pt>
                <c:pt idx="10">
                  <c:v>1474976.2051613573</c:v>
                </c:pt>
                <c:pt idx="11">
                  <c:v>1589648.539522652</c:v>
                </c:pt>
                <c:pt idx="12">
                  <c:v>1195952.5801060779</c:v>
                </c:pt>
                <c:pt idx="13">
                  <c:v>1291093.2607135032</c:v>
                </c:pt>
                <c:pt idx="14">
                  <c:v>1392893.7889634485</c:v>
                </c:pt>
                <c:pt idx="15">
                  <c:v>1501820.3541908902</c:v>
                </c:pt>
                <c:pt idx="16">
                  <c:v>1618371.7789842524</c:v>
                </c:pt>
                <c:pt idx="17">
                  <c:v>1743081.8035131495</c:v>
                </c:pt>
                <c:pt idx="18">
                  <c:v>1876521.5297590708</c:v>
                </c:pt>
                <c:pt idx="19">
                  <c:v>2019302.0368422056</c:v>
                </c:pt>
                <c:pt idx="20">
                  <c:v>2172077.1794211594</c:v>
                </c:pt>
                <c:pt idx="21">
                  <c:v>2335546.581980641</c:v>
                </c:pt>
                <c:pt idx="22">
                  <c:v>2510458.8427192862</c:v>
                </c:pt>
                <c:pt idx="23">
                  <c:v>2697614.9617096358</c:v>
                </c:pt>
                <c:pt idx="24">
                  <c:v>2897872.0090293107</c:v>
                </c:pt>
                <c:pt idx="25">
                  <c:v>3112147.0496613625</c:v>
                </c:pt>
                <c:pt idx="26">
                  <c:v>3341421.3431376582</c:v>
                </c:pt>
                <c:pt idx="27">
                  <c:v>3586744.8371572942</c:v>
                </c:pt>
                <c:pt idx="28">
                  <c:v>3849240.9757583048</c:v>
                </c:pt>
                <c:pt idx="29">
                  <c:v>4130111.8440613858</c:v>
                </c:pt>
                <c:pt idx="30">
                  <c:v>4430643.6731456835</c:v>
                </c:pt>
                <c:pt idx="31">
                  <c:v>4752212.7302658809</c:v>
                </c:pt>
                <c:pt idx="32">
                  <c:v>5096291.6213844921</c:v>
                </c:pt>
                <c:pt idx="33">
                  <c:v>5464456.0348814074</c:v>
                </c:pt>
                <c:pt idx="34">
                  <c:v>5858391.9573231051</c:v>
                </c:pt>
                <c:pt idx="35">
                  <c:v>6279903.3943357235</c:v>
                </c:pt>
                <c:pt idx="36">
                  <c:v>6730920.6319392249</c:v>
                </c:pt>
                <c:pt idx="37">
                  <c:v>7213509.0761749689</c:v>
                </c:pt>
                <c:pt idx="38">
                  <c:v>7729878.711507218</c:v>
                </c:pt>
                <c:pt idx="39">
                  <c:v>8282394.2213127231</c:v>
                </c:pt>
                <c:pt idx="40">
                  <c:v>8873585.8168046139</c:v>
                </c:pt>
                <c:pt idx="41">
                  <c:v>9506160.8239809349</c:v>
                </c:pt>
              </c:numCache>
            </c:numRef>
          </c:val>
          <c:extLst>
            <c:ext xmlns:c16="http://schemas.microsoft.com/office/drawing/2014/chart" uri="{C3380CC4-5D6E-409C-BE32-E72D297353CC}">
              <c16:uniqueId val="{00000000-FED7-45DF-A360-9ED0B996D9D3}"/>
            </c:ext>
          </c:extLst>
        </c:ser>
        <c:dLbls>
          <c:showLegendKey val="0"/>
          <c:showVal val="0"/>
          <c:showCatName val="0"/>
          <c:showSerName val="0"/>
          <c:showPercent val="0"/>
          <c:showBubbleSize val="0"/>
        </c:dLbls>
        <c:gapWidth val="150"/>
        <c:axId val="393537440"/>
        <c:axId val="393536784"/>
      </c:barChart>
      <c:catAx>
        <c:axId val="39353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93536784"/>
        <c:crosses val="autoZero"/>
        <c:auto val="1"/>
        <c:lblAlgn val="ctr"/>
        <c:lblOffset val="100"/>
        <c:noMultiLvlLbl val="0"/>
      </c:catAx>
      <c:valAx>
        <c:axId val="3935367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Corpus</a:t>
                </a:r>
                <a:r>
                  <a:rPr lang="en-IN" baseline="0"/>
                  <a:t> balance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37440"/>
        <c:crosses val="autoZero"/>
        <c:crossBetween val="between"/>
      </c:valAx>
      <c:spPr>
        <a:noFill/>
        <a:ln>
          <a:noFill/>
        </a:ln>
        <a:effectLst/>
      </c:spPr>
    </c:plotArea>
    <c:legend>
      <c:legendPos val="b"/>
      <c:layout>
        <c:manualLayout>
          <c:xMode val="edge"/>
          <c:yMode val="edge"/>
          <c:x val="0.32894942306333436"/>
          <c:y val="0.92655952373428718"/>
          <c:w val="0.39907886041097479"/>
          <c:h val="5.41774999842003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99390</xdr:colOff>
      <xdr:row>5</xdr:row>
      <xdr:rowOff>165651</xdr:rowOff>
    </xdr:from>
    <xdr:to>
      <xdr:col>23</xdr:col>
      <xdr:colOff>0</xdr:colOff>
      <xdr:row>23</xdr:row>
      <xdr:rowOff>145774</xdr:rowOff>
    </xdr:to>
    <xdr:graphicFrame macro="">
      <xdr:nvGraphicFramePr>
        <xdr:cNvPr id="3" name="Chart 2">
          <a:extLst>
            <a:ext uri="{FF2B5EF4-FFF2-40B4-BE49-F238E27FC236}">
              <a16:creationId xmlns:a16="http://schemas.microsoft.com/office/drawing/2014/main" id="{EFCAFAB3-5B45-4CA6-93CF-B4BC1D502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showGridLines="0" topLeftCell="D16" zoomScale="130" zoomScaleNormal="130" workbookViewId="0">
      <selection activeCell="G19" sqref="G19"/>
    </sheetView>
  </sheetViews>
  <sheetFormatPr defaultRowHeight="15" x14ac:dyDescent="0.25"/>
  <cols>
    <col min="1" max="1" width="5.140625" customWidth="1"/>
    <col min="2" max="2" width="54.140625" customWidth="1"/>
    <col min="3" max="3" width="15.5703125" customWidth="1"/>
    <col min="4" max="4" width="23.140625" style="69" customWidth="1"/>
    <col min="5" max="5" width="12" customWidth="1"/>
    <col min="6" max="6" width="54.85546875" customWidth="1"/>
    <col min="7" max="7" width="21.140625" customWidth="1"/>
    <col min="8" max="8" width="4.85546875" customWidth="1"/>
  </cols>
  <sheetData>
    <row r="1" spans="2:11" ht="18.75" x14ac:dyDescent="0.3">
      <c r="B1" s="139" t="s">
        <v>67</v>
      </c>
      <c r="C1" s="139"/>
      <c r="D1" s="139"/>
      <c r="E1" s="139"/>
      <c r="F1" s="139"/>
      <c r="G1" s="139"/>
    </row>
    <row r="3" spans="2:11" ht="21" x14ac:dyDescent="0.35">
      <c r="B3" s="140" t="s">
        <v>23</v>
      </c>
      <c r="C3" s="140"/>
      <c r="F3" s="141" t="s">
        <v>24</v>
      </c>
      <c r="G3" s="141"/>
    </row>
    <row r="4" spans="2:11" ht="12.6" customHeight="1" x14ac:dyDescent="0.25"/>
    <row r="5" spans="2:11" ht="18.75" x14ac:dyDescent="0.3">
      <c r="B5" s="142" t="s">
        <v>14</v>
      </c>
      <c r="C5" s="142"/>
      <c r="F5" s="104" t="s">
        <v>19</v>
      </c>
      <c r="G5" s="105" t="s">
        <v>21</v>
      </c>
      <c r="H5" s="106"/>
    </row>
    <row r="6" spans="2:11" ht="15.75" x14ac:dyDescent="0.25">
      <c r="B6" s="20"/>
      <c r="C6" s="21" t="s">
        <v>17</v>
      </c>
      <c r="D6" s="81"/>
      <c r="F6" s="23" t="s">
        <v>80</v>
      </c>
      <c r="G6" s="24">
        <v>200000</v>
      </c>
      <c r="H6" s="106"/>
      <c r="K6" s="9"/>
    </row>
    <row r="7" spans="2:11" ht="15.75" x14ac:dyDescent="0.25">
      <c r="B7" s="23" t="s">
        <v>74</v>
      </c>
      <c r="C7" s="68">
        <v>100000</v>
      </c>
      <c r="D7" s="81"/>
      <c r="F7" s="23" t="s">
        <v>81</v>
      </c>
      <c r="G7" s="24">
        <v>500000</v>
      </c>
      <c r="H7" s="106"/>
    </row>
    <row r="8" spans="2:11" ht="15.75" x14ac:dyDescent="0.25">
      <c r="B8" s="23" t="s">
        <v>77</v>
      </c>
      <c r="C8" s="68">
        <v>50000</v>
      </c>
      <c r="D8" s="81"/>
      <c r="F8" s="23" t="s">
        <v>79</v>
      </c>
      <c r="G8" s="24">
        <v>300000</v>
      </c>
      <c r="H8" s="106"/>
    </row>
    <row r="9" spans="2:11" ht="15.75" x14ac:dyDescent="0.25">
      <c r="B9" s="23"/>
      <c r="C9" s="68"/>
      <c r="D9" s="81"/>
      <c r="F9" s="23" t="s">
        <v>82</v>
      </c>
      <c r="G9" s="24">
        <v>700000</v>
      </c>
      <c r="H9" s="106"/>
    </row>
    <row r="10" spans="2:11" ht="15.75" x14ac:dyDescent="0.25">
      <c r="B10" s="17" t="s">
        <v>16</v>
      </c>
      <c r="C10" s="22">
        <f>SUM(C7:C9)</f>
        <v>150000</v>
      </c>
      <c r="D10" s="81"/>
      <c r="F10" s="23" t="s">
        <v>83</v>
      </c>
      <c r="G10" s="24">
        <v>100000</v>
      </c>
      <c r="H10" s="106"/>
    </row>
    <row r="11" spans="2:11" ht="15.75" x14ac:dyDescent="0.25">
      <c r="D11" s="81"/>
      <c r="F11" s="23" t="s">
        <v>84</v>
      </c>
      <c r="G11" s="24">
        <v>100000</v>
      </c>
      <c r="H11" s="106"/>
    </row>
    <row r="12" spans="2:11" ht="15.75" x14ac:dyDescent="0.25">
      <c r="D12" s="81"/>
      <c r="F12" s="23" t="s">
        <v>94</v>
      </c>
      <c r="G12" s="24">
        <v>300000</v>
      </c>
      <c r="H12" s="106"/>
    </row>
    <row r="13" spans="2:11" ht="15.75" x14ac:dyDescent="0.25">
      <c r="D13" s="81"/>
      <c r="F13" s="23" t="s">
        <v>95</v>
      </c>
      <c r="G13" s="24">
        <v>200000</v>
      </c>
      <c r="H13" s="106"/>
    </row>
    <row r="14" spans="2:11" ht="15.75" x14ac:dyDescent="0.25">
      <c r="D14" s="81"/>
      <c r="F14" s="23" t="s">
        <v>96</v>
      </c>
      <c r="G14" s="24">
        <v>800000</v>
      </c>
      <c r="H14" s="106"/>
    </row>
    <row r="15" spans="2:11" ht="18.75" x14ac:dyDescent="0.3">
      <c r="B15" s="142" t="s">
        <v>15</v>
      </c>
      <c r="C15" s="142"/>
      <c r="F15" s="23" t="s">
        <v>96</v>
      </c>
      <c r="G15" s="24">
        <v>500000</v>
      </c>
      <c r="H15" s="106"/>
    </row>
    <row r="16" spans="2:11" ht="15.75" x14ac:dyDescent="0.25">
      <c r="B16" s="23"/>
      <c r="C16" s="21" t="s">
        <v>17</v>
      </c>
      <c r="F16" s="23" t="s">
        <v>97</v>
      </c>
      <c r="G16" s="24">
        <v>500000</v>
      </c>
      <c r="H16" s="106"/>
    </row>
    <row r="17" spans="1:10" ht="15.75" x14ac:dyDescent="0.25">
      <c r="B17" s="23" t="s">
        <v>1</v>
      </c>
      <c r="C17" s="24">
        <v>30000</v>
      </c>
      <c r="D17" s="81"/>
      <c r="F17" s="23" t="s">
        <v>89</v>
      </c>
      <c r="G17" s="136">
        <v>3000000</v>
      </c>
      <c r="H17" s="106"/>
    </row>
    <row r="18" spans="1:10" ht="15.75" x14ac:dyDescent="0.25">
      <c r="B18" s="23" t="s">
        <v>0</v>
      </c>
      <c r="C18" s="24">
        <v>10000</v>
      </c>
      <c r="D18" s="81"/>
      <c r="F18" s="123" t="s">
        <v>98</v>
      </c>
      <c r="G18" s="75">
        <f>C29*5</f>
        <v>380714.28571428574</v>
      </c>
      <c r="H18" s="106"/>
    </row>
    <row r="19" spans="1:10" ht="15" customHeight="1" x14ac:dyDescent="0.25">
      <c r="B19" s="23" t="s">
        <v>78</v>
      </c>
      <c r="C19" s="24">
        <v>5000</v>
      </c>
      <c r="D19" s="81"/>
      <c r="F19" s="29" t="s">
        <v>4</v>
      </c>
      <c r="G19" s="103">
        <f>SUM(G6:G18)</f>
        <v>7580714.2857142854</v>
      </c>
      <c r="H19" s="114"/>
    </row>
    <row r="20" spans="1:10" ht="15.75" x14ac:dyDescent="0.25">
      <c r="B20" s="23" t="s">
        <v>90</v>
      </c>
      <c r="C20" s="24">
        <v>4000</v>
      </c>
      <c r="D20" s="81" t="s">
        <v>64</v>
      </c>
    </row>
    <row r="21" spans="1:10" ht="18.75" x14ac:dyDescent="0.3">
      <c r="B21" s="80" t="s">
        <v>60</v>
      </c>
      <c r="C21" s="24"/>
      <c r="D21" s="81"/>
      <c r="F21" s="104" t="s">
        <v>20</v>
      </c>
      <c r="G21" s="105" t="s">
        <v>21</v>
      </c>
      <c r="H21" s="106"/>
    </row>
    <row r="22" spans="1:10" ht="15.75" x14ac:dyDescent="0.25">
      <c r="B22" s="23" t="s">
        <v>5</v>
      </c>
      <c r="C22" s="24">
        <v>2000</v>
      </c>
      <c r="D22" s="81"/>
      <c r="F22" s="23" t="s">
        <v>85</v>
      </c>
      <c r="G22" s="24">
        <v>6000000</v>
      </c>
      <c r="H22" s="106"/>
    </row>
    <row r="23" spans="1:10" ht="15.75" x14ac:dyDescent="0.25">
      <c r="B23" s="23" t="s">
        <v>47</v>
      </c>
      <c r="C23" s="24">
        <v>2000</v>
      </c>
      <c r="D23" s="81"/>
      <c r="F23" s="23" t="s">
        <v>86</v>
      </c>
      <c r="G23" s="24">
        <v>1500000</v>
      </c>
      <c r="H23" s="106"/>
    </row>
    <row r="24" spans="1:10" ht="15.75" x14ac:dyDescent="0.25">
      <c r="B24" s="23" t="s">
        <v>49</v>
      </c>
      <c r="C24" s="24">
        <v>2000</v>
      </c>
      <c r="D24" s="81"/>
      <c r="F24" s="23" t="s">
        <v>87</v>
      </c>
      <c r="G24" s="24">
        <v>0</v>
      </c>
      <c r="H24" s="106"/>
    </row>
    <row r="25" spans="1:10" ht="15.75" x14ac:dyDescent="0.25">
      <c r="B25" s="23" t="s">
        <v>45</v>
      </c>
      <c r="C25" s="24">
        <v>1000</v>
      </c>
      <c r="D25" s="81"/>
      <c r="F25" s="23" t="s">
        <v>88</v>
      </c>
      <c r="G25" s="24">
        <v>0</v>
      </c>
      <c r="H25" s="106"/>
    </row>
    <row r="26" spans="1:10" ht="15.75" x14ac:dyDescent="0.25">
      <c r="B26" s="23" t="s">
        <v>42</v>
      </c>
      <c r="C26" s="24">
        <f>1500000/84</f>
        <v>17857.142857142859</v>
      </c>
      <c r="D26" s="81"/>
      <c r="F26" s="23"/>
      <c r="G26" s="24"/>
      <c r="H26" s="106"/>
    </row>
    <row r="27" spans="1:10" ht="15.75" x14ac:dyDescent="0.25">
      <c r="B27" s="17" t="s">
        <v>18</v>
      </c>
      <c r="C27" s="22">
        <f>SUM(C17:C26)</f>
        <v>73857.142857142855</v>
      </c>
      <c r="D27" s="81"/>
      <c r="F27" s="29" t="s">
        <v>4</v>
      </c>
      <c r="G27" s="103">
        <f>SUM(G22:G26)</f>
        <v>7500000</v>
      </c>
      <c r="H27" s="121" t="s">
        <v>59</v>
      </c>
      <c r="I27" s="121"/>
    </row>
    <row r="28" spans="1:10" ht="27.6" customHeight="1" x14ac:dyDescent="0.35">
      <c r="E28" s="13"/>
      <c r="F28" s="30"/>
      <c r="G28" s="31"/>
      <c r="H28" s="115"/>
    </row>
    <row r="29" spans="1:10" ht="21" x14ac:dyDescent="0.35">
      <c r="A29" s="13"/>
      <c r="B29" s="25" t="s">
        <v>22</v>
      </c>
      <c r="C29" s="26">
        <f>C10-C27</f>
        <v>76142.857142857145</v>
      </c>
      <c r="F29" s="27" t="s">
        <v>69</v>
      </c>
      <c r="G29" s="28">
        <f>G19</f>
        <v>7580714.2857142854</v>
      </c>
      <c r="H29" s="114"/>
      <c r="I29" s="13"/>
      <c r="J29" s="13"/>
    </row>
    <row r="30" spans="1:10" s="13" customFormat="1" ht="21" x14ac:dyDescent="0.35">
      <c r="A30"/>
      <c r="B30"/>
      <c r="C30" s="88" t="s">
        <v>68</v>
      </c>
      <c r="D30" s="69"/>
      <c r="E30"/>
      <c r="F30" s="18"/>
      <c r="G30" s="9"/>
      <c r="H30"/>
      <c r="I30"/>
      <c r="J30"/>
    </row>
    <row r="31" spans="1:10" x14ac:dyDescent="0.25">
      <c r="G31" s="19"/>
    </row>
    <row r="33" spans="2:3" x14ac:dyDescent="0.25">
      <c r="B33" s="111"/>
      <c r="C33" s="111"/>
    </row>
    <row r="34" spans="2:3" x14ac:dyDescent="0.25">
      <c r="B34" s="111"/>
      <c r="C34" s="111"/>
    </row>
    <row r="35" spans="2:3" x14ac:dyDescent="0.25">
      <c r="B35" s="111"/>
    </row>
    <row r="36" spans="2:3" x14ac:dyDescent="0.25">
      <c r="B36" s="111"/>
    </row>
    <row r="37" spans="2:3" x14ac:dyDescent="0.25">
      <c r="B37" s="111"/>
      <c r="C37" s="111"/>
    </row>
    <row r="38" spans="2:3" x14ac:dyDescent="0.25">
      <c r="B38" s="111"/>
      <c r="C38" s="111"/>
    </row>
    <row r="39" spans="2:3" x14ac:dyDescent="0.25">
      <c r="B39" s="111"/>
      <c r="C39" s="111"/>
    </row>
  </sheetData>
  <mergeCells count="5">
    <mergeCell ref="B1:G1"/>
    <mergeCell ref="B3:C3"/>
    <mergeCell ref="F3:G3"/>
    <mergeCell ref="B5:C5"/>
    <mergeCell ref="B15:C15"/>
  </mergeCell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J59"/>
  <sheetViews>
    <sheetView showGridLines="0" topLeftCell="C4" zoomScale="85" zoomScaleNormal="85" workbookViewId="0">
      <selection activeCell="F19" sqref="F19"/>
    </sheetView>
  </sheetViews>
  <sheetFormatPr defaultRowHeight="15" x14ac:dyDescent="0.25"/>
  <cols>
    <col min="1" max="1" width="5.140625" customWidth="1"/>
    <col min="2" max="2" width="57" customWidth="1"/>
    <col min="3" max="3" width="22.5703125" customWidth="1"/>
    <col min="4" max="4" width="30.140625" customWidth="1"/>
    <col min="5" max="5" width="30.42578125" customWidth="1"/>
    <col min="6" max="6" width="22.140625" customWidth="1"/>
    <col min="7" max="7" width="25.140625" customWidth="1"/>
    <col min="8" max="8" width="31.5703125" customWidth="1"/>
    <col min="27" max="35" width="13.85546875" customWidth="1"/>
  </cols>
  <sheetData>
    <row r="1" spans="2:35" ht="0.75" customHeight="1" x14ac:dyDescent="0.25"/>
    <row r="2" spans="2:35" ht="24" customHeight="1" x14ac:dyDescent="0.35">
      <c r="B2" s="44" t="s">
        <v>6</v>
      </c>
    </row>
    <row r="3" spans="2:35" ht="13.35" customHeight="1" x14ac:dyDescent="0.35">
      <c r="B3" s="8"/>
      <c r="AA3" s="7" t="str">
        <f>B6</f>
        <v>Son's marriage</v>
      </c>
      <c r="AB3" s="7" t="str">
        <f>B23</f>
        <v>Home renovation</v>
      </c>
      <c r="AC3" s="7" t="e">
        <f>'Goals analysis'!#REF!</f>
        <v>#REF!</v>
      </c>
      <c r="AD3" s="7" t="str">
        <f>B40</f>
        <v>Special function</v>
      </c>
      <c r="AE3" s="7" t="e">
        <f>#REF!</f>
        <v>#REF!</v>
      </c>
      <c r="AF3" s="7" t="e">
        <f>#REF!</f>
        <v>#REF!</v>
      </c>
      <c r="AG3" s="7" t="e">
        <f>#REF!</f>
        <v>#REF!</v>
      </c>
      <c r="AH3" s="7" t="e">
        <f>#REF!</f>
        <v>#REF!</v>
      </c>
      <c r="AI3" s="7" t="e">
        <f>#REF!</f>
        <v>#REF!</v>
      </c>
    </row>
    <row r="4" spans="2:35" ht="21" x14ac:dyDescent="0.35">
      <c r="B4" s="145" t="s">
        <v>44</v>
      </c>
      <c r="C4" s="145"/>
      <c r="E4" s="143" t="s">
        <v>31</v>
      </c>
      <c r="F4" s="143"/>
      <c r="G4" s="143"/>
      <c r="AA4" s="84">
        <f>C8</f>
        <v>1500000</v>
      </c>
      <c r="AB4" s="84">
        <f>C25</f>
        <v>1000000</v>
      </c>
      <c r="AC4" s="16" t="e">
        <f>#REF!</f>
        <v>#REF!</v>
      </c>
      <c r="AD4" s="84">
        <f>C42</f>
        <v>200000</v>
      </c>
      <c r="AE4" s="84" t="e">
        <f>#REF!</f>
        <v>#REF!</v>
      </c>
      <c r="AF4" s="84" t="e">
        <f>#REF!</f>
        <v>#REF!</v>
      </c>
      <c r="AG4" s="84" t="e">
        <f>#REF!</f>
        <v>#REF!</v>
      </c>
      <c r="AH4" s="84" t="e">
        <f>#REF!</f>
        <v>#REF!</v>
      </c>
      <c r="AI4" s="84" t="e">
        <f>#REF!</f>
        <v>#REF!</v>
      </c>
    </row>
    <row r="5" spans="2:35" ht="28.35" customHeight="1" x14ac:dyDescent="0.25">
      <c r="F5" s="102" t="str">
        <f>CONCATENATE('Calculation data'!$D$5," lump sum investment")</f>
        <v>2022 lump sum investment</v>
      </c>
      <c r="G5" s="102" t="str">
        <f>CONCATENATE("Monthly investment needed starting ",'Calculation data'!$D$6)</f>
        <v>Monthly investment needed starting 2023</v>
      </c>
      <c r="H5" s="7"/>
      <c r="AA5" s="84"/>
      <c r="AB5" s="84"/>
      <c r="AC5" t="e">
        <f>#REF!</f>
        <v>#REF!</v>
      </c>
      <c r="AD5" s="84"/>
      <c r="AE5" s="84"/>
      <c r="AF5" s="84"/>
      <c r="AG5" s="84"/>
      <c r="AH5" s="84"/>
      <c r="AI5" s="84"/>
    </row>
    <row r="6" spans="2:35" ht="19.5" x14ac:dyDescent="0.3">
      <c r="B6" s="144" t="s">
        <v>99</v>
      </c>
      <c r="C6" s="144"/>
      <c r="E6" s="101" t="str">
        <f>B6</f>
        <v>Son's marriage</v>
      </c>
      <c r="F6" s="90">
        <f>C16</f>
        <v>1500000</v>
      </c>
      <c r="G6" s="90">
        <f>IF(C18&lt;100,0,C18)</f>
        <v>0</v>
      </c>
      <c r="H6" s="81" t="str">
        <f>B19</f>
        <v>For 1 years</v>
      </c>
      <c r="AA6" s="85">
        <f>C10</f>
        <v>7.0000000000000007E-2</v>
      </c>
      <c r="AB6" s="85">
        <f>C27</f>
        <v>7.0000000000000007E-2</v>
      </c>
      <c r="AC6" s="4" t="e">
        <f>#REF!</f>
        <v>#REF!</v>
      </c>
      <c r="AD6" s="85">
        <f>C44</f>
        <v>7.0000000000000007E-2</v>
      </c>
      <c r="AE6" s="85" t="e">
        <f>#REF!</f>
        <v>#REF!</v>
      </c>
      <c r="AF6" s="85" t="e">
        <f>#REF!</f>
        <v>#REF!</v>
      </c>
      <c r="AG6" s="85" t="e">
        <f>#REF!</f>
        <v>#REF!</v>
      </c>
      <c r="AH6" s="85" t="e">
        <f>#REF!</f>
        <v>#REF!</v>
      </c>
      <c r="AI6" s="85" t="e">
        <f>#REF!</f>
        <v>#REF!</v>
      </c>
    </row>
    <row r="7" spans="2:35" x14ac:dyDescent="0.25">
      <c r="C7" s="1"/>
      <c r="E7" s="20" t="str">
        <f>B23</f>
        <v>Home renovation</v>
      </c>
      <c r="F7" s="90">
        <f>C33</f>
        <v>1000000</v>
      </c>
      <c r="G7" s="90">
        <f>IF(C35&lt;190,0,C35)</f>
        <v>0</v>
      </c>
      <c r="H7" s="81" t="str">
        <f>B36</f>
        <v>For 0 years</v>
      </c>
      <c r="AA7" s="85">
        <f>C11</f>
        <v>7.0000000000000007E-2</v>
      </c>
      <c r="AB7" s="85">
        <f>C28</f>
        <v>7.0000000000000007E-2</v>
      </c>
      <c r="AC7" s="4"/>
      <c r="AD7" s="85">
        <f>C45</f>
        <v>7.0000000000000007E-2</v>
      </c>
      <c r="AE7" s="85" t="e">
        <f>#REF!</f>
        <v>#REF!</v>
      </c>
      <c r="AF7" s="85" t="e">
        <f>#REF!</f>
        <v>#REF!</v>
      </c>
      <c r="AG7" s="85" t="e">
        <f>#REF!</f>
        <v>#REF!</v>
      </c>
      <c r="AH7" s="85" t="e">
        <f>#REF!</f>
        <v>#REF!</v>
      </c>
      <c r="AI7" s="85" t="e">
        <f>#REF!</f>
        <v>#REF!</v>
      </c>
    </row>
    <row r="8" spans="2:35" ht="15.75" x14ac:dyDescent="0.25">
      <c r="B8" s="32" t="s">
        <v>32</v>
      </c>
      <c r="C8" s="33">
        <v>1500000</v>
      </c>
      <c r="D8" s="2"/>
      <c r="E8" s="20" t="str">
        <f>B40</f>
        <v>Special function</v>
      </c>
      <c r="F8" s="90">
        <f>C50</f>
        <v>200000</v>
      </c>
      <c r="G8" s="90">
        <f>IF(C52&lt;100,0,C52)</f>
        <v>0</v>
      </c>
      <c r="H8" s="81" t="str">
        <f>B53</f>
        <v>For 1 years</v>
      </c>
      <c r="AA8" s="84"/>
      <c r="AB8" s="84"/>
      <c r="AC8" s="16" t="e">
        <f>#REF!</f>
        <v>#REF!</v>
      </c>
      <c r="AD8" s="84"/>
      <c r="AE8" s="84"/>
      <c r="AF8" s="84"/>
      <c r="AG8" s="84"/>
      <c r="AH8" s="84"/>
      <c r="AI8" s="84"/>
    </row>
    <row r="9" spans="2:35" ht="15.75" x14ac:dyDescent="0.25">
      <c r="B9" s="2"/>
      <c r="C9" s="3"/>
      <c r="D9" s="2"/>
      <c r="E9" s="20" t="str">
        <f>B56</f>
        <v>Emergency fund</v>
      </c>
      <c r="F9" s="91">
        <f>C59</f>
        <v>500000</v>
      </c>
      <c r="G9" s="90"/>
      <c r="H9" s="81"/>
      <c r="AA9">
        <f>C13</f>
        <v>2023</v>
      </c>
      <c r="AB9">
        <f>C30</f>
        <v>2022</v>
      </c>
      <c r="AC9" s="4" t="e">
        <f>#REF!</f>
        <v>#REF!</v>
      </c>
      <c r="AD9">
        <f>C47</f>
        <v>2023</v>
      </c>
      <c r="AE9" t="e">
        <f>#REF!</f>
        <v>#REF!</v>
      </c>
      <c r="AF9" t="e">
        <f>#REF!</f>
        <v>#REF!</v>
      </c>
      <c r="AG9" t="e">
        <f>#REF!</f>
        <v>#REF!</v>
      </c>
      <c r="AH9" t="e">
        <f>#REF!</f>
        <v>#REF!</v>
      </c>
      <c r="AI9" t="e">
        <f>#REF!</f>
        <v>#REF!</v>
      </c>
    </row>
    <row r="10" spans="2:35" ht="15.75" x14ac:dyDescent="0.25">
      <c r="B10" s="32" t="s">
        <v>25</v>
      </c>
      <c r="C10" s="34">
        <v>7.0000000000000007E-2</v>
      </c>
      <c r="D10" s="2"/>
      <c r="E10" s="95"/>
      <c r="F10" s="96"/>
      <c r="G10" s="96"/>
      <c r="H10" s="82"/>
      <c r="I10" s="71"/>
      <c r="AA10" s="84">
        <f>C14</f>
        <v>1605000</v>
      </c>
      <c r="AB10" s="84">
        <f>C31</f>
        <v>1000000</v>
      </c>
      <c r="AC10" s="4"/>
      <c r="AD10" s="84">
        <f>C48</f>
        <v>214000</v>
      </c>
      <c r="AE10" s="84" t="e">
        <f>#REF!</f>
        <v>#REF!</v>
      </c>
      <c r="AF10" s="84" t="e">
        <f>#REF!</f>
        <v>#REF!</v>
      </c>
      <c r="AG10" s="84" t="e">
        <f>#REF!</f>
        <v>#REF!</v>
      </c>
      <c r="AH10" s="84" t="e">
        <f>#REF!</f>
        <v>#REF!</v>
      </c>
      <c r="AI10" s="84" t="e">
        <f>#REF!</f>
        <v>#REF!</v>
      </c>
    </row>
    <row r="11" spans="2:35" ht="15.75" x14ac:dyDescent="0.25">
      <c r="B11" s="32" t="s">
        <v>26</v>
      </c>
      <c r="C11" s="34">
        <v>7.0000000000000007E-2</v>
      </c>
      <c r="D11" s="2"/>
      <c r="E11" s="20"/>
      <c r="F11" s="90"/>
      <c r="G11" s="90"/>
      <c r="H11" s="82"/>
      <c r="I11" s="71"/>
      <c r="AA11" s="84"/>
      <c r="AB11" s="84"/>
      <c r="AC11" s="85" t="e">
        <f>#REF!</f>
        <v>#REF!</v>
      </c>
      <c r="AD11" s="84"/>
      <c r="AE11" s="84"/>
      <c r="AF11" s="84"/>
      <c r="AG11" s="84"/>
      <c r="AH11" s="84"/>
      <c r="AI11" s="84"/>
    </row>
    <row r="12" spans="2:35" ht="15.75" x14ac:dyDescent="0.25">
      <c r="B12" s="2"/>
      <c r="C12" s="3"/>
      <c r="D12" s="2"/>
      <c r="E12" s="20"/>
      <c r="F12" s="90"/>
      <c r="G12" s="90"/>
      <c r="H12" s="82"/>
      <c r="I12" s="71"/>
      <c r="AA12" s="84">
        <f>C16</f>
        <v>1500000</v>
      </c>
      <c r="AB12" s="84">
        <f>C33</f>
        <v>1000000</v>
      </c>
      <c r="AC12" s="85" t="e">
        <f>#REF!</f>
        <v>#REF!</v>
      </c>
      <c r="AD12" s="84">
        <f>C50</f>
        <v>200000</v>
      </c>
      <c r="AE12" s="84" t="e">
        <f>#REF!</f>
        <v>#REF!</v>
      </c>
      <c r="AF12" s="84" t="e">
        <f>#REF!</f>
        <v>#REF!</v>
      </c>
      <c r="AG12" s="84" t="e">
        <f>#REF!</f>
        <v>#REF!</v>
      </c>
      <c r="AH12" s="84" t="e">
        <f>#REF!</f>
        <v>#REF!</v>
      </c>
      <c r="AI12" s="84" t="e">
        <f>#REF!</f>
        <v>#REF!</v>
      </c>
    </row>
    <row r="13" spans="2:35" ht="15.75" x14ac:dyDescent="0.25">
      <c r="B13" s="32" t="s">
        <v>35</v>
      </c>
      <c r="C13" s="35">
        <v>2023</v>
      </c>
      <c r="D13" s="2"/>
      <c r="E13" s="20"/>
      <c r="F13" s="90"/>
      <c r="G13" s="90"/>
      <c r="H13" s="82"/>
      <c r="I13" s="86"/>
      <c r="J13" s="87"/>
      <c r="K13" s="87"/>
      <c r="L13" s="87"/>
      <c r="M13" s="87"/>
      <c r="N13" s="87"/>
      <c r="O13" s="87"/>
      <c r="P13" s="87"/>
      <c r="Q13" s="87"/>
      <c r="AA13" s="84"/>
      <c r="AB13" s="84"/>
      <c r="AC13" s="85" t="e">
        <f>#REF!</f>
        <v>#REF!</v>
      </c>
      <c r="AD13" s="84"/>
      <c r="AE13" s="84"/>
      <c r="AF13" s="84"/>
      <c r="AG13" s="84"/>
      <c r="AH13" s="84"/>
      <c r="AI13" s="84"/>
    </row>
    <row r="14" spans="2:35" ht="15.75" x14ac:dyDescent="0.25">
      <c r="B14" s="32" t="str">
        <f>CONCATENATE("Funds needed in ",C13," with inflation")</f>
        <v>Funds needed in 2023 with inflation</v>
      </c>
      <c r="C14" s="36">
        <f>FV(C10,C13-'Calculation data'!D4,,-C8,0)</f>
        <v>1605000</v>
      </c>
      <c r="D14" s="2"/>
      <c r="E14" s="20"/>
      <c r="F14" s="90"/>
      <c r="G14" s="90"/>
      <c r="H14" s="83"/>
      <c r="AA14" s="84">
        <f>C18</f>
        <v>0</v>
      </c>
      <c r="AB14" s="84">
        <f>C35</f>
        <v>0</v>
      </c>
      <c r="AC14" s="85" t="e">
        <f>#REF!</f>
        <v>#REF!</v>
      </c>
      <c r="AD14" s="84">
        <f>C52</f>
        <v>0</v>
      </c>
      <c r="AE14" s="84" t="e">
        <f>#REF!</f>
        <v>#REF!</v>
      </c>
      <c r="AF14" s="84" t="e">
        <f>#REF!</f>
        <v>#REF!</v>
      </c>
      <c r="AG14" s="84" t="e">
        <f>#REF!</f>
        <v>#REF!</v>
      </c>
      <c r="AH14" s="84" t="e">
        <f>#REF!</f>
        <v>#REF!</v>
      </c>
      <c r="AI14" s="84" t="e">
        <f>#REF!</f>
        <v>#REF!</v>
      </c>
    </row>
    <row r="15" spans="2:35" ht="15.75" x14ac:dyDescent="0.25">
      <c r="B15" s="2"/>
      <c r="C15" s="3"/>
      <c r="D15" s="2"/>
      <c r="E15" s="20"/>
      <c r="F15" s="90"/>
      <c r="G15" s="90"/>
      <c r="AA15" s="84"/>
      <c r="AC15" s="4"/>
    </row>
    <row r="16" spans="2:35" ht="15.75" x14ac:dyDescent="0.25">
      <c r="B16" s="43" t="str">
        <f>CONCATENATE("Investment in ",'Calculation data'!$D$5," from available investable assets")</f>
        <v>Investment in 2022 from available investable assets</v>
      </c>
      <c r="C16" s="33">
        <f>C8</f>
        <v>1500000</v>
      </c>
      <c r="D16" s="15"/>
      <c r="E16" s="20"/>
      <c r="F16" s="20"/>
      <c r="G16" s="20"/>
      <c r="H16" s="81"/>
      <c r="AC16" s="4" t="e">
        <f>#REF!</f>
        <v>#REF!</v>
      </c>
    </row>
    <row r="17" spans="2:36" s="6" customFormat="1" ht="18.75" x14ac:dyDescent="0.3">
      <c r="B17" s="5"/>
      <c r="C17" s="37"/>
      <c r="D17" s="2"/>
      <c r="E17" s="97" t="s">
        <v>29</v>
      </c>
      <c r="F17" s="98">
        <f>SUM(F6:F16)</f>
        <v>3200000</v>
      </c>
      <c r="G17" s="98">
        <f>SUM(G6:G16)</f>
        <v>0</v>
      </c>
      <c r="H17"/>
      <c r="I17"/>
      <c r="J17"/>
      <c r="AA17"/>
      <c r="AB17"/>
      <c r="AC17" s="4" t="e">
        <f>#REF!</f>
        <v>#REF!</v>
      </c>
      <c r="AD17"/>
      <c r="AE17"/>
      <c r="AF17"/>
      <c r="AG17"/>
      <c r="AH17"/>
      <c r="AI17"/>
      <c r="AJ17"/>
    </row>
    <row r="18" spans="2:36" ht="18.75" x14ac:dyDescent="0.3">
      <c r="B18" s="43" t="str">
        <f>CONCATENATE("Monthly investment needed starting Jan ",'Calculation data'!$D$6)</f>
        <v>Monthly investment needed starting Jan 2023</v>
      </c>
      <c r="C18" s="36">
        <f>PMT(C11/12,(C13-'Calculation data'!$D$6+1)*12,0,(-C14+FV(C11,(C13-'Calculation data'!$D$5),0,-C16,0)),0)</f>
        <v>0</v>
      </c>
      <c r="D18" s="42"/>
      <c r="E18" s="6"/>
      <c r="F18" s="6"/>
      <c r="G18" s="6"/>
      <c r="AC18" s="4" t="e">
        <f>#REF!</f>
        <v>#REF!</v>
      </c>
    </row>
    <row r="19" spans="2:36" ht="18.75" x14ac:dyDescent="0.3">
      <c r="B19" s="38" t="str">
        <f>CONCATENATE("For ",(C13-'Calculation data'!$D$6+1)," years")</f>
        <v>For 1 years</v>
      </c>
      <c r="E19" s="99" t="s">
        <v>11</v>
      </c>
      <c r="F19" s="100">
        <f>'Cash flow and assets'!G29</f>
        <v>7580714.2857142854</v>
      </c>
      <c r="G19" s="100">
        <f>'Cash flow and assets'!C29</f>
        <v>76142.857142857145</v>
      </c>
      <c r="H19" s="57"/>
      <c r="AC19" s="4"/>
    </row>
    <row r="20" spans="2:36" x14ac:dyDescent="0.25">
      <c r="E20" s="106" t="s">
        <v>27</v>
      </c>
      <c r="F20" s="40"/>
      <c r="AC20" s="4" t="e">
        <f>#REF!</f>
        <v>#REF!</v>
      </c>
    </row>
    <row r="21" spans="2:36" x14ac:dyDescent="0.25">
      <c r="F21" s="40"/>
      <c r="G21" s="9"/>
      <c r="AC21" s="4"/>
    </row>
    <row r="22" spans="2:36" x14ac:dyDescent="0.25">
      <c r="E22" s="121"/>
      <c r="F22" s="40"/>
      <c r="G22" s="9"/>
      <c r="AC22" s="4" t="e">
        <f>#REF!</f>
        <v>#REF!</v>
      </c>
    </row>
    <row r="23" spans="2:36" ht="19.5" x14ac:dyDescent="0.3">
      <c r="B23" s="144" t="s">
        <v>91</v>
      </c>
      <c r="C23" s="144"/>
      <c r="E23" s="128" t="s">
        <v>75</v>
      </c>
      <c r="F23" s="134">
        <f>F19-F17</f>
        <v>4380714.2857142854</v>
      </c>
      <c r="G23" s="129" t="s">
        <v>76</v>
      </c>
      <c r="H23" s="107"/>
      <c r="I23" s="108"/>
    </row>
    <row r="24" spans="2:36" x14ac:dyDescent="0.25">
      <c r="C24" s="1"/>
      <c r="E24" s="112"/>
      <c r="F24" s="112"/>
      <c r="G24" s="112"/>
      <c r="H24" s="107"/>
      <c r="I24" s="108"/>
    </row>
    <row r="25" spans="2:36" ht="15.75" x14ac:dyDescent="0.25">
      <c r="B25" s="32" t="s">
        <v>32</v>
      </c>
      <c r="C25" s="33">
        <v>1000000</v>
      </c>
      <c r="E25" s="118"/>
      <c r="F25" s="117"/>
      <c r="G25" s="116"/>
      <c r="H25" s="107"/>
      <c r="I25" s="108"/>
    </row>
    <row r="26" spans="2:36" ht="15.75" x14ac:dyDescent="0.25">
      <c r="B26" s="2"/>
      <c r="C26" s="3"/>
      <c r="E26" s="112"/>
      <c r="F26" s="112"/>
      <c r="G26" s="112"/>
      <c r="H26" s="107"/>
      <c r="I26" s="108"/>
    </row>
    <row r="27" spans="2:36" ht="15.75" x14ac:dyDescent="0.25">
      <c r="B27" s="32" t="s">
        <v>25</v>
      </c>
      <c r="C27" s="34">
        <v>7.0000000000000007E-2</v>
      </c>
      <c r="E27" s="112"/>
      <c r="F27" s="112"/>
      <c r="G27" s="112"/>
      <c r="H27" s="107"/>
      <c r="I27" s="108"/>
    </row>
    <row r="28" spans="2:36" ht="15.75" x14ac:dyDescent="0.25">
      <c r="B28" s="32" t="s">
        <v>26</v>
      </c>
      <c r="C28" s="34">
        <v>7.0000000000000007E-2</v>
      </c>
      <c r="E28" s="112"/>
      <c r="F28" s="112"/>
      <c r="G28" s="112"/>
      <c r="H28" s="107"/>
      <c r="I28" s="108"/>
    </row>
    <row r="29" spans="2:36" ht="15.75" x14ac:dyDescent="0.25">
      <c r="B29" s="2"/>
      <c r="C29" s="3"/>
      <c r="E29" s="112"/>
      <c r="F29" s="112"/>
      <c r="G29" s="112"/>
      <c r="H29" s="107"/>
      <c r="I29" s="108"/>
    </row>
    <row r="30" spans="2:36" ht="15.75" x14ac:dyDescent="0.25">
      <c r="B30" s="32" t="s">
        <v>35</v>
      </c>
      <c r="C30" s="35">
        <v>2022</v>
      </c>
      <c r="E30" s="112"/>
      <c r="F30" s="112"/>
      <c r="G30" s="112"/>
      <c r="H30" s="107"/>
      <c r="I30" s="108"/>
    </row>
    <row r="31" spans="2:36" ht="15.75" x14ac:dyDescent="0.25">
      <c r="B31" s="32" t="str">
        <f>CONCATENATE("Funds needed in ",C30," with inflation")</f>
        <v>Funds needed in 2022 with inflation</v>
      </c>
      <c r="C31" s="36">
        <f>FV(C27,C30-'Calculation data'!D4,,-C25,0)</f>
        <v>1000000</v>
      </c>
      <c r="E31" s="107"/>
      <c r="F31" s="107"/>
      <c r="G31" s="107"/>
      <c r="H31" s="107"/>
      <c r="I31" s="108"/>
    </row>
    <row r="32" spans="2:36" ht="15.75" x14ac:dyDescent="0.25">
      <c r="B32" s="2"/>
      <c r="C32" s="3"/>
      <c r="E32" s="107"/>
      <c r="F32" s="107"/>
      <c r="G32" s="107"/>
      <c r="H32" s="107"/>
      <c r="I32" s="108"/>
    </row>
    <row r="33" spans="2:13" ht="18.75" x14ac:dyDescent="0.3">
      <c r="B33" s="43" t="str">
        <f>CONCATENATE("Investment in ",'Calculation data'!$D$5," from available investable assets")</f>
        <v>Investment in 2022 from available investable assets</v>
      </c>
      <c r="C33" s="33">
        <f>C25</f>
        <v>1000000</v>
      </c>
      <c r="E33" s="107"/>
      <c r="F33" s="107"/>
      <c r="G33" s="107"/>
      <c r="H33" s="107"/>
      <c r="I33" s="108"/>
      <c r="M33" s="6"/>
    </row>
    <row r="34" spans="2:13" s="6" customFormat="1" ht="12" customHeight="1" x14ac:dyDescent="0.3">
      <c r="B34" s="5"/>
      <c r="C34" s="37"/>
      <c r="D34"/>
      <c r="E34" s="109"/>
      <c r="F34" s="109"/>
      <c r="G34" s="109"/>
      <c r="H34" s="107"/>
      <c r="I34" s="108"/>
      <c r="M34"/>
    </row>
    <row r="35" spans="2:13" ht="15.75" x14ac:dyDescent="0.25">
      <c r="B35" s="43" t="str">
        <f>CONCATENATE("Monthly investment needed starting Jan ",'Calculation data'!$D$6)</f>
        <v>Monthly investment needed starting Jan 2023</v>
      </c>
      <c r="C35" s="36"/>
      <c r="E35" s="107"/>
      <c r="F35" s="107"/>
      <c r="G35" s="107"/>
      <c r="H35" s="107"/>
      <c r="I35" s="108"/>
    </row>
    <row r="36" spans="2:13" ht="18.75" x14ac:dyDescent="0.3">
      <c r="B36" s="38" t="str">
        <f>CONCATENATE("For ",(C30-'Calculation data'!$D$6+1)," years")</f>
        <v>For 0 years</v>
      </c>
      <c r="D36" s="6"/>
      <c r="E36" s="107"/>
      <c r="F36" s="107"/>
      <c r="G36" s="107"/>
      <c r="H36" s="107"/>
      <c r="I36" s="110"/>
      <c r="J36" s="6"/>
    </row>
    <row r="37" spans="2:13" ht="18.75" x14ac:dyDescent="0.3">
      <c r="B37" s="38"/>
      <c r="D37" s="6"/>
      <c r="E37" s="107"/>
      <c r="F37" s="107"/>
      <c r="G37" s="107"/>
      <c r="H37" s="107"/>
      <c r="I37" s="108"/>
    </row>
    <row r="38" spans="2:13" x14ac:dyDescent="0.25">
      <c r="E38" s="107"/>
      <c r="F38" s="107"/>
      <c r="G38" s="107"/>
      <c r="H38" s="107"/>
      <c r="I38" s="108"/>
    </row>
    <row r="39" spans="2:13" x14ac:dyDescent="0.25">
      <c r="E39" s="108"/>
      <c r="F39" s="108"/>
      <c r="G39" s="108"/>
      <c r="H39" s="108"/>
      <c r="I39" s="108"/>
    </row>
    <row r="40" spans="2:13" ht="19.5" x14ac:dyDescent="0.3">
      <c r="B40" s="144" t="s">
        <v>92</v>
      </c>
      <c r="C40" s="144"/>
    </row>
    <row r="41" spans="2:13" x14ac:dyDescent="0.25">
      <c r="C41" s="1"/>
    </row>
    <row r="42" spans="2:13" ht="15.75" x14ac:dyDescent="0.25">
      <c r="B42" s="32" t="s">
        <v>32</v>
      </c>
      <c r="C42" s="33">
        <v>200000</v>
      </c>
    </row>
    <row r="43" spans="2:13" ht="15.75" x14ac:dyDescent="0.25">
      <c r="B43" s="2"/>
      <c r="C43" s="3"/>
    </row>
    <row r="44" spans="2:13" ht="15.75" x14ac:dyDescent="0.25">
      <c r="B44" s="32" t="s">
        <v>25</v>
      </c>
      <c r="C44" s="34">
        <v>7.0000000000000007E-2</v>
      </c>
    </row>
    <row r="45" spans="2:13" ht="15.75" x14ac:dyDescent="0.25">
      <c r="B45" s="32" t="s">
        <v>26</v>
      </c>
      <c r="C45" s="34">
        <v>7.0000000000000007E-2</v>
      </c>
    </row>
    <row r="46" spans="2:13" ht="15.75" x14ac:dyDescent="0.25">
      <c r="B46" s="2"/>
      <c r="C46" s="3"/>
    </row>
    <row r="47" spans="2:13" ht="15.75" x14ac:dyDescent="0.25">
      <c r="B47" s="32" t="s">
        <v>35</v>
      </c>
      <c r="C47" s="35">
        <v>2023</v>
      </c>
    </row>
    <row r="48" spans="2:13" ht="15.75" x14ac:dyDescent="0.25">
      <c r="B48" s="32" t="str">
        <f>CONCATENATE("Funds needed in ",C47," with inflation")</f>
        <v>Funds needed in 2023 with inflation</v>
      </c>
      <c r="C48" s="36">
        <f>FV(C44,C47-'Calculation data'!$D$4,,-C42,0)</f>
        <v>214000</v>
      </c>
    </row>
    <row r="49" spans="2:13" ht="15.75" x14ac:dyDescent="0.25">
      <c r="B49" s="2"/>
      <c r="C49" s="3"/>
    </row>
    <row r="50" spans="2:13" ht="18.75" x14ac:dyDescent="0.3">
      <c r="B50" s="43" t="str">
        <f>CONCATENATE("Investment in ",'Calculation data'!$D$5," from available investable assets")</f>
        <v>Investment in 2022 from available investable assets</v>
      </c>
      <c r="C50" s="33">
        <f>C42</f>
        <v>200000</v>
      </c>
      <c r="M50" s="6"/>
    </row>
    <row r="51" spans="2:13" s="6" customFormat="1" ht="12" customHeight="1" x14ac:dyDescent="0.3">
      <c r="B51" s="5"/>
      <c r="C51" s="37"/>
      <c r="D51"/>
      <c r="H51"/>
      <c r="I51"/>
      <c r="M51"/>
    </row>
    <row r="52" spans="2:13" ht="15.75" x14ac:dyDescent="0.25">
      <c r="B52" s="43" t="str">
        <f>CONCATENATE("Monthly investment needed starting Jan ",'Calculation data'!$D$6)</f>
        <v>Monthly investment needed starting Jan 2023</v>
      </c>
      <c r="C52" s="36">
        <f>PMT(C45/12,(C47-'Calculation data'!$D$6+1)*12,0,(-C48+FV(C45,(C47-'Calculation data'!$D$5),0,-C50,0)),0)</f>
        <v>0</v>
      </c>
    </row>
    <row r="53" spans="2:13" ht="18.75" x14ac:dyDescent="0.3">
      <c r="B53" s="38" t="str">
        <f>CONCATENATE("For ",(C47-'Calculation data'!$D$6+1)," years")</f>
        <v>For 1 years</v>
      </c>
      <c r="D53" s="6"/>
    </row>
    <row r="54" spans="2:13" ht="18.75" x14ac:dyDescent="0.3">
      <c r="B54" s="38"/>
      <c r="D54" s="6"/>
    </row>
    <row r="56" spans="2:13" ht="19.5" x14ac:dyDescent="0.3">
      <c r="B56" s="144" t="s">
        <v>58</v>
      </c>
      <c r="C56" s="144"/>
    </row>
    <row r="58" spans="2:13" ht="15.75" x14ac:dyDescent="0.25">
      <c r="B58" s="32" t="s">
        <v>28</v>
      </c>
      <c r="C58" s="39">
        <v>500000</v>
      </c>
    </row>
    <row r="59" spans="2:13" ht="15.75" x14ac:dyDescent="0.25">
      <c r="B59" s="43" t="str">
        <f>CONCATENATE("Investment in ",'Calculation data'!$D$5," from available investable assets")</f>
        <v>Investment in 2022 from available investable assets</v>
      </c>
      <c r="C59" s="41">
        <f>C58</f>
        <v>500000</v>
      </c>
    </row>
  </sheetData>
  <mergeCells count="6">
    <mergeCell ref="E4:G4"/>
    <mergeCell ref="B56:C56"/>
    <mergeCell ref="B6:C6"/>
    <mergeCell ref="B23:C23"/>
    <mergeCell ref="B40:C40"/>
    <mergeCell ref="B4:C4"/>
  </mergeCells>
  <pageMargins left="0.7" right="0.7" top="0.75" bottom="0.75" header="0.3" footer="0.3"/>
  <pageSetup paperSize="9" orientation="portrait" horizontalDpi="4294967293" r:id="rId1"/>
  <extLst>
    <ext xmlns:x14="http://schemas.microsoft.com/office/spreadsheetml/2009/9/main" uri="{78C0D931-6437-407d-A8EE-F0AAD7539E65}">
      <x14:conditionalFormattings>
        <x14:conditionalFormatting xmlns:xm="http://schemas.microsoft.com/office/excel/2006/main">
          <x14:cfRule type="expression" priority="16" id="{D6C69050-5D2F-4E1A-8ED5-FACE2684AEEB}">
            <xm:f>'Cash flow projection'!$D$37=#REF!+1</xm:f>
            <x14:dxf/>
          </x14:cfRule>
          <xm:sqref>C35:D35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50"/>
  <sheetViews>
    <sheetView showGridLines="0" zoomScale="145" zoomScaleNormal="145" workbookViewId="0">
      <pane xSplit="4" ySplit="6" topLeftCell="S7" activePane="bottomRight" state="frozen"/>
      <selection pane="topRight" activeCell="C1" sqref="C1"/>
      <selection pane="bottomLeft" activeCell="A8" sqref="A8"/>
      <selection pane="bottomRight" activeCell="Y8" sqref="Y8"/>
    </sheetView>
  </sheetViews>
  <sheetFormatPr defaultRowHeight="15.75" x14ac:dyDescent="0.25"/>
  <cols>
    <col min="1" max="1" width="1.140625" style="2" customWidth="1"/>
    <col min="2" max="3" width="7.140625" style="2" customWidth="1"/>
    <col min="4" max="4" width="7.42578125" style="10" customWidth="1"/>
    <col min="5" max="5" width="11.5703125" style="2" customWidth="1"/>
    <col min="6" max="6" width="10.5703125" style="2" customWidth="1"/>
    <col min="7" max="7" width="10.42578125" style="2" customWidth="1"/>
    <col min="8" max="8" width="11.85546875" style="2" bestFit="1" customWidth="1"/>
    <col min="9" max="9" width="12.42578125" style="2" customWidth="1"/>
    <col min="10" max="10" width="11.42578125" style="2" customWidth="1"/>
    <col min="11" max="11" width="12.140625" style="2" customWidth="1"/>
    <col min="12" max="14" width="10" style="2" bestFit="1" customWidth="1"/>
    <col min="15" max="15" width="11.42578125" style="2" customWidth="1"/>
    <col min="16" max="16" width="13.85546875" style="2" bestFit="1" customWidth="1"/>
    <col min="17" max="17" width="4.5703125" style="2" customWidth="1"/>
    <col min="18" max="18" width="11.140625" style="2" bestFit="1" customWidth="1"/>
    <col min="19" max="20" width="11.140625" style="2" customWidth="1"/>
    <col min="21" max="21" width="14.140625" style="11" customWidth="1"/>
    <col min="22" max="22" width="5" style="2" customWidth="1"/>
    <col min="23" max="23" width="13" style="2" customWidth="1"/>
    <col min="24" max="24" width="3.85546875" style="2" customWidth="1"/>
    <col min="25" max="25" width="14.42578125" style="2" customWidth="1"/>
    <col min="26" max="264" width="8.85546875" style="2"/>
    <col min="265" max="265" width="8.140625" style="2" customWidth="1"/>
    <col min="266" max="266" width="22.5703125" style="2" bestFit="1" customWidth="1"/>
    <col min="267" max="267" width="16" style="2" customWidth="1"/>
    <col min="268" max="269" width="13.140625" style="2" customWidth="1"/>
    <col min="270" max="270" width="15.140625" style="2" customWidth="1"/>
    <col min="271" max="271" width="16.140625" style="2" customWidth="1"/>
    <col min="272" max="272" width="13.5703125" style="2" customWidth="1"/>
    <col min="273" max="274" width="16.140625" style="2" customWidth="1"/>
    <col min="275" max="275" width="5.42578125" style="2" customWidth="1"/>
    <col min="276" max="276" width="13.140625" style="2" bestFit="1" customWidth="1"/>
    <col min="277" max="277" width="8.85546875" style="2"/>
    <col min="278" max="278" width="10.5703125" style="2" bestFit="1" customWidth="1"/>
    <col min="279" max="520" width="8.85546875" style="2"/>
    <col min="521" max="521" width="8.140625" style="2" customWidth="1"/>
    <col min="522" max="522" width="22.5703125" style="2" bestFit="1" customWidth="1"/>
    <col min="523" max="523" width="16" style="2" customWidth="1"/>
    <col min="524" max="525" width="13.140625" style="2" customWidth="1"/>
    <col min="526" max="526" width="15.140625" style="2" customWidth="1"/>
    <col min="527" max="527" width="16.140625" style="2" customWidth="1"/>
    <col min="528" max="528" width="13.5703125" style="2" customWidth="1"/>
    <col min="529" max="530" width="16.140625" style="2" customWidth="1"/>
    <col min="531" max="531" width="5.42578125" style="2" customWidth="1"/>
    <col min="532" max="532" width="13.140625" style="2" bestFit="1" customWidth="1"/>
    <col min="533" max="533" width="8.85546875" style="2"/>
    <col min="534" max="534" width="10.5703125" style="2" bestFit="1" customWidth="1"/>
    <col min="535" max="776" width="8.85546875" style="2"/>
    <col min="777" max="777" width="8.140625" style="2" customWidth="1"/>
    <col min="778" max="778" width="22.5703125" style="2" bestFit="1" customWidth="1"/>
    <col min="779" max="779" width="16" style="2" customWidth="1"/>
    <col min="780" max="781" width="13.140625" style="2" customWidth="1"/>
    <col min="782" max="782" width="15.140625" style="2" customWidth="1"/>
    <col min="783" max="783" width="16.140625" style="2" customWidth="1"/>
    <col min="784" max="784" width="13.5703125" style="2" customWidth="1"/>
    <col min="785" max="786" width="16.140625" style="2" customWidth="1"/>
    <col min="787" max="787" width="5.42578125" style="2" customWidth="1"/>
    <col min="788" max="788" width="13.140625" style="2" bestFit="1" customWidth="1"/>
    <col min="789" max="789" width="8.85546875" style="2"/>
    <col min="790" max="790" width="10.5703125" style="2" bestFit="1" customWidth="1"/>
    <col min="791" max="1032" width="8.85546875" style="2"/>
    <col min="1033" max="1033" width="8.140625" style="2" customWidth="1"/>
    <col min="1034" max="1034" width="22.5703125" style="2" bestFit="1" customWidth="1"/>
    <col min="1035" max="1035" width="16" style="2" customWidth="1"/>
    <col min="1036" max="1037" width="13.140625" style="2" customWidth="1"/>
    <col min="1038" max="1038" width="15.140625" style="2" customWidth="1"/>
    <col min="1039" max="1039" width="16.140625" style="2" customWidth="1"/>
    <col min="1040" max="1040" width="13.5703125" style="2" customWidth="1"/>
    <col min="1041" max="1042" width="16.140625" style="2" customWidth="1"/>
    <col min="1043" max="1043" width="5.42578125" style="2" customWidth="1"/>
    <col min="1044" max="1044" width="13.140625" style="2" bestFit="1" customWidth="1"/>
    <col min="1045" max="1045" width="8.85546875" style="2"/>
    <col min="1046" max="1046" width="10.5703125" style="2" bestFit="1" customWidth="1"/>
    <col min="1047" max="1288" width="8.85546875" style="2"/>
    <col min="1289" max="1289" width="8.140625" style="2" customWidth="1"/>
    <col min="1290" max="1290" width="22.5703125" style="2" bestFit="1" customWidth="1"/>
    <col min="1291" max="1291" width="16" style="2" customWidth="1"/>
    <col min="1292" max="1293" width="13.140625" style="2" customWidth="1"/>
    <col min="1294" max="1294" width="15.140625" style="2" customWidth="1"/>
    <col min="1295" max="1295" width="16.140625" style="2" customWidth="1"/>
    <col min="1296" max="1296" width="13.5703125" style="2" customWidth="1"/>
    <col min="1297" max="1298" width="16.140625" style="2" customWidth="1"/>
    <col min="1299" max="1299" width="5.42578125" style="2" customWidth="1"/>
    <col min="1300" max="1300" width="13.140625" style="2" bestFit="1" customWidth="1"/>
    <col min="1301" max="1301" width="8.85546875" style="2"/>
    <col min="1302" max="1302" width="10.5703125" style="2" bestFit="1" customWidth="1"/>
    <col min="1303" max="1544" width="8.85546875" style="2"/>
    <col min="1545" max="1545" width="8.140625" style="2" customWidth="1"/>
    <col min="1546" max="1546" width="22.5703125" style="2" bestFit="1" customWidth="1"/>
    <col min="1547" max="1547" width="16" style="2" customWidth="1"/>
    <col min="1548" max="1549" width="13.140625" style="2" customWidth="1"/>
    <col min="1550" max="1550" width="15.140625" style="2" customWidth="1"/>
    <col min="1551" max="1551" width="16.140625" style="2" customWidth="1"/>
    <col min="1552" max="1552" width="13.5703125" style="2" customWidth="1"/>
    <col min="1553" max="1554" width="16.140625" style="2" customWidth="1"/>
    <col min="1555" max="1555" width="5.42578125" style="2" customWidth="1"/>
    <col min="1556" max="1556" width="13.140625" style="2" bestFit="1" customWidth="1"/>
    <col min="1557" max="1557" width="8.85546875" style="2"/>
    <col min="1558" max="1558" width="10.5703125" style="2" bestFit="1" customWidth="1"/>
    <col min="1559" max="1800" width="8.85546875" style="2"/>
    <col min="1801" max="1801" width="8.140625" style="2" customWidth="1"/>
    <col min="1802" max="1802" width="22.5703125" style="2" bestFit="1" customWidth="1"/>
    <col min="1803" max="1803" width="16" style="2" customWidth="1"/>
    <col min="1804" max="1805" width="13.140625" style="2" customWidth="1"/>
    <col min="1806" max="1806" width="15.140625" style="2" customWidth="1"/>
    <col min="1807" max="1807" width="16.140625" style="2" customWidth="1"/>
    <col min="1808" max="1808" width="13.5703125" style="2" customWidth="1"/>
    <col min="1809" max="1810" width="16.140625" style="2" customWidth="1"/>
    <col min="1811" max="1811" width="5.42578125" style="2" customWidth="1"/>
    <col min="1812" max="1812" width="13.140625" style="2" bestFit="1" customWidth="1"/>
    <col min="1813" max="1813" width="8.85546875" style="2"/>
    <col min="1814" max="1814" width="10.5703125" style="2" bestFit="1" customWidth="1"/>
    <col min="1815" max="2056" width="8.85546875" style="2"/>
    <col min="2057" max="2057" width="8.140625" style="2" customWidth="1"/>
    <col min="2058" max="2058" width="22.5703125" style="2" bestFit="1" customWidth="1"/>
    <col min="2059" max="2059" width="16" style="2" customWidth="1"/>
    <col min="2060" max="2061" width="13.140625" style="2" customWidth="1"/>
    <col min="2062" max="2062" width="15.140625" style="2" customWidth="1"/>
    <col min="2063" max="2063" width="16.140625" style="2" customWidth="1"/>
    <col min="2064" max="2064" width="13.5703125" style="2" customWidth="1"/>
    <col min="2065" max="2066" width="16.140625" style="2" customWidth="1"/>
    <col min="2067" max="2067" width="5.42578125" style="2" customWidth="1"/>
    <col min="2068" max="2068" width="13.140625" style="2" bestFit="1" customWidth="1"/>
    <col min="2069" max="2069" width="8.85546875" style="2"/>
    <col min="2070" max="2070" width="10.5703125" style="2" bestFit="1" customWidth="1"/>
    <col min="2071" max="2312" width="8.85546875" style="2"/>
    <col min="2313" max="2313" width="8.140625" style="2" customWidth="1"/>
    <col min="2314" max="2314" width="22.5703125" style="2" bestFit="1" customWidth="1"/>
    <col min="2315" max="2315" width="16" style="2" customWidth="1"/>
    <col min="2316" max="2317" width="13.140625" style="2" customWidth="1"/>
    <col min="2318" max="2318" width="15.140625" style="2" customWidth="1"/>
    <col min="2319" max="2319" width="16.140625" style="2" customWidth="1"/>
    <col min="2320" max="2320" width="13.5703125" style="2" customWidth="1"/>
    <col min="2321" max="2322" width="16.140625" style="2" customWidth="1"/>
    <col min="2323" max="2323" width="5.42578125" style="2" customWidth="1"/>
    <col min="2324" max="2324" width="13.140625" style="2" bestFit="1" customWidth="1"/>
    <col min="2325" max="2325" width="8.85546875" style="2"/>
    <col min="2326" max="2326" width="10.5703125" style="2" bestFit="1" customWidth="1"/>
    <col min="2327" max="2568" width="8.85546875" style="2"/>
    <col min="2569" max="2569" width="8.140625" style="2" customWidth="1"/>
    <col min="2570" max="2570" width="22.5703125" style="2" bestFit="1" customWidth="1"/>
    <col min="2571" max="2571" width="16" style="2" customWidth="1"/>
    <col min="2572" max="2573" width="13.140625" style="2" customWidth="1"/>
    <col min="2574" max="2574" width="15.140625" style="2" customWidth="1"/>
    <col min="2575" max="2575" width="16.140625" style="2" customWidth="1"/>
    <col min="2576" max="2576" width="13.5703125" style="2" customWidth="1"/>
    <col min="2577" max="2578" width="16.140625" style="2" customWidth="1"/>
    <col min="2579" max="2579" width="5.42578125" style="2" customWidth="1"/>
    <col min="2580" max="2580" width="13.140625" style="2" bestFit="1" customWidth="1"/>
    <col min="2581" max="2581" width="8.85546875" style="2"/>
    <col min="2582" max="2582" width="10.5703125" style="2" bestFit="1" customWidth="1"/>
    <col min="2583" max="2824" width="8.85546875" style="2"/>
    <col min="2825" max="2825" width="8.140625" style="2" customWidth="1"/>
    <col min="2826" max="2826" width="22.5703125" style="2" bestFit="1" customWidth="1"/>
    <col min="2827" max="2827" width="16" style="2" customWidth="1"/>
    <col min="2828" max="2829" width="13.140625" style="2" customWidth="1"/>
    <col min="2830" max="2830" width="15.140625" style="2" customWidth="1"/>
    <col min="2831" max="2831" width="16.140625" style="2" customWidth="1"/>
    <col min="2832" max="2832" width="13.5703125" style="2" customWidth="1"/>
    <col min="2833" max="2834" width="16.140625" style="2" customWidth="1"/>
    <col min="2835" max="2835" width="5.42578125" style="2" customWidth="1"/>
    <col min="2836" max="2836" width="13.140625" style="2" bestFit="1" customWidth="1"/>
    <col min="2837" max="2837" width="8.85546875" style="2"/>
    <col min="2838" max="2838" width="10.5703125" style="2" bestFit="1" customWidth="1"/>
    <col min="2839" max="3080" width="8.85546875" style="2"/>
    <col min="3081" max="3081" width="8.140625" style="2" customWidth="1"/>
    <col min="3082" max="3082" width="22.5703125" style="2" bestFit="1" customWidth="1"/>
    <col min="3083" max="3083" width="16" style="2" customWidth="1"/>
    <col min="3084" max="3085" width="13.140625" style="2" customWidth="1"/>
    <col min="3086" max="3086" width="15.140625" style="2" customWidth="1"/>
    <col min="3087" max="3087" width="16.140625" style="2" customWidth="1"/>
    <col min="3088" max="3088" width="13.5703125" style="2" customWidth="1"/>
    <col min="3089" max="3090" width="16.140625" style="2" customWidth="1"/>
    <col min="3091" max="3091" width="5.42578125" style="2" customWidth="1"/>
    <col min="3092" max="3092" width="13.140625" style="2" bestFit="1" customWidth="1"/>
    <col min="3093" max="3093" width="8.85546875" style="2"/>
    <col min="3094" max="3094" width="10.5703125" style="2" bestFit="1" customWidth="1"/>
    <col min="3095" max="3336" width="8.85546875" style="2"/>
    <col min="3337" max="3337" width="8.140625" style="2" customWidth="1"/>
    <col min="3338" max="3338" width="22.5703125" style="2" bestFit="1" customWidth="1"/>
    <col min="3339" max="3339" width="16" style="2" customWidth="1"/>
    <col min="3340" max="3341" width="13.140625" style="2" customWidth="1"/>
    <col min="3342" max="3342" width="15.140625" style="2" customWidth="1"/>
    <col min="3343" max="3343" width="16.140625" style="2" customWidth="1"/>
    <col min="3344" max="3344" width="13.5703125" style="2" customWidth="1"/>
    <col min="3345" max="3346" width="16.140625" style="2" customWidth="1"/>
    <col min="3347" max="3347" width="5.42578125" style="2" customWidth="1"/>
    <col min="3348" max="3348" width="13.140625" style="2" bestFit="1" customWidth="1"/>
    <col min="3349" max="3349" width="8.85546875" style="2"/>
    <col min="3350" max="3350" width="10.5703125" style="2" bestFit="1" customWidth="1"/>
    <col min="3351" max="3592" width="8.85546875" style="2"/>
    <col min="3593" max="3593" width="8.140625" style="2" customWidth="1"/>
    <col min="3594" max="3594" width="22.5703125" style="2" bestFit="1" customWidth="1"/>
    <col min="3595" max="3595" width="16" style="2" customWidth="1"/>
    <col min="3596" max="3597" width="13.140625" style="2" customWidth="1"/>
    <col min="3598" max="3598" width="15.140625" style="2" customWidth="1"/>
    <col min="3599" max="3599" width="16.140625" style="2" customWidth="1"/>
    <col min="3600" max="3600" width="13.5703125" style="2" customWidth="1"/>
    <col min="3601" max="3602" width="16.140625" style="2" customWidth="1"/>
    <col min="3603" max="3603" width="5.42578125" style="2" customWidth="1"/>
    <col min="3604" max="3604" width="13.140625" style="2" bestFit="1" customWidth="1"/>
    <col min="3605" max="3605" width="8.85546875" style="2"/>
    <col min="3606" max="3606" width="10.5703125" style="2" bestFit="1" customWidth="1"/>
    <col min="3607" max="3848" width="8.85546875" style="2"/>
    <col min="3849" max="3849" width="8.140625" style="2" customWidth="1"/>
    <col min="3850" max="3850" width="22.5703125" style="2" bestFit="1" customWidth="1"/>
    <col min="3851" max="3851" width="16" style="2" customWidth="1"/>
    <col min="3852" max="3853" width="13.140625" style="2" customWidth="1"/>
    <col min="3854" max="3854" width="15.140625" style="2" customWidth="1"/>
    <col min="3855" max="3855" width="16.140625" style="2" customWidth="1"/>
    <col min="3856" max="3856" width="13.5703125" style="2" customWidth="1"/>
    <col min="3857" max="3858" width="16.140625" style="2" customWidth="1"/>
    <col min="3859" max="3859" width="5.42578125" style="2" customWidth="1"/>
    <col min="3860" max="3860" width="13.140625" style="2" bestFit="1" customWidth="1"/>
    <col min="3861" max="3861" width="8.85546875" style="2"/>
    <col min="3862" max="3862" width="10.5703125" style="2" bestFit="1" customWidth="1"/>
    <col min="3863" max="4104" width="8.85546875" style="2"/>
    <col min="4105" max="4105" width="8.140625" style="2" customWidth="1"/>
    <col min="4106" max="4106" width="22.5703125" style="2" bestFit="1" customWidth="1"/>
    <col min="4107" max="4107" width="16" style="2" customWidth="1"/>
    <col min="4108" max="4109" width="13.140625" style="2" customWidth="1"/>
    <col min="4110" max="4110" width="15.140625" style="2" customWidth="1"/>
    <col min="4111" max="4111" width="16.140625" style="2" customWidth="1"/>
    <col min="4112" max="4112" width="13.5703125" style="2" customWidth="1"/>
    <col min="4113" max="4114" width="16.140625" style="2" customWidth="1"/>
    <col min="4115" max="4115" width="5.42578125" style="2" customWidth="1"/>
    <col min="4116" max="4116" width="13.140625" style="2" bestFit="1" customWidth="1"/>
    <col min="4117" max="4117" width="8.85546875" style="2"/>
    <col min="4118" max="4118" width="10.5703125" style="2" bestFit="1" customWidth="1"/>
    <col min="4119" max="4360" width="8.85546875" style="2"/>
    <col min="4361" max="4361" width="8.140625" style="2" customWidth="1"/>
    <col min="4362" max="4362" width="22.5703125" style="2" bestFit="1" customWidth="1"/>
    <col min="4363" max="4363" width="16" style="2" customWidth="1"/>
    <col min="4364" max="4365" width="13.140625" style="2" customWidth="1"/>
    <col min="4366" max="4366" width="15.140625" style="2" customWidth="1"/>
    <col min="4367" max="4367" width="16.140625" style="2" customWidth="1"/>
    <col min="4368" max="4368" width="13.5703125" style="2" customWidth="1"/>
    <col min="4369" max="4370" width="16.140625" style="2" customWidth="1"/>
    <col min="4371" max="4371" width="5.42578125" style="2" customWidth="1"/>
    <col min="4372" max="4372" width="13.140625" style="2" bestFit="1" customWidth="1"/>
    <col min="4373" max="4373" width="8.85546875" style="2"/>
    <col min="4374" max="4374" width="10.5703125" style="2" bestFit="1" customWidth="1"/>
    <col min="4375" max="4616" width="8.85546875" style="2"/>
    <col min="4617" max="4617" width="8.140625" style="2" customWidth="1"/>
    <col min="4618" max="4618" width="22.5703125" style="2" bestFit="1" customWidth="1"/>
    <col min="4619" max="4619" width="16" style="2" customWidth="1"/>
    <col min="4620" max="4621" width="13.140625" style="2" customWidth="1"/>
    <col min="4622" max="4622" width="15.140625" style="2" customWidth="1"/>
    <col min="4623" max="4623" width="16.140625" style="2" customWidth="1"/>
    <col min="4624" max="4624" width="13.5703125" style="2" customWidth="1"/>
    <col min="4625" max="4626" width="16.140625" style="2" customWidth="1"/>
    <col min="4627" max="4627" width="5.42578125" style="2" customWidth="1"/>
    <col min="4628" max="4628" width="13.140625" style="2" bestFit="1" customWidth="1"/>
    <col min="4629" max="4629" width="8.85546875" style="2"/>
    <col min="4630" max="4630" width="10.5703125" style="2" bestFit="1" customWidth="1"/>
    <col min="4631" max="4872" width="8.85546875" style="2"/>
    <col min="4873" max="4873" width="8.140625" style="2" customWidth="1"/>
    <col min="4874" max="4874" width="22.5703125" style="2" bestFit="1" customWidth="1"/>
    <col min="4875" max="4875" width="16" style="2" customWidth="1"/>
    <col min="4876" max="4877" width="13.140625" style="2" customWidth="1"/>
    <col min="4878" max="4878" width="15.140625" style="2" customWidth="1"/>
    <col min="4879" max="4879" width="16.140625" style="2" customWidth="1"/>
    <col min="4880" max="4880" width="13.5703125" style="2" customWidth="1"/>
    <col min="4881" max="4882" width="16.140625" style="2" customWidth="1"/>
    <col min="4883" max="4883" width="5.42578125" style="2" customWidth="1"/>
    <col min="4884" max="4884" width="13.140625" style="2" bestFit="1" customWidth="1"/>
    <col min="4885" max="4885" width="8.85546875" style="2"/>
    <col min="4886" max="4886" width="10.5703125" style="2" bestFit="1" customWidth="1"/>
    <col min="4887" max="5128" width="8.85546875" style="2"/>
    <col min="5129" max="5129" width="8.140625" style="2" customWidth="1"/>
    <col min="5130" max="5130" width="22.5703125" style="2" bestFit="1" customWidth="1"/>
    <col min="5131" max="5131" width="16" style="2" customWidth="1"/>
    <col min="5132" max="5133" width="13.140625" style="2" customWidth="1"/>
    <col min="5134" max="5134" width="15.140625" style="2" customWidth="1"/>
    <col min="5135" max="5135" width="16.140625" style="2" customWidth="1"/>
    <col min="5136" max="5136" width="13.5703125" style="2" customWidth="1"/>
    <col min="5137" max="5138" width="16.140625" style="2" customWidth="1"/>
    <col min="5139" max="5139" width="5.42578125" style="2" customWidth="1"/>
    <col min="5140" max="5140" width="13.140625" style="2" bestFit="1" customWidth="1"/>
    <col min="5141" max="5141" width="8.85546875" style="2"/>
    <col min="5142" max="5142" width="10.5703125" style="2" bestFit="1" customWidth="1"/>
    <col min="5143" max="5384" width="8.85546875" style="2"/>
    <col min="5385" max="5385" width="8.140625" style="2" customWidth="1"/>
    <col min="5386" max="5386" width="22.5703125" style="2" bestFit="1" customWidth="1"/>
    <col min="5387" max="5387" width="16" style="2" customWidth="1"/>
    <col min="5388" max="5389" width="13.140625" style="2" customWidth="1"/>
    <col min="5390" max="5390" width="15.140625" style="2" customWidth="1"/>
    <col min="5391" max="5391" width="16.140625" style="2" customWidth="1"/>
    <col min="5392" max="5392" width="13.5703125" style="2" customWidth="1"/>
    <col min="5393" max="5394" width="16.140625" style="2" customWidth="1"/>
    <col min="5395" max="5395" width="5.42578125" style="2" customWidth="1"/>
    <col min="5396" max="5396" width="13.140625" style="2" bestFit="1" customWidth="1"/>
    <col min="5397" max="5397" width="8.85546875" style="2"/>
    <col min="5398" max="5398" width="10.5703125" style="2" bestFit="1" customWidth="1"/>
    <col min="5399" max="5640" width="8.85546875" style="2"/>
    <col min="5641" max="5641" width="8.140625" style="2" customWidth="1"/>
    <col min="5642" max="5642" width="22.5703125" style="2" bestFit="1" customWidth="1"/>
    <col min="5643" max="5643" width="16" style="2" customWidth="1"/>
    <col min="5644" max="5645" width="13.140625" style="2" customWidth="1"/>
    <col min="5646" max="5646" width="15.140625" style="2" customWidth="1"/>
    <col min="5647" max="5647" width="16.140625" style="2" customWidth="1"/>
    <col min="5648" max="5648" width="13.5703125" style="2" customWidth="1"/>
    <col min="5649" max="5650" width="16.140625" style="2" customWidth="1"/>
    <col min="5651" max="5651" width="5.42578125" style="2" customWidth="1"/>
    <col min="5652" max="5652" width="13.140625" style="2" bestFit="1" customWidth="1"/>
    <col min="5653" max="5653" width="8.85546875" style="2"/>
    <col min="5654" max="5654" width="10.5703125" style="2" bestFit="1" customWidth="1"/>
    <col min="5655" max="5896" width="8.85546875" style="2"/>
    <col min="5897" max="5897" width="8.140625" style="2" customWidth="1"/>
    <col min="5898" max="5898" width="22.5703125" style="2" bestFit="1" customWidth="1"/>
    <col min="5899" max="5899" width="16" style="2" customWidth="1"/>
    <col min="5900" max="5901" width="13.140625" style="2" customWidth="1"/>
    <col min="5902" max="5902" width="15.140625" style="2" customWidth="1"/>
    <col min="5903" max="5903" width="16.140625" style="2" customWidth="1"/>
    <col min="5904" max="5904" width="13.5703125" style="2" customWidth="1"/>
    <col min="5905" max="5906" width="16.140625" style="2" customWidth="1"/>
    <col min="5907" max="5907" width="5.42578125" style="2" customWidth="1"/>
    <col min="5908" max="5908" width="13.140625" style="2" bestFit="1" customWidth="1"/>
    <col min="5909" max="5909" width="8.85546875" style="2"/>
    <col min="5910" max="5910" width="10.5703125" style="2" bestFit="1" customWidth="1"/>
    <col min="5911" max="6152" width="8.85546875" style="2"/>
    <col min="6153" max="6153" width="8.140625" style="2" customWidth="1"/>
    <col min="6154" max="6154" width="22.5703125" style="2" bestFit="1" customWidth="1"/>
    <col min="6155" max="6155" width="16" style="2" customWidth="1"/>
    <col min="6156" max="6157" width="13.140625" style="2" customWidth="1"/>
    <col min="6158" max="6158" width="15.140625" style="2" customWidth="1"/>
    <col min="6159" max="6159" width="16.140625" style="2" customWidth="1"/>
    <col min="6160" max="6160" width="13.5703125" style="2" customWidth="1"/>
    <col min="6161" max="6162" width="16.140625" style="2" customWidth="1"/>
    <col min="6163" max="6163" width="5.42578125" style="2" customWidth="1"/>
    <col min="6164" max="6164" width="13.140625" style="2" bestFit="1" customWidth="1"/>
    <col min="6165" max="6165" width="8.85546875" style="2"/>
    <col min="6166" max="6166" width="10.5703125" style="2" bestFit="1" customWidth="1"/>
    <col min="6167" max="6408" width="8.85546875" style="2"/>
    <col min="6409" max="6409" width="8.140625" style="2" customWidth="1"/>
    <col min="6410" max="6410" width="22.5703125" style="2" bestFit="1" customWidth="1"/>
    <col min="6411" max="6411" width="16" style="2" customWidth="1"/>
    <col min="6412" max="6413" width="13.140625" style="2" customWidth="1"/>
    <col min="6414" max="6414" width="15.140625" style="2" customWidth="1"/>
    <col min="6415" max="6415" width="16.140625" style="2" customWidth="1"/>
    <col min="6416" max="6416" width="13.5703125" style="2" customWidth="1"/>
    <col min="6417" max="6418" width="16.140625" style="2" customWidth="1"/>
    <col min="6419" max="6419" width="5.42578125" style="2" customWidth="1"/>
    <col min="6420" max="6420" width="13.140625" style="2" bestFit="1" customWidth="1"/>
    <col min="6421" max="6421" width="8.85546875" style="2"/>
    <col min="6422" max="6422" width="10.5703125" style="2" bestFit="1" customWidth="1"/>
    <col min="6423" max="6664" width="8.85546875" style="2"/>
    <col min="6665" max="6665" width="8.140625" style="2" customWidth="1"/>
    <col min="6666" max="6666" width="22.5703125" style="2" bestFit="1" customWidth="1"/>
    <col min="6667" max="6667" width="16" style="2" customWidth="1"/>
    <col min="6668" max="6669" width="13.140625" style="2" customWidth="1"/>
    <col min="6670" max="6670" width="15.140625" style="2" customWidth="1"/>
    <col min="6671" max="6671" width="16.140625" style="2" customWidth="1"/>
    <col min="6672" max="6672" width="13.5703125" style="2" customWidth="1"/>
    <col min="6673" max="6674" width="16.140625" style="2" customWidth="1"/>
    <col min="6675" max="6675" width="5.42578125" style="2" customWidth="1"/>
    <col min="6676" max="6676" width="13.140625" style="2" bestFit="1" customWidth="1"/>
    <col min="6677" max="6677" width="8.85546875" style="2"/>
    <col min="6678" max="6678" width="10.5703125" style="2" bestFit="1" customWidth="1"/>
    <col min="6679" max="6920" width="8.85546875" style="2"/>
    <col min="6921" max="6921" width="8.140625" style="2" customWidth="1"/>
    <col min="6922" max="6922" width="22.5703125" style="2" bestFit="1" customWidth="1"/>
    <col min="6923" max="6923" width="16" style="2" customWidth="1"/>
    <col min="6924" max="6925" width="13.140625" style="2" customWidth="1"/>
    <col min="6926" max="6926" width="15.140625" style="2" customWidth="1"/>
    <col min="6927" max="6927" width="16.140625" style="2" customWidth="1"/>
    <col min="6928" max="6928" width="13.5703125" style="2" customWidth="1"/>
    <col min="6929" max="6930" width="16.140625" style="2" customWidth="1"/>
    <col min="6931" max="6931" width="5.42578125" style="2" customWidth="1"/>
    <col min="6932" max="6932" width="13.140625" style="2" bestFit="1" customWidth="1"/>
    <col min="6933" max="6933" width="8.85546875" style="2"/>
    <col min="6934" max="6934" width="10.5703125" style="2" bestFit="1" customWidth="1"/>
    <col min="6935" max="7176" width="8.85546875" style="2"/>
    <col min="7177" max="7177" width="8.140625" style="2" customWidth="1"/>
    <col min="7178" max="7178" width="22.5703125" style="2" bestFit="1" customWidth="1"/>
    <col min="7179" max="7179" width="16" style="2" customWidth="1"/>
    <col min="7180" max="7181" width="13.140625" style="2" customWidth="1"/>
    <col min="7182" max="7182" width="15.140625" style="2" customWidth="1"/>
    <col min="7183" max="7183" width="16.140625" style="2" customWidth="1"/>
    <col min="7184" max="7184" width="13.5703125" style="2" customWidth="1"/>
    <col min="7185" max="7186" width="16.140625" style="2" customWidth="1"/>
    <col min="7187" max="7187" width="5.42578125" style="2" customWidth="1"/>
    <col min="7188" max="7188" width="13.140625" style="2" bestFit="1" customWidth="1"/>
    <col min="7189" max="7189" width="8.85546875" style="2"/>
    <col min="7190" max="7190" width="10.5703125" style="2" bestFit="1" customWidth="1"/>
    <col min="7191" max="7432" width="8.85546875" style="2"/>
    <col min="7433" max="7433" width="8.140625" style="2" customWidth="1"/>
    <col min="7434" max="7434" width="22.5703125" style="2" bestFit="1" customWidth="1"/>
    <col min="7435" max="7435" width="16" style="2" customWidth="1"/>
    <col min="7436" max="7437" width="13.140625" style="2" customWidth="1"/>
    <col min="7438" max="7438" width="15.140625" style="2" customWidth="1"/>
    <col min="7439" max="7439" width="16.140625" style="2" customWidth="1"/>
    <col min="7440" max="7440" width="13.5703125" style="2" customWidth="1"/>
    <col min="7441" max="7442" width="16.140625" style="2" customWidth="1"/>
    <col min="7443" max="7443" width="5.42578125" style="2" customWidth="1"/>
    <col min="7444" max="7444" width="13.140625" style="2" bestFit="1" customWidth="1"/>
    <col min="7445" max="7445" width="8.85546875" style="2"/>
    <col min="7446" max="7446" width="10.5703125" style="2" bestFit="1" customWidth="1"/>
    <col min="7447" max="7688" width="8.85546875" style="2"/>
    <col min="7689" max="7689" width="8.140625" style="2" customWidth="1"/>
    <col min="7690" max="7690" width="22.5703125" style="2" bestFit="1" customWidth="1"/>
    <col min="7691" max="7691" width="16" style="2" customWidth="1"/>
    <col min="7692" max="7693" width="13.140625" style="2" customWidth="1"/>
    <col min="7694" max="7694" width="15.140625" style="2" customWidth="1"/>
    <col min="7695" max="7695" width="16.140625" style="2" customWidth="1"/>
    <col min="7696" max="7696" width="13.5703125" style="2" customWidth="1"/>
    <col min="7697" max="7698" width="16.140625" style="2" customWidth="1"/>
    <col min="7699" max="7699" width="5.42578125" style="2" customWidth="1"/>
    <col min="7700" max="7700" width="13.140625" style="2" bestFit="1" customWidth="1"/>
    <col min="7701" max="7701" width="8.85546875" style="2"/>
    <col min="7702" max="7702" width="10.5703125" style="2" bestFit="1" customWidth="1"/>
    <col min="7703" max="7944" width="8.85546875" style="2"/>
    <col min="7945" max="7945" width="8.140625" style="2" customWidth="1"/>
    <col min="7946" max="7946" width="22.5703125" style="2" bestFit="1" customWidth="1"/>
    <col min="7947" max="7947" width="16" style="2" customWidth="1"/>
    <col min="7948" max="7949" width="13.140625" style="2" customWidth="1"/>
    <col min="7950" max="7950" width="15.140625" style="2" customWidth="1"/>
    <col min="7951" max="7951" width="16.140625" style="2" customWidth="1"/>
    <col min="7952" max="7952" width="13.5703125" style="2" customWidth="1"/>
    <col min="7953" max="7954" width="16.140625" style="2" customWidth="1"/>
    <col min="7955" max="7955" width="5.42578125" style="2" customWidth="1"/>
    <col min="7956" max="7956" width="13.140625" style="2" bestFit="1" customWidth="1"/>
    <col min="7957" max="7957" width="8.85546875" style="2"/>
    <col min="7958" max="7958" width="10.5703125" style="2" bestFit="1" customWidth="1"/>
    <col min="7959" max="8200" width="8.85546875" style="2"/>
    <col min="8201" max="8201" width="8.140625" style="2" customWidth="1"/>
    <col min="8202" max="8202" width="22.5703125" style="2" bestFit="1" customWidth="1"/>
    <col min="8203" max="8203" width="16" style="2" customWidth="1"/>
    <col min="8204" max="8205" width="13.140625" style="2" customWidth="1"/>
    <col min="8206" max="8206" width="15.140625" style="2" customWidth="1"/>
    <col min="8207" max="8207" width="16.140625" style="2" customWidth="1"/>
    <col min="8208" max="8208" width="13.5703125" style="2" customWidth="1"/>
    <col min="8209" max="8210" width="16.140625" style="2" customWidth="1"/>
    <col min="8211" max="8211" width="5.42578125" style="2" customWidth="1"/>
    <col min="8212" max="8212" width="13.140625" style="2" bestFit="1" customWidth="1"/>
    <col min="8213" max="8213" width="8.85546875" style="2"/>
    <col min="8214" max="8214" width="10.5703125" style="2" bestFit="1" customWidth="1"/>
    <col min="8215" max="8456" width="8.85546875" style="2"/>
    <col min="8457" max="8457" width="8.140625" style="2" customWidth="1"/>
    <col min="8458" max="8458" width="22.5703125" style="2" bestFit="1" customWidth="1"/>
    <col min="8459" max="8459" width="16" style="2" customWidth="1"/>
    <col min="8460" max="8461" width="13.140625" style="2" customWidth="1"/>
    <col min="8462" max="8462" width="15.140625" style="2" customWidth="1"/>
    <col min="8463" max="8463" width="16.140625" style="2" customWidth="1"/>
    <col min="8464" max="8464" width="13.5703125" style="2" customWidth="1"/>
    <col min="8465" max="8466" width="16.140625" style="2" customWidth="1"/>
    <col min="8467" max="8467" width="5.42578125" style="2" customWidth="1"/>
    <col min="8468" max="8468" width="13.140625" style="2" bestFit="1" customWidth="1"/>
    <col min="8469" max="8469" width="8.85546875" style="2"/>
    <col min="8470" max="8470" width="10.5703125" style="2" bestFit="1" customWidth="1"/>
    <col min="8471" max="8712" width="8.85546875" style="2"/>
    <col min="8713" max="8713" width="8.140625" style="2" customWidth="1"/>
    <col min="8714" max="8714" width="22.5703125" style="2" bestFit="1" customWidth="1"/>
    <col min="8715" max="8715" width="16" style="2" customWidth="1"/>
    <col min="8716" max="8717" width="13.140625" style="2" customWidth="1"/>
    <col min="8718" max="8718" width="15.140625" style="2" customWidth="1"/>
    <col min="8719" max="8719" width="16.140625" style="2" customWidth="1"/>
    <col min="8720" max="8720" width="13.5703125" style="2" customWidth="1"/>
    <col min="8721" max="8722" width="16.140625" style="2" customWidth="1"/>
    <col min="8723" max="8723" width="5.42578125" style="2" customWidth="1"/>
    <col min="8724" max="8724" width="13.140625" style="2" bestFit="1" customWidth="1"/>
    <col min="8725" max="8725" width="8.85546875" style="2"/>
    <col min="8726" max="8726" width="10.5703125" style="2" bestFit="1" customWidth="1"/>
    <col min="8727" max="8968" width="8.85546875" style="2"/>
    <col min="8969" max="8969" width="8.140625" style="2" customWidth="1"/>
    <col min="8970" max="8970" width="22.5703125" style="2" bestFit="1" customWidth="1"/>
    <col min="8971" max="8971" width="16" style="2" customWidth="1"/>
    <col min="8972" max="8973" width="13.140625" style="2" customWidth="1"/>
    <col min="8974" max="8974" width="15.140625" style="2" customWidth="1"/>
    <col min="8975" max="8975" width="16.140625" style="2" customWidth="1"/>
    <col min="8976" max="8976" width="13.5703125" style="2" customWidth="1"/>
    <col min="8977" max="8978" width="16.140625" style="2" customWidth="1"/>
    <col min="8979" max="8979" width="5.42578125" style="2" customWidth="1"/>
    <col min="8980" max="8980" width="13.140625" style="2" bestFit="1" customWidth="1"/>
    <col min="8981" max="8981" width="8.85546875" style="2"/>
    <col min="8982" max="8982" width="10.5703125" style="2" bestFit="1" customWidth="1"/>
    <col min="8983" max="9224" width="8.85546875" style="2"/>
    <col min="9225" max="9225" width="8.140625" style="2" customWidth="1"/>
    <col min="9226" max="9226" width="22.5703125" style="2" bestFit="1" customWidth="1"/>
    <col min="9227" max="9227" width="16" style="2" customWidth="1"/>
    <col min="9228" max="9229" width="13.140625" style="2" customWidth="1"/>
    <col min="9230" max="9230" width="15.140625" style="2" customWidth="1"/>
    <col min="9231" max="9231" width="16.140625" style="2" customWidth="1"/>
    <col min="9232" max="9232" width="13.5703125" style="2" customWidth="1"/>
    <col min="9233" max="9234" width="16.140625" style="2" customWidth="1"/>
    <col min="9235" max="9235" width="5.42578125" style="2" customWidth="1"/>
    <col min="9236" max="9236" width="13.140625" style="2" bestFit="1" customWidth="1"/>
    <col min="9237" max="9237" width="8.85546875" style="2"/>
    <col min="9238" max="9238" width="10.5703125" style="2" bestFit="1" customWidth="1"/>
    <col min="9239" max="9480" width="8.85546875" style="2"/>
    <col min="9481" max="9481" width="8.140625" style="2" customWidth="1"/>
    <col min="9482" max="9482" width="22.5703125" style="2" bestFit="1" customWidth="1"/>
    <col min="9483" max="9483" width="16" style="2" customWidth="1"/>
    <col min="9484" max="9485" width="13.140625" style="2" customWidth="1"/>
    <col min="9486" max="9486" width="15.140625" style="2" customWidth="1"/>
    <col min="9487" max="9487" width="16.140625" style="2" customWidth="1"/>
    <col min="9488" max="9488" width="13.5703125" style="2" customWidth="1"/>
    <col min="9489" max="9490" width="16.140625" style="2" customWidth="1"/>
    <col min="9491" max="9491" width="5.42578125" style="2" customWidth="1"/>
    <col min="9492" max="9492" width="13.140625" style="2" bestFit="1" customWidth="1"/>
    <col min="9493" max="9493" width="8.85546875" style="2"/>
    <col min="9494" max="9494" width="10.5703125" style="2" bestFit="1" customWidth="1"/>
    <col min="9495" max="9736" width="8.85546875" style="2"/>
    <col min="9737" max="9737" width="8.140625" style="2" customWidth="1"/>
    <col min="9738" max="9738" width="22.5703125" style="2" bestFit="1" customWidth="1"/>
    <col min="9739" max="9739" width="16" style="2" customWidth="1"/>
    <col min="9740" max="9741" width="13.140625" style="2" customWidth="1"/>
    <col min="9742" max="9742" width="15.140625" style="2" customWidth="1"/>
    <col min="9743" max="9743" width="16.140625" style="2" customWidth="1"/>
    <col min="9744" max="9744" width="13.5703125" style="2" customWidth="1"/>
    <col min="9745" max="9746" width="16.140625" style="2" customWidth="1"/>
    <col min="9747" max="9747" width="5.42578125" style="2" customWidth="1"/>
    <col min="9748" max="9748" width="13.140625" style="2" bestFit="1" customWidth="1"/>
    <col min="9749" max="9749" width="8.85546875" style="2"/>
    <col min="9750" max="9750" width="10.5703125" style="2" bestFit="1" customWidth="1"/>
    <col min="9751" max="9992" width="8.85546875" style="2"/>
    <col min="9993" max="9993" width="8.140625" style="2" customWidth="1"/>
    <col min="9994" max="9994" width="22.5703125" style="2" bestFit="1" customWidth="1"/>
    <col min="9995" max="9995" width="16" style="2" customWidth="1"/>
    <col min="9996" max="9997" width="13.140625" style="2" customWidth="1"/>
    <col min="9998" max="9998" width="15.140625" style="2" customWidth="1"/>
    <col min="9999" max="9999" width="16.140625" style="2" customWidth="1"/>
    <col min="10000" max="10000" width="13.5703125" style="2" customWidth="1"/>
    <col min="10001" max="10002" width="16.140625" style="2" customWidth="1"/>
    <col min="10003" max="10003" width="5.42578125" style="2" customWidth="1"/>
    <col min="10004" max="10004" width="13.140625" style="2" bestFit="1" customWidth="1"/>
    <col min="10005" max="10005" width="8.85546875" style="2"/>
    <col min="10006" max="10006" width="10.5703125" style="2" bestFit="1" customWidth="1"/>
    <col min="10007" max="10248" width="8.85546875" style="2"/>
    <col min="10249" max="10249" width="8.140625" style="2" customWidth="1"/>
    <col min="10250" max="10250" width="22.5703125" style="2" bestFit="1" customWidth="1"/>
    <col min="10251" max="10251" width="16" style="2" customWidth="1"/>
    <col min="10252" max="10253" width="13.140625" style="2" customWidth="1"/>
    <col min="10254" max="10254" width="15.140625" style="2" customWidth="1"/>
    <col min="10255" max="10255" width="16.140625" style="2" customWidth="1"/>
    <col min="10256" max="10256" width="13.5703125" style="2" customWidth="1"/>
    <col min="10257" max="10258" width="16.140625" style="2" customWidth="1"/>
    <col min="10259" max="10259" width="5.42578125" style="2" customWidth="1"/>
    <col min="10260" max="10260" width="13.140625" style="2" bestFit="1" customWidth="1"/>
    <col min="10261" max="10261" width="8.85546875" style="2"/>
    <col min="10262" max="10262" width="10.5703125" style="2" bestFit="1" customWidth="1"/>
    <col min="10263" max="10504" width="8.85546875" style="2"/>
    <col min="10505" max="10505" width="8.140625" style="2" customWidth="1"/>
    <col min="10506" max="10506" width="22.5703125" style="2" bestFit="1" customWidth="1"/>
    <col min="10507" max="10507" width="16" style="2" customWidth="1"/>
    <col min="10508" max="10509" width="13.140625" style="2" customWidth="1"/>
    <col min="10510" max="10510" width="15.140625" style="2" customWidth="1"/>
    <col min="10511" max="10511" width="16.140625" style="2" customWidth="1"/>
    <col min="10512" max="10512" width="13.5703125" style="2" customWidth="1"/>
    <col min="10513" max="10514" width="16.140625" style="2" customWidth="1"/>
    <col min="10515" max="10515" width="5.42578125" style="2" customWidth="1"/>
    <col min="10516" max="10516" width="13.140625" style="2" bestFit="1" customWidth="1"/>
    <col min="10517" max="10517" width="8.85546875" style="2"/>
    <col min="10518" max="10518" width="10.5703125" style="2" bestFit="1" customWidth="1"/>
    <col min="10519" max="10760" width="8.85546875" style="2"/>
    <col min="10761" max="10761" width="8.140625" style="2" customWidth="1"/>
    <col min="10762" max="10762" width="22.5703125" style="2" bestFit="1" customWidth="1"/>
    <col min="10763" max="10763" width="16" style="2" customWidth="1"/>
    <col min="10764" max="10765" width="13.140625" style="2" customWidth="1"/>
    <col min="10766" max="10766" width="15.140625" style="2" customWidth="1"/>
    <col min="10767" max="10767" width="16.140625" style="2" customWidth="1"/>
    <col min="10768" max="10768" width="13.5703125" style="2" customWidth="1"/>
    <col min="10769" max="10770" width="16.140625" style="2" customWidth="1"/>
    <col min="10771" max="10771" width="5.42578125" style="2" customWidth="1"/>
    <col min="10772" max="10772" width="13.140625" style="2" bestFit="1" customWidth="1"/>
    <col min="10773" max="10773" width="8.85546875" style="2"/>
    <col min="10774" max="10774" width="10.5703125" style="2" bestFit="1" customWidth="1"/>
    <col min="10775" max="11016" width="8.85546875" style="2"/>
    <col min="11017" max="11017" width="8.140625" style="2" customWidth="1"/>
    <col min="11018" max="11018" width="22.5703125" style="2" bestFit="1" customWidth="1"/>
    <col min="11019" max="11019" width="16" style="2" customWidth="1"/>
    <col min="11020" max="11021" width="13.140625" style="2" customWidth="1"/>
    <col min="11022" max="11022" width="15.140625" style="2" customWidth="1"/>
    <col min="11023" max="11023" width="16.140625" style="2" customWidth="1"/>
    <col min="11024" max="11024" width="13.5703125" style="2" customWidth="1"/>
    <col min="11025" max="11026" width="16.140625" style="2" customWidth="1"/>
    <col min="11027" max="11027" width="5.42578125" style="2" customWidth="1"/>
    <col min="11028" max="11028" width="13.140625" style="2" bestFit="1" customWidth="1"/>
    <col min="11029" max="11029" width="8.85546875" style="2"/>
    <col min="11030" max="11030" width="10.5703125" style="2" bestFit="1" customWidth="1"/>
    <col min="11031" max="11272" width="8.85546875" style="2"/>
    <col min="11273" max="11273" width="8.140625" style="2" customWidth="1"/>
    <col min="11274" max="11274" width="22.5703125" style="2" bestFit="1" customWidth="1"/>
    <col min="11275" max="11275" width="16" style="2" customWidth="1"/>
    <col min="11276" max="11277" width="13.140625" style="2" customWidth="1"/>
    <col min="11278" max="11278" width="15.140625" style="2" customWidth="1"/>
    <col min="11279" max="11279" width="16.140625" style="2" customWidth="1"/>
    <col min="11280" max="11280" width="13.5703125" style="2" customWidth="1"/>
    <col min="11281" max="11282" width="16.140625" style="2" customWidth="1"/>
    <col min="11283" max="11283" width="5.42578125" style="2" customWidth="1"/>
    <col min="11284" max="11284" width="13.140625" style="2" bestFit="1" customWidth="1"/>
    <col min="11285" max="11285" width="8.85546875" style="2"/>
    <col min="11286" max="11286" width="10.5703125" style="2" bestFit="1" customWidth="1"/>
    <col min="11287" max="11528" width="8.85546875" style="2"/>
    <col min="11529" max="11529" width="8.140625" style="2" customWidth="1"/>
    <col min="11530" max="11530" width="22.5703125" style="2" bestFit="1" customWidth="1"/>
    <col min="11531" max="11531" width="16" style="2" customWidth="1"/>
    <col min="11532" max="11533" width="13.140625" style="2" customWidth="1"/>
    <col min="11534" max="11534" width="15.140625" style="2" customWidth="1"/>
    <col min="11535" max="11535" width="16.140625" style="2" customWidth="1"/>
    <col min="11536" max="11536" width="13.5703125" style="2" customWidth="1"/>
    <col min="11537" max="11538" width="16.140625" style="2" customWidth="1"/>
    <col min="11539" max="11539" width="5.42578125" style="2" customWidth="1"/>
    <col min="11540" max="11540" width="13.140625" style="2" bestFit="1" customWidth="1"/>
    <col min="11541" max="11541" width="8.85546875" style="2"/>
    <col min="11542" max="11542" width="10.5703125" style="2" bestFit="1" customWidth="1"/>
    <col min="11543" max="11784" width="8.85546875" style="2"/>
    <col min="11785" max="11785" width="8.140625" style="2" customWidth="1"/>
    <col min="11786" max="11786" width="22.5703125" style="2" bestFit="1" customWidth="1"/>
    <col min="11787" max="11787" width="16" style="2" customWidth="1"/>
    <col min="11788" max="11789" width="13.140625" style="2" customWidth="1"/>
    <col min="11790" max="11790" width="15.140625" style="2" customWidth="1"/>
    <col min="11791" max="11791" width="16.140625" style="2" customWidth="1"/>
    <col min="11792" max="11792" width="13.5703125" style="2" customWidth="1"/>
    <col min="11793" max="11794" width="16.140625" style="2" customWidth="1"/>
    <col min="11795" max="11795" width="5.42578125" style="2" customWidth="1"/>
    <col min="11796" max="11796" width="13.140625" style="2" bestFit="1" customWidth="1"/>
    <col min="11797" max="11797" width="8.85546875" style="2"/>
    <col min="11798" max="11798" width="10.5703125" style="2" bestFit="1" customWidth="1"/>
    <col min="11799" max="12040" width="8.85546875" style="2"/>
    <col min="12041" max="12041" width="8.140625" style="2" customWidth="1"/>
    <col min="12042" max="12042" width="22.5703125" style="2" bestFit="1" customWidth="1"/>
    <col min="12043" max="12043" width="16" style="2" customWidth="1"/>
    <col min="12044" max="12045" width="13.140625" style="2" customWidth="1"/>
    <col min="12046" max="12046" width="15.140625" style="2" customWidth="1"/>
    <col min="12047" max="12047" width="16.140625" style="2" customWidth="1"/>
    <col min="12048" max="12048" width="13.5703125" style="2" customWidth="1"/>
    <col min="12049" max="12050" width="16.140625" style="2" customWidth="1"/>
    <col min="12051" max="12051" width="5.42578125" style="2" customWidth="1"/>
    <col min="12052" max="12052" width="13.140625" style="2" bestFit="1" customWidth="1"/>
    <col min="12053" max="12053" width="8.85546875" style="2"/>
    <col min="12054" max="12054" width="10.5703125" style="2" bestFit="1" customWidth="1"/>
    <col min="12055" max="12296" width="8.85546875" style="2"/>
    <col min="12297" max="12297" width="8.140625" style="2" customWidth="1"/>
    <col min="12298" max="12298" width="22.5703125" style="2" bestFit="1" customWidth="1"/>
    <col min="12299" max="12299" width="16" style="2" customWidth="1"/>
    <col min="12300" max="12301" width="13.140625" style="2" customWidth="1"/>
    <col min="12302" max="12302" width="15.140625" style="2" customWidth="1"/>
    <col min="12303" max="12303" width="16.140625" style="2" customWidth="1"/>
    <col min="12304" max="12304" width="13.5703125" style="2" customWidth="1"/>
    <col min="12305" max="12306" width="16.140625" style="2" customWidth="1"/>
    <col min="12307" max="12307" width="5.42578125" style="2" customWidth="1"/>
    <col min="12308" max="12308" width="13.140625" style="2" bestFit="1" customWidth="1"/>
    <col min="12309" max="12309" width="8.85546875" style="2"/>
    <col min="12310" max="12310" width="10.5703125" style="2" bestFit="1" customWidth="1"/>
    <col min="12311" max="12552" width="8.85546875" style="2"/>
    <col min="12553" max="12553" width="8.140625" style="2" customWidth="1"/>
    <col min="12554" max="12554" width="22.5703125" style="2" bestFit="1" customWidth="1"/>
    <col min="12555" max="12555" width="16" style="2" customWidth="1"/>
    <col min="12556" max="12557" width="13.140625" style="2" customWidth="1"/>
    <col min="12558" max="12558" width="15.140625" style="2" customWidth="1"/>
    <col min="12559" max="12559" width="16.140625" style="2" customWidth="1"/>
    <col min="12560" max="12560" width="13.5703125" style="2" customWidth="1"/>
    <col min="12561" max="12562" width="16.140625" style="2" customWidth="1"/>
    <col min="12563" max="12563" width="5.42578125" style="2" customWidth="1"/>
    <col min="12564" max="12564" width="13.140625" style="2" bestFit="1" customWidth="1"/>
    <col min="12565" max="12565" width="8.85546875" style="2"/>
    <col min="12566" max="12566" width="10.5703125" style="2" bestFit="1" customWidth="1"/>
    <col min="12567" max="12808" width="8.85546875" style="2"/>
    <col min="12809" max="12809" width="8.140625" style="2" customWidth="1"/>
    <col min="12810" max="12810" width="22.5703125" style="2" bestFit="1" customWidth="1"/>
    <col min="12811" max="12811" width="16" style="2" customWidth="1"/>
    <col min="12812" max="12813" width="13.140625" style="2" customWidth="1"/>
    <col min="12814" max="12814" width="15.140625" style="2" customWidth="1"/>
    <col min="12815" max="12815" width="16.140625" style="2" customWidth="1"/>
    <col min="12816" max="12816" width="13.5703125" style="2" customWidth="1"/>
    <col min="12817" max="12818" width="16.140625" style="2" customWidth="1"/>
    <col min="12819" max="12819" width="5.42578125" style="2" customWidth="1"/>
    <col min="12820" max="12820" width="13.140625" style="2" bestFit="1" customWidth="1"/>
    <col min="12821" max="12821" width="8.85546875" style="2"/>
    <col min="12822" max="12822" width="10.5703125" style="2" bestFit="1" customWidth="1"/>
    <col min="12823" max="13064" width="8.85546875" style="2"/>
    <col min="13065" max="13065" width="8.140625" style="2" customWidth="1"/>
    <col min="13066" max="13066" width="22.5703125" style="2" bestFit="1" customWidth="1"/>
    <col min="13067" max="13067" width="16" style="2" customWidth="1"/>
    <col min="13068" max="13069" width="13.140625" style="2" customWidth="1"/>
    <col min="13070" max="13070" width="15.140625" style="2" customWidth="1"/>
    <col min="13071" max="13071" width="16.140625" style="2" customWidth="1"/>
    <col min="13072" max="13072" width="13.5703125" style="2" customWidth="1"/>
    <col min="13073" max="13074" width="16.140625" style="2" customWidth="1"/>
    <col min="13075" max="13075" width="5.42578125" style="2" customWidth="1"/>
    <col min="13076" max="13076" width="13.140625" style="2" bestFit="1" customWidth="1"/>
    <col min="13077" max="13077" width="8.85546875" style="2"/>
    <col min="13078" max="13078" width="10.5703125" style="2" bestFit="1" customWidth="1"/>
    <col min="13079" max="13320" width="8.85546875" style="2"/>
    <col min="13321" max="13321" width="8.140625" style="2" customWidth="1"/>
    <col min="13322" max="13322" width="22.5703125" style="2" bestFit="1" customWidth="1"/>
    <col min="13323" max="13323" width="16" style="2" customWidth="1"/>
    <col min="13324" max="13325" width="13.140625" style="2" customWidth="1"/>
    <col min="13326" max="13326" width="15.140625" style="2" customWidth="1"/>
    <col min="13327" max="13327" width="16.140625" style="2" customWidth="1"/>
    <col min="13328" max="13328" width="13.5703125" style="2" customWidth="1"/>
    <col min="13329" max="13330" width="16.140625" style="2" customWidth="1"/>
    <col min="13331" max="13331" width="5.42578125" style="2" customWidth="1"/>
    <col min="13332" max="13332" width="13.140625" style="2" bestFit="1" customWidth="1"/>
    <col min="13333" max="13333" width="8.85546875" style="2"/>
    <col min="13334" max="13334" width="10.5703125" style="2" bestFit="1" customWidth="1"/>
    <col min="13335" max="13576" width="8.85546875" style="2"/>
    <col min="13577" max="13577" width="8.140625" style="2" customWidth="1"/>
    <col min="13578" max="13578" width="22.5703125" style="2" bestFit="1" customWidth="1"/>
    <col min="13579" max="13579" width="16" style="2" customWidth="1"/>
    <col min="13580" max="13581" width="13.140625" style="2" customWidth="1"/>
    <col min="13582" max="13582" width="15.140625" style="2" customWidth="1"/>
    <col min="13583" max="13583" width="16.140625" style="2" customWidth="1"/>
    <col min="13584" max="13584" width="13.5703125" style="2" customWidth="1"/>
    <col min="13585" max="13586" width="16.140625" style="2" customWidth="1"/>
    <col min="13587" max="13587" width="5.42578125" style="2" customWidth="1"/>
    <col min="13588" max="13588" width="13.140625" style="2" bestFit="1" customWidth="1"/>
    <col min="13589" max="13589" width="8.85546875" style="2"/>
    <col min="13590" max="13590" width="10.5703125" style="2" bestFit="1" customWidth="1"/>
    <col min="13591" max="13832" width="8.85546875" style="2"/>
    <col min="13833" max="13833" width="8.140625" style="2" customWidth="1"/>
    <col min="13834" max="13834" width="22.5703125" style="2" bestFit="1" customWidth="1"/>
    <col min="13835" max="13835" width="16" style="2" customWidth="1"/>
    <col min="13836" max="13837" width="13.140625" style="2" customWidth="1"/>
    <col min="13838" max="13838" width="15.140625" style="2" customWidth="1"/>
    <col min="13839" max="13839" width="16.140625" style="2" customWidth="1"/>
    <col min="13840" max="13840" width="13.5703125" style="2" customWidth="1"/>
    <col min="13841" max="13842" width="16.140625" style="2" customWidth="1"/>
    <col min="13843" max="13843" width="5.42578125" style="2" customWidth="1"/>
    <col min="13844" max="13844" width="13.140625" style="2" bestFit="1" customWidth="1"/>
    <col min="13845" max="13845" width="8.85546875" style="2"/>
    <col min="13846" max="13846" width="10.5703125" style="2" bestFit="1" customWidth="1"/>
    <col min="13847" max="14088" width="8.85546875" style="2"/>
    <col min="14089" max="14089" width="8.140625" style="2" customWidth="1"/>
    <col min="14090" max="14090" width="22.5703125" style="2" bestFit="1" customWidth="1"/>
    <col min="14091" max="14091" width="16" style="2" customWidth="1"/>
    <col min="14092" max="14093" width="13.140625" style="2" customWidth="1"/>
    <col min="14094" max="14094" width="15.140625" style="2" customWidth="1"/>
    <col min="14095" max="14095" width="16.140625" style="2" customWidth="1"/>
    <col min="14096" max="14096" width="13.5703125" style="2" customWidth="1"/>
    <col min="14097" max="14098" width="16.140625" style="2" customWidth="1"/>
    <col min="14099" max="14099" width="5.42578125" style="2" customWidth="1"/>
    <col min="14100" max="14100" width="13.140625" style="2" bestFit="1" customWidth="1"/>
    <col min="14101" max="14101" width="8.85546875" style="2"/>
    <col min="14102" max="14102" width="10.5703125" style="2" bestFit="1" customWidth="1"/>
    <col min="14103" max="14344" width="8.85546875" style="2"/>
    <col min="14345" max="14345" width="8.140625" style="2" customWidth="1"/>
    <col min="14346" max="14346" width="22.5703125" style="2" bestFit="1" customWidth="1"/>
    <col min="14347" max="14347" width="16" style="2" customWidth="1"/>
    <col min="14348" max="14349" width="13.140625" style="2" customWidth="1"/>
    <col min="14350" max="14350" width="15.140625" style="2" customWidth="1"/>
    <col min="14351" max="14351" width="16.140625" style="2" customWidth="1"/>
    <col min="14352" max="14352" width="13.5703125" style="2" customWidth="1"/>
    <col min="14353" max="14354" width="16.140625" style="2" customWidth="1"/>
    <col min="14355" max="14355" width="5.42578125" style="2" customWidth="1"/>
    <col min="14356" max="14356" width="13.140625" style="2" bestFit="1" customWidth="1"/>
    <col min="14357" max="14357" width="8.85546875" style="2"/>
    <col min="14358" max="14358" width="10.5703125" style="2" bestFit="1" customWidth="1"/>
    <col min="14359" max="14600" width="8.85546875" style="2"/>
    <col min="14601" max="14601" width="8.140625" style="2" customWidth="1"/>
    <col min="14602" max="14602" width="22.5703125" style="2" bestFit="1" customWidth="1"/>
    <col min="14603" max="14603" width="16" style="2" customWidth="1"/>
    <col min="14604" max="14605" width="13.140625" style="2" customWidth="1"/>
    <col min="14606" max="14606" width="15.140625" style="2" customWidth="1"/>
    <col min="14607" max="14607" width="16.140625" style="2" customWidth="1"/>
    <col min="14608" max="14608" width="13.5703125" style="2" customWidth="1"/>
    <col min="14609" max="14610" width="16.140625" style="2" customWidth="1"/>
    <col min="14611" max="14611" width="5.42578125" style="2" customWidth="1"/>
    <col min="14612" max="14612" width="13.140625" style="2" bestFit="1" customWidth="1"/>
    <col min="14613" max="14613" width="8.85546875" style="2"/>
    <col min="14614" max="14614" width="10.5703125" style="2" bestFit="1" customWidth="1"/>
    <col min="14615" max="14856" width="8.85546875" style="2"/>
    <col min="14857" max="14857" width="8.140625" style="2" customWidth="1"/>
    <col min="14858" max="14858" width="22.5703125" style="2" bestFit="1" customWidth="1"/>
    <col min="14859" max="14859" width="16" style="2" customWidth="1"/>
    <col min="14860" max="14861" width="13.140625" style="2" customWidth="1"/>
    <col min="14862" max="14862" width="15.140625" style="2" customWidth="1"/>
    <col min="14863" max="14863" width="16.140625" style="2" customWidth="1"/>
    <col min="14864" max="14864" width="13.5703125" style="2" customWidth="1"/>
    <col min="14865" max="14866" width="16.140625" style="2" customWidth="1"/>
    <col min="14867" max="14867" width="5.42578125" style="2" customWidth="1"/>
    <col min="14868" max="14868" width="13.140625" style="2" bestFit="1" customWidth="1"/>
    <col min="14869" max="14869" width="8.85546875" style="2"/>
    <col min="14870" max="14870" width="10.5703125" style="2" bestFit="1" customWidth="1"/>
    <col min="14871" max="15112" width="8.85546875" style="2"/>
    <col min="15113" max="15113" width="8.140625" style="2" customWidth="1"/>
    <col min="15114" max="15114" width="22.5703125" style="2" bestFit="1" customWidth="1"/>
    <col min="15115" max="15115" width="16" style="2" customWidth="1"/>
    <col min="15116" max="15117" width="13.140625" style="2" customWidth="1"/>
    <col min="15118" max="15118" width="15.140625" style="2" customWidth="1"/>
    <col min="15119" max="15119" width="16.140625" style="2" customWidth="1"/>
    <col min="15120" max="15120" width="13.5703125" style="2" customWidth="1"/>
    <col min="15121" max="15122" width="16.140625" style="2" customWidth="1"/>
    <col min="15123" max="15123" width="5.42578125" style="2" customWidth="1"/>
    <col min="15124" max="15124" width="13.140625" style="2" bestFit="1" customWidth="1"/>
    <col min="15125" max="15125" width="8.85546875" style="2"/>
    <col min="15126" max="15126" width="10.5703125" style="2" bestFit="1" customWidth="1"/>
    <col min="15127" max="15368" width="8.85546875" style="2"/>
    <col min="15369" max="15369" width="8.140625" style="2" customWidth="1"/>
    <col min="15370" max="15370" width="22.5703125" style="2" bestFit="1" customWidth="1"/>
    <col min="15371" max="15371" width="16" style="2" customWidth="1"/>
    <col min="15372" max="15373" width="13.140625" style="2" customWidth="1"/>
    <col min="15374" max="15374" width="15.140625" style="2" customWidth="1"/>
    <col min="15375" max="15375" width="16.140625" style="2" customWidth="1"/>
    <col min="15376" max="15376" width="13.5703125" style="2" customWidth="1"/>
    <col min="15377" max="15378" width="16.140625" style="2" customWidth="1"/>
    <col min="15379" max="15379" width="5.42578125" style="2" customWidth="1"/>
    <col min="15380" max="15380" width="13.140625" style="2" bestFit="1" customWidth="1"/>
    <col min="15381" max="15381" width="8.85546875" style="2"/>
    <col min="15382" max="15382" width="10.5703125" style="2" bestFit="1" customWidth="1"/>
    <col min="15383" max="15624" width="8.85546875" style="2"/>
    <col min="15625" max="15625" width="8.140625" style="2" customWidth="1"/>
    <col min="15626" max="15626" width="22.5703125" style="2" bestFit="1" customWidth="1"/>
    <col min="15627" max="15627" width="16" style="2" customWidth="1"/>
    <col min="15628" max="15629" width="13.140625" style="2" customWidth="1"/>
    <col min="15630" max="15630" width="15.140625" style="2" customWidth="1"/>
    <col min="15631" max="15631" width="16.140625" style="2" customWidth="1"/>
    <col min="15632" max="15632" width="13.5703125" style="2" customWidth="1"/>
    <col min="15633" max="15634" width="16.140625" style="2" customWidth="1"/>
    <col min="15635" max="15635" width="5.42578125" style="2" customWidth="1"/>
    <col min="15636" max="15636" width="13.140625" style="2" bestFit="1" customWidth="1"/>
    <col min="15637" max="15637" width="8.85546875" style="2"/>
    <col min="15638" max="15638" width="10.5703125" style="2" bestFit="1" customWidth="1"/>
    <col min="15639" max="15880" width="8.85546875" style="2"/>
    <col min="15881" max="15881" width="8.140625" style="2" customWidth="1"/>
    <col min="15882" max="15882" width="22.5703125" style="2" bestFit="1" customWidth="1"/>
    <col min="15883" max="15883" width="16" style="2" customWidth="1"/>
    <col min="15884" max="15885" width="13.140625" style="2" customWidth="1"/>
    <col min="15886" max="15886" width="15.140625" style="2" customWidth="1"/>
    <col min="15887" max="15887" width="16.140625" style="2" customWidth="1"/>
    <col min="15888" max="15888" width="13.5703125" style="2" customWidth="1"/>
    <col min="15889" max="15890" width="16.140625" style="2" customWidth="1"/>
    <col min="15891" max="15891" width="5.42578125" style="2" customWidth="1"/>
    <col min="15892" max="15892" width="13.140625" style="2" bestFit="1" customWidth="1"/>
    <col min="15893" max="15893" width="8.85546875" style="2"/>
    <col min="15894" max="15894" width="10.5703125" style="2" bestFit="1" customWidth="1"/>
    <col min="15895" max="16136" width="8.85546875" style="2"/>
    <col min="16137" max="16137" width="8.140625" style="2" customWidth="1"/>
    <col min="16138" max="16138" width="22.5703125" style="2" bestFit="1" customWidth="1"/>
    <col min="16139" max="16139" width="16" style="2" customWidth="1"/>
    <col min="16140" max="16141" width="13.140625" style="2" customWidth="1"/>
    <col min="16142" max="16142" width="15.140625" style="2" customWidth="1"/>
    <col min="16143" max="16143" width="16.140625" style="2" customWidth="1"/>
    <col min="16144" max="16144" width="13.5703125" style="2" customWidth="1"/>
    <col min="16145" max="16146" width="16.140625" style="2" customWidth="1"/>
    <col min="16147" max="16147" width="5.42578125" style="2" customWidth="1"/>
    <col min="16148" max="16148" width="13.140625" style="2" bestFit="1" customWidth="1"/>
    <col min="16149" max="16149" width="8.85546875" style="2"/>
    <col min="16150" max="16150" width="10.5703125" style="2" bestFit="1" customWidth="1"/>
    <col min="16151" max="16384" width="8.85546875" style="2"/>
  </cols>
  <sheetData>
    <row r="1" spans="2:26" ht="21" x14ac:dyDescent="0.35">
      <c r="E1" s="45" t="s">
        <v>7</v>
      </c>
      <c r="N1" s="11"/>
      <c r="O1" s="11"/>
    </row>
    <row r="2" spans="2:26" ht="6" customHeight="1" x14ac:dyDescent="0.25"/>
    <row r="3" spans="2:26" x14ac:dyDescent="0.25">
      <c r="E3" s="63" t="s">
        <v>12</v>
      </c>
      <c r="F3" s="64">
        <v>7.0000000000000007E-2</v>
      </c>
      <c r="P3"/>
      <c r="Q3" s="127" t="s">
        <v>46</v>
      </c>
      <c r="R3" s="70">
        <v>7.0000000000000007E-2</v>
      </c>
      <c r="S3" s="70">
        <v>0.04</v>
      </c>
      <c r="T3" s="70">
        <v>0</v>
      </c>
    </row>
    <row r="4" spans="2:26" x14ac:dyDescent="0.25">
      <c r="E4" s="124"/>
      <c r="F4" s="125"/>
      <c r="M4" s="126">
        <f>'Goals analysis'!C13</f>
        <v>2023</v>
      </c>
      <c r="N4" s="126">
        <f>'Goals analysis'!C30</f>
        <v>2022</v>
      </c>
      <c r="O4" s="126">
        <f>'Goals analysis'!C47</f>
        <v>2023</v>
      </c>
    </row>
    <row r="5" spans="2:26" ht="18.75" x14ac:dyDescent="0.3">
      <c r="B5" s="149" t="s">
        <v>50</v>
      </c>
      <c r="C5" s="149"/>
      <c r="H5" s="148" t="s">
        <v>41</v>
      </c>
      <c r="I5" s="148"/>
      <c r="J5" s="148"/>
      <c r="K5" s="148"/>
      <c r="L5" s="148"/>
      <c r="M5" s="146" t="s">
        <v>13</v>
      </c>
      <c r="N5" s="146"/>
      <c r="O5" s="146"/>
      <c r="R5" s="147" t="s">
        <v>3</v>
      </c>
      <c r="S5" s="147"/>
      <c r="T5" s="147"/>
      <c r="U5" s="147"/>
      <c r="W5" s="113" t="s">
        <v>17</v>
      </c>
      <c r="Y5" s="119" t="s">
        <v>70</v>
      </c>
    </row>
    <row r="6" spans="2:26" s="58" customFormat="1" ht="45" x14ac:dyDescent="0.25">
      <c r="B6" s="59" t="s">
        <v>62</v>
      </c>
      <c r="C6" s="59" t="s">
        <v>63</v>
      </c>
      <c r="E6" s="59" t="s">
        <v>8</v>
      </c>
      <c r="F6" s="59" t="str">
        <f>'Cash flow and assets'!B19</f>
        <v>Giving to family</v>
      </c>
      <c r="G6" s="94" t="s">
        <v>2</v>
      </c>
      <c r="H6" s="59" t="str">
        <f>'Cash flow and assets'!B22</f>
        <v>Regular gifts</v>
      </c>
      <c r="I6" s="59" t="str">
        <f>'Cash flow and assets'!B23</f>
        <v>Electronics/ appliances/ furniture</v>
      </c>
      <c r="J6" s="59" t="str">
        <f>'Cash flow and assets'!B24</f>
        <v>Vacations</v>
      </c>
      <c r="K6" s="59" t="str">
        <f>'Cash flow and assets'!B25</f>
        <v xml:space="preserve">Charity </v>
      </c>
      <c r="L6" s="59" t="str">
        <f>'Cash flow and assets'!B26</f>
        <v>Car upgrade fund</v>
      </c>
      <c r="M6" s="59" t="str">
        <f>'Goals analysis'!E6</f>
        <v>Son's marriage</v>
      </c>
      <c r="N6" s="59" t="str">
        <f>'Goals analysis'!E7</f>
        <v>Home renovation</v>
      </c>
      <c r="O6" s="59" t="str">
        <f>'Goals analysis'!E8</f>
        <v>Special function</v>
      </c>
      <c r="P6" s="60" t="s">
        <v>9</v>
      </c>
      <c r="R6" s="59" t="s">
        <v>61</v>
      </c>
      <c r="S6" s="59" t="s">
        <v>48</v>
      </c>
      <c r="T6" s="59" t="s">
        <v>93</v>
      </c>
      <c r="U6" s="92" t="s">
        <v>10</v>
      </c>
      <c r="V6" s="61"/>
      <c r="W6" s="62" t="s">
        <v>34</v>
      </c>
      <c r="Y6" s="120" t="s">
        <v>71</v>
      </c>
      <c r="Z6" s="122" t="s">
        <v>72</v>
      </c>
    </row>
    <row r="7" spans="2:26" customFormat="1" x14ac:dyDescent="0.25">
      <c r="B7" s="132">
        <v>58</v>
      </c>
      <c r="C7" s="132">
        <v>51</v>
      </c>
      <c r="D7" s="89">
        <v>2022</v>
      </c>
      <c r="E7" s="46">
        <f>'Cash flow and assets'!C17+'Cash flow and assets'!C18</f>
        <v>40000</v>
      </c>
      <c r="F7" s="46">
        <f>'Cash flow and assets'!C19</f>
        <v>5000</v>
      </c>
      <c r="G7" s="47">
        <f>'Cash flow and assets'!C20</f>
        <v>4000</v>
      </c>
      <c r="H7" s="48">
        <f>'Cash flow and assets'!C22</f>
        <v>2000</v>
      </c>
      <c r="I7" s="46">
        <f>'Cash flow and assets'!C23</f>
        <v>2000</v>
      </c>
      <c r="J7" s="46">
        <f>'Cash flow and assets'!C24</f>
        <v>2000</v>
      </c>
      <c r="K7" s="46">
        <f>'Cash flow and assets'!C25</f>
        <v>1000</v>
      </c>
      <c r="L7" s="46">
        <f>'Cash flow and assets'!C26</f>
        <v>17857.142857142859</v>
      </c>
      <c r="M7" s="133"/>
      <c r="N7" s="133"/>
      <c r="O7" s="133"/>
      <c r="P7" s="49">
        <f t="shared" ref="P7:P49" si="0">SUM(E7:O7)</f>
        <v>73857.142857142855</v>
      </c>
      <c r="Q7" s="16"/>
      <c r="R7" s="46">
        <f>'Cash flow and assets'!C7</f>
        <v>100000</v>
      </c>
      <c r="S7" s="46">
        <f>'Cash flow and assets'!C8</f>
        <v>50000</v>
      </c>
      <c r="T7" s="46">
        <v>3600</v>
      </c>
      <c r="U7" s="49">
        <f>SUM(R7:T7)</f>
        <v>153600</v>
      </c>
      <c r="V7" s="16"/>
      <c r="W7" s="93"/>
      <c r="Y7" s="93"/>
    </row>
    <row r="8" spans="2:26" customFormat="1" ht="15" x14ac:dyDescent="0.25">
      <c r="B8" s="132">
        <f>B7+1</f>
        <v>59</v>
      </c>
      <c r="C8" s="132">
        <f>C7+1</f>
        <v>52</v>
      </c>
      <c r="D8" s="89">
        <f>D7+1</f>
        <v>2023</v>
      </c>
      <c r="E8" s="46">
        <f>(E7+E7*$F$3)</f>
        <v>42800</v>
      </c>
      <c r="F8" s="46">
        <f>(F7+F7*$F$3)</f>
        <v>5350</v>
      </c>
      <c r="G8" s="47">
        <f>G7</f>
        <v>4000</v>
      </c>
      <c r="H8" s="48">
        <f>(H7+H7*$F$3)</f>
        <v>2140</v>
      </c>
      <c r="I8" s="48">
        <f t="shared" ref="I8:L8" si="1">(I7+I7*$F$3)</f>
        <v>2140</v>
      </c>
      <c r="J8" s="48">
        <f t="shared" si="1"/>
        <v>2140</v>
      </c>
      <c r="K8" s="48">
        <f t="shared" si="1"/>
        <v>1070</v>
      </c>
      <c r="L8" s="48">
        <f t="shared" si="1"/>
        <v>19107.142857142859</v>
      </c>
      <c r="M8" s="46">
        <f>'Goals analysis'!G6</f>
        <v>0</v>
      </c>
      <c r="N8" s="46">
        <f>'Goals analysis'!G7</f>
        <v>0</v>
      </c>
      <c r="O8" s="46">
        <f>'Goals analysis'!G8</f>
        <v>0</v>
      </c>
      <c r="P8" s="49">
        <f t="shared" si="0"/>
        <v>78747.142857142855</v>
      </c>
      <c r="Q8" s="16"/>
      <c r="R8" s="46">
        <f t="shared" ref="R8:R16" si="2">(R7+R7*$R$3)</f>
        <v>107000</v>
      </c>
      <c r="S8" s="46">
        <f t="shared" ref="S8:S14" si="3">(S7+S7*$S$3)</f>
        <v>52000</v>
      </c>
      <c r="T8" s="46">
        <f t="shared" ref="T8:T49" si="4">(T7+T7*$T$3)</f>
        <v>3600</v>
      </c>
      <c r="U8" s="49">
        <f t="shared" ref="U7:U49" si="5">SUM(R8:T8)</f>
        <v>162600</v>
      </c>
      <c r="V8" s="16"/>
      <c r="W8" s="93">
        <f t="shared" ref="W8:W49" si="6">U8-P8</f>
        <v>83852.857142857145</v>
      </c>
      <c r="Y8" s="93">
        <f>W8*12</f>
        <v>1006234.2857142857</v>
      </c>
    </row>
    <row r="9" spans="2:26" customFormat="1" ht="15" x14ac:dyDescent="0.25">
      <c r="B9" s="135">
        <f t="shared" ref="B9:D49" si="7">B8+1</f>
        <v>60</v>
      </c>
      <c r="C9" s="135">
        <f t="shared" ref="C9" si="8">C8+1</f>
        <v>53</v>
      </c>
      <c r="D9" s="135">
        <f t="shared" si="7"/>
        <v>2024</v>
      </c>
      <c r="E9" s="46">
        <f t="shared" ref="E9:F49" si="9">(E8+E8*$F$3)</f>
        <v>45796</v>
      </c>
      <c r="F9" s="46">
        <f>(F8+F8*$F$3)</f>
        <v>5724.5</v>
      </c>
      <c r="G9" s="47">
        <f t="shared" ref="G9:G10" si="10">G8</f>
        <v>4000</v>
      </c>
      <c r="H9" s="48">
        <f t="shared" ref="H9:H49" si="11">(H8+H8*$F$3)</f>
        <v>2289.8000000000002</v>
      </c>
      <c r="I9" s="48">
        <f t="shared" ref="I9:I49" si="12">(I8+I8*$F$3)</f>
        <v>2289.8000000000002</v>
      </c>
      <c r="J9" s="48">
        <f t="shared" ref="J9:J49" si="13">(J8+J8*$F$3)</f>
        <v>2289.8000000000002</v>
      </c>
      <c r="K9" s="48">
        <f t="shared" ref="K9:K49" si="14">(K8+K8*$F$3)</f>
        <v>1144.9000000000001</v>
      </c>
      <c r="L9" s="48">
        <f t="shared" ref="L9:L49" si="15">(L8+L8*$F$3)</f>
        <v>20444.642857142859</v>
      </c>
      <c r="M9" s="46" t="str">
        <f t="shared" ref="M9:M49" si="16">IF(D9&lt;=$M$4,M8,"")</f>
        <v/>
      </c>
      <c r="N9" s="46" t="str">
        <f t="shared" ref="N9:N49" si="17">IF(D9&lt;=$N$4,N8,"")</f>
        <v/>
      </c>
      <c r="O9" s="46" t="str">
        <f t="shared" ref="O9:O49" si="18">IF(D9&lt;=$O$4,O8,"")</f>
        <v/>
      </c>
      <c r="P9" s="49">
        <f>SUM(E9:O9)</f>
        <v>83979.442857142873</v>
      </c>
      <c r="Q9" s="16"/>
      <c r="R9" s="46">
        <f t="shared" si="2"/>
        <v>114490</v>
      </c>
      <c r="S9" s="46">
        <f t="shared" si="3"/>
        <v>54080</v>
      </c>
      <c r="T9" s="46">
        <f t="shared" si="4"/>
        <v>3600</v>
      </c>
      <c r="U9" s="49">
        <f>SUM(R9:T9)</f>
        <v>172170</v>
      </c>
      <c r="V9" s="16"/>
      <c r="W9" s="93">
        <f>U9-P9</f>
        <v>88190.557142857127</v>
      </c>
      <c r="Y9" s="93">
        <f t="shared" ref="Y8:Y47" si="19">W9*12</f>
        <v>1058286.6857142856</v>
      </c>
    </row>
    <row r="10" spans="2:26" customFormat="1" ht="15" x14ac:dyDescent="0.25">
      <c r="B10" s="132">
        <f t="shared" si="7"/>
        <v>61</v>
      </c>
      <c r="C10" s="132">
        <f t="shared" ref="C10" si="20">C9+1</f>
        <v>54</v>
      </c>
      <c r="D10" s="89">
        <f t="shared" si="7"/>
        <v>2025</v>
      </c>
      <c r="E10" s="46">
        <f t="shared" si="9"/>
        <v>49001.72</v>
      </c>
      <c r="F10" s="46">
        <f t="shared" si="9"/>
        <v>6125.2150000000001</v>
      </c>
      <c r="G10" s="47">
        <f t="shared" si="10"/>
        <v>4000</v>
      </c>
      <c r="H10" s="48">
        <f t="shared" si="11"/>
        <v>2450.0860000000002</v>
      </c>
      <c r="I10" s="48">
        <f t="shared" si="12"/>
        <v>2450.0860000000002</v>
      </c>
      <c r="J10" s="48">
        <f t="shared" si="13"/>
        <v>2450.0860000000002</v>
      </c>
      <c r="K10" s="48">
        <f t="shared" si="14"/>
        <v>1225.0430000000001</v>
      </c>
      <c r="L10" s="48">
        <f t="shared" si="15"/>
        <v>21875.767857142859</v>
      </c>
      <c r="M10" s="46" t="str">
        <f t="shared" si="16"/>
        <v/>
      </c>
      <c r="N10" s="46" t="str">
        <f t="shared" si="17"/>
        <v/>
      </c>
      <c r="O10" s="46" t="str">
        <f t="shared" si="18"/>
        <v/>
      </c>
      <c r="P10" s="49">
        <f t="shared" si="0"/>
        <v>89578.003857142859</v>
      </c>
      <c r="Q10" s="16"/>
      <c r="R10" s="46"/>
      <c r="S10" s="46">
        <f t="shared" si="3"/>
        <v>56243.199999999997</v>
      </c>
      <c r="T10" s="138">
        <v>13600</v>
      </c>
      <c r="U10" s="49">
        <f t="shared" si="5"/>
        <v>69843.199999999997</v>
      </c>
      <c r="V10" s="16"/>
      <c r="W10" s="93">
        <f t="shared" si="6"/>
        <v>-19734.803857142862</v>
      </c>
      <c r="Y10" s="93">
        <f t="shared" si="19"/>
        <v>-236817.64628571435</v>
      </c>
    </row>
    <row r="11" spans="2:26" customFormat="1" ht="15" x14ac:dyDescent="0.25">
      <c r="B11" s="132">
        <f t="shared" si="7"/>
        <v>62</v>
      </c>
      <c r="C11" s="132">
        <f t="shared" ref="C11" si="21">C10+1</f>
        <v>55</v>
      </c>
      <c r="D11" s="89">
        <f t="shared" si="7"/>
        <v>2026</v>
      </c>
      <c r="E11" s="46">
        <f t="shared" si="9"/>
        <v>52431.840400000001</v>
      </c>
      <c r="F11" s="46">
        <f t="shared" si="9"/>
        <v>6553.9800500000001</v>
      </c>
      <c r="G11" s="47"/>
      <c r="H11" s="48">
        <f t="shared" si="11"/>
        <v>2621.59202</v>
      </c>
      <c r="I11" s="48">
        <f t="shared" si="12"/>
        <v>2621.59202</v>
      </c>
      <c r="J11" s="48">
        <f t="shared" si="13"/>
        <v>2621.59202</v>
      </c>
      <c r="K11" s="48">
        <f t="shared" si="14"/>
        <v>1310.79601</v>
      </c>
      <c r="L11" s="48">
        <f t="shared" si="15"/>
        <v>23407.071607142858</v>
      </c>
      <c r="M11" s="46" t="str">
        <f t="shared" si="16"/>
        <v/>
      </c>
      <c r="N11" s="46" t="str">
        <f t="shared" si="17"/>
        <v/>
      </c>
      <c r="O11" s="46" t="str">
        <f t="shared" si="18"/>
        <v/>
      </c>
      <c r="P11" s="49">
        <f t="shared" si="0"/>
        <v>91568.464127142855</v>
      </c>
      <c r="Q11" s="16"/>
      <c r="R11" s="46"/>
      <c r="S11" s="46">
        <f t="shared" si="3"/>
        <v>58492.928</v>
      </c>
      <c r="T11" s="46">
        <f t="shared" si="4"/>
        <v>13600</v>
      </c>
      <c r="U11" s="49">
        <f t="shared" si="5"/>
        <v>72092.928</v>
      </c>
      <c r="V11" s="16"/>
      <c r="W11" s="93">
        <f t="shared" si="6"/>
        <v>-19475.536127142856</v>
      </c>
      <c r="Y11" s="93">
        <f t="shared" si="19"/>
        <v>-233706.43352571427</v>
      </c>
    </row>
    <row r="12" spans="2:26" customFormat="1" ht="15" x14ac:dyDescent="0.25">
      <c r="B12" s="132">
        <f t="shared" si="7"/>
        <v>63</v>
      </c>
      <c r="C12" s="132">
        <f t="shared" ref="C12" si="22">C11+1</f>
        <v>56</v>
      </c>
      <c r="D12" s="89">
        <f t="shared" si="7"/>
        <v>2027</v>
      </c>
      <c r="E12" s="46">
        <f t="shared" si="9"/>
        <v>56102.069228</v>
      </c>
      <c r="F12" s="46">
        <f t="shared" si="9"/>
        <v>7012.7586535</v>
      </c>
      <c r="G12" s="47"/>
      <c r="H12" s="48">
        <f t="shared" si="11"/>
        <v>2805.1034614</v>
      </c>
      <c r="I12" s="48">
        <f t="shared" si="12"/>
        <v>2805.1034614</v>
      </c>
      <c r="J12" s="48">
        <f t="shared" si="13"/>
        <v>2805.1034614</v>
      </c>
      <c r="K12" s="48">
        <f t="shared" si="14"/>
        <v>1402.5517307</v>
      </c>
      <c r="L12" s="48">
        <f t="shared" si="15"/>
        <v>25045.566619642857</v>
      </c>
      <c r="M12" s="46" t="str">
        <f t="shared" si="16"/>
        <v/>
      </c>
      <c r="N12" s="46" t="str">
        <f t="shared" si="17"/>
        <v/>
      </c>
      <c r="O12" s="46" t="str">
        <f t="shared" si="18"/>
        <v/>
      </c>
      <c r="P12" s="49">
        <f t="shared" si="0"/>
        <v>97978.25661604284</v>
      </c>
      <c r="Q12" s="16"/>
      <c r="R12" s="46">
        <f t="shared" si="2"/>
        <v>0</v>
      </c>
      <c r="S12" s="46">
        <f t="shared" si="3"/>
        <v>60832.645120000001</v>
      </c>
      <c r="T12" s="46">
        <f t="shared" si="4"/>
        <v>13600</v>
      </c>
      <c r="U12" s="49">
        <f t="shared" si="5"/>
        <v>74432.645120000001</v>
      </c>
      <c r="V12" s="16"/>
      <c r="W12" s="93">
        <f t="shared" si="6"/>
        <v>-23545.611496042839</v>
      </c>
      <c r="Y12" s="93">
        <f t="shared" si="19"/>
        <v>-282547.33795251406</v>
      </c>
    </row>
    <row r="13" spans="2:26" customFormat="1" ht="15" x14ac:dyDescent="0.25">
      <c r="B13" s="132">
        <f t="shared" si="7"/>
        <v>64</v>
      </c>
      <c r="C13" s="132">
        <f t="shared" ref="C13" si="23">C12+1</f>
        <v>57</v>
      </c>
      <c r="D13" s="89">
        <f t="shared" si="7"/>
        <v>2028</v>
      </c>
      <c r="E13" s="46">
        <f t="shared" si="9"/>
        <v>60029.21407396</v>
      </c>
      <c r="F13" s="46">
        <f t="shared" si="9"/>
        <v>7503.651759245</v>
      </c>
      <c r="G13" s="47"/>
      <c r="H13" s="48">
        <f t="shared" si="11"/>
        <v>3001.4607036980001</v>
      </c>
      <c r="I13" s="48">
        <f t="shared" si="12"/>
        <v>3001.4607036980001</v>
      </c>
      <c r="J13" s="48">
        <f t="shared" si="13"/>
        <v>3001.4607036980001</v>
      </c>
      <c r="K13" s="48">
        <f t="shared" si="14"/>
        <v>1500.730351849</v>
      </c>
      <c r="L13" s="48">
        <f t="shared" si="15"/>
        <v>26798.756283017858</v>
      </c>
      <c r="M13" s="46" t="str">
        <f t="shared" si="16"/>
        <v/>
      </c>
      <c r="N13" s="46" t="str">
        <f t="shared" si="17"/>
        <v/>
      </c>
      <c r="O13" s="46" t="str">
        <f t="shared" si="18"/>
        <v/>
      </c>
      <c r="P13" s="49">
        <f t="shared" si="0"/>
        <v>104836.73457916584</v>
      </c>
      <c r="Q13" s="16"/>
      <c r="R13" s="46">
        <f t="shared" si="2"/>
        <v>0</v>
      </c>
      <c r="S13" s="46">
        <f t="shared" si="3"/>
        <v>63265.950924800003</v>
      </c>
      <c r="T13" s="46">
        <f t="shared" si="4"/>
        <v>13600</v>
      </c>
      <c r="U13" s="49">
        <f t="shared" si="5"/>
        <v>76865.95092480001</v>
      </c>
      <c r="V13" s="16"/>
      <c r="W13" s="93">
        <f t="shared" si="6"/>
        <v>-27970.783654365834</v>
      </c>
      <c r="Y13" s="93">
        <f t="shared" si="19"/>
        <v>-335649.40385239001</v>
      </c>
    </row>
    <row r="14" spans="2:26" customFormat="1" ht="15" x14ac:dyDescent="0.25">
      <c r="B14" s="132">
        <f t="shared" si="7"/>
        <v>65</v>
      </c>
      <c r="C14" s="132">
        <f t="shared" ref="C14" si="24">C13+1</f>
        <v>58</v>
      </c>
      <c r="D14" s="89">
        <f t="shared" si="7"/>
        <v>2029</v>
      </c>
      <c r="E14" s="46">
        <f t="shared" si="9"/>
        <v>64231.259059137199</v>
      </c>
      <c r="F14" s="46"/>
      <c r="G14" s="47"/>
      <c r="H14" s="48">
        <f t="shared" si="11"/>
        <v>3211.56295295686</v>
      </c>
      <c r="I14" s="48">
        <f t="shared" si="12"/>
        <v>3211.56295295686</v>
      </c>
      <c r="J14" s="48">
        <f t="shared" si="13"/>
        <v>3211.56295295686</v>
      </c>
      <c r="K14" s="48">
        <f t="shared" si="14"/>
        <v>1605.78147647843</v>
      </c>
      <c r="L14" s="48">
        <f t="shared" si="15"/>
        <v>28674.669222829107</v>
      </c>
      <c r="M14" s="46" t="str">
        <f t="shared" si="16"/>
        <v/>
      </c>
      <c r="N14" s="46" t="str">
        <f t="shared" si="17"/>
        <v/>
      </c>
      <c r="O14" s="46" t="str">
        <f t="shared" si="18"/>
        <v/>
      </c>
      <c r="P14" s="49">
        <f t="shared" si="0"/>
        <v>104146.3986173153</v>
      </c>
      <c r="Q14" s="16"/>
      <c r="R14" s="46">
        <f t="shared" si="2"/>
        <v>0</v>
      </c>
      <c r="S14" s="46">
        <f t="shared" si="3"/>
        <v>65796.588961792004</v>
      </c>
      <c r="T14" s="46">
        <f t="shared" si="4"/>
        <v>13600</v>
      </c>
      <c r="U14" s="49">
        <f t="shared" si="5"/>
        <v>79396.588961792004</v>
      </c>
      <c r="V14" s="16"/>
      <c r="W14" s="93">
        <f t="shared" si="6"/>
        <v>-24749.809655523291</v>
      </c>
      <c r="Y14" s="93">
        <f t="shared" si="19"/>
        <v>-296997.7158662795</v>
      </c>
    </row>
    <row r="15" spans="2:26" customFormat="1" ht="15" x14ac:dyDescent="0.25">
      <c r="B15" s="132">
        <f t="shared" si="7"/>
        <v>66</v>
      </c>
      <c r="C15" s="132">
        <f t="shared" ref="C15" si="25">C14+1</f>
        <v>59</v>
      </c>
      <c r="D15" s="89">
        <f t="shared" si="7"/>
        <v>2030</v>
      </c>
      <c r="E15" s="46">
        <f t="shared" si="9"/>
        <v>68727.447193276807</v>
      </c>
      <c r="F15" s="46">
        <f t="shared" si="9"/>
        <v>0</v>
      </c>
      <c r="G15" s="47"/>
      <c r="H15" s="48">
        <f t="shared" si="11"/>
        <v>3436.3723596638401</v>
      </c>
      <c r="I15" s="48">
        <f t="shared" si="12"/>
        <v>3436.3723596638401</v>
      </c>
      <c r="J15" s="48">
        <f t="shared" si="13"/>
        <v>3436.3723596638401</v>
      </c>
      <c r="K15" s="48">
        <f t="shared" si="14"/>
        <v>1718.1861798319201</v>
      </c>
      <c r="L15" s="48">
        <f t="shared" si="15"/>
        <v>30681.896068427144</v>
      </c>
      <c r="M15" s="46" t="str">
        <f t="shared" si="16"/>
        <v/>
      </c>
      <c r="N15" s="46" t="str">
        <f t="shared" si="17"/>
        <v/>
      </c>
      <c r="O15" s="46" t="str">
        <f t="shared" si="18"/>
        <v/>
      </c>
      <c r="P15" s="49">
        <f t="shared" si="0"/>
        <v>111436.6465205274</v>
      </c>
      <c r="Q15" s="16"/>
      <c r="R15" s="46">
        <f t="shared" si="2"/>
        <v>0</v>
      </c>
      <c r="S15" s="46"/>
      <c r="T15" s="46">
        <f t="shared" si="4"/>
        <v>13600</v>
      </c>
      <c r="U15" s="49">
        <f t="shared" si="5"/>
        <v>13600</v>
      </c>
      <c r="V15" s="16"/>
      <c r="W15" s="93">
        <f t="shared" si="6"/>
        <v>-97836.6465205274</v>
      </c>
      <c r="Y15" s="93">
        <f t="shared" si="19"/>
        <v>-1174039.7582463287</v>
      </c>
    </row>
    <row r="16" spans="2:26" customFormat="1" ht="15" x14ac:dyDescent="0.25">
      <c r="B16" s="132">
        <f t="shared" si="7"/>
        <v>67</v>
      </c>
      <c r="C16" s="132">
        <f t="shared" ref="C16" si="26">C15+1</f>
        <v>60</v>
      </c>
      <c r="D16" s="89">
        <f t="shared" si="7"/>
        <v>2031</v>
      </c>
      <c r="E16" s="46">
        <f t="shared" si="9"/>
        <v>73538.368496806186</v>
      </c>
      <c r="F16" s="46">
        <f t="shared" si="9"/>
        <v>0</v>
      </c>
      <c r="G16" s="47"/>
      <c r="H16" s="48">
        <f t="shared" si="11"/>
        <v>3676.9184248403089</v>
      </c>
      <c r="I16" s="48">
        <f t="shared" si="12"/>
        <v>3676.9184248403089</v>
      </c>
      <c r="J16" s="48">
        <f t="shared" si="13"/>
        <v>3676.9184248403089</v>
      </c>
      <c r="K16" s="48">
        <f t="shared" si="14"/>
        <v>1838.4592124201545</v>
      </c>
      <c r="L16" s="48">
        <f t="shared" si="15"/>
        <v>32829.628793217045</v>
      </c>
      <c r="M16" s="46" t="str">
        <f t="shared" si="16"/>
        <v/>
      </c>
      <c r="N16" s="46" t="str">
        <f t="shared" si="17"/>
        <v/>
      </c>
      <c r="O16" s="46" t="str">
        <f t="shared" si="18"/>
        <v/>
      </c>
      <c r="P16" s="49">
        <f t="shared" si="0"/>
        <v>119237.21177696431</v>
      </c>
      <c r="Q16" s="16"/>
      <c r="R16" s="46">
        <f t="shared" si="2"/>
        <v>0</v>
      </c>
      <c r="S16" s="46"/>
      <c r="T16" s="46">
        <f t="shared" si="4"/>
        <v>13600</v>
      </c>
      <c r="U16" s="49">
        <f t="shared" si="5"/>
        <v>13600</v>
      </c>
      <c r="V16" s="16"/>
      <c r="W16" s="93">
        <f t="shared" si="6"/>
        <v>-105637.21177696431</v>
      </c>
      <c r="Y16" s="93">
        <f t="shared" si="19"/>
        <v>-1267646.5413235717</v>
      </c>
    </row>
    <row r="17" spans="2:25" customFormat="1" ht="15" x14ac:dyDescent="0.25">
      <c r="B17" s="132">
        <f t="shared" si="7"/>
        <v>68</v>
      </c>
      <c r="C17" s="132">
        <f t="shared" ref="C17" si="27">C16+1</f>
        <v>61</v>
      </c>
      <c r="D17" s="89">
        <f t="shared" si="7"/>
        <v>2032</v>
      </c>
      <c r="E17" s="46">
        <f t="shared" si="9"/>
        <v>78686.054291582623</v>
      </c>
      <c r="F17" s="46">
        <f t="shared" si="9"/>
        <v>0</v>
      </c>
      <c r="G17" s="47"/>
      <c r="H17" s="48">
        <f t="shared" si="11"/>
        <v>3934.3027145791307</v>
      </c>
      <c r="I17" s="48">
        <f t="shared" si="12"/>
        <v>3934.3027145791307</v>
      </c>
      <c r="J17" s="48">
        <f t="shared" si="13"/>
        <v>3934.3027145791307</v>
      </c>
      <c r="K17" s="48">
        <f t="shared" si="14"/>
        <v>1967.1513572895653</v>
      </c>
      <c r="L17" s="48">
        <f t="shared" si="15"/>
        <v>35127.702808742237</v>
      </c>
      <c r="M17" s="46" t="str">
        <f t="shared" si="16"/>
        <v/>
      </c>
      <c r="N17" s="46" t="str">
        <f t="shared" si="17"/>
        <v/>
      </c>
      <c r="O17" s="46" t="str">
        <f t="shared" si="18"/>
        <v/>
      </c>
      <c r="P17" s="49">
        <f t="shared" si="0"/>
        <v>127583.81660135181</v>
      </c>
      <c r="Q17" s="16"/>
      <c r="R17" s="46"/>
      <c r="S17" s="46"/>
      <c r="T17" s="46">
        <f t="shared" si="4"/>
        <v>13600</v>
      </c>
      <c r="U17" s="49">
        <f t="shared" si="5"/>
        <v>13600</v>
      </c>
      <c r="V17" s="16"/>
      <c r="W17" s="93">
        <f t="shared" si="6"/>
        <v>-113983.81660135181</v>
      </c>
      <c r="Y17" s="93">
        <f t="shared" si="19"/>
        <v>-1367805.7992162216</v>
      </c>
    </row>
    <row r="18" spans="2:25" customFormat="1" ht="15" x14ac:dyDescent="0.25">
      <c r="B18" s="132">
        <f t="shared" si="7"/>
        <v>69</v>
      </c>
      <c r="C18" s="132">
        <f t="shared" ref="C18" si="28">C17+1</f>
        <v>62</v>
      </c>
      <c r="D18" s="89">
        <f t="shared" si="7"/>
        <v>2033</v>
      </c>
      <c r="E18" s="46">
        <f t="shared" si="9"/>
        <v>84194.078091993404</v>
      </c>
      <c r="F18" s="46">
        <f t="shared" si="9"/>
        <v>0</v>
      </c>
      <c r="G18" s="47"/>
      <c r="H18" s="48">
        <f t="shared" si="11"/>
        <v>4209.7039045996698</v>
      </c>
      <c r="I18" s="48">
        <f t="shared" si="12"/>
        <v>4209.7039045996698</v>
      </c>
      <c r="J18" s="48">
        <f t="shared" si="13"/>
        <v>4209.7039045996698</v>
      </c>
      <c r="K18" s="48">
        <f t="shared" si="14"/>
        <v>2104.8519522998349</v>
      </c>
      <c r="L18" s="48">
        <f t="shared" si="15"/>
        <v>37586.642005354195</v>
      </c>
      <c r="M18" s="46" t="str">
        <f t="shared" si="16"/>
        <v/>
      </c>
      <c r="N18" s="46" t="str">
        <f t="shared" si="17"/>
        <v/>
      </c>
      <c r="O18" s="46" t="str">
        <f t="shared" si="18"/>
        <v/>
      </c>
      <c r="P18" s="49">
        <f t="shared" si="0"/>
        <v>136514.68376344643</v>
      </c>
      <c r="Q18" s="16"/>
      <c r="R18" s="46"/>
      <c r="S18" s="46"/>
      <c r="T18" s="46">
        <f t="shared" si="4"/>
        <v>13600</v>
      </c>
      <c r="U18" s="49">
        <f t="shared" si="5"/>
        <v>13600</v>
      </c>
      <c r="V18" s="16"/>
      <c r="W18" s="93">
        <f t="shared" si="6"/>
        <v>-122914.68376344643</v>
      </c>
      <c r="Y18" s="93">
        <f t="shared" si="19"/>
        <v>-1474976.2051613573</v>
      </c>
    </row>
    <row r="19" spans="2:25" customFormat="1" ht="15" x14ac:dyDescent="0.25">
      <c r="B19" s="135">
        <f t="shared" si="7"/>
        <v>70</v>
      </c>
      <c r="C19" s="135">
        <f t="shared" ref="C19" si="29">C18+1</f>
        <v>63</v>
      </c>
      <c r="D19" s="135">
        <f t="shared" si="7"/>
        <v>2034</v>
      </c>
      <c r="E19" s="46">
        <f t="shared" si="9"/>
        <v>90087.663558432949</v>
      </c>
      <c r="F19" s="46">
        <f t="shared" si="9"/>
        <v>0</v>
      </c>
      <c r="G19" s="47"/>
      <c r="H19" s="48">
        <f t="shared" si="11"/>
        <v>4504.3831779216471</v>
      </c>
      <c r="I19" s="48">
        <f t="shared" si="12"/>
        <v>4504.3831779216471</v>
      </c>
      <c r="J19" s="48">
        <f t="shared" si="13"/>
        <v>4504.3831779216471</v>
      </c>
      <c r="K19" s="48">
        <f t="shared" si="14"/>
        <v>2252.1915889608235</v>
      </c>
      <c r="L19" s="48">
        <f t="shared" si="15"/>
        <v>40217.706945728991</v>
      </c>
      <c r="M19" s="46" t="str">
        <f t="shared" si="16"/>
        <v/>
      </c>
      <c r="N19" s="46" t="str">
        <f t="shared" si="17"/>
        <v/>
      </c>
      <c r="O19" s="46" t="str">
        <f t="shared" si="18"/>
        <v/>
      </c>
      <c r="P19" s="49">
        <f t="shared" si="0"/>
        <v>146070.71162688767</v>
      </c>
      <c r="Q19" s="16"/>
      <c r="R19" s="46"/>
      <c r="S19" s="46"/>
      <c r="T19" s="46">
        <f t="shared" si="4"/>
        <v>13600</v>
      </c>
      <c r="U19" s="49">
        <f t="shared" si="5"/>
        <v>13600</v>
      </c>
      <c r="V19" s="16"/>
      <c r="W19" s="93">
        <f t="shared" si="6"/>
        <v>-132470.71162688767</v>
      </c>
      <c r="Y19" s="93">
        <f t="shared" si="19"/>
        <v>-1589648.539522652</v>
      </c>
    </row>
    <row r="20" spans="2:25" customFormat="1" ht="15" x14ac:dyDescent="0.25">
      <c r="B20" s="132">
        <f t="shared" si="7"/>
        <v>71</v>
      </c>
      <c r="C20" s="132">
        <f t="shared" ref="C20" si="30">C19+1</f>
        <v>64</v>
      </c>
      <c r="D20" s="89">
        <f t="shared" si="7"/>
        <v>2035</v>
      </c>
      <c r="E20" s="46">
        <f t="shared" si="9"/>
        <v>96393.800007523256</v>
      </c>
      <c r="F20" s="46">
        <f t="shared" si="9"/>
        <v>0</v>
      </c>
      <c r="G20" s="47"/>
      <c r="H20" s="48">
        <f t="shared" si="11"/>
        <v>4819.6900003761621</v>
      </c>
      <c r="I20" s="48">
        <f t="shared" si="12"/>
        <v>4819.6900003761621</v>
      </c>
      <c r="J20" s="48">
        <f t="shared" si="13"/>
        <v>4819.6900003761621</v>
      </c>
      <c r="K20" s="48">
        <f t="shared" si="14"/>
        <v>2409.845000188081</v>
      </c>
      <c r="L20" s="48"/>
      <c r="M20" s="46" t="str">
        <f t="shared" si="16"/>
        <v/>
      </c>
      <c r="N20" s="46" t="str">
        <f t="shared" si="17"/>
        <v/>
      </c>
      <c r="O20" s="46" t="str">
        <f t="shared" si="18"/>
        <v/>
      </c>
      <c r="P20" s="49">
        <f t="shared" si="0"/>
        <v>113262.71500883983</v>
      </c>
      <c r="Q20" s="16"/>
      <c r="R20" s="46"/>
      <c r="S20" s="46"/>
      <c r="T20" s="46">
        <f t="shared" si="4"/>
        <v>13600</v>
      </c>
      <c r="U20" s="49">
        <f t="shared" si="5"/>
        <v>13600</v>
      </c>
      <c r="V20" s="16"/>
      <c r="W20" s="93">
        <f t="shared" si="6"/>
        <v>-99662.715008839834</v>
      </c>
      <c r="Y20" s="93">
        <f t="shared" si="19"/>
        <v>-1195952.5801060779</v>
      </c>
    </row>
    <row r="21" spans="2:25" customFormat="1" ht="15" x14ac:dyDescent="0.25">
      <c r="B21" s="132">
        <f t="shared" si="7"/>
        <v>72</v>
      </c>
      <c r="C21" s="132">
        <f t="shared" ref="C21" si="31">C20+1</f>
        <v>65</v>
      </c>
      <c r="D21" s="89">
        <f t="shared" si="7"/>
        <v>2036</v>
      </c>
      <c r="E21" s="46">
        <f t="shared" si="9"/>
        <v>103141.36600804988</v>
      </c>
      <c r="F21" s="46">
        <f t="shared" si="9"/>
        <v>0</v>
      </c>
      <c r="G21" s="47"/>
      <c r="H21" s="48">
        <f t="shared" si="11"/>
        <v>5157.0683004024932</v>
      </c>
      <c r="I21" s="48">
        <f t="shared" si="12"/>
        <v>5157.0683004024932</v>
      </c>
      <c r="J21" s="48">
        <f t="shared" si="13"/>
        <v>5157.0683004024932</v>
      </c>
      <c r="K21" s="48">
        <f t="shared" si="14"/>
        <v>2578.5341502012466</v>
      </c>
      <c r="L21" s="48">
        <f t="shared" si="15"/>
        <v>0</v>
      </c>
      <c r="M21" s="46" t="str">
        <f t="shared" si="16"/>
        <v/>
      </c>
      <c r="N21" s="46" t="str">
        <f t="shared" si="17"/>
        <v/>
      </c>
      <c r="O21" s="46" t="str">
        <f t="shared" si="18"/>
        <v/>
      </c>
      <c r="P21" s="49">
        <f t="shared" si="0"/>
        <v>121191.1050594586</v>
      </c>
      <c r="Q21" s="16"/>
      <c r="R21" s="46"/>
      <c r="S21" s="46"/>
      <c r="T21" s="46">
        <f t="shared" si="4"/>
        <v>13600</v>
      </c>
      <c r="U21" s="49">
        <f t="shared" si="5"/>
        <v>13600</v>
      </c>
      <c r="V21" s="16"/>
      <c r="W21" s="93">
        <f t="shared" si="6"/>
        <v>-107591.1050594586</v>
      </c>
      <c r="Y21" s="93">
        <f t="shared" si="19"/>
        <v>-1291093.2607135032</v>
      </c>
    </row>
    <row r="22" spans="2:25" customFormat="1" ht="15" x14ac:dyDescent="0.25">
      <c r="B22" s="132">
        <f t="shared" si="7"/>
        <v>73</v>
      </c>
      <c r="C22" s="132">
        <f t="shared" ref="C22" si="32">C21+1</f>
        <v>66</v>
      </c>
      <c r="D22" s="89">
        <f t="shared" si="7"/>
        <v>2037</v>
      </c>
      <c r="E22" s="46">
        <f t="shared" si="9"/>
        <v>110361.26162861337</v>
      </c>
      <c r="F22" s="46">
        <f t="shared" si="9"/>
        <v>0</v>
      </c>
      <c r="G22" s="47"/>
      <c r="H22" s="48">
        <f t="shared" si="11"/>
        <v>5518.0630814306678</v>
      </c>
      <c r="I22" s="48">
        <f t="shared" si="12"/>
        <v>5518.0630814306678</v>
      </c>
      <c r="J22" s="48">
        <f t="shared" si="13"/>
        <v>5518.0630814306678</v>
      </c>
      <c r="K22" s="48">
        <f t="shared" si="14"/>
        <v>2759.0315407153339</v>
      </c>
      <c r="L22" s="48">
        <f t="shared" si="15"/>
        <v>0</v>
      </c>
      <c r="M22" s="46" t="str">
        <f t="shared" si="16"/>
        <v/>
      </c>
      <c r="N22" s="46" t="str">
        <f t="shared" si="17"/>
        <v/>
      </c>
      <c r="O22" s="46" t="str">
        <f t="shared" si="18"/>
        <v/>
      </c>
      <c r="P22" s="49">
        <f t="shared" si="0"/>
        <v>129674.4824136207</v>
      </c>
      <c r="Q22" s="16"/>
      <c r="R22" s="46"/>
      <c r="S22" s="46"/>
      <c r="T22" s="46">
        <f t="shared" si="4"/>
        <v>13600</v>
      </c>
      <c r="U22" s="49">
        <f t="shared" si="5"/>
        <v>13600</v>
      </c>
      <c r="V22" s="16"/>
      <c r="W22" s="93">
        <f t="shared" si="6"/>
        <v>-116074.4824136207</v>
      </c>
      <c r="Y22" s="93">
        <f t="shared" si="19"/>
        <v>-1392893.7889634485</v>
      </c>
    </row>
    <row r="23" spans="2:25" customFormat="1" ht="15" x14ac:dyDescent="0.25">
      <c r="B23" s="132">
        <f t="shared" si="7"/>
        <v>74</v>
      </c>
      <c r="C23" s="132">
        <f t="shared" ref="C23" si="33">C22+1</f>
        <v>67</v>
      </c>
      <c r="D23" s="89">
        <f t="shared" si="7"/>
        <v>2038</v>
      </c>
      <c r="E23" s="46">
        <f t="shared" si="9"/>
        <v>118086.54994261632</v>
      </c>
      <c r="F23" s="46">
        <f t="shared" si="9"/>
        <v>0</v>
      </c>
      <c r="G23" s="47"/>
      <c r="H23" s="48">
        <f t="shared" si="11"/>
        <v>5904.3274971308147</v>
      </c>
      <c r="I23" s="48">
        <f t="shared" si="12"/>
        <v>5904.3274971308147</v>
      </c>
      <c r="J23" s="48">
        <f t="shared" si="13"/>
        <v>5904.3274971308147</v>
      </c>
      <c r="K23" s="48">
        <f t="shared" si="14"/>
        <v>2952.1637485654073</v>
      </c>
      <c r="L23" s="48">
        <f t="shared" si="15"/>
        <v>0</v>
      </c>
      <c r="M23" s="46" t="str">
        <f t="shared" si="16"/>
        <v/>
      </c>
      <c r="N23" s="46" t="str">
        <f t="shared" si="17"/>
        <v/>
      </c>
      <c r="O23" s="46" t="str">
        <f t="shared" si="18"/>
        <v/>
      </c>
      <c r="P23" s="49">
        <f t="shared" si="0"/>
        <v>138751.69618257417</v>
      </c>
      <c r="Q23" s="16"/>
      <c r="R23" s="46"/>
      <c r="S23" s="46"/>
      <c r="T23" s="46">
        <f t="shared" si="4"/>
        <v>13600</v>
      </c>
      <c r="U23" s="49">
        <f t="shared" si="5"/>
        <v>13600</v>
      </c>
      <c r="V23" s="16"/>
      <c r="W23" s="93">
        <f t="shared" si="6"/>
        <v>-125151.69618257417</v>
      </c>
      <c r="Y23" s="93">
        <f t="shared" si="19"/>
        <v>-1501820.3541908902</v>
      </c>
    </row>
    <row r="24" spans="2:25" customFormat="1" ht="15" x14ac:dyDescent="0.25">
      <c r="B24" s="132">
        <f t="shared" si="7"/>
        <v>75</v>
      </c>
      <c r="C24" s="132">
        <f t="shared" ref="C24" si="34">C23+1</f>
        <v>68</v>
      </c>
      <c r="D24" s="89">
        <f t="shared" si="7"/>
        <v>2039</v>
      </c>
      <c r="E24" s="46">
        <f t="shared" si="9"/>
        <v>126352.60843859946</v>
      </c>
      <c r="F24" s="46">
        <f t="shared" si="9"/>
        <v>0</v>
      </c>
      <c r="G24" s="47"/>
      <c r="H24" s="48">
        <f t="shared" si="11"/>
        <v>6317.6304219299718</v>
      </c>
      <c r="I24" s="48">
        <f t="shared" si="12"/>
        <v>6317.6304219299718</v>
      </c>
      <c r="J24" s="48">
        <f t="shared" si="13"/>
        <v>6317.6304219299718</v>
      </c>
      <c r="K24" s="48">
        <f t="shared" si="14"/>
        <v>3158.8152109649859</v>
      </c>
      <c r="L24" s="48">
        <f t="shared" si="15"/>
        <v>0</v>
      </c>
      <c r="M24" s="46" t="str">
        <f t="shared" si="16"/>
        <v/>
      </c>
      <c r="N24" s="46" t="str">
        <f t="shared" si="17"/>
        <v/>
      </c>
      <c r="O24" s="46" t="str">
        <f t="shared" si="18"/>
        <v/>
      </c>
      <c r="P24" s="49">
        <f t="shared" si="0"/>
        <v>148464.31491535436</v>
      </c>
      <c r="Q24" s="16"/>
      <c r="R24" s="46"/>
      <c r="S24" s="46"/>
      <c r="T24" s="46">
        <f t="shared" si="4"/>
        <v>13600</v>
      </c>
      <c r="U24" s="49">
        <f t="shared" si="5"/>
        <v>13600</v>
      </c>
      <c r="V24" s="16"/>
      <c r="W24" s="93">
        <f t="shared" si="6"/>
        <v>-134864.31491535436</v>
      </c>
      <c r="Y24" s="93">
        <f t="shared" si="19"/>
        <v>-1618371.7789842524</v>
      </c>
    </row>
    <row r="25" spans="2:25" customFormat="1" ht="15" x14ac:dyDescent="0.25">
      <c r="B25" s="132">
        <f t="shared" si="7"/>
        <v>76</v>
      </c>
      <c r="C25" s="132">
        <f t="shared" ref="C25" si="35">C24+1</f>
        <v>69</v>
      </c>
      <c r="D25" s="89">
        <f t="shared" si="7"/>
        <v>2040</v>
      </c>
      <c r="E25" s="46">
        <f t="shared" si="9"/>
        <v>135197.29102930141</v>
      </c>
      <c r="F25" s="46">
        <f t="shared" si="9"/>
        <v>0</v>
      </c>
      <c r="G25" s="47"/>
      <c r="H25" s="48">
        <f t="shared" si="11"/>
        <v>6759.8645514650698</v>
      </c>
      <c r="I25" s="48">
        <f t="shared" si="12"/>
        <v>6759.8645514650698</v>
      </c>
      <c r="J25" s="48">
        <f t="shared" si="13"/>
        <v>6759.8645514650698</v>
      </c>
      <c r="K25" s="48">
        <f t="shared" si="14"/>
        <v>3379.9322757325349</v>
      </c>
      <c r="L25" s="48">
        <f t="shared" si="15"/>
        <v>0</v>
      </c>
      <c r="M25" s="46" t="str">
        <f t="shared" si="16"/>
        <v/>
      </c>
      <c r="N25" s="46" t="str">
        <f t="shared" si="17"/>
        <v/>
      </c>
      <c r="O25" s="46" t="str">
        <f t="shared" si="18"/>
        <v/>
      </c>
      <c r="P25" s="49">
        <f t="shared" si="0"/>
        <v>158856.81695942912</v>
      </c>
      <c r="Q25" s="16"/>
      <c r="R25" s="46"/>
      <c r="S25" s="46"/>
      <c r="T25" s="46">
        <f t="shared" si="4"/>
        <v>13600</v>
      </c>
      <c r="U25" s="49">
        <f t="shared" si="5"/>
        <v>13600</v>
      </c>
      <c r="V25" s="16"/>
      <c r="W25" s="93">
        <f t="shared" si="6"/>
        <v>-145256.81695942912</v>
      </c>
      <c r="Y25" s="93">
        <f t="shared" si="19"/>
        <v>-1743081.8035131495</v>
      </c>
    </row>
    <row r="26" spans="2:25" customFormat="1" ht="15" x14ac:dyDescent="0.25">
      <c r="B26" s="132">
        <f t="shared" si="7"/>
        <v>77</v>
      </c>
      <c r="C26" s="132">
        <f t="shared" ref="C26" si="36">C25+1</f>
        <v>70</v>
      </c>
      <c r="D26" s="89">
        <f t="shared" si="7"/>
        <v>2041</v>
      </c>
      <c r="E26" s="46">
        <f t="shared" si="9"/>
        <v>144661.1014013525</v>
      </c>
      <c r="F26" s="46">
        <f t="shared" si="9"/>
        <v>0</v>
      </c>
      <c r="G26" s="47"/>
      <c r="H26" s="48">
        <f t="shared" si="11"/>
        <v>7233.0550700676249</v>
      </c>
      <c r="I26" s="48">
        <f t="shared" si="12"/>
        <v>7233.0550700676249</v>
      </c>
      <c r="J26" s="48">
        <f t="shared" si="13"/>
        <v>7233.0550700676249</v>
      </c>
      <c r="K26" s="48">
        <f t="shared" si="14"/>
        <v>3616.5275350338125</v>
      </c>
      <c r="L26" s="48">
        <f t="shared" si="15"/>
        <v>0</v>
      </c>
      <c r="M26" s="46" t="str">
        <f t="shared" si="16"/>
        <v/>
      </c>
      <c r="N26" s="46" t="str">
        <f t="shared" si="17"/>
        <v/>
      </c>
      <c r="O26" s="46" t="str">
        <f t="shared" si="18"/>
        <v/>
      </c>
      <c r="P26" s="49">
        <f t="shared" si="0"/>
        <v>169976.79414658924</v>
      </c>
      <c r="Q26" s="16"/>
      <c r="R26" s="46"/>
      <c r="S26" s="46"/>
      <c r="T26" s="46">
        <f t="shared" si="4"/>
        <v>13600</v>
      </c>
      <c r="U26" s="49">
        <f t="shared" si="5"/>
        <v>13600</v>
      </c>
      <c r="V26" s="16"/>
      <c r="W26" s="93">
        <f t="shared" si="6"/>
        <v>-156376.79414658924</v>
      </c>
      <c r="Y26" s="93">
        <f t="shared" si="19"/>
        <v>-1876521.5297590708</v>
      </c>
    </row>
    <row r="27" spans="2:25" customFormat="1" ht="15" x14ac:dyDescent="0.25">
      <c r="B27" s="132">
        <f t="shared" si="7"/>
        <v>78</v>
      </c>
      <c r="C27" s="132">
        <f t="shared" ref="C27" si="37">C26+1</f>
        <v>71</v>
      </c>
      <c r="D27" s="89">
        <f t="shared" si="7"/>
        <v>2042</v>
      </c>
      <c r="E27" s="46">
        <f t="shared" si="9"/>
        <v>154787.37849944716</v>
      </c>
      <c r="F27" s="46">
        <f t="shared" si="9"/>
        <v>0</v>
      </c>
      <c r="G27" s="47"/>
      <c r="H27" s="48">
        <f t="shared" si="11"/>
        <v>7739.3689249723584</v>
      </c>
      <c r="I27" s="48">
        <f t="shared" si="12"/>
        <v>7739.3689249723584</v>
      </c>
      <c r="J27" s="48">
        <f t="shared" si="13"/>
        <v>7739.3689249723584</v>
      </c>
      <c r="K27" s="48">
        <f t="shared" si="14"/>
        <v>3869.6844624861792</v>
      </c>
      <c r="L27" s="48">
        <f t="shared" si="15"/>
        <v>0</v>
      </c>
      <c r="M27" s="46" t="str">
        <f t="shared" si="16"/>
        <v/>
      </c>
      <c r="N27" s="46" t="str">
        <f t="shared" si="17"/>
        <v/>
      </c>
      <c r="O27" s="46" t="str">
        <f t="shared" si="18"/>
        <v/>
      </c>
      <c r="P27" s="49">
        <f t="shared" si="0"/>
        <v>181875.16973685045</v>
      </c>
      <c r="Q27" s="50"/>
      <c r="R27" s="46"/>
      <c r="S27" s="46"/>
      <c r="T27" s="46">
        <f t="shared" si="4"/>
        <v>13600</v>
      </c>
      <c r="U27" s="49">
        <f t="shared" si="5"/>
        <v>13600</v>
      </c>
      <c r="V27" s="16"/>
      <c r="W27" s="93">
        <f t="shared" si="6"/>
        <v>-168275.16973685045</v>
      </c>
      <c r="Y27" s="93">
        <f t="shared" si="19"/>
        <v>-2019302.0368422056</v>
      </c>
    </row>
    <row r="28" spans="2:25" s="52" customFormat="1" ht="15" x14ac:dyDescent="0.25">
      <c r="B28" s="132">
        <f t="shared" si="7"/>
        <v>79</v>
      </c>
      <c r="C28" s="132">
        <f t="shared" ref="C28" si="38">C27+1</f>
        <v>72</v>
      </c>
      <c r="D28" s="89">
        <f t="shared" si="7"/>
        <v>2043</v>
      </c>
      <c r="E28" s="46">
        <f t="shared" si="9"/>
        <v>165622.49499440848</v>
      </c>
      <c r="F28" s="46">
        <f t="shared" si="9"/>
        <v>0</v>
      </c>
      <c r="G28" s="47"/>
      <c r="H28" s="48">
        <f t="shared" si="11"/>
        <v>8281.124749720424</v>
      </c>
      <c r="I28" s="48">
        <f t="shared" si="12"/>
        <v>8281.124749720424</v>
      </c>
      <c r="J28" s="48">
        <f t="shared" si="13"/>
        <v>8281.124749720424</v>
      </c>
      <c r="K28" s="48">
        <f t="shared" si="14"/>
        <v>4140.562374860212</v>
      </c>
      <c r="L28" s="48">
        <f t="shared" si="15"/>
        <v>0</v>
      </c>
      <c r="M28" s="46" t="str">
        <f t="shared" si="16"/>
        <v/>
      </c>
      <c r="N28" s="46" t="str">
        <f t="shared" si="17"/>
        <v/>
      </c>
      <c r="O28" s="46" t="str">
        <f t="shared" si="18"/>
        <v/>
      </c>
      <c r="P28" s="49">
        <f t="shared" si="0"/>
        <v>194606.43161842995</v>
      </c>
      <c r="Q28" s="51"/>
      <c r="R28" s="46"/>
      <c r="S28" s="46"/>
      <c r="T28" s="46">
        <f t="shared" si="4"/>
        <v>13600</v>
      </c>
      <c r="U28" s="49">
        <f t="shared" si="5"/>
        <v>13600</v>
      </c>
      <c r="V28" s="51"/>
      <c r="W28" s="93">
        <f t="shared" si="6"/>
        <v>-181006.43161842995</v>
      </c>
      <c r="Y28" s="93">
        <f t="shared" si="19"/>
        <v>-2172077.1794211594</v>
      </c>
    </row>
    <row r="29" spans="2:25" customFormat="1" ht="15" x14ac:dyDescent="0.25">
      <c r="B29" s="135">
        <f t="shared" si="7"/>
        <v>80</v>
      </c>
      <c r="C29" s="135">
        <f t="shared" ref="C29" si="39">C28+1</f>
        <v>73</v>
      </c>
      <c r="D29" s="135">
        <f t="shared" si="7"/>
        <v>2044</v>
      </c>
      <c r="E29" s="46">
        <f t="shared" si="9"/>
        <v>177216.06964401709</v>
      </c>
      <c r="F29" s="46">
        <f t="shared" si="9"/>
        <v>0</v>
      </c>
      <c r="G29" s="47"/>
      <c r="H29" s="48">
        <f t="shared" si="11"/>
        <v>8860.803482200854</v>
      </c>
      <c r="I29" s="48">
        <f t="shared" si="12"/>
        <v>8860.803482200854</v>
      </c>
      <c r="J29" s="48">
        <f t="shared" si="13"/>
        <v>8860.803482200854</v>
      </c>
      <c r="K29" s="48">
        <f t="shared" si="14"/>
        <v>4430.401741100427</v>
      </c>
      <c r="L29" s="48">
        <f t="shared" si="15"/>
        <v>0</v>
      </c>
      <c r="M29" s="46" t="str">
        <f t="shared" si="16"/>
        <v/>
      </c>
      <c r="N29" s="46" t="str">
        <f t="shared" si="17"/>
        <v/>
      </c>
      <c r="O29" s="46" t="str">
        <f t="shared" si="18"/>
        <v/>
      </c>
      <c r="P29" s="49">
        <f t="shared" si="0"/>
        <v>208228.88183172009</v>
      </c>
      <c r="Q29" s="50"/>
      <c r="R29" s="46"/>
      <c r="S29" s="46"/>
      <c r="T29" s="46">
        <f t="shared" si="4"/>
        <v>13600</v>
      </c>
      <c r="U29" s="49">
        <f t="shared" si="5"/>
        <v>13600</v>
      </c>
      <c r="V29" s="16"/>
      <c r="W29" s="93">
        <f t="shared" si="6"/>
        <v>-194628.88183172009</v>
      </c>
      <c r="Y29" s="93">
        <f t="shared" si="19"/>
        <v>-2335546.581980641</v>
      </c>
    </row>
    <row r="30" spans="2:25" customFormat="1" ht="15" x14ac:dyDescent="0.25">
      <c r="B30" s="132">
        <f t="shared" si="7"/>
        <v>81</v>
      </c>
      <c r="C30" s="132">
        <f t="shared" ref="C30" si="40">C29+1</f>
        <v>74</v>
      </c>
      <c r="D30" s="89">
        <f t="shared" si="7"/>
        <v>2045</v>
      </c>
      <c r="E30" s="46">
        <f t="shared" si="9"/>
        <v>189621.1945190983</v>
      </c>
      <c r="F30" s="46">
        <f t="shared" si="9"/>
        <v>0</v>
      </c>
      <c r="G30" s="46"/>
      <c r="H30" s="48">
        <f t="shared" si="11"/>
        <v>9481.059725954914</v>
      </c>
      <c r="I30" s="48">
        <f t="shared" si="12"/>
        <v>9481.059725954914</v>
      </c>
      <c r="J30" s="48">
        <f t="shared" si="13"/>
        <v>9481.059725954914</v>
      </c>
      <c r="K30" s="48">
        <f t="shared" si="14"/>
        <v>4740.529862977457</v>
      </c>
      <c r="L30" s="48">
        <f t="shared" si="15"/>
        <v>0</v>
      </c>
      <c r="M30" s="46" t="str">
        <f t="shared" si="16"/>
        <v/>
      </c>
      <c r="N30" s="46" t="str">
        <f t="shared" si="17"/>
        <v/>
      </c>
      <c r="O30" s="46" t="str">
        <f t="shared" si="18"/>
        <v/>
      </c>
      <c r="P30" s="49">
        <f t="shared" si="0"/>
        <v>222804.90355994052</v>
      </c>
      <c r="Q30" s="16"/>
      <c r="R30" s="46"/>
      <c r="S30" s="46"/>
      <c r="T30" s="46">
        <f t="shared" si="4"/>
        <v>13600</v>
      </c>
      <c r="U30" s="49">
        <f t="shared" si="5"/>
        <v>13600</v>
      </c>
      <c r="V30" s="16"/>
      <c r="W30" s="93">
        <f t="shared" si="6"/>
        <v>-209204.90355994052</v>
      </c>
      <c r="Y30" s="93">
        <f t="shared" si="19"/>
        <v>-2510458.8427192862</v>
      </c>
    </row>
    <row r="31" spans="2:25" customFormat="1" ht="15" x14ac:dyDescent="0.25">
      <c r="B31" s="132">
        <f t="shared" si="7"/>
        <v>82</v>
      </c>
      <c r="C31" s="132">
        <f t="shared" ref="C31" si="41">C30+1</f>
        <v>75</v>
      </c>
      <c r="D31" s="89">
        <f t="shared" si="7"/>
        <v>2046</v>
      </c>
      <c r="E31" s="46">
        <f t="shared" si="9"/>
        <v>202894.67813543518</v>
      </c>
      <c r="F31" s="46">
        <f t="shared" si="9"/>
        <v>0</v>
      </c>
      <c r="G31" s="46"/>
      <c r="H31" s="48">
        <f t="shared" si="11"/>
        <v>10144.733906771758</v>
      </c>
      <c r="I31" s="48">
        <f t="shared" si="12"/>
        <v>10144.733906771758</v>
      </c>
      <c r="J31" s="48">
        <f t="shared" si="13"/>
        <v>10144.733906771758</v>
      </c>
      <c r="K31" s="48">
        <f t="shared" si="14"/>
        <v>5072.3669533858792</v>
      </c>
      <c r="L31" s="48">
        <f t="shared" si="15"/>
        <v>0</v>
      </c>
      <c r="M31" s="46" t="str">
        <f t="shared" si="16"/>
        <v/>
      </c>
      <c r="N31" s="46" t="str">
        <f t="shared" si="17"/>
        <v/>
      </c>
      <c r="O31" s="46" t="str">
        <f t="shared" si="18"/>
        <v/>
      </c>
      <c r="P31" s="49">
        <f t="shared" si="0"/>
        <v>238401.24680913633</v>
      </c>
      <c r="Q31" s="16"/>
      <c r="R31" s="46"/>
      <c r="S31" s="46"/>
      <c r="T31" s="46">
        <f t="shared" si="4"/>
        <v>13600</v>
      </c>
      <c r="U31" s="49">
        <f t="shared" si="5"/>
        <v>13600</v>
      </c>
      <c r="V31" s="16"/>
      <c r="W31" s="93">
        <f t="shared" si="6"/>
        <v>-224801.24680913633</v>
      </c>
      <c r="Y31" s="93">
        <f t="shared" si="19"/>
        <v>-2697614.9617096358</v>
      </c>
    </row>
    <row r="32" spans="2:25" customFormat="1" ht="15" x14ac:dyDescent="0.25">
      <c r="B32" s="132">
        <f t="shared" si="7"/>
        <v>83</v>
      </c>
      <c r="C32" s="132">
        <f t="shared" ref="C32" si="42">C31+1</f>
        <v>76</v>
      </c>
      <c r="D32" s="89">
        <f t="shared" si="7"/>
        <v>2047</v>
      </c>
      <c r="E32" s="46">
        <f t="shared" si="9"/>
        <v>217097.30560491566</v>
      </c>
      <c r="F32" s="46">
        <f t="shared" si="9"/>
        <v>0</v>
      </c>
      <c r="G32" s="46"/>
      <c r="H32" s="48">
        <f t="shared" si="11"/>
        <v>10854.865280245782</v>
      </c>
      <c r="I32" s="48">
        <f t="shared" si="12"/>
        <v>10854.865280245782</v>
      </c>
      <c r="J32" s="48">
        <f t="shared" si="13"/>
        <v>10854.865280245782</v>
      </c>
      <c r="K32" s="48">
        <f t="shared" si="14"/>
        <v>5427.4326401228909</v>
      </c>
      <c r="L32" s="48">
        <f t="shared" si="15"/>
        <v>0</v>
      </c>
      <c r="M32" s="46" t="str">
        <f t="shared" si="16"/>
        <v/>
      </c>
      <c r="N32" s="46" t="str">
        <f t="shared" si="17"/>
        <v/>
      </c>
      <c r="O32" s="46" t="str">
        <f t="shared" si="18"/>
        <v/>
      </c>
      <c r="P32" s="49">
        <f t="shared" si="0"/>
        <v>255089.33408577589</v>
      </c>
      <c r="Q32" s="16"/>
      <c r="R32" s="46"/>
      <c r="S32" s="46"/>
      <c r="T32" s="46">
        <f t="shared" si="4"/>
        <v>13600</v>
      </c>
      <c r="U32" s="49">
        <f t="shared" si="5"/>
        <v>13600</v>
      </c>
      <c r="V32" s="16"/>
      <c r="W32" s="93">
        <f t="shared" si="6"/>
        <v>-241489.33408577589</v>
      </c>
      <c r="Y32" s="93">
        <f t="shared" si="19"/>
        <v>-2897872.0090293107</v>
      </c>
    </row>
    <row r="33" spans="2:25" customFormat="1" ht="15" x14ac:dyDescent="0.25">
      <c r="B33" s="132">
        <f t="shared" si="7"/>
        <v>84</v>
      </c>
      <c r="C33" s="132">
        <f t="shared" ref="C33" si="43">C32+1</f>
        <v>77</v>
      </c>
      <c r="D33" s="89">
        <f t="shared" si="7"/>
        <v>2048</v>
      </c>
      <c r="E33" s="46">
        <f t="shared" si="9"/>
        <v>232294.11699725976</v>
      </c>
      <c r="F33" s="46">
        <f t="shared" si="9"/>
        <v>0</v>
      </c>
      <c r="G33" s="46"/>
      <c r="H33" s="48">
        <f t="shared" si="11"/>
        <v>11614.705849862987</v>
      </c>
      <c r="I33" s="48">
        <f t="shared" si="12"/>
        <v>11614.705849862987</v>
      </c>
      <c r="J33" s="48">
        <f t="shared" si="13"/>
        <v>11614.705849862987</v>
      </c>
      <c r="K33" s="48">
        <f t="shared" si="14"/>
        <v>5807.3529249314934</v>
      </c>
      <c r="L33" s="48">
        <f t="shared" si="15"/>
        <v>0</v>
      </c>
      <c r="M33" s="46" t="str">
        <f t="shared" si="16"/>
        <v/>
      </c>
      <c r="N33" s="46" t="str">
        <f t="shared" si="17"/>
        <v/>
      </c>
      <c r="O33" s="46" t="str">
        <f t="shared" si="18"/>
        <v/>
      </c>
      <c r="P33" s="49">
        <f t="shared" si="0"/>
        <v>272945.58747178019</v>
      </c>
      <c r="Q33" s="16"/>
      <c r="R33" s="46"/>
      <c r="S33" s="46"/>
      <c r="T33" s="46">
        <f t="shared" si="4"/>
        <v>13600</v>
      </c>
      <c r="U33" s="49">
        <f t="shared" si="5"/>
        <v>13600</v>
      </c>
      <c r="V33" s="16"/>
      <c r="W33" s="93">
        <f t="shared" si="6"/>
        <v>-259345.58747178019</v>
      </c>
      <c r="Y33" s="93">
        <f t="shared" si="19"/>
        <v>-3112147.0496613625</v>
      </c>
    </row>
    <row r="34" spans="2:25" customFormat="1" ht="15" x14ac:dyDescent="0.25">
      <c r="B34" s="132">
        <f t="shared" si="7"/>
        <v>85</v>
      </c>
      <c r="C34" s="132">
        <f t="shared" ref="C34" si="44">C33+1</f>
        <v>78</v>
      </c>
      <c r="D34" s="89">
        <f t="shared" si="7"/>
        <v>2049</v>
      </c>
      <c r="E34" s="46">
        <f t="shared" si="9"/>
        <v>248554.70518706794</v>
      </c>
      <c r="F34" s="46">
        <f t="shared" si="9"/>
        <v>0</v>
      </c>
      <c r="G34" s="46"/>
      <c r="H34" s="48">
        <f t="shared" si="11"/>
        <v>12427.735259353396</v>
      </c>
      <c r="I34" s="48">
        <f t="shared" si="12"/>
        <v>12427.735259353396</v>
      </c>
      <c r="J34" s="48">
        <f t="shared" si="13"/>
        <v>12427.735259353396</v>
      </c>
      <c r="K34" s="48">
        <f t="shared" si="14"/>
        <v>6213.867629676698</v>
      </c>
      <c r="L34" s="48">
        <f t="shared" si="15"/>
        <v>0</v>
      </c>
      <c r="M34" s="46" t="str">
        <f t="shared" si="16"/>
        <v/>
      </c>
      <c r="N34" s="46" t="str">
        <f t="shared" si="17"/>
        <v/>
      </c>
      <c r="O34" s="46" t="str">
        <f t="shared" si="18"/>
        <v/>
      </c>
      <c r="P34" s="49">
        <f t="shared" si="0"/>
        <v>292051.77859480487</v>
      </c>
      <c r="Q34" s="16"/>
      <c r="R34" s="46"/>
      <c r="S34" s="46"/>
      <c r="T34" s="46">
        <f t="shared" si="4"/>
        <v>13600</v>
      </c>
      <c r="U34" s="49">
        <f t="shared" si="5"/>
        <v>13600</v>
      </c>
      <c r="V34" s="16"/>
      <c r="W34" s="93">
        <f t="shared" si="6"/>
        <v>-278451.77859480487</v>
      </c>
      <c r="Y34" s="93">
        <f t="shared" si="19"/>
        <v>-3341421.3431376582</v>
      </c>
    </row>
    <row r="35" spans="2:25" customFormat="1" ht="15" x14ac:dyDescent="0.25">
      <c r="B35" s="132">
        <f t="shared" si="7"/>
        <v>86</v>
      </c>
      <c r="C35" s="132">
        <f t="shared" ref="C35" si="45">C34+1</f>
        <v>79</v>
      </c>
      <c r="D35" s="89">
        <f t="shared" si="7"/>
        <v>2050</v>
      </c>
      <c r="E35" s="46">
        <f t="shared" si="9"/>
        <v>265953.53455016273</v>
      </c>
      <c r="F35" s="46">
        <f t="shared" si="9"/>
        <v>0</v>
      </c>
      <c r="G35" s="46"/>
      <c r="H35" s="48">
        <f t="shared" si="11"/>
        <v>13297.676727508133</v>
      </c>
      <c r="I35" s="48">
        <f t="shared" si="12"/>
        <v>13297.676727508133</v>
      </c>
      <c r="J35" s="48">
        <f t="shared" si="13"/>
        <v>13297.676727508133</v>
      </c>
      <c r="K35" s="48">
        <f t="shared" si="14"/>
        <v>6648.8383637540664</v>
      </c>
      <c r="L35" s="48">
        <f t="shared" si="15"/>
        <v>0</v>
      </c>
      <c r="M35" s="46" t="str">
        <f t="shared" si="16"/>
        <v/>
      </c>
      <c r="N35" s="46" t="str">
        <f t="shared" si="17"/>
        <v/>
      </c>
      <c r="O35" s="46" t="str">
        <f t="shared" si="18"/>
        <v/>
      </c>
      <c r="P35" s="49">
        <f t="shared" si="0"/>
        <v>312495.40309644118</v>
      </c>
      <c r="Q35" s="16"/>
      <c r="R35" s="46"/>
      <c r="S35" s="46"/>
      <c r="T35" s="46">
        <f t="shared" si="4"/>
        <v>13600</v>
      </c>
      <c r="U35" s="49">
        <f t="shared" si="5"/>
        <v>13600</v>
      </c>
      <c r="V35" s="16"/>
      <c r="W35" s="93">
        <f t="shared" si="6"/>
        <v>-298895.40309644118</v>
      </c>
      <c r="Y35" s="93">
        <f t="shared" si="19"/>
        <v>-3586744.8371572942</v>
      </c>
    </row>
    <row r="36" spans="2:25" customFormat="1" ht="15" x14ac:dyDescent="0.25">
      <c r="B36" s="132">
        <f t="shared" si="7"/>
        <v>87</v>
      </c>
      <c r="C36" s="132">
        <f t="shared" ref="C36" si="46">C35+1</f>
        <v>80</v>
      </c>
      <c r="D36" s="89">
        <f t="shared" si="7"/>
        <v>2051</v>
      </c>
      <c r="E36" s="46">
        <f t="shared" si="9"/>
        <v>284570.2819686741</v>
      </c>
      <c r="F36" s="46">
        <f t="shared" si="9"/>
        <v>0</v>
      </c>
      <c r="G36" s="46"/>
      <c r="H36" s="48">
        <f t="shared" si="11"/>
        <v>14228.514098433703</v>
      </c>
      <c r="I36" s="48">
        <f t="shared" si="12"/>
        <v>14228.514098433703</v>
      </c>
      <c r="J36" s="48">
        <f t="shared" si="13"/>
        <v>14228.514098433703</v>
      </c>
      <c r="K36" s="48">
        <f t="shared" si="14"/>
        <v>7114.2570492168516</v>
      </c>
      <c r="L36" s="48">
        <f t="shared" si="15"/>
        <v>0</v>
      </c>
      <c r="M36" s="46" t="str">
        <f t="shared" si="16"/>
        <v/>
      </c>
      <c r="N36" s="46" t="str">
        <f t="shared" si="17"/>
        <v/>
      </c>
      <c r="O36" s="46" t="str">
        <f t="shared" si="18"/>
        <v/>
      </c>
      <c r="P36" s="49">
        <f t="shared" si="0"/>
        <v>334370.08131319209</v>
      </c>
      <c r="Q36" s="16"/>
      <c r="R36" s="46"/>
      <c r="S36" s="46"/>
      <c r="T36" s="46">
        <f t="shared" si="4"/>
        <v>13600</v>
      </c>
      <c r="U36" s="49">
        <f t="shared" si="5"/>
        <v>13600</v>
      </c>
      <c r="V36" s="16"/>
      <c r="W36" s="93">
        <f t="shared" si="6"/>
        <v>-320770.08131319209</v>
      </c>
      <c r="Y36" s="93">
        <f t="shared" si="19"/>
        <v>-3849240.9757583048</v>
      </c>
    </row>
    <row r="37" spans="2:25" customFormat="1" ht="15" x14ac:dyDescent="0.25">
      <c r="B37" s="132">
        <f t="shared" si="7"/>
        <v>88</v>
      </c>
      <c r="C37" s="132">
        <f t="shared" ref="C37" si="47">C36+1</f>
        <v>81</v>
      </c>
      <c r="D37" s="89">
        <f t="shared" si="7"/>
        <v>2052</v>
      </c>
      <c r="E37" s="46">
        <f t="shared" si="9"/>
        <v>304490.20170648128</v>
      </c>
      <c r="F37" s="46">
        <f t="shared" si="9"/>
        <v>0</v>
      </c>
      <c r="G37" s="46"/>
      <c r="H37" s="48">
        <f t="shared" si="11"/>
        <v>15224.510085324062</v>
      </c>
      <c r="I37" s="48">
        <f t="shared" si="12"/>
        <v>15224.510085324062</v>
      </c>
      <c r="J37" s="48">
        <f t="shared" si="13"/>
        <v>15224.510085324062</v>
      </c>
      <c r="K37" s="48">
        <f t="shared" si="14"/>
        <v>7612.255042662031</v>
      </c>
      <c r="L37" s="48">
        <f t="shared" si="15"/>
        <v>0</v>
      </c>
      <c r="M37" s="46" t="str">
        <f t="shared" si="16"/>
        <v/>
      </c>
      <c r="N37" s="46" t="str">
        <f t="shared" si="17"/>
        <v/>
      </c>
      <c r="O37" s="46" t="str">
        <f t="shared" si="18"/>
        <v/>
      </c>
      <c r="P37" s="49">
        <f t="shared" si="0"/>
        <v>357775.98700511549</v>
      </c>
      <c r="Q37" s="16"/>
      <c r="R37" s="46"/>
      <c r="S37" s="46"/>
      <c r="T37" s="46">
        <f t="shared" si="4"/>
        <v>13600</v>
      </c>
      <c r="U37" s="49">
        <f t="shared" si="5"/>
        <v>13600</v>
      </c>
      <c r="V37" s="16"/>
      <c r="W37" s="93">
        <f t="shared" si="6"/>
        <v>-344175.98700511549</v>
      </c>
      <c r="Y37" s="93">
        <f t="shared" si="19"/>
        <v>-4130111.8440613858</v>
      </c>
    </row>
    <row r="38" spans="2:25" customFormat="1" ht="15" x14ac:dyDescent="0.25">
      <c r="B38" s="132">
        <f t="shared" si="7"/>
        <v>89</v>
      </c>
      <c r="C38" s="132">
        <f t="shared" ref="C38" si="48">C37+1</f>
        <v>82</v>
      </c>
      <c r="D38" s="89">
        <f t="shared" si="7"/>
        <v>2053</v>
      </c>
      <c r="E38" s="46">
        <f t="shared" si="9"/>
        <v>325804.515825935</v>
      </c>
      <c r="F38" s="46">
        <f t="shared" si="9"/>
        <v>0</v>
      </c>
      <c r="G38" s="46"/>
      <c r="H38" s="48">
        <f t="shared" si="11"/>
        <v>16290.225791296747</v>
      </c>
      <c r="I38" s="48">
        <f t="shared" si="12"/>
        <v>16290.225791296747</v>
      </c>
      <c r="J38" s="48">
        <f t="shared" si="13"/>
        <v>16290.225791296747</v>
      </c>
      <c r="K38" s="48">
        <f t="shared" si="14"/>
        <v>8145.1128956483735</v>
      </c>
      <c r="L38" s="48">
        <f t="shared" si="15"/>
        <v>0</v>
      </c>
      <c r="M38" s="46" t="str">
        <f t="shared" si="16"/>
        <v/>
      </c>
      <c r="N38" s="46" t="str">
        <f t="shared" si="17"/>
        <v/>
      </c>
      <c r="O38" s="46" t="str">
        <f t="shared" si="18"/>
        <v/>
      </c>
      <c r="P38" s="49">
        <f t="shared" si="0"/>
        <v>382820.30609547358</v>
      </c>
      <c r="Q38" s="16"/>
      <c r="R38" s="46"/>
      <c r="S38" s="46"/>
      <c r="T38" s="46">
        <f t="shared" si="4"/>
        <v>13600</v>
      </c>
      <c r="U38" s="49">
        <f t="shared" si="5"/>
        <v>13600</v>
      </c>
      <c r="V38" s="16"/>
      <c r="W38" s="93">
        <f t="shared" si="6"/>
        <v>-369220.30609547358</v>
      </c>
      <c r="Y38" s="93">
        <f t="shared" si="19"/>
        <v>-4430643.6731456835</v>
      </c>
    </row>
    <row r="39" spans="2:25" customFormat="1" ht="15" x14ac:dyDescent="0.25">
      <c r="B39" s="135">
        <f t="shared" si="7"/>
        <v>90</v>
      </c>
      <c r="C39" s="135">
        <f t="shared" ref="C39" si="49">C38+1</f>
        <v>83</v>
      </c>
      <c r="D39" s="135">
        <f t="shared" si="7"/>
        <v>2054</v>
      </c>
      <c r="E39" s="46">
        <f t="shared" si="9"/>
        <v>348610.83193375042</v>
      </c>
      <c r="F39" s="46">
        <f t="shared" si="9"/>
        <v>0</v>
      </c>
      <c r="G39" s="46"/>
      <c r="H39" s="48">
        <f t="shared" si="11"/>
        <v>17430.541596687519</v>
      </c>
      <c r="I39" s="48">
        <f t="shared" si="12"/>
        <v>17430.541596687519</v>
      </c>
      <c r="J39" s="48">
        <f t="shared" si="13"/>
        <v>17430.541596687519</v>
      </c>
      <c r="K39" s="48">
        <f t="shared" si="14"/>
        <v>8715.2707983437595</v>
      </c>
      <c r="L39" s="48">
        <f t="shared" si="15"/>
        <v>0</v>
      </c>
      <c r="M39" s="46" t="str">
        <f t="shared" si="16"/>
        <v/>
      </c>
      <c r="N39" s="46" t="str">
        <f t="shared" si="17"/>
        <v/>
      </c>
      <c r="O39" s="46" t="str">
        <f t="shared" si="18"/>
        <v/>
      </c>
      <c r="P39" s="49">
        <f t="shared" si="0"/>
        <v>409617.72752215673</v>
      </c>
      <c r="Q39" s="16"/>
      <c r="R39" s="46"/>
      <c r="S39" s="46"/>
      <c r="T39" s="46">
        <f t="shared" si="4"/>
        <v>13600</v>
      </c>
      <c r="U39" s="49">
        <f t="shared" si="5"/>
        <v>13600</v>
      </c>
      <c r="V39" s="16"/>
      <c r="W39" s="93">
        <f t="shared" si="6"/>
        <v>-396017.72752215673</v>
      </c>
      <c r="Y39" s="93">
        <f t="shared" si="19"/>
        <v>-4752212.7302658809</v>
      </c>
    </row>
    <row r="40" spans="2:25" customFormat="1" ht="15" x14ac:dyDescent="0.25">
      <c r="B40" s="132">
        <f t="shared" si="7"/>
        <v>91</v>
      </c>
      <c r="C40" s="132">
        <f t="shared" ref="C40" si="50">C39+1</f>
        <v>84</v>
      </c>
      <c r="D40" s="89">
        <f t="shared" si="7"/>
        <v>2055</v>
      </c>
      <c r="E40" s="46">
        <f t="shared" si="9"/>
        <v>373013.59016911295</v>
      </c>
      <c r="F40" s="46">
        <f t="shared" si="9"/>
        <v>0</v>
      </c>
      <c r="G40" s="46"/>
      <c r="H40" s="48">
        <f t="shared" si="11"/>
        <v>18650.679508455647</v>
      </c>
      <c r="I40" s="48">
        <f t="shared" si="12"/>
        <v>18650.679508455647</v>
      </c>
      <c r="J40" s="48">
        <f t="shared" si="13"/>
        <v>18650.679508455647</v>
      </c>
      <c r="K40" s="48">
        <f t="shared" si="14"/>
        <v>9325.3397542278235</v>
      </c>
      <c r="L40" s="48">
        <f t="shared" si="15"/>
        <v>0</v>
      </c>
      <c r="M40" s="46" t="str">
        <f t="shared" si="16"/>
        <v/>
      </c>
      <c r="N40" s="46" t="str">
        <f t="shared" si="17"/>
        <v/>
      </c>
      <c r="O40" s="46" t="str">
        <f t="shared" si="18"/>
        <v/>
      </c>
      <c r="P40" s="49">
        <f t="shared" si="0"/>
        <v>438290.96844870766</v>
      </c>
      <c r="Q40" s="16"/>
      <c r="R40" s="46"/>
      <c r="S40" s="46"/>
      <c r="T40" s="46">
        <f t="shared" si="4"/>
        <v>13600</v>
      </c>
      <c r="U40" s="49">
        <f t="shared" si="5"/>
        <v>13600</v>
      </c>
      <c r="V40" s="16"/>
      <c r="W40" s="93">
        <f t="shared" si="6"/>
        <v>-424690.96844870766</v>
      </c>
      <c r="Y40" s="93">
        <f t="shared" si="19"/>
        <v>-5096291.6213844921</v>
      </c>
    </row>
    <row r="41" spans="2:25" customFormat="1" ht="15" x14ac:dyDescent="0.25">
      <c r="B41" s="132">
        <f t="shared" si="7"/>
        <v>92</v>
      </c>
      <c r="C41" s="132">
        <f t="shared" ref="C41" si="51">C40+1</f>
        <v>85</v>
      </c>
      <c r="D41" s="89">
        <f t="shared" si="7"/>
        <v>2056</v>
      </c>
      <c r="E41" s="46">
        <f t="shared" si="9"/>
        <v>399124.54148095089</v>
      </c>
      <c r="F41" s="46">
        <f t="shared" si="9"/>
        <v>0</v>
      </c>
      <c r="G41" s="46"/>
      <c r="H41" s="48">
        <f t="shared" si="11"/>
        <v>19956.227074047543</v>
      </c>
      <c r="I41" s="48">
        <f t="shared" si="12"/>
        <v>19956.227074047543</v>
      </c>
      <c r="J41" s="48">
        <f t="shared" si="13"/>
        <v>19956.227074047543</v>
      </c>
      <c r="K41" s="48">
        <f t="shared" si="14"/>
        <v>9978.1135370237716</v>
      </c>
      <c r="L41" s="48">
        <f t="shared" si="15"/>
        <v>0</v>
      </c>
      <c r="M41" s="46" t="str">
        <f t="shared" si="16"/>
        <v/>
      </c>
      <c r="N41" s="46" t="str">
        <f t="shared" si="17"/>
        <v/>
      </c>
      <c r="O41" s="46" t="str">
        <f t="shared" si="18"/>
        <v/>
      </c>
      <c r="P41" s="49">
        <f t="shared" si="0"/>
        <v>468971.33624011732</v>
      </c>
      <c r="Q41" s="16"/>
      <c r="R41" s="46"/>
      <c r="S41" s="46"/>
      <c r="T41" s="46">
        <f t="shared" si="4"/>
        <v>13600</v>
      </c>
      <c r="U41" s="49">
        <f t="shared" si="5"/>
        <v>13600</v>
      </c>
      <c r="V41" s="16"/>
      <c r="W41" s="93">
        <f t="shared" si="6"/>
        <v>-455371.33624011732</v>
      </c>
      <c r="Y41" s="93">
        <f t="shared" si="19"/>
        <v>-5464456.0348814074</v>
      </c>
    </row>
    <row r="42" spans="2:25" customFormat="1" ht="15" x14ac:dyDescent="0.25">
      <c r="B42" s="132">
        <f t="shared" si="7"/>
        <v>93</v>
      </c>
      <c r="C42" s="132">
        <f t="shared" ref="C42" si="52">C41+1</f>
        <v>86</v>
      </c>
      <c r="D42" s="89">
        <f t="shared" si="7"/>
        <v>2057</v>
      </c>
      <c r="E42" s="46">
        <f t="shared" si="9"/>
        <v>427063.25938461744</v>
      </c>
      <c r="F42" s="46">
        <f t="shared" si="9"/>
        <v>0</v>
      </c>
      <c r="G42" s="46"/>
      <c r="H42" s="48">
        <f t="shared" si="11"/>
        <v>21353.162969230871</v>
      </c>
      <c r="I42" s="48">
        <f t="shared" si="12"/>
        <v>21353.162969230871</v>
      </c>
      <c r="J42" s="48">
        <f t="shared" si="13"/>
        <v>21353.162969230871</v>
      </c>
      <c r="K42" s="48">
        <f t="shared" si="14"/>
        <v>10676.581484615435</v>
      </c>
      <c r="L42" s="48">
        <f t="shared" si="15"/>
        <v>0</v>
      </c>
      <c r="M42" s="46" t="str">
        <f t="shared" si="16"/>
        <v/>
      </c>
      <c r="N42" s="46" t="str">
        <f t="shared" si="17"/>
        <v/>
      </c>
      <c r="O42" s="46" t="str">
        <f t="shared" si="18"/>
        <v/>
      </c>
      <c r="P42" s="49">
        <f t="shared" si="0"/>
        <v>501799.32977692544</v>
      </c>
      <c r="Q42" s="16"/>
      <c r="R42" s="46"/>
      <c r="S42" s="46"/>
      <c r="T42" s="46">
        <f t="shared" si="4"/>
        <v>13600</v>
      </c>
      <c r="U42" s="49">
        <f t="shared" si="5"/>
        <v>13600</v>
      </c>
      <c r="V42" s="16"/>
      <c r="W42" s="93">
        <f t="shared" si="6"/>
        <v>-488199.32977692544</v>
      </c>
      <c r="Y42" s="93">
        <f t="shared" si="19"/>
        <v>-5858391.9573231051</v>
      </c>
    </row>
    <row r="43" spans="2:25" customFormat="1" ht="15" x14ac:dyDescent="0.25">
      <c r="B43" s="132">
        <f t="shared" si="7"/>
        <v>94</v>
      </c>
      <c r="C43" s="132">
        <f t="shared" ref="C43" si="53">C42+1</f>
        <v>87</v>
      </c>
      <c r="D43" s="89">
        <f t="shared" si="7"/>
        <v>2058</v>
      </c>
      <c r="E43" s="46">
        <f t="shared" si="9"/>
        <v>456957.68754154065</v>
      </c>
      <c r="F43" s="46">
        <f t="shared" si="9"/>
        <v>0</v>
      </c>
      <c r="G43" s="46"/>
      <c r="H43" s="48">
        <f t="shared" si="11"/>
        <v>22847.884377077033</v>
      </c>
      <c r="I43" s="48">
        <f t="shared" si="12"/>
        <v>22847.884377077033</v>
      </c>
      <c r="J43" s="48">
        <f t="shared" si="13"/>
        <v>22847.884377077033</v>
      </c>
      <c r="K43" s="48">
        <f t="shared" si="14"/>
        <v>11423.942188538516</v>
      </c>
      <c r="L43" s="48">
        <f t="shared" si="15"/>
        <v>0</v>
      </c>
      <c r="M43" s="46" t="str">
        <f t="shared" si="16"/>
        <v/>
      </c>
      <c r="N43" s="46" t="str">
        <f t="shared" si="17"/>
        <v/>
      </c>
      <c r="O43" s="46" t="str">
        <f t="shared" si="18"/>
        <v/>
      </c>
      <c r="P43" s="49">
        <f t="shared" si="0"/>
        <v>536925.28286131029</v>
      </c>
      <c r="Q43" s="16"/>
      <c r="R43" s="46"/>
      <c r="S43" s="46"/>
      <c r="T43" s="46">
        <f t="shared" si="4"/>
        <v>13600</v>
      </c>
      <c r="U43" s="49">
        <f t="shared" si="5"/>
        <v>13600</v>
      </c>
      <c r="V43" s="16"/>
      <c r="W43" s="93">
        <f t="shared" si="6"/>
        <v>-523325.28286131029</v>
      </c>
      <c r="Y43" s="93">
        <f t="shared" si="19"/>
        <v>-6279903.3943357235</v>
      </c>
    </row>
    <row r="44" spans="2:25" customFormat="1" ht="15" x14ac:dyDescent="0.25">
      <c r="B44" s="132">
        <f t="shared" si="7"/>
        <v>95</v>
      </c>
      <c r="C44" s="132">
        <f t="shared" ref="C44" si="54">C43+1</f>
        <v>88</v>
      </c>
      <c r="D44" s="89">
        <f t="shared" si="7"/>
        <v>2059</v>
      </c>
      <c r="E44" s="46">
        <f t="shared" si="9"/>
        <v>488944.7256694485</v>
      </c>
      <c r="F44" s="46">
        <f t="shared" si="9"/>
        <v>0</v>
      </c>
      <c r="G44" s="46"/>
      <c r="H44" s="48">
        <f t="shared" si="11"/>
        <v>24447.236283472426</v>
      </c>
      <c r="I44" s="48">
        <f t="shared" si="12"/>
        <v>24447.236283472426</v>
      </c>
      <c r="J44" s="48">
        <f t="shared" si="13"/>
        <v>24447.236283472426</v>
      </c>
      <c r="K44" s="48">
        <f t="shared" si="14"/>
        <v>12223.618141736213</v>
      </c>
      <c r="L44" s="48">
        <f t="shared" si="15"/>
        <v>0</v>
      </c>
      <c r="M44" s="46" t="str">
        <f t="shared" si="16"/>
        <v/>
      </c>
      <c r="N44" s="46" t="str">
        <f t="shared" si="17"/>
        <v/>
      </c>
      <c r="O44" s="46" t="str">
        <f t="shared" si="18"/>
        <v/>
      </c>
      <c r="P44" s="49">
        <f t="shared" si="0"/>
        <v>574510.05266160204</v>
      </c>
      <c r="Q44" s="16"/>
      <c r="R44" s="46"/>
      <c r="S44" s="46"/>
      <c r="T44" s="46">
        <f t="shared" si="4"/>
        <v>13600</v>
      </c>
      <c r="U44" s="49">
        <f t="shared" si="5"/>
        <v>13600</v>
      </c>
      <c r="V44" s="16"/>
      <c r="W44" s="93">
        <f t="shared" si="6"/>
        <v>-560910.05266160204</v>
      </c>
      <c r="Y44" s="93">
        <f t="shared" si="19"/>
        <v>-6730920.6319392249</v>
      </c>
    </row>
    <row r="45" spans="2:25" customFormat="1" ht="15" x14ac:dyDescent="0.25">
      <c r="B45" s="132">
        <f t="shared" si="7"/>
        <v>96</v>
      </c>
      <c r="C45" s="132">
        <f t="shared" ref="C45" si="55">C44+1</f>
        <v>89</v>
      </c>
      <c r="D45" s="89">
        <f t="shared" si="7"/>
        <v>2060</v>
      </c>
      <c r="E45" s="46">
        <f t="shared" si="9"/>
        <v>523170.85646630987</v>
      </c>
      <c r="F45" s="46">
        <f t="shared" si="9"/>
        <v>0</v>
      </c>
      <c r="G45" s="46"/>
      <c r="H45" s="48">
        <f t="shared" si="11"/>
        <v>26158.542823315496</v>
      </c>
      <c r="I45" s="48">
        <f t="shared" si="12"/>
        <v>26158.542823315496</v>
      </c>
      <c r="J45" s="48">
        <f t="shared" si="13"/>
        <v>26158.542823315496</v>
      </c>
      <c r="K45" s="48">
        <f t="shared" si="14"/>
        <v>13079.271411657748</v>
      </c>
      <c r="L45" s="48">
        <f t="shared" si="15"/>
        <v>0</v>
      </c>
      <c r="M45" s="46" t="str">
        <f t="shared" si="16"/>
        <v/>
      </c>
      <c r="N45" s="46" t="str">
        <f t="shared" si="17"/>
        <v/>
      </c>
      <c r="O45" s="46" t="str">
        <f t="shared" si="18"/>
        <v/>
      </c>
      <c r="P45" s="49">
        <f t="shared" si="0"/>
        <v>614725.75634791411</v>
      </c>
      <c r="Q45" s="16"/>
      <c r="R45" s="46"/>
      <c r="S45" s="46"/>
      <c r="T45" s="46">
        <f t="shared" si="4"/>
        <v>13600</v>
      </c>
      <c r="U45" s="49">
        <f t="shared" si="5"/>
        <v>13600</v>
      </c>
      <c r="V45" s="16"/>
      <c r="W45" s="93">
        <f t="shared" si="6"/>
        <v>-601125.75634791411</v>
      </c>
      <c r="Y45" s="93">
        <f t="shared" si="19"/>
        <v>-7213509.0761749689</v>
      </c>
    </row>
    <row r="46" spans="2:25" customFormat="1" ht="15" x14ac:dyDescent="0.25">
      <c r="B46" s="132">
        <f t="shared" si="7"/>
        <v>97</v>
      </c>
      <c r="C46" s="132">
        <f t="shared" ref="C46" si="56">C45+1</f>
        <v>90</v>
      </c>
      <c r="D46" s="89">
        <f t="shared" si="7"/>
        <v>2061</v>
      </c>
      <c r="E46" s="46">
        <f t="shared" si="9"/>
        <v>559792.81641895161</v>
      </c>
      <c r="F46" s="46">
        <f t="shared" si="9"/>
        <v>0</v>
      </c>
      <c r="G46" s="46"/>
      <c r="H46" s="48">
        <f t="shared" si="11"/>
        <v>27989.640820947581</v>
      </c>
      <c r="I46" s="48">
        <f t="shared" si="12"/>
        <v>27989.640820947581</v>
      </c>
      <c r="J46" s="48">
        <f t="shared" si="13"/>
        <v>27989.640820947581</v>
      </c>
      <c r="K46" s="48">
        <f t="shared" si="14"/>
        <v>13994.820410473791</v>
      </c>
      <c r="L46" s="48">
        <f t="shared" si="15"/>
        <v>0</v>
      </c>
      <c r="M46" s="46" t="str">
        <f t="shared" si="16"/>
        <v/>
      </c>
      <c r="N46" s="46" t="str">
        <f t="shared" si="17"/>
        <v/>
      </c>
      <c r="O46" s="46" t="str">
        <f t="shared" si="18"/>
        <v/>
      </c>
      <c r="P46" s="49">
        <f t="shared" si="0"/>
        <v>657756.55929226812</v>
      </c>
      <c r="Q46" s="16"/>
      <c r="R46" s="46"/>
      <c r="S46" s="46"/>
      <c r="T46" s="46">
        <f t="shared" si="4"/>
        <v>13600</v>
      </c>
      <c r="U46" s="49">
        <f t="shared" si="5"/>
        <v>13600</v>
      </c>
      <c r="V46" s="16"/>
      <c r="W46" s="93">
        <f t="shared" si="6"/>
        <v>-644156.55929226812</v>
      </c>
      <c r="Y46" s="93">
        <f t="shared" si="19"/>
        <v>-7729878.711507218</v>
      </c>
    </row>
    <row r="47" spans="2:25" customFormat="1" ht="15" x14ac:dyDescent="0.25">
      <c r="B47" s="132">
        <f t="shared" si="7"/>
        <v>98</v>
      </c>
      <c r="C47" s="132">
        <f t="shared" ref="C47" si="57">C46+1</f>
        <v>91</v>
      </c>
      <c r="D47" s="89">
        <f t="shared" si="7"/>
        <v>2062</v>
      </c>
      <c r="E47" s="46">
        <f t="shared" si="9"/>
        <v>598978.31356827822</v>
      </c>
      <c r="F47" s="46">
        <f t="shared" si="9"/>
        <v>0</v>
      </c>
      <c r="G47" s="46"/>
      <c r="H47" s="48">
        <f t="shared" si="11"/>
        <v>29948.915678413912</v>
      </c>
      <c r="I47" s="48">
        <f t="shared" si="12"/>
        <v>29948.915678413912</v>
      </c>
      <c r="J47" s="48">
        <f t="shared" si="13"/>
        <v>29948.915678413912</v>
      </c>
      <c r="K47" s="48">
        <f t="shared" si="14"/>
        <v>14974.457839206956</v>
      </c>
      <c r="L47" s="48">
        <f t="shared" si="15"/>
        <v>0</v>
      </c>
      <c r="M47" s="46" t="str">
        <f t="shared" si="16"/>
        <v/>
      </c>
      <c r="N47" s="46" t="str">
        <f t="shared" si="17"/>
        <v/>
      </c>
      <c r="O47" s="46" t="str">
        <f t="shared" si="18"/>
        <v/>
      </c>
      <c r="P47" s="49">
        <f t="shared" si="0"/>
        <v>703799.51844272693</v>
      </c>
      <c r="Q47" s="16"/>
      <c r="R47" s="46"/>
      <c r="S47" s="46"/>
      <c r="T47" s="46">
        <f t="shared" si="4"/>
        <v>13600</v>
      </c>
      <c r="U47" s="49">
        <f t="shared" si="5"/>
        <v>13600</v>
      </c>
      <c r="V47" s="16"/>
      <c r="W47" s="93">
        <f t="shared" si="6"/>
        <v>-690199.51844272693</v>
      </c>
      <c r="Y47" s="93">
        <f t="shared" si="19"/>
        <v>-8282394.2213127231</v>
      </c>
    </row>
    <row r="48" spans="2:25" x14ac:dyDescent="0.25">
      <c r="B48" s="132">
        <f t="shared" si="7"/>
        <v>99</v>
      </c>
      <c r="C48" s="132">
        <f t="shared" ref="C48" si="58">C47+1</f>
        <v>92</v>
      </c>
      <c r="D48" s="89">
        <f t="shared" si="7"/>
        <v>2063</v>
      </c>
      <c r="E48" s="46">
        <f t="shared" si="9"/>
        <v>640906.79551805765</v>
      </c>
      <c r="F48" s="46">
        <f t="shared" si="9"/>
        <v>0</v>
      </c>
      <c r="G48" s="46"/>
      <c r="H48" s="48">
        <f t="shared" si="11"/>
        <v>32045.339775902885</v>
      </c>
      <c r="I48" s="48">
        <f t="shared" si="12"/>
        <v>32045.339775902885</v>
      </c>
      <c r="J48" s="48">
        <f t="shared" si="13"/>
        <v>32045.339775902885</v>
      </c>
      <c r="K48" s="48">
        <f t="shared" si="14"/>
        <v>16022.669887951442</v>
      </c>
      <c r="L48" s="48">
        <f t="shared" si="15"/>
        <v>0</v>
      </c>
      <c r="M48" s="46" t="str">
        <f t="shared" si="16"/>
        <v/>
      </c>
      <c r="N48" s="46" t="str">
        <f t="shared" si="17"/>
        <v/>
      </c>
      <c r="O48" s="46" t="str">
        <f t="shared" si="18"/>
        <v/>
      </c>
      <c r="P48" s="49">
        <f t="shared" si="0"/>
        <v>753065.48473371787</v>
      </c>
      <c r="Q48" s="16"/>
      <c r="R48" s="46"/>
      <c r="S48" s="46"/>
      <c r="T48" s="46">
        <f t="shared" si="4"/>
        <v>13600</v>
      </c>
      <c r="U48" s="49">
        <f t="shared" si="5"/>
        <v>13600</v>
      </c>
      <c r="V48" s="16"/>
      <c r="W48" s="93">
        <f t="shared" si="6"/>
        <v>-739465.48473371787</v>
      </c>
      <c r="X48"/>
      <c r="Y48" s="93">
        <f t="shared" ref="Y48:Y49" si="59">W48*12</f>
        <v>-8873585.8168046139</v>
      </c>
    </row>
    <row r="49" spans="2:25" x14ac:dyDescent="0.25">
      <c r="B49" s="135">
        <f t="shared" si="7"/>
        <v>100</v>
      </c>
      <c r="C49" s="135">
        <f t="shared" ref="C49" si="60">C48+1</f>
        <v>93</v>
      </c>
      <c r="D49" s="135">
        <f t="shared" si="7"/>
        <v>2064</v>
      </c>
      <c r="E49" s="46">
        <f t="shared" si="9"/>
        <v>685770.27120432165</v>
      </c>
      <c r="F49" s="46">
        <f t="shared" si="9"/>
        <v>0</v>
      </c>
      <c r="G49" s="46"/>
      <c r="H49" s="48">
        <f t="shared" si="11"/>
        <v>34288.513560216088</v>
      </c>
      <c r="I49" s="48">
        <f t="shared" si="12"/>
        <v>34288.513560216088</v>
      </c>
      <c r="J49" s="48">
        <f t="shared" si="13"/>
        <v>34288.513560216088</v>
      </c>
      <c r="K49" s="48">
        <f t="shared" si="14"/>
        <v>17144.256780108044</v>
      </c>
      <c r="L49" s="48">
        <f t="shared" si="15"/>
        <v>0</v>
      </c>
      <c r="M49" s="46" t="str">
        <f t="shared" si="16"/>
        <v/>
      </c>
      <c r="N49" s="46" t="str">
        <f t="shared" si="17"/>
        <v/>
      </c>
      <c r="O49" s="46" t="str">
        <f t="shared" si="18"/>
        <v/>
      </c>
      <c r="P49" s="49">
        <f t="shared" si="0"/>
        <v>805780.06866507791</v>
      </c>
      <c r="Q49" s="16"/>
      <c r="R49" s="46"/>
      <c r="S49" s="46"/>
      <c r="T49" s="46">
        <f t="shared" si="4"/>
        <v>13600</v>
      </c>
      <c r="U49" s="49">
        <f t="shared" si="5"/>
        <v>13600</v>
      </c>
      <c r="V49" s="16"/>
      <c r="W49" s="93">
        <f t="shared" si="6"/>
        <v>-792180.06866507791</v>
      </c>
      <c r="X49"/>
      <c r="Y49" s="93">
        <f t="shared" si="59"/>
        <v>-9506160.8239809349</v>
      </c>
    </row>
    <row r="50" spans="2:25" x14ac:dyDescent="0.25">
      <c r="E50" s="12"/>
      <c r="F50" s="12"/>
      <c r="G50" s="12"/>
      <c r="H50" s="12"/>
      <c r="I50" s="12"/>
      <c r="J50" s="12"/>
      <c r="K50" s="12"/>
      <c r="L50" s="12"/>
      <c r="M50" s="12"/>
      <c r="N50" s="12"/>
      <c r="O50" s="12"/>
      <c r="P50" s="12"/>
      <c r="Q50" s="12"/>
      <c r="R50" s="12"/>
      <c r="S50" s="12"/>
      <c r="T50" s="12"/>
      <c r="U50" s="14"/>
      <c r="V50" s="12"/>
      <c r="W50" s="12"/>
    </row>
  </sheetData>
  <mergeCells count="4">
    <mergeCell ref="M5:O5"/>
    <mergeCell ref="R5:U5"/>
    <mergeCell ref="H5:L5"/>
    <mergeCell ref="B5:C5"/>
  </mergeCells>
  <conditionalFormatting sqref="W7:W49">
    <cfRule type="cellIs" dxfId="6" priority="7" operator="lessThan">
      <formula>0</formula>
    </cfRule>
    <cfRule type="cellIs" dxfId="5" priority="8" operator="greaterThan">
      <formula>0</formula>
    </cfRule>
  </conditionalFormatting>
  <conditionalFormatting sqref="Y7:Y49">
    <cfRule type="cellIs" dxfId="4" priority="3" operator="lessThan">
      <formula>0</formula>
    </cfRule>
    <cfRule type="cellIs" dxfId="3" priority="4" operator="greaterThan">
      <formula>0</formula>
    </cfRule>
  </conditionalFormatting>
  <pageMargins left="0.7" right="0.7" top="0.75" bottom="0.75" header="0.3" footer="0.3"/>
  <pageSetup paperSize="9" orientation="portrait" horizontalDpi="4294967293" r:id="rId1"/>
  <extLst>
    <ext xmlns:x14="http://schemas.microsoft.com/office/spreadsheetml/2009/9/main" uri="{78C0D931-6437-407d-A8EE-F0AAD7539E65}">
      <x14:conditionalFormattings>
        <x14:conditionalFormatting xmlns:xm="http://schemas.microsoft.com/office/excel/2006/main">
          <x14:cfRule type="cellIs" priority="17" operator="equal" id="{D467645E-E438-4814-BF00-C663E1FC73DE}">
            <xm:f>'Goals analysis'!#REF!+1</xm:f>
            <x14:dxf>
              <fill>
                <patternFill>
                  <bgColor theme="7"/>
                </patternFill>
              </fill>
            </x14:dxf>
          </x14:cfRule>
          <xm:sqref>D7:D49</xm:sqref>
        </x14:conditionalFormatting>
        <x14:conditionalFormatting xmlns:xm="http://schemas.microsoft.com/office/excel/2006/main">
          <x14:cfRule type="expression" priority="18" id="{2387CC61-4424-4409-B278-B49DC1B2C21D}">
            <xm:f>$D7='Goals analysis'!#REF!+1</xm:f>
            <x14:dxf>
              <fill>
                <patternFill>
                  <bgColor theme="7" tint="0.79998168889431442"/>
                </patternFill>
              </fill>
            </x14:dxf>
          </x14:cfRule>
          <xm:sqref>E7:F49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438FE-8E5A-4609-B2F7-4B8E40F5E878}">
  <sheetPr>
    <tabColor rgb="FFFF0000"/>
  </sheetPr>
  <dimension ref="B2:I53"/>
  <sheetViews>
    <sheetView showGridLines="0" tabSelected="1" zoomScale="115" zoomScaleNormal="115" workbookViewId="0">
      <selection activeCell="G1" sqref="G1"/>
    </sheetView>
  </sheetViews>
  <sheetFormatPr defaultRowHeight="15" x14ac:dyDescent="0.25"/>
  <cols>
    <col min="1" max="1" width="3.5703125" customWidth="1"/>
    <col min="2" max="2" width="10.42578125" customWidth="1"/>
    <col min="3" max="3" width="10.85546875" customWidth="1"/>
    <col min="5" max="6" width="19.140625" customWidth="1"/>
    <col min="7" max="7" width="17.5703125" customWidth="1"/>
    <col min="9" max="9" width="15.42578125" customWidth="1"/>
  </cols>
  <sheetData>
    <row r="2" spans="2:9" ht="18.75" x14ac:dyDescent="0.3">
      <c r="B2" s="150" t="s">
        <v>73</v>
      </c>
      <c r="C2" s="150"/>
      <c r="D2" s="150"/>
      <c r="E2" s="150"/>
      <c r="F2" s="150"/>
      <c r="G2" s="150"/>
    </row>
    <row r="3" spans="2:9" ht="15.75" x14ac:dyDescent="0.25">
      <c r="B3" s="151" t="str">
        <f>CONCATENATE("Initial investment amount at start of ",D8)</f>
        <v>Initial investment amount at start of 2023</v>
      </c>
      <c r="C3" s="152"/>
      <c r="D3" s="152"/>
      <c r="E3" s="152"/>
      <c r="F3" s="153"/>
      <c r="G3" s="72">
        <f>'Goals analysis'!F23</f>
        <v>4380714.2857142854</v>
      </c>
    </row>
    <row r="4" spans="2:9" ht="15.75" x14ac:dyDescent="0.25">
      <c r="B4" s="151" t="s">
        <v>66</v>
      </c>
      <c r="C4" s="152"/>
      <c r="D4" s="152"/>
      <c r="E4" s="152"/>
      <c r="F4" s="153"/>
      <c r="G4" s="79">
        <v>0.08</v>
      </c>
    </row>
    <row r="5" spans="2:9" ht="27.6" customHeight="1" x14ac:dyDescent="0.25"/>
    <row r="6" spans="2:9" ht="15.75" x14ac:dyDescent="0.25">
      <c r="B6" s="154" t="s">
        <v>50</v>
      </c>
      <c r="C6" s="155"/>
      <c r="D6" s="2"/>
      <c r="F6" s="77" t="s">
        <v>55</v>
      </c>
    </row>
    <row r="7" spans="2:9" ht="47.25" x14ac:dyDescent="0.25">
      <c r="B7" s="73" t="s">
        <v>62</v>
      </c>
      <c r="C7" s="73" t="s">
        <v>63</v>
      </c>
      <c r="D7" s="73" t="s">
        <v>51</v>
      </c>
      <c r="E7" s="73" t="s">
        <v>52</v>
      </c>
      <c r="F7" s="130" t="s">
        <v>53</v>
      </c>
      <c r="G7" s="73" t="s">
        <v>54</v>
      </c>
      <c r="I7" s="76" t="str">
        <f>CONCATENATE("Value of corpus in ",D8," terms")</f>
        <v>Value of corpus in 2023 terms</v>
      </c>
    </row>
    <row r="8" spans="2:9" ht="15.75" x14ac:dyDescent="0.25">
      <c r="B8" s="78">
        <f>'Cash flow projection'!B8</f>
        <v>59</v>
      </c>
      <c r="C8" s="78">
        <f>'Cash flow projection'!C8</f>
        <v>52</v>
      </c>
      <c r="D8" s="78">
        <f>'Cash flow projection'!D8</f>
        <v>2023</v>
      </c>
      <c r="E8" s="24">
        <f>IF(G3&lt;=0,0,(G3-F8)*$G$4)</f>
        <v>430955.88571428566</v>
      </c>
      <c r="F8" s="131">
        <f>-'Cash flow projection'!Y8</f>
        <v>-1006234.2857142857</v>
      </c>
      <c r="G8" s="24">
        <f>G3+E8-F8</f>
        <v>5817904.4571428569</v>
      </c>
      <c r="I8" s="24">
        <f>G8</f>
        <v>5817904.4571428569</v>
      </c>
    </row>
    <row r="9" spans="2:9" ht="15.75" x14ac:dyDescent="0.25">
      <c r="B9" s="74">
        <f>B8+1</f>
        <v>60</v>
      </c>
      <c r="C9" s="74">
        <f>C8+1</f>
        <v>53</v>
      </c>
      <c r="D9" s="74">
        <f>D8+1</f>
        <v>2024</v>
      </c>
      <c r="E9" s="24">
        <f>IF((IF(G8&lt;=0,0,(G8-F9)*$G$4))&lt;0,0,(IF(G8&lt;=0,0,(G8-F9)*$G$4)))</f>
        <v>550095.29142857145</v>
      </c>
      <c r="F9" s="131">
        <f>-'Cash flow projection'!Y9</f>
        <v>-1058286.6857142856</v>
      </c>
      <c r="G9" s="24">
        <f>G8+E8-F9</f>
        <v>7307147.0285714287</v>
      </c>
      <c r="I9" s="75">
        <f>PV('Cash flow projection'!$F$3,D9-$D$8,,-G9,0)</f>
        <v>6829109.3724966617</v>
      </c>
    </row>
    <row r="10" spans="2:9" ht="15.75" x14ac:dyDescent="0.25">
      <c r="B10" s="74">
        <f t="shared" ref="B10:D25" si="0">B9+1</f>
        <v>61</v>
      </c>
      <c r="C10" s="74">
        <f t="shared" si="0"/>
        <v>54</v>
      </c>
      <c r="D10" s="74">
        <f t="shared" si="0"/>
        <v>2025</v>
      </c>
      <c r="E10" s="24">
        <f t="shared" ref="E10:E49" si="1">IF((IF(G9&lt;=0,0,(G9-F10)*$G$4))&lt;0,0,(IF(G9&lt;=0,0,(G9-F10)*$G$4)))</f>
        <v>565626.35058285715</v>
      </c>
      <c r="F10" s="131">
        <f>-'Cash flow projection'!Y10</f>
        <v>236817.64628571435</v>
      </c>
      <c r="G10" s="137">
        <f>G9+E10-F10</f>
        <v>7635955.7328685708</v>
      </c>
      <c r="I10" s="75">
        <f>PV('Cash flow projection'!$F$3,D10-$D$8,,-G10,0)</f>
        <v>6669539.4644672638</v>
      </c>
    </row>
    <row r="11" spans="2:9" ht="15.75" x14ac:dyDescent="0.25">
      <c r="B11" s="74">
        <f t="shared" si="0"/>
        <v>62</v>
      </c>
      <c r="C11" s="74">
        <f t="shared" si="0"/>
        <v>55</v>
      </c>
      <c r="D11" s="74">
        <f t="shared" si="0"/>
        <v>2026</v>
      </c>
      <c r="E11" s="24">
        <f t="shared" si="1"/>
        <v>592179.9439474286</v>
      </c>
      <c r="F11" s="131">
        <f>-'Cash flow projection'!Y11</f>
        <v>233706.43352571427</v>
      </c>
      <c r="G11" s="24">
        <f>G10+E11-F11</f>
        <v>7994429.2432902856</v>
      </c>
      <c r="I11" s="75">
        <f>PV('Cash flow projection'!$F$3,D11-$D$8,,-G11,0)</f>
        <v>6525835.6182519998</v>
      </c>
    </row>
    <row r="12" spans="2:9" ht="15.75" x14ac:dyDescent="0.25">
      <c r="B12" s="74">
        <f t="shared" si="0"/>
        <v>63</v>
      </c>
      <c r="C12" s="74">
        <f t="shared" si="0"/>
        <v>56</v>
      </c>
      <c r="D12" s="74">
        <f t="shared" si="0"/>
        <v>2027</v>
      </c>
      <c r="E12" s="24">
        <f t="shared" si="1"/>
        <v>616950.55242702167</v>
      </c>
      <c r="F12" s="131">
        <f>-'Cash flow projection'!Y12</f>
        <v>282547.33795251406</v>
      </c>
      <c r="G12" s="24">
        <f t="shared" ref="G11:G49" si="2">G11+E12-F12</f>
        <v>8328832.4577647923</v>
      </c>
      <c r="I12" s="75">
        <f>PV('Cash flow projection'!$F$3,D12-$D$8,,-G12,0)</f>
        <v>6354026.4039747817</v>
      </c>
    </row>
    <row r="13" spans="2:9" ht="15.75" x14ac:dyDescent="0.25">
      <c r="B13" s="74">
        <f t="shared" si="0"/>
        <v>64</v>
      </c>
      <c r="C13" s="74">
        <f t="shared" si="0"/>
        <v>57</v>
      </c>
      <c r="D13" s="74">
        <f t="shared" si="0"/>
        <v>2028</v>
      </c>
      <c r="E13" s="24">
        <f t="shared" si="1"/>
        <v>639454.64431299223</v>
      </c>
      <c r="F13" s="131">
        <f>-'Cash flow projection'!Y13</f>
        <v>335649.40385239001</v>
      </c>
      <c r="G13" s="24">
        <f t="shared" si="2"/>
        <v>8632637.6982253939</v>
      </c>
      <c r="I13" s="75">
        <f>PV('Cash flow projection'!$F$3,D13-$D$8,,-G13,0)</f>
        <v>6154951.3713244125</v>
      </c>
    </row>
    <row r="14" spans="2:9" ht="15.75" x14ac:dyDescent="0.25">
      <c r="B14" s="74">
        <f t="shared" si="0"/>
        <v>65</v>
      </c>
      <c r="C14" s="74">
        <f t="shared" si="0"/>
        <v>58</v>
      </c>
      <c r="D14" s="74">
        <f t="shared" si="0"/>
        <v>2029</v>
      </c>
      <c r="E14" s="24">
        <f t="shared" si="1"/>
        <v>666851.19858872914</v>
      </c>
      <c r="F14" s="131">
        <f>-'Cash flow projection'!Y14</f>
        <v>296997.7158662795</v>
      </c>
      <c r="G14" s="24">
        <f t="shared" si="2"/>
        <v>9002491.1809478439</v>
      </c>
      <c r="I14" s="75">
        <f>PV('Cash flow projection'!$F$3,D14-$D$8,,-G14,0)</f>
        <v>5998739.9934013281</v>
      </c>
    </row>
    <row r="15" spans="2:9" ht="15.75" x14ac:dyDescent="0.25">
      <c r="B15" s="74">
        <f t="shared" si="0"/>
        <v>66</v>
      </c>
      <c r="C15" s="74">
        <f t="shared" si="0"/>
        <v>59</v>
      </c>
      <c r="D15" s="74">
        <f t="shared" si="0"/>
        <v>2030</v>
      </c>
      <c r="E15" s="24">
        <f t="shared" si="1"/>
        <v>626276.11381612124</v>
      </c>
      <c r="F15" s="131">
        <f>-'Cash flow projection'!Y15</f>
        <v>1174039.7582463287</v>
      </c>
      <c r="G15" s="24">
        <f t="shared" si="2"/>
        <v>8454727.5365176369</v>
      </c>
      <c r="I15" s="75">
        <f>PV('Cash flow projection'!$F$3,D15-$D$8,,-G15,0)</f>
        <v>5265179.3910709033</v>
      </c>
    </row>
    <row r="16" spans="2:9" ht="15.75" x14ac:dyDescent="0.25">
      <c r="B16" s="74">
        <f t="shared" si="0"/>
        <v>67</v>
      </c>
      <c r="C16" s="74">
        <f t="shared" si="0"/>
        <v>60</v>
      </c>
      <c r="D16" s="74">
        <f t="shared" si="0"/>
        <v>2031</v>
      </c>
      <c r="E16" s="24">
        <f t="shared" si="1"/>
        <v>574966.47961552523</v>
      </c>
      <c r="F16" s="131">
        <f>-'Cash flow projection'!Y16</f>
        <v>1267646.5413235717</v>
      </c>
      <c r="G16" s="24">
        <f t="shared" si="2"/>
        <v>7762047.4748095898</v>
      </c>
      <c r="I16" s="75">
        <f>PV('Cash flow projection'!$F$3,D16-$D$8,,-G16,0)</f>
        <v>4517582.3004052471</v>
      </c>
    </row>
    <row r="17" spans="2:9" ht="15.75" x14ac:dyDescent="0.25">
      <c r="B17" s="74">
        <f t="shared" si="0"/>
        <v>68</v>
      </c>
      <c r="C17" s="74">
        <f t="shared" si="0"/>
        <v>61</v>
      </c>
      <c r="D17" s="74">
        <f t="shared" si="0"/>
        <v>2032</v>
      </c>
      <c r="E17" s="24">
        <f t="shared" si="1"/>
        <v>511539.33404746949</v>
      </c>
      <c r="F17" s="131">
        <f>-'Cash flow projection'!Y17</f>
        <v>1367805.7992162216</v>
      </c>
      <c r="G17" s="24">
        <f t="shared" si="2"/>
        <v>6905781.0096408371</v>
      </c>
      <c r="I17" s="75">
        <f>PV('Cash flow projection'!$F$3,D17-$D$8,,-G17,0)</f>
        <v>3756287.3100404767</v>
      </c>
    </row>
    <row r="18" spans="2:9" ht="15.75" x14ac:dyDescent="0.25">
      <c r="B18" s="74">
        <f t="shared" si="0"/>
        <v>69</v>
      </c>
      <c r="C18" s="74">
        <f t="shared" si="0"/>
        <v>62</v>
      </c>
      <c r="D18" s="74">
        <f t="shared" si="0"/>
        <v>2033</v>
      </c>
      <c r="E18" s="24">
        <f t="shared" si="1"/>
        <v>434464.38435835839</v>
      </c>
      <c r="F18" s="131">
        <f>-'Cash flow projection'!Y18</f>
        <v>1474976.2051613573</v>
      </c>
      <c r="G18" s="24">
        <f t="shared" si="2"/>
        <v>5865269.1888378384</v>
      </c>
      <c r="I18" s="75">
        <f>PV('Cash flow projection'!$F$3,D18-$D$8,,-G18,0)</f>
        <v>2981605.4403252858</v>
      </c>
    </row>
    <row r="19" spans="2:9" ht="15.75" x14ac:dyDescent="0.25">
      <c r="B19" s="74">
        <f t="shared" si="0"/>
        <v>70</v>
      </c>
      <c r="C19" s="74">
        <f t="shared" si="0"/>
        <v>63</v>
      </c>
      <c r="D19" s="74">
        <f t="shared" si="0"/>
        <v>2034</v>
      </c>
      <c r="E19" s="24">
        <f t="shared" si="1"/>
        <v>342049.65194521489</v>
      </c>
      <c r="F19" s="131">
        <f>-'Cash flow projection'!Y19</f>
        <v>1589648.539522652</v>
      </c>
      <c r="G19" s="24">
        <f t="shared" si="2"/>
        <v>4617670.3012604006</v>
      </c>
      <c r="I19" s="75">
        <f>PV('Cash flow projection'!$F$3,D19-$D$8,,-G19,0)</f>
        <v>2193821.8962217136</v>
      </c>
    </row>
    <row r="20" spans="2:9" ht="15.75" x14ac:dyDescent="0.25">
      <c r="B20" s="74">
        <f t="shared" si="0"/>
        <v>71</v>
      </c>
      <c r="C20" s="74">
        <f t="shared" si="0"/>
        <v>64</v>
      </c>
      <c r="D20" s="74">
        <f t="shared" si="0"/>
        <v>2035</v>
      </c>
      <c r="E20" s="24">
        <f t="shared" si="1"/>
        <v>273737.41769234586</v>
      </c>
      <c r="F20" s="131">
        <f>-'Cash flow projection'!Y20</f>
        <v>1195952.5801060779</v>
      </c>
      <c r="G20" s="24">
        <f t="shared" si="2"/>
        <v>3695455.1388466684</v>
      </c>
      <c r="I20" s="75">
        <f>PV('Cash flow projection'!$F$3,D20-$D$8,,-G20,0)</f>
        <v>1640826.2764855528</v>
      </c>
    </row>
    <row r="21" spans="2:9" ht="15.75" x14ac:dyDescent="0.25">
      <c r="B21" s="74">
        <f t="shared" si="0"/>
        <v>72</v>
      </c>
      <c r="C21" s="74">
        <f t="shared" si="0"/>
        <v>65</v>
      </c>
      <c r="D21" s="74">
        <f t="shared" si="0"/>
        <v>2036</v>
      </c>
      <c r="E21" s="24">
        <f t="shared" si="1"/>
        <v>192348.95025065323</v>
      </c>
      <c r="F21" s="131">
        <f>-'Cash flow projection'!Y21</f>
        <v>1291093.2607135032</v>
      </c>
      <c r="G21" s="24">
        <f t="shared" si="2"/>
        <v>2596710.8283838183</v>
      </c>
      <c r="I21" s="75">
        <f>PV('Cash flow projection'!$F$3,D21-$D$8,,-G21,0)</f>
        <v>1077542.6752264784</v>
      </c>
    </row>
    <row r="22" spans="2:9" ht="15.75" x14ac:dyDescent="0.25">
      <c r="B22" s="74">
        <f t="shared" si="0"/>
        <v>73</v>
      </c>
      <c r="C22" s="74">
        <f t="shared" si="0"/>
        <v>66</v>
      </c>
      <c r="D22" s="74">
        <f t="shared" si="0"/>
        <v>2037</v>
      </c>
      <c r="E22" s="24">
        <f t="shared" si="1"/>
        <v>96305.363153629587</v>
      </c>
      <c r="F22" s="131">
        <f>-'Cash flow projection'!Y22</f>
        <v>1392893.7889634485</v>
      </c>
      <c r="G22" s="24">
        <f t="shared" si="2"/>
        <v>1300122.4025739993</v>
      </c>
      <c r="I22" s="75">
        <f>PV('Cash flow projection'!$F$3,D22-$D$8,,-G22,0)</f>
        <v>504209.88315106416</v>
      </c>
    </row>
    <row r="23" spans="2:9" ht="15.75" x14ac:dyDescent="0.25">
      <c r="B23" s="74">
        <f t="shared" si="0"/>
        <v>74</v>
      </c>
      <c r="C23" s="74">
        <f t="shared" si="0"/>
        <v>67</v>
      </c>
      <c r="D23" s="74">
        <f t="shared" si="0"/>
        <v>2038</v>
      </c>
      <c r="E23" s="24">
        <f t="shared" si="1"/>
        <v>0</v>
      </c>
      <c r="F23" s="131">
        <f>-'Cash flow projection'!Y23</f>
        <v>1501820.3541908902</v>
      </c>
      <c r="G23" s="24">
        <f t="shared" si="2"/>
        <v>-201697.95161689096</v>
      </c>
      <c r="I23" s="75">
        <f>PV('Cash flow projection'!$F$3,D23-$D$8,,-G23,0)</f>
        <v>-73104.619733559375</v>
      </c>
    </row>
    <row r="24" spans="2:9" ht="15.75" x14ac:dyDescent="0.25">
      <c r="B24" s="74">
        <f t="shared" si="0"/>
        <v>75</v>
      </c>
      <c r="C24" s="74">
        <f t="shared" si="0"/>
        <v>68</v>
      </c>
      <c r="D24" s="74">
        <f t="shared" si="0"/>
        <v>2039</v>
      </c>
      <c r="E24" s="24">
        <f t="shared" si="1"/>
        <v>0</v>
      </c>
      <c r="F24" s="131">
        <f>-'Cash flow projection'!Y24</f>
        <v>1618371.7789842524</v>
      </c>
      <c r="G24" s="24">
        <f t="shared" si="2"/>
        <v>-1820069.7306011433</v>
      </c>
      <c r="I24" s="75">
        <f>PV('Cash flow projection'!$F$3,D24-$D$8,,-G24,0)</f>
        <v>-616520.58815694053</v>
      </c>
    </row>
    <row r="25" spans="2:9" ht="15.75" x14ac:dyDescent="0.25">
      <c r="B25" s="74">
        <f t="shared" si="0"/>
        <v>76</v>
      </c>
      <c r="C25" s="74">
        <f t="shared" si="0"/>
        <v>69</v>
      </c>
      <c r="D25" s="74">
        <f t="shared" si="0"/>
        <v>2040</v>
      </c>
      <c r="E25" s="24">
        <f t="shared" si="1"/>
        <v>0</v>
      </c>
      <c r="F25" s="131">
        <f>-'Cash flow projection'!Y25</f>
        <v>1743081.8035131495</v>
      </c>
      <c r="G25" s="24">
        <f t="shared" si="2"/>
        <v>-3563151.5341142928</v>
      </c>
      <c r="I25" s="75">
        <f>PV('Cash flow projection'!$F$3,D25-$D$8,,-G25,0)</f>
        <v>-1128002.5250434913</v>
      </c>
    </row>
    <row r="26" spans="2:9" ht="15.75" x14ac:dyDescent="0.25">
      <c r="B26" s="74">
        <f t="shared" ref="B26:D41" si="3">B25+1</f>
        <v>77</v>
      </c>
      <c r="C26" s="74">
        <f t="shared" si="3"/>
        <v>70</v>
      </c>
      <c r="D26" s="74">
        <f t="shared" si="3"/>
        <v>2041</v>
      </c>
      <c r="E26" s="24">
        <f t="shared" si="1"/>
        <v>0</v>
      </c>
      <c r="F26" s="131">
        <f>-'Cash flow projection'!Y26</f>
        <v>1876521.5297590708</v>
      </c>
      <c r="G26" s="24">
        <f t="shared" si="2"/>
        <v>-5439673.0638733637</v>
      </c>
      <c r="I26" s="75">
        <f>PV('Cash flow projection'!$F$3,D26-$D$8,,-G26,0)</f>
        <v>-1609402.9761866808</v>
      </c>
    </row>
    <row r="27" spans="2:9" ht="15.75" x14ac:dyDescent="0.25">
      <c r="B27" s="74">
        <f t="shared" si="3"/>
        <v>78</v>
      </c>
      <c r="C27" s="74">
        <f t="shared" si="3"/>
        <v>71</v>
      </c>
      <c r="D27" s="74">
        <f t="shared" si="3"/>
        <v>2042</v>
      </c>
      <c r="E27" s="24">
        <f t="shared" si="1"/>
        <v>0</v>
      </c>
      <c r="F27" s="131">
        <f>-'Cash flow projection'!Y27</f>
        <v>2019302.0368422056</v>
      </c>
      <c r="G27" s="24">
        <f t="shared" si="2"/>
        <v>-7458975.1007155692</v>
      </c>
      <c r="I27" s="75">
        <f>PV('Cash flow projection'!$F$3,D27-$D$8,,-G27,0)</f>
        <v>-2062468.7710682207</v>
      </c>
    </row>
    <row r="28" spans="2:9" ht="15.75" x14ac:dyDescent="0.25">
      <c r="B28" s="74">
        <f t="shared" si="3"/>
        <v>79</v>
      </c>
      <c r="C28" s="74">
        <f t="shared" si="3"/>
        <v>72</v>
      </c>
      <c r="D28" s="74">
        <f t="shared" si="3"/>
        <v>2043</v>
      </c>
      <c r="E28" s="24">
        <f t="shared" si="1"/>
        <v>0</v>
      </c>
      <c r="F28" s="131">
        <f>-'Cash flow projection'!Y28</f>
        <v>2172077.1794211594</v>
      </c>
      <c r="G28" s="24">
        <f t="shared" si="2"/>
        <v>-9631052.2801367287</v>
      </c>
      <c r="I28" s="75">
        <f>PV('Cash flow projection'!$F$3,D28-$D$8,,-G28,0)</f>
        <v>-2488846.92628117</v>
      </c>
    </row>
    <row r="29" spans="2:9" ht="15.75" x14ac:dyDescent="0.25">
      <c r="B29" s="74">
        <f t="shared" si="3"/>
        <v>80</v>
      </c>
      <c r="C29" s="74">
        <f t="shared" si="3"/>
        <v>73</v>
      </c>
      <c r="D29" s="74">
        <f t="shared" si="3"/>
        <v>2044</v>
      </c>
      <c r="E29" s="24">
        <f t="shared" si="1"/>
        <v>0</v>
      </c>
      <c r="F29" s="131">
        <f>-'Cash flow projection'!Y29</f>
        <v>2335546.581980641</v>
      </c>
      <c r="G29" s="24">
        <f t="shared" si="2"/>
        <v>-11966598.862117369</v>
      </c>
      <c r="I29" s="75">
        <f>PV('Cash flow projection'!$F$3,D29-$D$8,,-G29,0)</f>
        <v>-2890090.2289924729</v>
      </c>
    </row>
    <row r="30" spans="2:9" ht="15.75" x14ac:dyDescent="0.25">
      <c r="B30" s="74">
        <f t="shared" si="3"/>
        <v>81</v>
      </c>
      <c r="C30" s="74">
        <f t="shared" si="3"/>
        <v>74</v>
      </c>
      <c r="D30" s="74">
        <f t="shared" si="3"/>
        <v>2045</v>
      </c>
      <c r="E30" s="24">
        <f t="shared" si="1"/>
        <v>0</v>
      </c>
      <c r="F30" s="131">
        <f>-'Cash flow projection'!Y30</f>
        <v>2510458.8427192862</v>
      </c>
      <c r="G30" s="24">
        <f t="shared" si="2"/>
        <v>-14477057.704836655</v>
      </c>
      <c r="I30" s="75">
        <f>PV('Cash flow projection'!$F$3,D30-$D$8,,-G30,0)</f>
        <v>-3267662.5170431682</v>
      </c>
    </row>
    <row r="31" spans="2:9" ht="15.75" x14ac:dyDescent="0.25">
      <c r="B31" s="74">
        <f t="shared" si="3"/>
        <v>82</v>
      </c>
      <c r="C31" s="74">
        <f t="shared" si="3"/>
        <v>75</v>
      </c>
      <c r="D31" s="74">
        <f t="shared" si="3"/>
        <v>2046</v>
      </c>
      <c r="E31" s="24">
        <f t="shared" si="1"/>
        <v>0</v>
      </c>
      <c r="F31" s="131">
        <f>-'Cash flow projection'!Y31</f>
        <v>2697614.9617096358</v>
      </c>
      <c r="G31" s="24">
        <f t="shared" si="2"/>
        <v>-17174672.666546293</v>
      </c>
      <c r="I31" s="75">
        <f>PV('Cash flow projection'!$F$3,D31-$D$8,,-G31,0)</f>
        <v>-3622943.6714821439</v>
      </c>
    </row>
    <row r="32" spans="2:9" ht="15.75" x14ac:dyDescent="0.25">
      <c r="B32" s="74">
        <f t="shared" si="3"/>
        <v>83</v>
      </c>
      <c r="C32" s="74">
        <f t="shared" si="3"/>
        <v>76</v>
      </c>
      <c r="D32" s="74">
        <f t="shared" si="3"/>
        <v>2047</v>
      </c>
      <c r="E32" s="24">
        <f t="shared" si="1"/>
        <v>0</v>
      </c>
      <c r="F32" s="131">
        <f>-'Cash flow projection'!Y32</f>
        <v>2897872.0090293107</v>
      </c>
      <c r="G32" s="24">
        <f t="shared" si="2"/>
        <v>-20072544.675575603</v>
      </c>
      <c r="I32" s="75">
        <f>PV('Cash flow projection'!$F$3,D32-$D$8,,-G32,0)</f>
        <v>-3957234.3365609394</v>
      </c>
    </row>
    <row r="33" spans="2:9" ht="15.75" x14ac:dyDescent="0.25">
      <c r="B33" s="74">
        <f t="shared" si="3"/>
        <v>84</v>
      </c>
      <c r="C33" s="74">
        <f t="shared" si="3"/>
        <v>77</v>
      </c>
      <c r="D33" s="74">
        <f t="shared" si="3"/>
        <v>2048</v>
      </c>
      <c r="E33" s="24">
        <f t="shared" si="1"/>
        <v>0</v>
      </c>
      <c r="F33" s="131">
        <f>-'Cash flow projection'!Y33</f>
        <v>3112147.0496613625</v>
      </c>
      <c r="G33" s="24">
        <f t="shared" si="2"/>
        <v>-23184691.725236967</v>
      </c>
      <c r="I33" s="75">
        <f>PV('Cash flow projection'!$F$3,D33-$D$8,,-G33,0)</f>
        <v>-4271760.3814815851</v>
      </c>
    </row>
    <row r="34" spans="2:9" ht="15.75" x14ac:dyDescent="0.25">
      <c r="B34" s="74">
        <f t="shared" si="3"/>
        <v>85</v>
      </c>
      <c r="C34" s="74">
        <f t="shared" si="3"/>
        <v>78</v>
      </c>
      <c r="D34" s="74">
        <f t="shared" si="3"/>
        <v>2049</v>
      </c>
      <c r="E34" s="24">
        <f t="shared" si="1"/>
        <v>0</v>
      </c>
      <c r="F34" s="131">
        <f>-'Cash flow projection'!Y34</f>
        <v>3341421.3431376582</v>
      </c>
      <c r="G34" s="24">
        <f t="shared" si="2"/>
        <v>-26526113.068374626</v>
      </c>
      <c r="I34" s="75">
        <f>PV('Cash flow projection'!$F$3,D34-$D$8,,-G34,0)</f>
        <v>-4567677.1174859405</v>
      </c>
    </row>
    <row r="35" spans="2:9" ht="15.75" x14ac:dyDescent="0.25">
      <c r="B35" s="74">
        <f t="shared" si="3"/>
        <v>86</v>
      </c>
      <c r="C35" s="74">
        <f t="shared" si="3"/>
        <v>79</v>
      </c>
      <c r="D35" s="74">
        <f t="shared" si="3"/>
        <v>2050</v>
      </c>
      <c r="E35" s="24">
        <f t="shared" si="1"/>
        <v>0</v>
      </c>
      <c r="F35" s="131">
        <f>-'Cash flow projection'!Y35</f>
        <v>3586744.8371572942</v>
      </c>
      <c r="G35" s="24">
        <f t="shared" si="2"/>
        <v>-30112857.90553192</v>
      </c>
      <c r="I35" s="75">
        <f>PV('Cash flow projection'!$F$3,D35-$D$8,,-G35,0)</f>
        <v>-4846073.283202311</v>
      </c>
    </row>
    <row r="36" spans="2:9" ht="15.75" x14ac:dyDescent="0.25">
      <c r="B36" s="74">
        <f t="shared" si="3"/>
        <v>87</v>
      </c>
      <c r="C36" s="74">
        <f t="shared" si="3"/>
        <v>80</v>
      </c>
      <c r="D36" s="74">
        <f t="shared" si="3"/>
        <v>2051</v>
      </c>
      <c r="E36" s="24">
        <f t="shared" si="1"/>
        <v>0</v>
      </c>
      <c r="F36" s="131">
        <f>-'Cash flow projection'!Y36</f>
        <v>3849240.9757583048</v>
      </c>
      <c r="G36" s="24">
        <f t="shared" si="2"/>
        <v>-33962098.881290227</v>
      </c>
      <c r="I36" s="75">
        <f>PV('Cash flow projection'!$F$3,D36-$D$8,,-G36,0)</f>
        <v>-5107974.8105223225</v>
      </c>
    </row>
    <row r="37" spans="2:9" ht="15.75" x14ac:dyDescent="0.25">
      <c r="B37" s="74">
        <f t="shared" si="3"/>
        <v>88</v>
      </c>
      <c r="C37" s="74">
        <f t="shared" si="3"/>
        <v>81</v>
      </c>
      <c r="D37" s="74">
        <f t="shared" si="3"/>
        <v>2052</v>
      </c>
      <c r="E37" s="24">
        <f t="shared" si="1"/>
        <v>0</v>
      </c>
      <c r="F37" s="131">
        <f>-'Cash flow projection'!Y37</f>
        <v>4130111.8440613858</v>
      </c>
      <c r="G37" s="24">
        <f t="shared" si="2"/>
        <v>-38092210.725351617</v>
      </c>
      <c r="I37" s="75">
        <f>PV('Cash flow projection'!$F$3,D37-$D$8,,-G37,0)</f>
        <v>-5354348.3826670088</v>
      </c>
    </row>
    <row r="38" spans="2:9" ht="15.75" x14ac:dyDescent="0.25">
      <c r="B38" s="74">
        <f t="shared" si="3"/>
        <v>89</v>
      </c>
      <c r="C38" s="74">
        <f t="shared" si="3"/>
        <v>82</v>
      </c>
      <c r="D38" s="74">
        <f t="shared" si="3"/>
        <v>2053</v>
      </c>
      <c r="E38" s="24">
        <f t="shared" si="1"/>
        <v>0</v>
      </c>
      <c r="F38" s="131">
        <f>-'Cash flow projection'!Y38</f>
        <v>4430643.6731456835</v>
      </c>
      <c r="G38" s="24">
        <f t="shared" si="2"/>
        <v>-42522854.398497298</v>
      </c>
      <c r="I38" s="75">
        <f>PV('Cash flow projection'!$F$3,D38-$D$8,,-G38,0)</f>
        <v>-5586104.7955149589</v>
      </c>
    </row>
    <row r="39" spans="2:9" ht="15.75" x14ac:dyDescent="0.25">
      <c r="B39" s="74">
        <f t="shared" si="3"/>
        <v>90</v>
      </c>
      <c r="C39" s="74">
        <f t="shared" si="3"/>
        <v>83</v>
      </c>
      <c r="D39" s="74">
        <f t="shared" si="3"/>
        <v>2054</v>
      </c>
      <c r="E39" s="24">
        <f t="shared" si="1"/>
        <v>0</v>
      </c>
      <c r="F39" s="131">
        <f>-'Cash flow projection'!Y39</f>
        <v>4752212.7302658809</v>
      </c>
      <c r="G39" s="24">
        <f t="shared" si="2"/>
        <v>-47275067.128763177</v>
      </c>
      <c r="I39" s="75">
        <f>PV('Cash flow projection'!$F$3,D39-$D$8,,-G39,0)</f>
        <v>-5804102.1327059148</v>
      </c>
    </row>
    <row r="40" spans="2:9" ht="15.75" x14ac:dyDescent="0.25">
      <c r="B40" s="74">
        <f t="shared" si="3"/>
        <v>91</v>
      </c>
      <c r="C40" s="74">
        <f t="shared" si="3"/>
        <v>84</v>
      </c>
      <c r="D40" s="74">
        <f t="shared" si="3"/>
        <v>2055</v>
      </c>
      <c r="E40" s="24">
        <f t="shared" si="1"/>
        <v>0</v>
      </c>
      <c r="F40" s="131">
        <f>-'Cash flow projection'!Y40</f>
        <v>5096291.6213844921</v>
      </c>
      <c r="G40" s="24">
        <f t="shared" si="2"/>
        <v>-52371358.750147671</v>
      </c>
      <c r="I40" s="75">
        <f>PV('Cash flow projection'!$F$3,D40-$D$8,,-G40,0)</f>
        <v>-6009148.764499695</v>
      </c>
    </row>
    <row r="41" spans="2:9" ht="15.75" x14ac:dyDescent="0.25">
      <c r="B41" s="74">
        <f t="shared" si="3"/>
        <v>92</v>
      </c>
      <c r="C41" s="74">
        <f t="shared" si="3"/>
        <v>85</v>
      </c>
      <c r="D41" s="74">
        <f t="shared" si="3"/>
        <v>2056</v>
      </c>
      <c r="E41" s="24">
        <f t="shared" si="1"/>
        <v>0</v>
      </c>
      <c r="F41" s="131">
        <f>-'Cash flow projection'!Y41</f>
        <v>5464456.0348814074</v>
      </c>
      <c r="G41" s="24">
        <f t="shared" si="2"/>
        <v>-57835814.785029076</v>
      </c>
      <c r="I41" s="75">
        <f>PV('Cash flow projection'!$F$3,D41-$D$8,,-G41,0)</f>
        <v>-6202006.1798614999</v>
      </c>
    </row>
    <row r="42" spans="2:9" ht="15.75" x14ac:dyDescent="0.25">
      <c r="B42" s="74">
        <f t="shared" ref="B42:D49" si="4">B41+1</f>
        <v>93</v>
      </c>
      <c r="C42" s="74">
        <f t="shared" si="4"/>
        <v>86</v>
      </c>
      <c r="D42" s="74">
        <f t="shared" si="4"/>
        <v>2057</v>
      </c>
      <c r="E42" s="24">
        <f t="shared" si="1"/>
        <v>0</v>
      </c>
      <c r="F42" s="131">
        <f>-'Cash flow projection'!Y42</f>
        <v>5858391.9573231051</v>
      </c>
      <c r="G42" s="24">
        <f t="shared" si="2"/>
        <v>-63694206.74235218</v>
      </c>
      <c r="I42" s="75">
        <f>PV('Cash flow projection'!$F$3,D42-$D$8,,-G42,0)</f>
        <v>-6383391.6607598178</v>
      </c>
    </row>
    <row r="43" spans="2:9" ht="15.75" x14ac:dyDescent="0.25">
      <c r="B43" s="74">
        <f t="shared" si="4"/>
        <v>94</v>
      </c>
      <c r="C43" s="74">
        <f t="shared" si="4"/>
        <v>87</v>
      </c>
      <c r="D43" s="74">
        <f t="shared" si="4"/>
        <v>2058</v>
      </c>
      <c r="E43" s="24">
        <f t="shared" si="1"/>
        <v>0</v>
      </c>
      <c r="F43" s="131">
        <f>-'Cash flow projection'!Y43</f>
        <v>6279903.3943357235</v>
      </c>
      <c r="G43" s="24">
        <f t="shared" si="2"/>
        <v>-69974110.136687905</v>
      </c>
      <c r="I43" s="75">
        <f>PV('Cash flow projection'!$F$3,D43-$D$8,,-G43,0)</f>
        <v>-6553980.8072010735</v>
      </c>
    </row>
    <row r="44" spans="2:9" ht="15.75" x14ac:dyDescent="0.25">
      <c r="B44" s="74">
        <f t="shared" si="4"/>
        <v>95</v>
      </c>
      <c r="C44" s="74">
        <f t="shared" si="4"/>
        <v>88</v>
      </c>
      <c r="D44" s="74">
        <f t="shared" si="4"/>
        <v>2059</v>
      </c>
      <c r="E44" s="24">
        <f t="shared" si="1"/>
        <v>0</v>
      </c>
      <c r="F44" s="131">
        <f>-'Cash flow projection'!Y44</f>
        <v>6730920.6319392249</v>
      </c>
      <c r="G44" s="24">
        <f t="shared" si="2"/>
        <v>-76705030.768627137</v>
      </c>
      <c r="I44" s="75">
        <f>PV('Cash flow projection'!$F$3,D44-$D$8,,-G44,0)</f>
        <v>-6714409.9210852319</v>
      </c>
    </row>
    <row r="45" spans="2:9" ht="15.75" x14ac:dyDescent="0.25">
      <c r="B45" s="74">
        <f t="shared" si="4"/>
        <v>96</v>
      </c>
      <c r="C45" s="74">
        <f t="shared" si="4"/>
        <v>89</v>
      </c>
      <c r="D45" s="74">
        <f t="shared" si="4"/>
        <v>2060</v>
      </c>
      <c r="E45" s="24">
        <f t="shared" si="1"/>
        <v>0</v>
      </c>
      <c r="F45" s="131">
        <f>-'Cash flow projection'!Y45</f>
        <v>7213509.0761749689</v>
      </c>
      <c r="G45" s="24">
        <f t="shared" si="2"/>
        <v>-83918539.844802111</v>
      </c>
      <c r="I45" s="75">
        <f>PV('Cash flow projection'!$F$3,D45-$D$8,,-G45,0)</f>
        <v>-6865278.2565475767</v>
      </c>
    </row>
    <row r="46" spans="2:9" ht="15.75" x14ac:dyDescent="0.25">
      <c r="B46" s="74">
        <f t="shared" si="4"/>
        <v>97</v>
      </c>
      <c r="C46" s="74">
        <f t="shared" si="4"/>
        <v>90</v>
      </c>
      <c r="D46" s="74">
        <f t="shared" si="4"/>
        <v>2061</v>
      </c>
      <c r="E46" s="24">
        <f t="shared" si="1"/>
        <v>0</v>
      </c>
      <c r="F46" s="131">
        <f>-'Cash flow projection'!Y46</f>
        <v>7729878.711507218</v>
      </c>
      <c r="G46" s="24">
        <f t="shared" si="2"/>
        <v>-91648418.556309327</v>
      </c>
      <c r="I46" s="75">
        <f>PV('Cash flow projection'!$F$3,D46-$D$8,,-G46,0)</f>
        <v>-7007150.1440532645</v>
      </c>
    </row>
    <row r="47" spans="2:9" ht="15.75" x14ac:dyDescent="0.25">
      <c r="B47" s="74">
        <f t="shared" si="4"/>
        <v>98</v>
      </c>
      <c r="C47" s="74">
        <f t="shared" si="4"/>
        <v>91</v>
      </c>
      <c r="D47" s="74">
        <f t="shared" si="4"/>
        <v>2062</v>
      </c>
      <c r="E47" s="24">
        <f t="shared" si="1"/>
        <v>0</v>
      </c>
      <c r="F47" s="131">
        <f>-'Cash flow projection'!Y47</f>
        <v>8282394.2213127231</v>
      </c>
      <c r="G47" s="24">
        <f t="shared" si="2"/>
        <v>-99930812.777622044</v>
      </c>
      <c r="I47" s="75">
        <f>PV('Cash flow projection'!$F$3,D47-$D$8,,-G47,0)</f>
        <v>-7140556.9951318102</v>
      </c>
    </row>
    <row r="48" spans="2:9" ht="15.75" x14ac:dyDescent="0.25">
      <c r="B48" s="74">
        <f t="shared" si="4"/>
        <v>99</v>
      </c>
      <c r="C48" s="74">
        <f t="shared" si="4"/>
        <v>92</v>
      </c>
      <c r="D48" s="74">
        <f t="shared" si="4"/>
        <v>2063</v>
      </c>
      <c r="E48" s="24">
        <f t="shared" si="1"/>
        <v>0</v>
      </c>
      <c r="F48" s="131">
        <f>-'Cash flow projection'!Y48</f>
        <v>8873585.8168046139</v>
      </c>
      <c r="G48" s="24">
        <f t="shared" si="2"/>
        <v>-108804398.59442666</v>
      </c>
      <c r="I48" s="75">
        <f>PV('Cash flow projection'!$F$3,D48-$D$8,,-G48,0)</f>
        <v>-7265999.1942779366</v>
      </c>
    </row>
    <row r="49" spans="2:9" ht="15.75" x14ac:dyDescent="0.25">
      <c r="B49" s="74">
        <f t="shared" si="4"/>
        <v>100</v>
      </c>
      <c r="C49" s="74">
        <f t="shared" si="4"/>
        <v>93</v>
      </c>
      <c r="D49" s="74">
        <f t="shared" si="4"/>
        <v>2064</v>
      </c>
      <c r="E49" s="24">
        <f t="shared" si="1"/>
        <v>0</v>
      </c>
      <c r="F49" s="131">
        <f>-'Cash flow projection'!Y49</f>
        <v>9506160.8239809349</v>
      </c>
      <c r="G49" s="24">
        <f t="shared" si="2"/>
        <v>-118310559.41840759</v>
      </c>
      <c r="I49" s="75">
        <f>PV('Cash flow projection'!$F$3,D49-$D$8,,-G49,0)</f>
        <v>-7383947.8842020901</v>
      </c>
    </row>
    <row r="53" spans="2:9" x14ac:dyDescent="0.25">
      <c r="B53" t="s">
        <v>65</v>
      </c>
    </row>
  </sheetData>
  <mergeCells count="4">
    <mergeCell ref="B2:G2"/>
    <mergeCell ref="B3:F3"/>
    <mergeCell ref="B4:F4"/>
    <mergeCell ref="B6:C6"/>
  </mergeCells>
  <conditionalFormatting sqref="F8:F49">
    <cfRule type="cellIs" dxfId="0" priority="1" operator="lessThan">
      <formula>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N10"/>
  <sheetViews>
    <sheetView showGridLines="0" topLeftCell="A6" workbookViewId="0">
      <selection activeCell="I34" sqref="I34"/>
    </sheetView>
  </sheetViews>
  <sheetFormatPr defaultRowHeight="15" x14ac:dyDescent="0.25"/>
  <sheetData>
    <row r="3" spans="2:14" ht="21" x14ac:dyDescent="0.35">
      <c r="B3" s="66" t="s">
        <v>36</v>
      </c>
    </row>
    <row r="5" spans="2:14" ht="66.599999999999994" customHeight="1" x14ac:dyDescent="0.25">
      <c r="B5" s="156" t="s">
        <v>43</v>
      </c>
      <c r="C5" s="156"/>
      <c r="D5" s="156"/>
      <c r="E5" s="156"/>
      <c r="F5" s="156"/>
      <c r="G5" s="156"/>
      <c r="H5" s="156"/>
      <c r="I5" s="156"/>
      <c r="J5" s="156"/>
      <c r="K5" s="156"/>
      <c r="L5" s="156"/>
      <c r="M5" s="156"/>
      <c r="N5" s="156"/>
    </row>
    <row r="6" spans="2:14" ht="55.7" customHeight="1" x14ac:dyDescent="0.25">
      <c r="B6" s="156" t="s">
        <v>39</v>
      </c>
      <c r="C6" s="156"/>
      <c r="D6" s="156"/>
      <c r="E6" s="156"/>
      <c r="F6" s="156"/>
      <c r="G6" s="156"/>
      <c r="H6" s="156"/>
      <c r="I6" s="156"/>
      <c r="J6" s="156"/>
      <c r="K6" s="156"/>
      <c r="L6" s="156"/>
      <c r="M6" s="156"/>
      <c r="N6" s="156"/>
    </row>
    <row r="7" spans="2:14" ht="99.6" customHeight="1" x14ac:dyDescent="0.25">
      <c r="B7" s="156" t="s">
        <v>40</v>
      </c>
      <c r="C7" s="156"/>
      <c r="D7" s="156"/>
      <c r="E7" s="156"/>
      <c r="F7" s="156"/>
      <c r="G7" s="156"/>
      <c r="H7" s="156"/>
      <c r="I7" s="156"/>
      <c r="J7" s="156"/>
      <c r="K7" s="156"/>
      <c r="L7" s="156"/>
      <c r="M7" s="156"/>
      <c r="N7" s="156"/>
    </row>
    <row r="8" spans="2:14" ht="28.7" customHeight="1" x14ac:dyDescent="0.25">
      <c r="B8" s="65"/>
      <c r="C8" s="65"/>
      <c r="D8" s="65"/>
      <c r="E8" s="65"/>
      <c r="F8" s="65"/>
      <c r="G8" s="65"/>
      <c r="H8" s="65"/>
      <c r="I8" s="65"/>
      <c r="J8" s="65"/>
      <c r="K8" s="65"/>
      <c r="L8" s="65"/>
      <c r="M8" s="65"/>
      <c r="N8" s="65"/>
    </row>
    <row r="9" spans="2:14" ht="18.75" x14ac:dyDescent="0.3">
      <c r="B9" s="157" t="s">
        <v>37</v>
      </c>
      <c r="C9" s="157"/>
      <c r="D9" s="157"/>
      <c r="E9" s="157"/>
      <c r="F9" s="157"/>
      <c r="G9" s="157"/>
      <c r="H9" s="157"/>
      <c r="I9" s="157"/>
      <c r="J9" s="157"/>
      <c r="K9" s="157"/>
      <c r="L9" s="157"/>
      <c r="M9" s="157"/>
      <c r="N9" s="157"/>
    </row>
    <row r="10" spans="2:14" ht="18.75" x14ac:dyDescent="0.3">
      <c r="B10" s="67" t="s">
        <v>38</v>
      </c>
    </row>
  </sheetData>
  <sheetProtection password="92CF" sheet="1" objects="1" scenarios="1"/>
  <mergeCells count="4">
    <mergeCell ref="B6:N6"/>
    <mergeCell ref="B9:N9"/>
    <mergeCell ref="B7:N7"/>
    <mergeCell ref="B5:N5"/>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D6"/>
  <sheetViews>
    <sheetView showGridLines="0" zoomScale="130" zoomScaleNormal="130" workbookViewId="0">
      <selection activeCell="D4" sqref="D4"/>
    </sheetView>
  </sheetViews>
  <sheetFormatPr defaultRowHeight="18.75" x14ac:dyDescent="0.3"/>
  <cols>
    <col min="3" max="3" width="59" style="6" customWidth="1"/>
    <col min="4" max="4" width="18.140625" style="6" customWidth="1"/>
  </cols>
  <sheetData>
    <row r="2" spans="3:4" x14ac:dyDescent="0.3">
      <c r="C2" s="53" t="s">
        <v>33</v>
      </c>
    </row>
    <row r="4" spans="3:4" x14ac:dyDescent="0.3">
      <c r="C4" s="56" t="s">
        <v>56</v>
      </c>
      <c r="D4" s="55">
        <v>2022</v>
      </c>
    </row>
    <row r="5" spans="3:4" x14ac:dyDescent="0.3">
      <c r="C5" s="56" t="s">
        <v>57</v>
      </c>
      <c r="D5" s="55">
        <v>2022</v>
      </c>
    </row>
    <row r="6" spans="3:4" x14ac:dyDescent="0.3">
      <c r="C6" s="54" t="s">
        <v>30</v>
      </c>
      <c r="D6" s="55">
        <v>2023</v>
      </c>
    </row>
  </sheetData>
  <sheetProtection algorithmName="SHA-512" hashValue="TDLzD/0jE/84IsUAwzx+DV2FzUxBwEe5XkLc3VBdplCbmyjMdWXk/PtPEK3nDJxqiOiFQN9oaU1qyXU++f7MYA==" saltValue="E4Ou8CUgr6BfVG2wVQjBvw==" spinCount="100000"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Cash flow and assets</vt:lpstr>
      <vt:lpstr>Goals analysis</vt:lpstr>
      <vt:lpstr>Cash flow projection</vt:lpstr>
      <vt:lpstr>Passive income projection</vt:lpstr>
      <vt:lpstr>Disclaimer</vt:lpstr>
      <vt:lpstr>Calculation data</vt:lpstr>
      <vt:lpst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Krishnamoorthy</dc:creator>
  <cp:lastModifiedBy>Admin</cp:lastModifiedBy>
  <cp:lastPrinted>2016-03-15T05:33:37Z</cp:lastPrinted>
  <dcterms:created xsi:type="dcterms:W3CDTF">2015-05-08T12:13:22Z</dcterms:created>
  <dcterms:modified xsi:type="dcterms:W3CDTF">2022-10-09T18:39:31Z</dcterms:modified>
</cp:coreProperties>
</file>