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osssavill/apps/javascript/js-personal-projects/alcohol-connoisseurs/api/"/>
    </mc:Choice>
  </mc:AlternateContent>
  <xr:revisionPtr revIDLastSave="0" documentId="13_ncr:1_{866A81F7-13D3-DF46-A89C-0619B1400485}" xr6:coauthVersionLast="45" xr6:coauthVersionMax="45" xr10:uidLastSave="{00000000-0000-0000-0000-000000000000}"/>
  <bookViews>
    <workbookView xWindow="0" yWindow="460" windowWidth="28800" windowHeight="16060" xr2:uid="{00000000-000D-0000-FFFF-FFFF00000000}"/>
  </bookViews>
  <sheets>
    <sheet name="Friday Spreadsheet CSV" sheetId="1" r:id="rId1"/>
    <sheet name="People" sheetId="2" r:id="rId2"/>
    <sheet name="Brand - Brewery" sheetId="8" r:id="rId3"/>
    <sheet name="Drinks" sheetId="3" r:id="rId4"/>
    <sheet name="Drinks Vs People" sheetId="7" r:id="rId5"/>
    <sheet name="Descriptions" sheetId="4" r:id="rId6"/>
    <sheet name="By Week" sheetId="5" r:id="rId7"/>
    <sheet name="Graphs &amp; Charts" sheetId="6" r:id="rId8"/>
  </sheets>
  <definedNames>
    <definedName name="_xlnm._FilterDatabase" localSheetId="2" hidden="1">'Brand - Brewery'!$E$4:$H$208</definedName>
    <definedName name="_xlnm._FilterDatabase" localSheetId="3" hidden="1">Drinks!$AB$3:$AB$39</definedName>
    <definedName name="_xlnm._FilterDatabase" localSheetId="1" hidden="1">People!$B$2:$L$33</definedName>
    <definedName name="_xlchart.v1.0" hidden="1">Drinks!$B$18:$B$97</definedName>
    <definedName name="_xlchart.v1.1" hidden="1">Drinks!$C$17</definedName>
    <definedName name="_xlchart.v1.2" hidden="1">Drinks!$C$18:$C$97</definedName>
    <definedName name="Brands_All_Brands">'Brand - Brewery'!$B$5:$B$395</definedName>
    <definedName name="Brands_Average_Score">'Brand - Brewery'!$H$5:$H$208</definedName>
    <definedName name="Brands_Brand_Name">'Brand - Brewery'!$E$5:$E$199</definedName>
    <definedName name="Brands_Brewery_Names">'Brand - Brewery'!$E$5:$E$199</definedName>
    <definedName name="Brands_Main_Table">'Brand - Brewery'!$E$5:$H$208</definedName>
    <definedName name="Brands_Number_Of_Drinks">'Brand - Brewery'!$F$5:$F$199</definedName>
    <definedName name="ByWeekWeeks">'By Week'!$C$3:$AB$3</definedName>
    <definedName name="PeopleDrinksRank">People!$L$3:$L$30</definedName>
    <definedName name="PeopleNames">People!$B$3:$B$30</definedName>
    <definedName name="Tally_All_Data">'Friday Spreadsheet CSV'!$B$3:$P$1484</definedName>
    <definedName name="TallyABV">'Friday Spreadsheet CSV'!$F$3:$F$1484</definedName>
    <definedName name="TallyAllBrands">'Friday Spreadsheet CSV'!$L$3:$N$1484</definedName>
    <definedName name="TallyBrands">'Friday Spreadsheet CSV'!$L$3:$L$1484</definedName>
    <definedName name="TallyBrands2">'Friday Spreadsheet CSV'!$M$3:$M$1484</definedName>
    <definedName name="TallyBrands3">'Friday Spreadsheet CSV'!$N$3:$N$1484</definedName>
    <definedName name="TallyDates">'Friday Spreadsheet CSV'!$C$3:$C$1484</definedName>
    <definedName name="TallyDrinkNames">'Friday Spreadsheet CSV'!$D$3:$D$1484</definedName>
    <definedName name="TallyDrinkType">'Friday Spreadsheet CSV'!$E$3:$E$1484</definedName>
    <definedName name="TallyMixer1">'Friday Spreadsheet CSV'!$G$3:$G$1484</definedName>
    <definedName name="TallyMixer2">'Friday Spreadsheet CSV'!$H$3:$H$1484</definedName>
    <definedName name="TallyPeopleNames">'Friday Spreadsheet CSV'!$B$3:$B$1484</definedName>
    <definedName name="TallyRatingWord1">'Friday Spreadsheet CSV'!$I$3:$I$1484</definedName>
    <definedName name="TallyRatingWord2">'Friday Spreadsheet CSV'!$J$3:$J$1484</definedName>
    <definedName name="TallyScore">'Friday Spreadsheet CSV'!$K$3:$K$1484</definedName>
    <definedName name="WeeklyDrinkIncrease">'By Week'!$C$99:$AA$110</definedName>
    <definedName name="WeeklyDrinkIncreaseName">'By Week'!$B$99:$B$110</definedName>
    <definedName name="WeeklyIndividualDrinksTotalChart">'By Week'!$C$25:$AA$52</definedName>
    <definedName name="WeeklyIndividualDrinksTotalPeoplesNames">'By Week'!$B$25:$B$52</definedName>
    <definedName name="Z_4EFE790B_6171_4511_8D70_B72F69E0BBE7_.wvu.FilterData" localSheetId="0" hidden="1">'Friday Spreadsheet CSV'!$C$1:$C$983</definedName>
  </definedNames>
  <calcPr calcId="191029" calcMode="manual"/>
  <customWorkbookViews>
    <customWorkbookView name="Filter 1" guid="{4EFE790B-6171-4511-8D70-B72F69E0BBE7}" maximized="1" windowWidth="0" windowHeight="0" activeSheetId="0"/>
  </customWorkbookViews>
  <pivotCaches>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 i="7" l="1" a="1"/>
  <c r="S4" i="7" s="1"/>
  <c r="S5" i="7" a="1"/>
  <c r="S5" i="7" s="1"/>
  <c r="S6" i="7" a="1"/>
  <c r="S6" i="7" s="1"/>
  <c r="S7" i="7" a="1"/>
  <c r="S7" i="7" s="1"/>
  <c r="S8" i="7" a="1"/>
  <c r="S8" i="7" s="1"/>
  <c r="S9" i="7" a="1"/>
  <c r="S9" i="7" s="1"/>
  <c r="S10" i="7" a="1"/>
  <c r="S10" i="7" s="1"/>
  <c r="S11" i="7" a="1"/>
  <c r="S11" i="7" s="1"/>
  <c r="S12" i="7" a="1"/>
  <c r="S12" i="7" s="1"/>
  <c r="S13" i="7" a="1"/>
  <c r="S13" i="7" s="1"/>
  <c r="S14" i="7" a="1"/>
  <c r="S14" i="7" s="1"/>
  <c r="S15" i="7" a="1"/>
  <c r="S15" i="7" s="1"/>
  <c r="S16" i="7" a="1"/>
  <c r="S16" i="7" s="1"/>
  <c r="S17" i="7" a="1"/>
  <c r="S17" i="7" s="1"/>
  <c r="S18" i="7" a="1"/>
  <c r="S18" i="7" s="1"/>
  <c r="S19" i="7" a="1"/>
  <c r="S19" i="7" s="1"/>
  <c r="S20" i="7" a="1"/>
  <c r="S20" i="7" s="1"/>
  <c r="S21" i="7" a="1"/>
  <c r="S21" i="7" s="1"/>
  <c r="S22" i="7" a="1"/>
  <c r="S22" i="7" s="1"/>
  <c r="S23" i="7" a="1"/>
  <c r="S23" i="7" s="1"/>
  <c r="S24" i="7" a="1"/>
  <c r="S24" i="7" s="1"/>
  <c r="S25" i="7" a="1"/>
  <c r="S25" i="7" s="1"/>
  <c r="S26" i="7" a="1"/>
  <c r="S26" i="7" s="1"/>
  <c r="S27" i="7" a="1"/>
  <c r="S27" i="7" s="1"/>
  <c r="S28" i="7" a="1"/>
  <c r="S28" i="7" s="1"/>
  <c r="S3" i="7" a="1"/>
  <c r="S3" i="7" s="1"/>
  <c r="J3" i="2"/>
  <c r="D81" i="5" l="1" a="1"/>
  <c r="D81" i="5" s="1"/>
  <c r="E81" i="5" a="1"/>
  <c r="E81" i="5" s="1"/>
  <c r="F81" i="5" a="1"/>
  <c r="F81" i="5" s="1"/>
  <c r="G81" i="5" a="1"/>
  <c r="G81" i="5" s="1"/>
  <c r="H81" i="5" a="1"/>
  <c r="H81" i="5" s="1"/>
  <c r="I81" i="5" a="1"/>
  <c r="I81" i="5" s="1"/>
  <c r="J81" i="5" a="1"/>
  <c r="J81" i="5" s="1"/>
  <c r="K81" i="5" a="1"/>
  <c r="K81" i="5" s="1"/>
  <c r="L81" i="5" a="1"/>
  <c r="L81" i="5" s="1"/>
  <c r="M81" i="5" a="1"/>
  <c r="M81" i="5" s="1"/>
  <c r="N81" i="5" a="1"/>
  <c r="N81" i="5" s="1"/>
  <c r="O81" i="5" a="1"/>
  <c r="O81" i="5" s="1"/>
  <c r="P81" i="5" a="1"/>
  <c r="P81" i="5" s="1"/>
  <c r="Q81" i="5" a="1"/>
  <c r="Q81" i="5" s="1"/>
  <c r="R81" i="5" a="1"/>
  <c r="R81" i="5" s="1"/>
  <c r="S81" i="5" a="1"/>
  <c r="S81" i="5" s="1"/>
  <c r="T81" i="5" a="1"/>
  <c r="T81" i="5" s="1"/>
  <c r="U81" i="5" a="1"/>
  <c r="U81" i="5" s="1"/>
  <c r="V81" i="5" a="1"/>
  <c r="V81" i="5" s="1"/>
  <c r="W81" i="5" a="1"/>
  <c r="W81" i="5" s="1"/>
  <c r="X81" i="5" a="1"/>
  <c r="X81" i="5" s="1"/>
  <c r="Y81" i="5" a="1"/>
  <c r="Y81" i="5" s="1"/>
  <c r="Z81" i="5" a="1"/>
  <c r="Z81" i="5" s="1"/>
  <c r="AA81" i="5" a="1"/>
  <c r="AA81" i="5" s="1"/>
  <c r="D82" i="5" a="1"/>
  <c r="D82" i="5" s="1"/>
  <c r="E82" i="5" a="1"/>
  <c r="E82" i="5" s="1"/>
  <c r="F82" i="5" a="1"/>
  <c r="F82" i="5" s="1"/>
  <c r="G82" i="5" a="1"/>
  <c r="G82" i="5" s="1"/>
  <c r="H82" i="5" a="1"/>
  <c r="H82" i="5" s="1"/>
  <c r="I82" i="5" a="1"/>
  <c r="I82" i="5" s="1"/>
  <c r="J82" i="5" a="1"/>
  <c r="J82" i="5" s="1"/>
  <c r="K82" i="5" a="1"/>
  <c r="K82" i="5" s="1"/>
  <c r="L82" i="5" a="1"/>
  <c r="L82" i="5" s="1"/>
  <c r="M82" i="5" a="1"/>
  <c r="M82" i="5" s="1"/>
  <c r="N82" i="5" a="1"/>
  <c r="N82" i="5" s="1"/>
  <c r="O82" i="5" a="1"/>
  <c r="O82" i="5" s="1"/>
  <c r="P82" i="5" a="1"/>
  <c r="P82" i="5" s="1"/>
  <c r="Q82" i="5" a="1"/>
  <c r="Q82" i="5" s="1"/>
  <c r="R82" i="5" a="1"/>
  <c r="R82" i="5" s="1"/>
  <c r="S82" i="5" a="1"/>
  <c r="S82" i="5" s="1"/>
  <c r="T82" i="5" a="1"/>
  <c r="T82" i="5" s="1"/>
  <c r="U82" i="5" a="1"/>
  <c r="U82" i="5" s="1"/>
  <c r="V82" i="5" a="1"/>
  <c r="V82" i="5" s="1"/>
  <c r="W82" i="5" a="1"/>
  <c r="W82" i="5" s="1"/>
  <c r="X82" i="5" a="1"/>
  <c r="X82" i="5" s="1"/>
  <c r="Y82" i="5" a="1"/>
  <c r="Y82" i="5" s="1"/>
  <c r="Z82" i="5" a="1"/>
  <c r="Z82" i="5" s="1"/>
  <c r="AA82" i="5" a="1"/>
  <c r="AA82" i="5" s="1"/>
  <c r="C81" i="5" a="1"/>
  <c r="C81" i="5" s="1"/>
  <c r="C82" i="5" a="1"/>
  <c r="C82" i="5" s="1"/>
  <c r="D51" i="5"/>
  <c r="E51" i="5"/>
  <c r="F51" i="5"/>
  <c r="G51" i="5"/>
  <c r="H51" i="5"/>
  <c r="I51" i="5"/>
  <c r="J51" i="5"/>
  <c r="K51" i="5"/>
  <c r="L51" i="5"/>
  <c r="M51" i="5"/>
  <c r="N51" i="5"/>
  <c r="O51" i="5"/>
  <c r="P51" i="5"/>
  <c r="Q51" i="5"/>
  <c r="R51" i="5"/>
  <c r="S51" i="5"/>
  <c r="T51" i="5"/>
  <c r="U51" i="5"/>
  <c r="V51" i="5"/>
  <c r="W51" i="5"/>
  <c r="X51" i="5"/>
  <c r="Y51" i="5"/>
  <c r="Z51" i="5"/>
  <c r="AA51" i="5"/>
  <c r="D52" i="5"/>
  <c r="E52" i="5"/>
  <c r="F52" i="5"/>
  <c r="G52" i="5"/>
  <c r="H52" i="5"/>
  <c r="I52" i="5"/>
  <c r="J52" i="5"/>
  <c r="K52" i="5"/>
  <c r="L52" i="5"/>
  <c r="M52" i="5"/>
  <c r="N52" i="5"/>
  <c r="O52" i="5"/>
  <c r="P52" i="5"/>
  <c r="Q52" i="5"/>
  <c r="R52" i="5"/>
  <c r="S52" i="5"/>
  <c r="T52" i="5"/>
  <c r="U52" i="5"/>
  <c r="V52" i="5"/>
  <c r="W52" i="5"/>
  <c r="X52" i="5"/>
  <c r="Y52" i="5"/>
  <c r="Z52" i="5"/>
  <c r="AA52" i="5"/>
  <c r="C51" i="5"/>
  <c r="C52" i="5"/>
  <c r="D29" i="2" a="1"/>
  <c r="D29" i="2" s="1"/>
  <c r="J29" i="2"/>
  <c r="D30" i="2" a="1"/>
  <c r="D30" i="2" s="1"/>
  <c r="J30" i="2"/>
  <c r="C29" i="2"/>
  <c r="G29" i="2" s="1" a="1"/>
  <c r="G29" i="2" s="1"/>
  <c r="C30" i="2"/>
  <c r="G30" i="2" s="1" a="1"/>
  <c r="G30" i="2" s="1"/>
  <c r="X16" i="5" a="1"/>
  <c r="X16" i="5" s="1"/>
  <c r="X17" i="5" s="1"/>
  <c r="Y16" i="5" a="1"/>
  <c r="Y16" i="5" s="1"/>
  <c r="Y17" i="5" s="1"/>
  <c r="Z16" i="5" a="1"/>
  <c r="Z16" i="5" s="1"/>
  <c r="Z17" i="5" s="1"/>
  <c r="Z18" i="5" s="1" a="1"/>
  <c r="Z18" i="5" s="1"/>
  <c r="AA16" i="5" a="1"/>
  <c r="AA16" i="5" s="1"/>
  <c r="AA17" i="5" s="1"/>
  <c r="X85" i="5"/>
  <c r="Y85" i="5"/>
  <c r="Z85" i="5"/>
  <c r="AA85" i="5"/>
  <c r="X86" i="5"/>
  <c r="Y86" i="5"/>
  <c r="Z86" i="5"/>
  <c r="AA86" i="5"/>
  <c r="X87" i="5"/>
  <c r="Y87" i="5"/>
  <c r="Z87" i="5"/>
  <c r="AA87" i="5"/>
  <c r="X88" i="5"/>
  <c r="Y88" i="5"/>
  <c r="Z88" i="5"/>
  <c r="AA88" i="5"/>
  <c r="X89" i="5"/>
  <c r="Y89" i="5"/>
  <c r="Z89" i="5"/>
  <c r="AA89" i="5"/>
  <c r="X90" i="5"/>
  <c r="Y90" i="5"/>
  <c r="Z90" i="5"/>
  <c r="AA90" i="5"/>
  <c r="X91" i="5"/>
  <c r="Y91" i="5"/>
  <c r="Z91" i="5"/>
  <c r="AA91" i="5"/>
  <c r="X92" i="5"/>
  <c r="Y92" i="5"/>
  <c r="Z92" i="5"/>
  <c r="AA92" i="5"/>
  <c r="X93" i="5"/>
  <c r="Y93" i="5"/>
  <c r="Z93" i="5"/>
  <c r="AA93" i="5"/>
  <c r="X94" i="5"/>
  <c r="Y94" i="5"/>
  <c r="Z94" i="5"/>
  <c r="AA94" i="5"/>
  <c r="X95" i="5"/>
  <c r="Y95" i="5"/>
  <c r="Z95" i="5"/>
  <c r="AA95" i="5"/>
  <c r="X96" i="5"/>
  <c r="Y96" i="5"/>
  <c r="Z96" i="5"/>
  <c r="AA96" i="5"/>
  <c r="X8" i="5" a="1"/>
  <c r="X8" i="5" s="1"/>
  <c r="X9" i="5" s="1"/>
  <c r="Y8" i="5" a="1"/>
  <c r="Y8" i="5" s="1"/>
  <c r="Y9" i="5" s="1"/>
  <c r="Z8" i="5" a="1"/>
  <c r="Z8" i="5" s="1"/>
  <c r="Z9" i="5" s="1"/>
  <c r="AA8" i="5" a="1"/>
  <c r="AA8" i="5" s="1"/>
  <c r="AA9" i="5" s="1"/>
  <c r="AA13" i="5" s="1" a="1"/>
  <c r="AA13" i="5" s="1"/>
  <c r="X6" i="5" a="1"/>
  <c r="X6" i="5" s="1"/>
  <c r="Y6" i="5" a="1"/>
  <c r="Y6" i="5" s="1"/>
  <c r="Z6" i="5" a="1"/>
  <c r="Z6" i="5" s="1"/>
  <c r="AA6" i="5" a="1"/>
  <c r="AA6" i="5" s="1"/>
  <c r="X5" i="5" a="1"/>
  <c r="X5" i="5" s="1"/>
  <c r="Y5" i="5" a="1"/>
  <c r="Y5" i="5" s="1"/>
  <c r="Z5" i="5" a="1"/>
  <c r="Z5" i="5" s="1"/>
  <c r="AA5" i="5" a="1"/>
  <c r="AA5" i="5" s="1"/>
  <c r="X4" i="5"/>
  <c r="Y4" i="5"/>
  <c r="Z4" i="5"/>
  <c r="AA4" i="5"/>
  <c r="H30" i="2" l="1" a="1"/>
  <c r="H30" i="2" s="1"/>
  <c r="I30" i="2" s="1" a="1"/>
  <c r="I30" i="2" s="1"/>
  <c r="E30" i="2"/>
  <c r="F30" i="2" s="1" a="1"/>
  <c r="F30" i="2" s="1"/>
  <c r="H29" i="2" a="1"/>
  <c r="H29" i="2" s="1"/>
  <c r="I29" i="2" s="1" a="1"/>
  <c r="I29" i="2" s="1"/>
  <c r="E29" i="2"/>
  <c r="F29" i="2" s="1" a="1"/>
  <c r="F29" i="2" s="1"/>
  <c r="Y18" i="5" a="1"/>
  <c r="Y18" i="5" s="1"/>
  <c r="Y19" i="5" a="1"/>
  <c r="Y19" i="5" s="1"/>
  <c r="Y20" i="5" a="1"/>
  <c r="Y20" i="5" s="1"/>
  <c r="Y21" i="5" a="1"/>
  <c r="Y21" i="5" s="1"/>
  <c r="Y22" i="5" a="1"/>
  <c r="Y22" i="5" s="1"/>
  <c r="X18" i="5" a="1"/>
  <c r="X18" i="5" s="1"/>
  <c r="X19" i="5" a="1"/>
  <c r="X19" i="5" s="1"/>
  <c r="X20" i="5" a="1"/>
  <c r="X20" i="5" s="1"/>
  <c r="X21" i="5" a="1"/>
  <c r="X21" i="5" s="1"/>
  <c r="X22" i="5" a="1"/>
  <c r="X22" i="5" s="1"/>
  <c r="AA18" i="5" a="1"/>
  <c r="AA18" i="5" s="1"/>
  <c r="AA19" i="5" a="1"/>
  <c r="AA19" i="5" s="1"/>
  <c r="AA20" i="5" a="1"/>
  <c r="AA20" i="5" s="1"/>
  <c r="AA21" i="5" a="1"/>
  <c r="AA21" i="5" s="1"/>
  <c r="AA22" i="5" a="1"/>
  <c r="AA22" i="5" s="1"/>
  <c r="Z22" i="5" a="1"/>
  <c r="Z22" i="5" s="1"/>
  <c r="Z21" i="5" a="1"/>
  <c r="Z21" i="5" s="1"/>
  <c r="Z20" i="5" a="1"/>
  <c r="Z20" i="5" s="1"/>
  <c r="Z19" i="5" a="1"/>
  <c r="Z19" i="5" s="1"/>
  <c r="X10" i="5" a="1"/>
  <c r="X10" i="5" s="1"/>
  <c r="X12" i="5" a="1"/>
  <c r="X12" i="5" s="1"/>
  <c r="X14" i="5" a="1"/>
  <c r="X14" i="5" s="1"/>
  <c r="X13" i="5" a="1"/>
  <c r="X13" i="5" s="1"/>
  <c r="X11" i="5" a="1"/>
  <c r="X11" i="5" s="1"/>
  <c r="Z10" i="5" a="1"/>
  <c r="Z10" i="5" s="1"/>
  <c r="Z12" i="5" a="1"/>
  <c r="Z12" i="5" s="1"/>
  <c r="Z14" i="5" a="1"/>
  <c r="Z14" i="5" s="1"/>
  <c r="Z11" i="5" a="1"/>
  <c r="Z11" i="5" s="1"/>
  <c r="Z13" i="5" a="1"/>
  <c r="Z13" i="5" s="1"/>
  <c r="Y11" i="5" a="1"/>
  <c r="Y11" i="5" s="1"/>
  <c r="Y13" i="5" a="1"/>
  <c r="Y13" i="5" s="1"/>
  <c r="Y12" i="5" a="1"/>
  <c r="Y12" i="5" s="1"/>
  <c r="AA10" i="5" a="1"/>
  <c r="AA10" i="5" s="1"/>
  <c r="AA12" i="5" a="1"/>
  <c r="AA12" i="5" s="1"/>
  <c r="AA14" i="5" a="1"/>
  <c r="AA14" i="5" s="1"/>
  <c r="AA11" i="5" a="1"/>
  <c r="AA11" i="5" s="1"/>
  <c r="Y14" i="5" a="1"/>
  <c r="Y14" i="5" s="1"/>
  <c r="Y10" i="5" a="1"/>
  <c r="Y10" i="5" s="1"/>
  <c r="S47" i="3" a="1"/>
  <c r="S47" i="3" s="1"/>
  <c r="S48" i="3" a="1"/>
  <c r="S48" i="3" s="1"/>
  <c r="S49" i="3" a="1"/>
  <c r="S49" i="3" s="1"/>
  <c r="S50" i="3" a="1"/>
  <c r="S50" i="3" s="1"/>
  <c r="S51" i="3" a="1"/>
  <c r="S51" i="3" s="1"/>
  <c r="S52" i="3" a="1"/>
  <c r="S52" i="3" s="1"/>
  <c r="S53" i="3" a="1"/>
  <c r="S53" i="3" s="1"/>
  <c r="S54" i="3" a="1"/>
  <c r="S54" i="3" s="1"/>
  <c r="S55" i="3" a="1"/>
  <c r="S55" i="3" s="1"/>
  <c r="S85" i="5"/>
  <c r="T85" i="5"/>
  <c r="U85" i="5"/>
  <c r="V85" i="5"/>
  <c r="W85" i="5"/>
  <c r="S86" i="5"/>
  <c r="T86" i="5"/>
  <c r="U86" i="5"/>
  <c r="V86" i="5"/>
  <c r="W86" i="5"/>
  <c r="S87" i="5"/>
  <c r="T87" i="5"/>
  <c r="U87" i="5"/>
  <c r="V87" i="5"/>
  <c r="W87" i="5"/>
  <c r="S88" i="5"/>
  <c r="T88" i="5"/>
  <c r="U88" i="5"/>
  <c r="V88" i="5"/>
  <c r="W88" i="5"/>
  <c r="S89" i="5"/>
  <c r="T89" i="5"/>
  <c r="U89" i="5"/>
  <c r="V89" i="5"/>
  <c r="W89" i="5"/>
  <c r="S90" i="5"/>
  <c r="T90" i="5"/>
  <c r="U90" i="5"/>
  <c r="V90" i="5"/>
  <c r="W90" i="5"/>
  <c r="S91" i="5"/>
  <c r="T91" i="5"/>
  <c r="U91" i="5"/>
  <c r="V91" i="5"/>
  <c r="W91" i="5"/>
  <c r="S92" i="5"/>
  <c r="T92" i="5"/>
  <c r="U92" i="5"/>
  <c r="V92" i="5"/>
  <c r="W92" i="5"/>
  <c r="S93" i="5"/>
  <c r="T93" i="5"/>
  <c r="U93" i="5"/>
  <c r="V93" i="5"/>
  <c r="W93" i="5"/>
  <c r="S94" i="5"/>
  <c r="T94" i="5"/>
  <c r="U94" i="5"/>
  <c r="V94" i="5"/>
  <c r="W94" i="5"/>
  <c r="S95" i="5"/>
  <c r="T95" i="5"/>
  <c r="U95" i="5"/>
  <c r="V95" i="5"/>
  <c r="W95" i="5"/>
  <c r="S96" i="5"/>
  <c r="T96" i="5"/>
  <c r="U96" i="5"/>
  <c r="V96" i="5"/>
  <c r="W96" i="5"/>
  <c r="S16" i="5" a="1"/>
  <c r="S16" i="5" s="1"/>
  <c r="S17" i="5" s="1"/>
  <c r="T16" i="5" a="1"/>
  <c r="T16" i="5" s="1"/>
  <c r="T17" i="5" s="1"/>
  <c r="U16" i="5" a="1"/>
  <c r="U16" i="5" s="1"/>
  <c r="U17" i="5" s="1"/>
  <c r="V16" i="5" a="1"/>
  <c r="V16" i="5" s="1"/>
  <c r="V17" i="5" s="1"/>
  <c r="W16" i="5" a="1"/>
  <c r="W16" i="5" s="1"/>
  <c r="W17" i="5" s="1"/>
  <c r="S8" i="5" a="1"/>
  <c r="S8" i="5" s="1"/>
  <c r="S9" i="5" s="1"/>
  <c r="T8" i="5" a="1"/>
  <c r="T8" i="5" s="1"/>
  <c r="T9" i="5" s="1"/>
  <c r="U8" i="5" a="1"/>
  <c r="U8" i="5" s="1"/>
  <c r="U9" i="5" s="1"/>
  <c r="V8" i="5" a="1"/>
  <c r="V8" i="5" s="1"/>
  <c r="V9" i="5" s="1"/>
  <c r="W8" i="5" a="1"/>
  <c r="W8" i="5" s="1"/>
  <c r="W9" i="5" s="1"/>
  <c r="S6" i="5" a="1"/>
  <c r="S6" i="5" s="1"/>
  <c r="T6" i="5" a="1"/>
  <c r="T6" i="5" s="1"/>
  <c r="U6" i="5" a="1"/>
  <c r="U6" i="5" s="1"/>
  <c r="V6" i="5" a="1"/>
  <c r="V6" i="5" s="1"/>
  <c r="W6" i="5" a="1"/>
  <c r="W6" i="5" s="1"/>
  <c r="S5" i="5" a="1"/>
  <c r="S5" i="5" s="1"/>
  <c r="T5" i="5" a="1"/>
  <c r="T5" i="5" s="1"/>
  <c r="U5" i="5" a="1"/>
  <c r="U5" i="5" s="1"/>
  <c r="V5" i="5" a="1"/>
  <c r="V5" i="5" s="1"/>
  <c r="W5" i="5" a="1"/>
  <c r="W5" i="5" s="1"/>
  <c r="S4" i="5"/>
  <c r="T4" i="5"/>
  <c r="U4" i="5"/>
  <c r="V4" i="5"/>
  <c r="W4" i="5"/>
  <c r="U18" i="5" l="1" a="1"/>
  <c r="U18" i="5" s="1"/>
  <c r="U20" i="5" a="1"/>
  <c r="U20" i="5" s="1"/>
  <c r="U22" i="5" a="1"/>
  <c r="U22" i="5" s="1"/>
  <c r="U19" i="5" a="1"/>
  <c r="U19" i="5" s="1"/>
  <c r="U21" i="5" a="1"/>
  <c r="U21" i="5" s="1"/>
  <c r="T19" i="5" a="1"/>
  <c r="T19" i="5" s="1"/>
  <c r="T21" i="5" a="1"/>
  <c r="T21" i="5" s="1"/>
  <c r="T18" i="5" a="1"/>
  <c r="T18" i="5" s="1"/>
  <c r="T20" i="5" a="1"/>
  <c r="T20" i="5" s="1"/>
  <c r="T22" i="5" a="1"/>
  <c r="T22" i="5" s="1"/>
  <c r="S18" i="5" a="1"/>
  <c r="S18" i="5" s="1"/>
  <c r="S20" i="5" a="1"/>
  <c r="S20" i="5" s="1"/>
  <c r="S22" i="5" a="1"/>
  <c r="S22" i="5" s="1"/>
  <c r="S19" i="5" a="1"/>
  <c r="S19" i="5" s="1"/>
  <c r="S21" i="5" a="1"/>
  <c r="S21" i="5" s="1"/>
  <c r="W18" i="5" a="1"/>
  <c r="W18" i="5" s="1"/>
  <c r="W20" i="5" a="1"/>
  <c r="W20" i="5" s="1"/>
  <c r="W22" i="5" a="1"/>
  <c r="W22" i="5" s="1"/>
  <c r="W19" i="5" a="1"/>
  <c r="W19" i="5" s="1"/>
  <c r="W21" i="5" a="1"/>
  <c r="W21" i="5" s="1"/>
  <c r="V19" i="5" a="1"/>
  <c r="V19" i="5" s="1"/>
  <c r="V21" i="5" a="1"/>
  <c r="V21" i="5" s="1"/>
  <c r="V18" i="5" a="1"/>
  <c r="V18" i="5" s="1"/>
  <c r="V20" i="5" a="1"/>
  <c r="V20" i="5" s="1"/>
  <c r="V22" i="5" a="1"/>
  <c r="V22" i="5" s="1"/>
  <c r="V10" i="5" a="1"/>
  <c r="V10" i="5" s="1"/>
  <c r="V12" i="5" a="1"/>
  <c r="V12" i="5" s="1"/>
  <c r="V14" i="5" a="1"/>
  <c r="V14" i="5" s="1"/>
  <c r="V11" i="5" a="1"/>
  <c r="V11" i="5" s="1"/>
  <c r="V13" i="5" a="1"/>
  <c r="V13" i="5" s="1"/>
  <c r="W11" i="5" a="1"/>
  <c r="W11" i="5" s="1"/>
  <c r="W13" i="5" a="1"/>
  <c r="W13" i="5" s="1"/>
  <c r="W10" i="5" a="1"/>
  <c r="W10" i="5" s="1"/>
  <c r="W12" i="5" a="1"/>
  <c r="W12" i="5" s="1"/>
  <c r="W14" i="5" a="1"/>
  <c r="W14" i="5" s="1"/>
  <c r="U11" i="5" a="1"/>
  <c r="U11" i="5" s="1"/>
  <c r="U13" i="5" a="1"/>
  <c r="U13" i="5" s="1"/>
  <c r="U10" i="5" a="1"/>
  <c r="U10" i="5" s="1"/>
  <c r="U12" i="5" a="1"/>
  <c r="U12" i="5" s="1"/>
  <c r="U14" i="5" a="1"/>
  <c r="U14" i="5" s="1"/>
  <c r="T10" i="5" a="1"/>
  <c r="T10" i="5" s="1"/>
  <c r="T12" i="5" a="1"/>
  <c r="T12" i="5" s="1"/>
  <c r="T14" i="5" a="1"/>
  <c r="T14" i="5" s="1"/>
  <c r="T11" i="5" a="1"/>
  <c r="T11" i="5" s="1"/>
  <c r="T13" i="5" a="1"/>
  <c r="T13" i="5" s="1"/>
  <c r="S11" i="5" a="1"/>
  <c r="S11" i="5" s="1"/>
  <c r="S13" i="5" a="1"/>
  <c r="S13" i="5" s="1"/>
  <c r="S10" i="5" a="1"/>
  <c r="S10" i="5" s="1"/>
  <c r="S12" i="5" a="1"/>
  <c r="S12" i="5" s="1"/>
  <c r="S14" i="5" a="1"/>
  <c r="S14" i="5" s="1"/>
  <c r="C6" i="5" a="1"/>
  <c r="C6" i="5" s="1"/>
  <c r="B25" i="5"/>
  <c r="B5" i="8" a="1"/>
  <c r="B5" i="8" s="1"/>
  <c r="AB53" i="3"/>
  <c r="AB54" i="3"/>
  <c r="P4" i="3" a="1"/>
  <c r="P4" i="3" s="1"/>
  <c r="P5" i="3" a="1"/>
  <c r="P5" i="3" s="1"/>
  <c r="P6" i="3" a="1"/>
  <c r="P6" i="3" s="1"/>
  <c r="P7" i="3" a="1"/>
  <c r="P7" i="3" s="1"/>
  <c r="P8" i="3" a="1"/>
  <c r="P8" i="3" s="1"/>
  <c r="P9" i="3" a="1"/>
  <c r="P9" i="3" s="1"/>
  <c r="P10" i="3" a="1"/>
  <c r="P10" i="3" s="1"/>
  <c r="P11" i="3" a="1"/>
  <c r="P11" i="3" s="1"/>
  <c r="P12" i="3" a="1"/>
  <c r="P12" i="3" s="1"/>
  <c r="I12" i="3" s="1" a="1"/>
  <c r="I12" i="3" s="1"/>
  <c r="P3" i="3" a="1"/>
  <c r="P3" i="3" s="1"/>
  <c r="W3" i="2" a="1"/>
  <c r="W3" i="2" s="1"/>
  <c r="E15" i="3"/>
  <c r="AB3" i="3"/>
  <c r="F2" i="8" a="1"/>
  <c r="F2" i="8" s="1"/>
  <c r="C3" i="2"/>
  <c r="S6" i="3" a="1"/>
  <c r="S6" i="3" s="1"/>
  <c r="AA25" i="5" l="1"/>
  <c r="X25" i="5"/>
  <c r="Y25" i="5"/>
  <c r="Z25" i="5"/>
  <c r="T25" i="5"/>
  <c r="U25" i="5"/>
  <c r="V25" i="5"/>
  <c r="S25" i="5"/>
  <c r="W25" i="5"/>
  <c r="B6" i="8" a="1"/>
  <c r="B6" i="8" s="1"/>
  <c r="M10" i="3" a="1"/>
  <c r="M10" i="3" s="1"/>
  <c r="M5" i="3" a="1"/>
  <c r="M5" i="3" s="1"/>
  <c r="M8" i="3" a="1"/>
  <c r="M8" i="3" s="1"/>
  <c r="M4" i="3" a="1"/>
  <c r="M4" i="3" s="1"/>
  <c r="M11" i="3" a="1"/>
  <c r="M11" i="3" s="1"/>
  <c r="M7" i="3" a="1"/>
  <c r="M7" i="3" s="1"/>
  <c r="M6" i="3" a="1"/>
  <c r="M6" i="3" s="1"/>
  <c r="M9" i="3" a="1"/>
  <c r="M9" i="3" s="1"/>
  <c r="M12" i="3" a="1"/>
  <c r="M12" i="3" s="1"/>
  <c r="H3" i="3" a="1"/>
  <c r="H3" i="3" s="1"/>
  <c r="M3" i="3" a="1"/>
  <c r="M3" i="3" s="1"/>
  <c r="I8" i="3" a="1"/>
  <c r="I8" i="3" s="1"/>
  <c r="I10" i="3" a="1"/>
  <c r="I10" i="3" s="1"/>
  <c r="I6" i="3" a="1"/>
  <c r="I6" i="3" s="1"/>
  <c r="H9" i="3" a="1"/>
  <c r="H9" i="3" s="1"/>
  <c r="H5" i="3" a="1"/>
  <c r="H5" i="3" s="1"/>
  <c r="I4" i="3" a="1"/>
  <c r="I4" i="3" s="1"/>
  <c r="J11" i="3" a="1"/>
  <c r="J11" i="3" s="1"/>
  <c r="J7" i="3" a="1"/>
  <c r="J7" i="3" s="1"/>
  <c r="O11" i="3" a="1"/>
  <c r="O11" i="3" s="1"/>
  <c r="O7" i="3" a="1"/>
  <c r="O7" i="3" s="1"/>
  <c r="N3" i="3" a="1"/>
  <c r="N3" i="3" s="1"/>
  <c r="N9" i="3" a="1"/>
  <c r="N9" i="3" s="1"/>
  <c r="N5" i="3" a="1"/>
  <c r="N5" i="3" s="1"/>
  <c r="L3" i="3" a="1"/>
  <c r="L3" i="3" s="1"/>
  <c r="L9" i="3" a="1"/>
  <c r="L9" i="3" s="1"/>
  <c r="L5" i="3" a="1"/>
  <c r="L5" i="3" s="1"/>
  <c r="K11" i="3" a="1"/>
  <c r="K11" i="3" s="1"/>
  <c r="K7" i="3" a="1"/>
  <c r="K7" i="3" s="1"/>
  <c r="J3" i="3" a="1"/>
  <c r="J3" i="3" s="1"/>
  <c r="J9" i="3" a="1"/>
  <c r="J9" i="3" s="1"/>
  <c r="J5" i="3" a="1"/>
  <c r="J5" i="3" s="1"/>
  <c r="H11" i="3" a="1"/>
  <c r="H11" i="3" s="1"/>
  <c r="H7" i="3" a="1"/>
  <c r="H7" i="3" s="1"/>
  <c r="O10" i="3" a="1"/>
  <c r="O10" i="3" s="1"/>
  <c r="O6" i="3" a="1"/>
  <c r="O6" i="3" s="1"/>
  <c r="N12" i="3" a="1"/>
  <c r="N12" i="3" s="1"/>
  <c r="N8" i="3" a="1"/>
  <c r="N8" i="3" s="1"/>
  <c r="N4" i="3" a="1"/>
  <c r="N4" i="3" s="1"/>
  <c r="L12" i="3" a="1"/>
  <c r="L12" i="3" s="1"/>
  <c r="L8" i="3" a="1"/>
  <c r="L8" i="3" s="1"/>
  <c r="L4" i="3" a="1"/>
  <c r="L4" i="3" s="1"/>
  <c r="K10" i="3" a="1"/>
  <c r="K10" i="3" s="1"/>
  <c r="K6" i="3" a="1"/>
  <c r="K6" i="3" s="1"/>
  <c r="J12" i="3" a="1"/>
  <c r="J12" i="3" s="1"/>
  <c r="J8" i="3" a="1"/>
  <c r="J8" i="3" s="1"/>
  <c r="J4" i="3" a="1"/>
  <c r="J4" i="3" s="1"/>
  <c r="H10" i="3" a="1"/>
  <c r="H10" i="3" s="1"/>
  <c r="H6" i="3" a="1"/>
  <c r="H6" i="3" s="1"/>
  <c r="I3" i="3" a="1"/>
  <c r="I3" i="3" s="1"/>
  <c r="I11" i="3" a="1"/>
  <c r="I11" i="3" s="1"/>
  <c r="I9" i="3" a="1"/>
  <c r="I9" i="3" s="1"/>
  <c r="I7" i="3" a="1"/>
  <c r="I7" i="3" s="1"/>
  <c r="I5" i="3" a="1"/>
  <c r="I5" i="3" s="1"/>
  <c r="O3" i="3" a="1"/>
  <c r="O3" i="3" s="1"/>
  <c r="O9" i="3" a="1"/>
  <c r="O9" i="3" s="1"/>
  <c r="O5" i="3" a="1"/>
  <c r="O5" i="3" s="1"/>
  <c r="N11" i="3" a="1"/>
  <c r="N11" i="3" s="1"/>
  <c r="N7" i="3" a="1"/>
  <c r="N7" i="3" s="1"/>
  <c r="L11" i="3" a="1"/>
  <c r="L11" i="3" s="1"/>
  <c r="L7" i="3" a="1"/>
  <c r="L7" i="3" s="1"/>
  <c r="K3" i="3" a="1"/>
  <c r="K3" i="3" s="1"/>
  <c r="K9" i="3" a="1"/>
  <c r="K9" i="3" s="1"/>
  <c r="K5" i="3" a="1"/>
  <c r="K5" i="3" s="1"/>
  <c r="O12" i="3" a="1"/>
  <c r="O12" i="3" s="1"/>
  <c r="O8" i="3" a="1"/>
  <c r="O8" i="3" s="1"/>
  <c r="O4" i="3" a="1"/>
  <c r="O4" i="3" s="1"/>
  <c r="N10" i="3" a="1"/>
  <c r="N10" i="3" s="1"/>
  <c r="N6" i="3" a="1"/>
  <c r="N6" i="3" s="1"/>
  <c r="L10" i="3" a="1"/>
  <c r="L10" i="3" s="1"/>
  <c r="L6" i="3" a="1"/>
  <c r="L6" i="3" s="1"/>
  <c r="K12" i="3" a="1"/>
  <c r="K12" i="3" s="1"/>
  <c r="K8" i="3" a="1"/>
  <c r="K8" i="3" s="1"/>
  <c r="K4" i="3" a="1"/>
  <c r="K4" i="3" s="1"/>
  <c r="J10" i="3" a="1"/>
  <c r="J10" i="3" s="1"/>
  <c r="J6" i="3" a="1"/>
  <c r="J6" i="3" s="1"/>
  <c r="H12" i="3" a="1"/>
  <c r="H12" i="3" s="1"/>
  <c r="H8" i="3" a="1"/>
  <c r="H8" i="3" s="1"/>
  <c r="H4" i="3" a="1"/>
  <c r="H4" i="3" s="1"/>
  <c r="R16" i="5" a="1"/>
  <c r="R16" i="5" s="1"/>
  <c r="R17" i="5" s="1"/>
  <c r="R8" i="5" a="1"/>
  <c r="R8" i="5" s="1"/>
  <c r="R9" i="5" s="1"/>
  <c r="W4" i="2" a="1"/>
  <c r="W4" i="2" s="1"/>
  <c r="W5" i="2" a="1"/>
  <c r="W5" i="2" s="1"/>
  <c r="W6" i="2" a="1"/>
  <c r="W6" i="2" s="1"/>
  <c r="W7" i="2" a="1"/>
  <c r="W7" i="2" s="1"/>
  <c r="W8" i="2" a="1"/>
  <c r="W8" i="2" s="1"/>
  <c r="W9" i="2" a="1"/>
  <c r="W9" i="2" s="1"/>
  <c r="W10" i="2" a="1"/>
  <c r="W10" i="2" s="1"/>
  <c r="W11" i="2" a="1"/>
  <c r="W11" i="2" s="1"/>
  <c r="W12" i="2" a="1"/>
  <c r="W12" i="2" s="1"/>
  <c r="W13" i="2" a="1"/>
  <c r="W13" i="2" s="1"/>
  <c r="W14" i="2" a="1"/>
  <c r="W14" i="2" s="1"/>
  <c r="W15" i="2" a="1"/>
  <c r="W15" i="2" s="1"/>
  <c r="W16" i="2" a="1"/>
  <c r="W16" i="2" s="1"/>
  <c r="W17" i="2" a="1"/>
  <c r="W17" i="2" s="1"/>
  <c r="W18" i="2" a="1"/>
  <c r="W18" i="2" s="1"/>
  <c r="W19" i="2" a="1"/>
  <c r="W19" i="2" s="1"/>
  <c r="W20" i="2" a="1"/>
  <c r="W20" i="2" s="1"/>
  <c r="W21" i="2" a="1"/>
  <c r="W21" i="2" s="1"/>
  <c r="W22" i="2" a="1"/>
  <c r="W22" i="2" s="1"/>
  <c r="AB4" i="3"/>
  <c r="AB38" i="3"/>
  <c r="AB39" i="3"/>
  <c r="AB40" i="3"/>
  <c r="AB41" i="3"/>
  <c r="AB42" i="3"/>
  <c r="AB43" i="3"/>
  <c r="AB44" i="3"/>
  <c r="AB45" i="3"/>
  <c r="AB46" i="3"/>
  <c r="AB47" i="3"/>
  <c r="AB48" i="3"/>
  <c r="AB49" i="3"/>
  <c r="AB50" i="3"/>
  <c r="AB51" i="3"/>
  <c r="AB52" i="3"/>
  <c r="S45" i="3" a="1"/>
  <c r="S45" i="3" s="1"/>
  <c r="S46" i="3" a="1"/>
  <c r="S46" i="3" s="1"/>
  <c r="AB33" i="3"/>
  <c r="Z33" i="3" s="1" a="1"/>
  <c r="Z33" i="3" s="1"/>
  <c r="R10" i="5" l="1" a="1"/>
  <c r="R10" i="5" s="1"/>
  <c r="R12" i="5" a="1"/>
  <c r="R12" i="5" s="1"/>
  <c r="B7" i="8" a="1"/>
  <c r="B7" i="8" s="1"/>
  <c r="V3" i="2" a="1"/>
  <c r="V3" i="2" s="1"/>
  <c r="AA54" i="3" a="1"/>
  <c r="AA54" i="3" s="1"/>
  <c r="Y54" i="3" a="1"/>
  <c r="Y54" i="3" s="1"/>
  <c r="Y53" i="3" a="1"/>
  <c r="Y53" i="3" s="1"/>
  <c r="V53" i="3" a="1"/>
  <c r="V53" i="3" s="1"/>
  <c r="W54" i="3" a="1"/>
  <c r="W54" i="3" s="1"/>
  <c r="AA53" i="3" a="1"/>
  <c r="AA53" i="3" s="1"/>
  <c r="X53" i="3" a="1"/>
  <c r="X53" i="3" s="1"/>
  <c r="V54" i="3" a="1"/>
  <c r="V54" i="3" s="1"/>
  <c r="X54" i="3" a="1"/>
  <c r="X54" i="3" s="1"/>
  <c r="Z53" i="3" a="1"/>
  <c r="Z53" i="3" s="1"/>
  <c r="U53" i="3" a="1"/>
  <c r="U53" i="3" s="1"/>
  <c r="W53" i="3" a="1"/>
  <c r="W53" i="3" s="1"/>
  <c r="Z54" i="3" a="1"/>
  <c r="Z54" i="3" s="1"/>
  <c r="U54" i="3" a="1"/>
  <c r="U54" i="3" s="1"/>
  <c r="V49" i="3" a="1"/>
  <c r="V49" i="3" s="1"/>
  <c r="V45" i="3" a="1"/>
  <c r="V45" i="3" s="1"/>
  <c r="V41" i="3" a="1"/>
  <c r="V41" i="3" s="1"/>
  <c r="V52" i="3" a="1"/>
  <c r="V52" i="3" s="1"/>
  <c r="V48" i="3" a="1"/>
  <c r="V48" i="3" s="1"/>
  <c r="V44" i="3" a="1"/>
  <c r="V44" i="3" s="1"/>
  <c r="V40" i="3" a="1"/>
  <c r="V40" i="3" s="1"/>
  <c r="V47" i="3" a="1"/>
  <c r="V47" i="3" s="1"/>
  <c r="V43" i="3" a="1"/>
  <c r="V43" i="3" s="1"/>
  <c r="V39" i="3" a="1"/>
  <c r="V39" i="3" s="1"/>
  <c r="V50" i="3" a="1"/>
  <c r="V50" i="3" s="1"/>
  <c r="V46" i="3" a="1"/>
  <c r="V46" i="3" s="1"/>
  <c r="V38" i="3" a="1"/>
  <c r="V38" i="3" s="1"/>
  <c r="R18" i="5" a="1"/>
  <c r="R18" i="5" s="1"/>
  <c r="R20" i="5" a="1"/>
  <c r="R20" i="5" s="1"/>
  <c r="R21" i="5" a="1"/>
  <c r="R21" i="5" s="1"/>
  <c r="R19" i="5" a="1"/>
  <c r="R19" i="5" s="1"/>
  <c r="R22" i="5" a="1"/>
  <c r="R22" i="5" s="1"/>
  <c r="V51" i="3" a="1"/>
  <c r="V51" i="3" s="1"/>
  <c r="U42" i="3" a="1"/>
  <c r="U42" i="3" s="1"/>
  <c r="V33" i="3" a="1"/>
  <c r="V33" i="3" s="1"/>
  <c r="V42" i="3" a="1"/>
  <c r="V42" i="3" s="1"/>
  <c r="P17" i="2" a="1"/>
  <c r="P17" i="2" s="1"/>
  <c r="Q20" i="2" a="1"/>
  <c r="Q20" i="2" s="1"/>
  <c r="Q3" i="2" a="1"/>
  <c r="Q3" i="2" s="1"/>
  <c r="Q21" i="2" a="1"/>
  <c r="Q21" i="2" s="1"/>
  <c r="P22" i="2" a="1"/>
  <c r="P22" i="2" s="1"/>
  <c r="Q22" i="2" a="1"/>
  <c r="Q22" i="2" s="1"/>
  <c r="Q18" i="2" a="1"/>
  <c r="Q18" i="2" s="1"/>
  <c r="Q14" i="2" a="1"/>
  <c r="Q14" i="2" s="1"/>
  <c r="Q10" i="2" a="1"/>
  <c r="Q10" i="2" s="1"/>
  <c r="Q6" i="2" a="1"/>
  <c r="Q6" i="2" s="1"/>
  <c r="Q17" i="2" a="1"/>
  <c r="Q17" i="2" s="1"/>
  <c r="Q13" i="2" a="1"/>
  <c r="Q13" i="2" s="1"/>
  <c r="Q9" i="2" a="1"/>
  <c r="Q9" i="2" s="1"/>
  <c r="Q5" i="2" a="1"/>
  <c r="Q5" i="2" s="1"/>
  <c r="Q16" i="2" a="1"/>
  <c r="Q16" i="2" s="1"/>
  <c r="Q12" i="2" a="1"/>
  <c r="Q12" i="2" s="1"/>
  <c r="Q8" i="2" a="1"/>
  <c r="Q8" i="2" s="1"/>
  <c r="Q4" i="2" a="1"/>
  <c r="Q4" i="2" s="1"/>
  <c r="Q19" i="2" a="1"/>
  <c r="Q19" i="2" s="1"/>
  <c r="Q15" i="2" a="1"/>
  <c r="Q15" i="2" s="1"/>
  <c r="Q11" i="2" a="1"/>
  <c r="Q11" i="2" s="1"/>
  <c r="Q7" i="2" a="1"/>
  <c r="Q7" i="2" s="1"/>
  <c r="Y40" i="3" a="1"/>
  <c r="Y40" i="3" s="1"/>
  <c r="R13" i="5" a="1"/>
  <c r="R13" i="5" s="1"/>
  <c r="R11" i="5" a="1"/>
  <c r="R11" i="5" s="1"/>
  <c r="R14" i="5" a="1"/>
  <c r="R14" i="5" s="1"/>
  <c r="W51" i="3" a="1"/>
  <c r="W51" i="3" s="1"/>
  <c r="W47" i="3" a="1"/>
  <c r="W47" i="3" s="1"/>
  <c r="W43" i="3" a="1"/>
  <c r="W43" i="3" s="1"/>
  <c r="W39" i="3" a="1"/>
  <c r="W39" i="3" s="1"/>
  <c r="U38" i="3" a="1"/>
  <c r="U38" i="3" s="1"/>
  <c r="AA45" i="3" a="1"/>
  <c r="AA45" i="3" s="1"/>
  <c r="U46" i="3" a="1"/>
  <c r="U46" i="3" s="1"/>
  <c r="U50" i="3" a="1"/>
  <c r="U50" i="3" s="1"/>
  <c r="Y48" i="3" a="1"/>
  <c r="Y48" i="3" s="1"/>
  <c r="X50" i="3" a="1"/>
  <c r="X50" i="3" s="1"/>
  <c r="X46" i="3" a="1"/>
  <c r="X46" i="3" s="1"/>
  <c r="X49" i="3" a="1"/>
  <c r="X49" i="3" s="1"/>
  <c r="Y49" i="3" a="1"/>
  <c r="Y49" i="3" s="1"/>
  <c r="U49" i="3" a="1"/>
  <c r="U49" i="3" s="1"/>
  <c r="Z49" i="3" a="1"/>
  <c r="Z49" i="3" s="1"/>
  <c r="X45" i="3" a="1"/>
  <c r="X45" i="3" s="1"/>
  <c r="Y45" i="3" a="1"/>
  <c r="Y45" i="3" s="1"/>
  <c r="U45" i="3" a="1"/>
  <c r="U45" i="3" s="1"/>
  <c r="Z45" i="3" a="1"/>
  <c r="Z45" i="3" s="1"/>
  <c r="X41" i="3" a="1"/>
  <c r="X41" i="3" s="1"/>
  <c r="Y41" i="3" a="1"/>
  <c r="Y41" i="3" s="1"/>
  <c r="U41" i="3" a="1"/>
  <c r="U41" i="3" s="1"/>
  <c r="Z41" i="3" a="1"/>
  <c r="Z41" i="3" s="1"/>
  <c r="Y50" i="3" a="1"/>
  <c r="Y50" i="3" s="1"/>
  <c r="AA47" i="3" a="1"/>
  <c r="AA47" i="3" s="1"/>
  <c r="W45" i="3" a="1"/>
  <c r="W45" i="3" s="1"/>
  <c r="Y42" i="3" a="1"/>
  <c r="Y42" i="3" s="1"/>
  <c r="AA39" i="3" a="1"/>
  <c r="AA39" i="3" s="1"/>
  <c r="U52" i="3" a="1"/>
  <c r="U52" i="3" s="1"/>
  <c r="Z52" i="3" a="1"/>
  <c r="Z52" i="3" s="1"/>
  <c r="W52" i="3" a="1"/>
  <c r="W52" i="3" s="1"/>
  <c r="AA52" i="3" a="1"/>
  <c r="AA52" i="3" s="1"/>
  <c r="X52" i="3" a="1"/>
  <c r="X52" i="3" s="1"/>
  <c r="U48" i="3" a="1"/>
  <c r="U48" i="3" s="1"/>
  <c r="Z48" i="3" a="1"/>
  <c r="Z48" i="3" s="1"/>
  <c r="W48" i="3" a="1"/>
  <c r="W48" i="3" s="1"/>
  <c r="AA48" i="3" a="1"/>
  <c r="AA48" i="3" s="1"/>
  <c r="X48" i="3" a="1"/>
  <c r="X48" i="3" s="1"/>
  <c r="U44" i="3" a="1"/>
  <c r="U44" i="3" s="1"/>
  <c r="Z44" i="3" a="1"/>
  <c r="Z44" i="3" s="1"/>
  <c r="W44" i="3" a="1"/>
  <c r="W44" i="3" s="1"/>
  <c r="AA44" i="3" a="1"/>
  <c r="AA44" i="3" s="1"/>
  <c r="X44" i="3" a="1"/>
  <c r="X44" i="3" s="1"/>
  <c r="U40" i="3" a="1"/>
  <c r="U40" i="3" s="1"/>
  <c r="Z40" i="3" a="1"/>
  <c r="Z40" i="3" s="1"/>
  <c r="W40" i="3" a="1"/>
  <c r="W40" i="3" s="1"/>
  <c r="AA40" i="3" a="1"/>
  <c r="AA40" i="3" s="1"/>
  <c r="X40" i="3" a="1"/>
  <c r="X40" i="3" s="1"/>
  <c r="Y52" i="3" a="1"/>
  <c r="Y52" i="3" s="1"/>
  <c r="AA49" i="3" a="1"/>
  <c r="AA49" i="3" s="1"/>
  <c r="Y44" i="3" a="1"/>
  <c r="Y44" i="3" s="1"/>
  <c r="AA41" i="3" a="1"/>
  <c r="AA41" i="3" s="1"/>
  <c r="X33" i="3" a="1"/>
  <c r="X33" i="3" s="1"/>
  <c r="AA33" i="3" a="1"/>
  <c r="AA33" i="3" s="1"/>
  <c r="U33" i="3" a="1"/>
  <c r="U33" i="3" s="1"/>
  <c r="Y33" i="3" a="1"/>
  <c r="Y33" i="3" s="1"/>
  <c r="X51" i="3" a="1"/>
  <c r="X51" i="3" s="1"/>
  <c r="Y51" i="3" a="1"/>
  <c r="Y51" i="3" s="1"/>
  <c r="U51" i="3" a="1"/>
  <c r="U51" i="3" s="1"/>
  <c r="Z51" i="3" a="1"/>
  <c r="Z51" i="3" s="1"/>
  <c r="X47" i="3" a="1"/>
  <c r="X47" i="3" s="1"/>
  <c r="Y47" i="3" a="1"/>
  <c r="Y47" i="3" s="1"/>
  <c r="U47" i="3" a="1"/>
  <c r="U47" i="3" s="1"/>
  <c r="Z47" i="3" a="1"/>
  <c r="Z47" i="3" s="1"/>
  <c r="X43" i="3" a="1"/>
  <c r="X43" i="3" s="1"/>
  <c r="Y43" i="3" a="1"/>
  <c r="Y43" i="3" s="1"/>
  <c r="U43" i="3" a="1"/>
  <c r="U43" i="3" s="1"/>
  <c r="Z43" i="3" a="1"/>
  <c r="Z43" i="3" s="1"/>
  <c r="X39" i="3" a="1"/>
  <c r="X39" i="3" s="1"/>
  <c r="Y39" i="3" a="1"/>
  <c r="Y39" i="3" s="1"/>
  <c r="U39" i="3" a="1"/>
  <c r="U39" i="3" s="1"/>
  <c r="Z39" i="3" a="1"/>
  <c r="Z39" i="3" s="1"/>
  <c r="W33" i="3" a="1"/>
  <c r="W33" i="3" s="1"/>
  <c r="AA51" i="3" a="1"/>
  <c r="AA51" i="3" s="1"/>
  <c r="W49" i="3" a="1"/>
  <c r="W49" i="3" s="1"/>
  <c r="Y46" i="3" a="1"/>
  <c r="Y46" i="3" s="1"/>
  <c r="AA43" i="3" a="1"/>
  <c r="AA43" i="3" s="1"/>
  <c r="W41" i="3" a="1"/>
  <c r="W41" i="3" s="1"/>
  <c r="Y38" i="3" a="1"/>
  <c r="Y38" i="3" s="1"/>
  <c r="X42" i="3" a="1"/>
  <c r="X42" i="3" s="1"/>
  <c r="X38" i="3" a="1"/>
  <c r="X38" i="3" s="1"/>
  <c r="AA50" i="3" a="1"/>
  <c r="AA50" i="3" s="1"/>
  <c r="W50" i="3" a="1"/>
  <c r="W50" i="3" s="1"/>
  <c r="AA46" i="3" a="1"/>
  <c r="AA46" i="3" s="1"/>
  <c r="W46" i="3" a="1"/>
  <c r="W46" i="3" s="1"/>
  <c r="AA42" i="3" a="1"/>
  <c r="AA42" i="3" s="1"/>
  <c r="W42" i="3" a="1"/>
  <c r="W42" i="3" s="1"/>
  <c r="AA38" i="3" a="1"/>
  <c r="AA38" i="3" s="1"/>
  <c r="W38" i="3" a="1"/>
  <c r="W38" i="3" s="1"/>
  <c r="Z50" i="3" a="1"/>
  <c r="Z50" i="3" s="1"/>
  <c r="Z46" i="3" a="1"/>
  <c r="Z46" i="3" s="1"/>
  <c r="Z42" i="3" a="1"/>
  <c r="Z42" i="3" s="1"/>
  <c r="Z38" i="3" a="1"/>
  <c r="Z38" i="3" s="1"/>
  <c r="R21" i="2" a="1"/>
  <c r="R21" i="2" s="1"/>
  <c r="R3" i="2" a="1"/>
  <c r="R3" i="2" s="1"/>
  <c r="R19" i="2" a="1"/>
  <c r="R19" i="2" s="1"/>
  <c r="R15" i="2" a="1"/>
  <c r="R15" i="2" s="1"/>
  <c r="R7" i="2" a="1"/>
  <c r="R7" i="2" s="1"/>
  <c r="R18" i="2" a="1"/>
  <c r="R18" i="2" s="1"/>
  <c r="R14" i="2" a="1"/>
  <c r="R14" i="2" s="1"/>
  <c r="R10" i="2" a="1"/>
  <c r="R10" i="2" s="1"/>
  <c r="R6" i="2" a="1"/>
  <c r="R6" i="2" s="1"/>
  <c r="R17" i="2" a="1"/>
  <c r="R17" i="2" s="1"/>
  <c r="R13" i="2" a="1"/>
  <c r="R13" i="2" s="1"/>
  <c r="R5" i="2" a="1"/>
  <c r="R5" i="2" s="1"/>
  <c r="R20" i="2" a="1"/>
  <c r="R20" i="2" s="1"/>
  <c r="R16" i="2" a="1"/>
  <c r="R16" i="2" s="1"/>
  <c r="R12" i="2" a="1"/>
  <c r="R12" i="2" s="1"/>
  <c r="R4" i="2" a="1"/>
  <c r="R4" i="2" s="1"/>
  <c r="R22" i="2" a="1"/>
  <c r="R22" i="2" s="1"/>
  <c r="R9" i="2" a="1"/>
  <c r="R9" i="2" s="1"/>
  <c r="R11" i="2" a="1"/>
  <c r="R11" i="2" s="1"/>
  <c r="R8" i="2" a="1"/>
  <c r="R8" i="2" s="1"/>
  <c r="P20" i="2" a="1"/>
  <c r="P20" i="2" s="1"/>
  <c r="P16" i="2" a="1"/>
  <c r="P16" i="2" s="1"/>
  <c r="P8" i="2" a="1"/>
  <c r="P8" i="2" s="1"/>
  <c r="P3" i="2" a="1"/>
  <c r="P3" i="2" s="1"/>
  <c r="S19" i="2" a="1"/>
  <c r="S19" i="2" s="1"/>
  <c r="S15" i="2" a="1"/>
  <c r="S15" i="2" s="1"/>
  <c r="S11" i="2" a="1"/>
  <c r="S11" i="2" s="1"/>
  <c r="S7" i="2" a="1"/>
  <c r="S7" i="2" s="1"/>
  <c r="S18" i="2" a="1"/>
  <c r="S18" i="2" s="1"/>
  <c r="P14" i="2" a="1"/>
  <c r="P14" i="2" s="1"/>
  <c r="S10" i="2" a="1"/>
  <c r="S10" i="2" s="1"/>
  <c r="P6" i="2" a="1"/>
  <c r="P6" i="2" s="1"/>
  <c r="P12" i="2" a="1"/>
  <c r="P12" i="2" s="1"/>
  <c r="P21" i="2" a="1"/>
  <c r="P21" i="2" s="1"/>
  <c r="P13" i="2" a="1"/>
  <c r="P13" i="2" s="1"/>
  <c r="P9" i="2" a="1"/>
  <c r="P9" i="2" s="1"/>
  <c r="P5" i="2" a="1"/>
  <c r="P5" i="2" s="1"/>
  <c r="P4" i="2" a="1"/>
  <c r="P4" i="2" s="1"/>
  <c r="V19" i="2" a="1"/>
  <c r="V19" i="2" s="1"/>
  <c r="V15" i="2" a="1"/>
  <c r="V15" i="2" s="1"/>
  <c r="V11" i="2" a="1"/>
  <c r="V11" i="2" s="1"/>
  <c r="V7" i="2" a="1"/>
  <c r="V7" i="2" s="1"/>
  <c r="U3" i="2" a="1"/>
  <c r="U3" i="2" s="1"/>
  <c r="U19" i="2" a="1"/>
  <c r="U19" i="2" s="1"/>
  <c r="U15" i="2" a="1"/>
  <c r="U15" i="2" s="1"/>
  <c r="U11" i="2" a="1"/>
  <c r="U11" i="2" s="1"/>
  <c r="U7" i="2" a="1"/>
  <c r="U7" i="2" s="1"/>
  <c r="T3" i="2" a="1"/>
  <c r="T3" i="2" s="1"/>
  <c r="T19" i="2" a="1"/>
  <c r="T19" i="2" s="1"/>
  <c r="T15" i="2" a="1"/>
  <c r="T15" i="2" s="1"/>
  <c r="T11" i="2" a="1"/>
  <c r="T11" i="2" s="1"/>
  <c r="T7" i="2" a="1"/>
  <c r="T7" i="2" s="1"/>
  <c r="S3" i="2" a="1"/>
  <c r="S3" i="2" s="1"/>
  <c r="S17" i="2" a="1"/>
  <c r="S17" i="2" s="1"/>
  <c r="S14" i="2" a="1"/>
  <c r="S14" i="2" s="1"/>
  <c r="S9" i="2" a="1"/>
  <c r="S9" i="2" s="1"/>
  <c r="S6" i="2" a="1"/>
  <c r="S6" i="2" s="1"/>
  <c r="P19" i="2" a="1"/>
  <c r="P19" i="2" s="1"/>
  <c r="P15" i="2" a="1"/>
  <c r="P15" i="2" s="1"/>
  <c r="P11" i="2" a="1"/>
  <c r="P11" i="2" s="1"/>
  <c r="P7" i="2" a="1"/>
  <c r="P7" i="2" s="1"/>
  <c r="V22" i="2" a="1"/>
  <c r="V22" i="2" s="1"/>
  <c r="V18" i="2" a="1"/>
  <c r="V18" i="2" s="1"/>
  <c r="V14" i="2" a="1"/>
  <c r="V14" i="2" s="1"/>
  <c r="V10" i="2" a="1"/>
  <c r="V10" i="2" s="1"/>
  <c r="V6" i="2" a="1"/>
  <c r="V6" i="2" s="1"/>
  <c r="U22" i="2" a="1"/>
  <c r="U22" i="2" s="1"/>
  <c r="U18" i="2" a="1"/>
  <c r="U18" i="2" s="1"/>
  <c r="U14" i="2" a="1"/>
  <c r="U14" i="2" s="1"/>
  <c r="U10" i="2" a="1"/>
  <c r="U10" i="2" s="1"/>
  <c r="U6" i="2" a="1"/>
  <c r="U6" i="2" s="1"/>
  <c r="T22" i="2" a="1"/>
  <c r="T22" i="2" s="1"/>
  <c r="T18" i="2" a="1"/>
  <c r="T18" i="2" s="1"/>
  <c r="T14" i="2" a="1"/>
  <c r="T14" i="2" s="1"/>
  <c r="T10" i="2" a="1"/>
  <c r="T10" i="2" s="1"/>
  <c r="T6" i="2" a="1"/>
  <c r="T6" i="2" s="1"/>
  <c r="S22" i="2" a="1"/>
  <c r="S22" i="2" s="1"/>
  <c r="S16" i="2" a="1"/>
  <c r="S16" i="2" s="1"/>
  <c r="S8" i="2" a="1"/>
  <c r="S8" i="2" s="1"/>
  <c r="P18" i="2" a="1"/>
  <c r="P18" i="2" s="1"/>
  <c r="P10" i="2" a="1"/>
  <c r="P10" i="2" s="1"/>
  <c r="V21" i="2" a="1"/>
  <c r="V21" i="2" s="1"/>
  <c r="V17" i="2" a="1"/>
  <c r="V17" i="2" s="1"/>
  <c r="V13" i="2" a="1"/>
  <c r="V13" i="2" s="1"/>
  <c r="V9" i="2" a="1"/>
  <c r="V9" i="2" s="1"/>
  <c r="V5" i="2" a="1"/>
  <c r="V5" i="2" s="1"/>
  <c r="U21" i="2" a="1"/>
  <c r="U21" i="2" s="1"/>
  <c r="U17" i="2" a="1"/>
  <c r="U17" i="2" s="1"/>
  <c r="U13" i="2" a="1"/>
  <c r="U13" i="2" s="1"/>
  <c r="U9" i="2" a="1"/>
  <c r="U9" i="2" s="1"/>
  <c r="U5" i="2" a="1"/>
  <c r="U5" i="2" s="1"/>
  <c r="T21" i="2" a="1"/>
  <c r="T21" i="2" s="1"/>
  <c r="T17" i="2" a="1"/>
  <c r="T17" i="2" s="1"/>
  <c r="T13" i="2" a="1"/>
  <c r="T13" i="2" s="1"/>
  <c r="T9" i="2" a="1"/>
  <c r="T9" i="2" s="1"/>
  <c r="T5" i="2" a="1"/>
  <c r="T5" i="2" s="1"/>
  <c r="S21" i="2" a="1"/>
  <c r="S21" i="2" s="1"/>
  <c r="S13" i="2" a="1"/>
  <c r="S13" i="2" s="1"/>
  <c r="S5" i="2" a="1"/>
  <c r="S5" i="2" s="1"/>
  <c r="V20" i="2" a="1"/>
  <c r="V20" i="2" s="1"/>
  <c r="V16" i="2" a="1"/>
  <c r="V16" i="2" s="1"/>
  <c r="V12" i="2" a="1"/>
  <c r="V12" i="2" s="1"/>
  <c r="V8" i="2" a="1"/>
  <c r="V8" i="2" s="1"/>
  <c r="V4" i="2" a="1"/>
  <c r="V4" i="2" s="1"/>
  <c r="U20" i="2" a="1"/>
  <c r="U20" i="2" s="1"/>
  <c r="U16" i="2" a="1"/>
  <c r="U16" i="2" s="1"/>
  <c r="U12" i="2" a="1"/>
  <c r="U12" i="2" s="1"/>
  <c r="U8" i="2" a="1"/>
  <c r="U8" i="2" s="1"/>
  <c r="U4" i="2" a="1"/>
  <c r="U4" i="2" s="1"/>
  <c r="T20" i="2" a="1"/>
  <c r="T20" i="2" s="1"/>
  <c r="T16" i="2" a="1"/>
  <c r="T16" i="2" s="1"/>
  <c r="T12" i="2" a="1"/>
  <c r="T12" i="2" s="1"/>
  <c r="T8" i="2" a="1"/>
  <c r="T8" i="2" s="1"/>
  <c r="T4" i="2" a="1"/>
  <c r="T4" i="2" s="1"/>
  <c r="S20" i="2" a="1"/>
  <c r="S20" i="2" s="1"/>
  <c r="S12" i="2" a="1"/>
  <c r="S12" i="2" s="1"/>
  <c r="S4" i="2" a="1"/>
  <c r="S4" i="2" s="1"/>
  <c r="R85" i="5"/>
  <c r="R86" i="5"/>
  <c r="R87" i="5"/>
  <c r="R88" i="5"/>
  <c r="R89" i="5"/>
  <c r="R90" i="5"/>
  <c r="R91" i="5"/>
  <c r="R92" i="5"/>
  <c r="R93" i="5"/>
  <c r="R94" i="5"/>
  <c r="R95" i="5"/>
  <c r="R96" i="5"/>
  <c r="R5" i="5" a="1"/>
  <c r="R5" i="5" s="1"/>
  <c r="R4" i="5"/>
  <c r="R6" i="5" a="1"/>
  <c r="R6" i="5" s="1"/>
  <c r="S7" i="3" a="1"/>
  <c r="S7" i="3" s="1"/>
  <c r="S8" i="3" a="1"/>
  <c r="S8" i="3" s="1"/>
  <c r="S9" i="3" a="1"/>
  <c r="S9" i="3" s="1"/>
  <c r="S10" i="3" a="1"/>
  <c r="S10" i="3" s="1"/>
  <c r="S11" i="3" a="1"/>
  <c r="S11" i="3" s="1"/>
  <c r="S12" i="3" a="1"/>
  <c r="S12" i="3" s="1"/>
  <c r="S13" i="3" a="1"/>
  <c r="S13" i="3" s="1"/>
  <c r="S14" i="3" a="1"/>
  <c r="S14" i="3" s="1"/>
  <c r="S15" i="3" a="1"/>
  <c r="S15" i="3" s="1"/>
  <c r="S16" i="3" a="1"/>
  <c r="S16" i="3" s="1"/>
  <c r="S17" i="3" a="1"/>
  <c r="S17" i="3" s="1"/>
  <c r="S18" i="3" a="1"/>
  <c r="S18" i="3" s="1"/>
  <c r="S19" i="3" a="1"/>
  <c r="S19" i="3" s="1"/>
  <c r="S20" i="3" a="1"/>
  <c r="S20" i="3" s="1"/>
  <c r="S21" i="3" a="1"/>
  <c r="S21" i="3" s="1"/>
  <c r="S22" i="3" a="1"/>
  <c r="S22" i="3" s="1"/>
  <c r="S23" i="3" a="1"/>
  <c r="S23" i="3" s="1"/>
  <c r="S24" i="3" a="1"/>
  <c r="S24" i="3" s="1"/>
  <c r="S25" i="3" a="1"/>
  <c r="S25" i="3" s="1"/>
  <c r="S26" i="3" a="1"/>
  <c r="S26" i="3" s="1"/>
  <c r="S27" i="3" a="1"/>
  <c r="S27" i="3" s="1"/>
  <c r="S28" i="3" a="1"/>
  <c r="S28" i="3" s="1"/>
  <c r="S29" i="3" a="1"/>
  <c r="S29" i="3" s="1"/>
  <c r="S30" i="3" a="1"/>
  <c r="S30" i="3" s="1"/>
  <c r="S31" i="3" a="1"/>
  <c r="S31" i="3" s="1"/>
  <c r="S32" i="3" a="1"/>
  <c r="S32" i="3" s="1"/>
  <c r="S33" i="3" a="1"/>
  <c r="S33" i="3" s="1"/>
  <c r="S34" i="3" a="1"/>
  <c r="S34" i="3" s="1"/>
  <c r="S35" i="3" a="1"/>
  <c r="S35" i="3" s="1"/>
  <c r="S36" i="3" a="1"/>
  <c r="S36" i="3" s="1"/>
  <c r="S37" i="3" a="1"/>
  <c r="S37" i="3" s="1"/>
  <c r="S38" i="3" a="1"/>
  <c r="S38" i="3" s="1"/>
  <c r="S39" i="3" a="1"/>
  <c r="S39" i="3" s="1"/>
  <c r="S40" i="3" a="1"/>
  <c r="S40" i="3" s="1"/>
  <c r="S41" i="3" a="1"/>
  <c r="S41" i="3" s="1"/>
  <c r="S42" i="3" a="1"/>
  <c r="S42" i="3" s="1"/>
  <c r="S43" i="3" a="1"/>
  <c r="S43" i="3" s="1"/>
  <c r="S44" i="3" a="1"/>
  <c r="S44" i="3" s="1"/>
  <c r="S5" i="3"/>
  <c r="B8" i="8" l="1" a="1"/>
  <c r="B8" i="8" s="1"/>
  <c r="E10" i="3"/>
  <c r="B9" i="8" l="1" a="1"/>
  <c r="B9" i="8" s="1"/>
  <c r="J4" i="2"/>
  <c r="J5" i="2"/>
  <c r="J6" i="2"/>
  <c r="J7" i="2"/>
  <c r="J8" i="2"/>
  <c r="J9" i="2"/>
  <c r="J10" i="2"/>
  <c r="J11" i="2"/>
  <c r="J12" i="2"/>
  <c r="J13" i="2"/>
  <c r="J14" i="2"/>
  <c r="J15" i="2"/>
  <c r="J16" i="2"/>
  <c r="J17" i="2"/>
  <c r="J18" i="2"/>
  <c r="J19" i="2"/>
  <c r="J20" i="2"/>
  <c r="J21" i="2"/>
  <c r="J22" i="2"/>
  <c r="J23" i="2"/>
  <c r="J24" i="2"/>
  <c r="J25" i="2"/>
  <c r="J26" i="2"/>
  <c r="J27" i="2"/>
  <c r="J28" i="2"/>
  <c r="K19" i="2" l="1"/>
  <c r="K7" i="2"/>
  <c r="K26" i="2"/>
  <c r="K22" i="2"/>
  <c r="K18" i="2"/>
  <c r="K14" i="2"/>
  <c r="K10" i="2"/>
  <c r="K6" i="2"/>
  <c r="K27" i="2"/>
  <c r="K15" i="2"/>
  <c r="K3" i="2"/>
  <c r="K29" i="2"/>
  <c r="K30" i="2"/>
  <c r="K25" i="2"/>
  <c r="K21" i="2"/>
  <c r="K17" i="2"/>
  <c r="K13" i="2"/>
  <c r="K9" i="2"/>
  <c r="K5" i="2"/>
  <c r="K23" i="2"/>
  <c r="K11" i="2"/>
  <c r="K28" i="2"/>
  <c r="K24" i="2"/>
  <c r="K20" i="2"/>
  <c r="K16" i="2"/>
  <c r="K12" i="2"/>
  <c r="K8" i="2"/>
  <c r="K4" i="2"/>
  <c r="B10" i="8" a="1"/>
  <c r="B10" i="8" s="1"/>
  <c r="B11" i="8" s="1" a="1"/>
  <c r="B11" i="8" s="1"/>
  <c r="D6" i="5" a="1"/>
  <c r="D6" i="5" s="1"/>
  <c r="E6" i="5" a="1"/>
  <c r="E6" i="5" s="1"/>
  <c r="F6" i="5" a="1"/>
  <c r="F6" i="5" s="1"/>
  <c r="G6" i="5" a="1"/>
  <c r="G6" i="5" s="1"/>
  <c r="H6" i="5" a="1"/>
  <c r="H6" i="5" s="1"/>
  <c r="I6" i="5" a="1"/>
  <c r="I6" i="5" s="1"/>
  <c r="L6" i="5" a="1"/>
  <c r="L6" i="5" s="1"/>
  <c r="M6" i="5" a="1"/>
  <c r="M6" i="5" s="1"/>
  <c r="O6" i="5" a="1"/>
  <c r="O6" i="5" s="1"/>
  <c r="P6" i="5" a="1"/>
  <c r="P6" i="5" s="1"/>
  <c r="Q6" i="5" a="1"/>
  <c r="Q6" i="5" s="1"/>
  <c r="N5" i="7"/>
  <c r="N3" i="7"/>
  <c r="N6" i="7"/>
  <c r="N10" i="7"/>
  <c r="N7" i="7"/>
  <c r="N11" i="7"/>
  <c r="N8" i="7"/>
  <c r="N9" i="7"/>
  <c r="N12" i="7"/>
  <c r="N14" i="7"/>
  <c r="N13" i="7"/>
  <c r="N16" i="7"/>
  <c r="N17" i="7"/>
  <c r="N15" i="7"/>
  <c r="N19" i="7"/>
  <c r="N18" i="7"/>
  <c r="N20" i="7"/>
  <c r="N21" i="7"/>
  <c r="N22" i="7"/>
  <c r="N23" i="7"/>
  <c r="N24" i="7"/>
  <c r="N25" i="7"/>
  <c r="N26" i="7"/>
  <c r="N27" i="7"/>
  <c r="N28" i="7"/>
  <c r="N4" i="7"/>
  <c r="M5" i="7"/>
  <c r="M3" i="7"/>
  <c r="M6" i="7"/>
  <c r="M10" i="7"/>
  <c r="M7" i="7"/>
  <c r="M11" i="7"/>
  <c r="M8" i="7"/>
  <c r="M9" i="7"/>
  <c r="M12" i="7"/>
  <c r="M14" i="7"/>
  <c r="M13" i="7"/>
  <c r="M16" i="7"/>
  <c r="M17" i="7"/>
  <c r="M15" i="7"/>
  <c r="M19" i="7"/>
  <c r="M18" i="7"/>
  <c r="M20" i="7"/>
  <c r="M21" i="7"/>
  <c r="M22" i="7"/>
  <c r="M23" i="7"/>
  <c r="M24" i="7"/>
  <c r="M25" i="7"/>
  <c r="M26" i="7"/>
  <c r="M27" i="7"/>
  <c r="M28" i="7"/>
  <c r="M4" i="7"/>
  <c r="L5" i="7"/>
  <c r="L3" i="7"/>
  <c r="L6" i="7"/>
  <c r="L10" i="7"/>
  <c r="L7" i="7"/>
  <c r="L11" i="7"/>
  <c r="L8" i="7"/>
  <c r="L9" i="7"/>
  <c r="L12" i="7"/>
  <c r="L14" i="7"/>
  <c r="L13" i="7"/>
  <c r="L16" i="7"/>
  <c r="L17" i="7"/>
  <c r="L15" i="7"/>
  <c r="L19" i="7"/>
  <c r="L18" i="7"/>
  <c r="L20" i="7"/>
  <c r="L21" i="7"/>
  <c r="L22" i="7"/>
  <c r="L23" i="7"/>
  <c r="L24" i="7"/>
  <c r="L25" i="7"/>
  <c r="L26" i="7"/>
  <c r="L27" i="7"/>
  <c r="L28" i="7"/>
  <c r="L4" i="7"/>
  <c r="K5" i="7"/>
  <c r="K3" i="7"/>
  <c r="K6" i="7"/>
  <c r="K10" i="7"/>
  <c r="K7" i="7"/>
  <c r="K11" i="7"/>
  <c r="K8" i="7"/>
  <c r="K9" i="7"/>
  <c r="K12" i="7"/>
  <c r="K14" i="7"/>
  <c r="K13" i="7"/>
  <c r="K16" i="7"/>
  <c r="K17" i="7"/>
  <c r="K15" i="7"/>
  <c r="K19" i="7"/>
  <c r="K18" i="7"/>
  <c r="K20" i="7"/>
  <c r="K21" i="7"/>
  <c r="K22" i="7"/>
  <c r="K23" i="7"/>
  <c r="K24" i="7"/>
  <c r="K25" i="7"/>
  <c r="K26" i="7"/>
  <c r="K27" i="7"/>
  <c r="K28" i="7"/>
  <c r="K4" i="7"/>
  <c r="J5" i="7"/>
  <c r="J3" i="7"/>
  <c r="J6" i="7"/>
  <c r="J10" i="7"/>
  <c r="J7" i="7"/>
  <c r="J11" i="7"/>
  <c r="J8" i="7"/>
  <c r="J9" i="7"/>
  <c r="J12" i="7"/>
  <c r="J14" i="7"/>
  <c r="J13" i="7"/>
  <c r="J16" i="7"/>
  <c r="J17" i="7"/>
  <c r="J15" i="7"/>
  <c r="J19" i="7"/>
  <c r="J18" i="7"/>
  <c r="J20" i="7"/>
  <c r="J21" i="7"/>
  <c r="J22" i="7"/>
  <c r="J23" i="7"/>
  <c r="J24" i="7"/>
  <c r="J25" i="7"/>
  <c r="J26" i="7"/>
  <c r="J27" i="7"/>
  <c r="J28" i="7"/>
  <c r="J4" i="7"/>
  <c r="I28" i="7"/>
  <c r="I5" i="7"/>
  <c r="I3" i="7"/>
  <c r="I6" i="7"/>
  <c r="I10" i="7"/>
  <c r="I7" i="7"/>
  <c r="I11" i="7"/>
  <c r="I8" i="7"/>
  <c r="I9" i="7"/>
  <c r="I12" i="7"/>
  <c r="I14" i="7"/>
  <c r="I13" i="7"/>
  <c r="I16" i="7"/>
  <c r="I17" i="7"/>
  <c r="I15" i="7"/>
  <c r="I19" i="7"/>
  <c r="I18" i="7"/>
  <c r="I20" i="7"/>
  <c r="I21" i="7"/>
  <c r="I22" i="7"/>
  <c r="I23" i="7"/>
  <c r="I24" i="7"/>
  <c r="I25" i="7"/>
  <c r="I26" i="7"/>
  <c r="I27" i="7"/>
  <c r="I4" i="7"/>
  <c r="H5" i="7"/>
  <c r="H3" i="7"/>
  <c r="H6" i="7"/>
  <c r="H10" i="7"/>
  <c r="H7" i="7"/>
  <c r="H11" i="7"/>
  <c r="H8" i="7"/>
  <c r="H9" i="7"/>
  <c r="H12" i="7"/>
  <c r="H14" i="7"/>
  <c r="H13" i="7"/>
  <c r="H16" i="7"/>
  <c r="H17" i="7"/>
  <c r="H15" i="7"/>
  <c r="H19" i="7"/>
  <c r="H18" i="7"/>
  <c r="H20" i="7"/>
  <c r="H21" i="7"/>
  <c r="H22" i="7"/>
  <c r="H23" i="7"/>
  <c r="H24" i="7"/>
  <c r="H25" i="7"/>
  <c r="H26" i="7"/>
  <c r="H27" i="7"/>
  <c r="H28" i="7"/>
  <c r="H4" i="7"/>
  <c r="G5" i="7"/>
  <c r="G3" i="7"/>
  <c r="G6" i="7"/>
  <c r="G10" i="7"/>
  <c r="G7" i="7"/>
  <c r="G11" i="7"/>
  <c r="G8" i="7"/>
  <c r="G9" i="7"/>
  <c r="G12" i="7"/>
  <c r="G14" i="7"/>
  <c r="G13" i="7"/>
  <c r="G16" i="7"/>
  <c r="G17" i="7"/>
  <c r="G15" i="7"/>
  <c r="G19" i="7"/>
  <c r="G18" i="7"/>
  <c r="G20" i="7"/>
  <c r="G21" i="7"/>
  <c r="G22" i="7"/>
  <c r="G23" i="7"/>
  <c r="G24" i="7"/>
  <c r="G25" i="7"/>
  <c r="G26" i="7"/>
  <c r="G27" i="7"/>
  <c r="G28" i="7"/>
  <c r="G4" i="7"/>
  <c r="F5" i="7"/>
  <c r="F3" i="7"/>
  <c r="F6" i="7"/>
  <c r="F10" i="7"/>
  <c r="F7" i="7"/>
  <c r="F11" i="7"/>
  <c r="F8" i="7"/>
  <c r="F9" i="7"/>
  <c r="F12" i="7"/>
  <c r="F14" i="7"/>
  <c r="F13" i="7"/>
  <c r="F16" i="7"/>
  <c r="F17" i="7"/>
  <c r="F15" i="7"/>
  <c r="F19" i="7"/>
  <c r="F18" i="7"/>
  <c r="F20" i="7"/>
  <c r="F21" i="7"/>
  <c r="F22" i="7"/>
  <c r="F23" i="7"/>
  <c r="F24" i="7"/>
  <c r="F25" i="7"/>
  <c r="F26" i="7"/>
  <c r="F27" i="7"/>
  <c r="F28" i="7"/>
  <c r="F4" i="7"/>
  <c r="E5" i="7"/>
  <c r="E3" i="7"/>
  <c r="E6" i="7"/>
  <c r="E10" i="7"/>
  <c r="E7" i="7"/>
  <c r="E11" i="7"/>
  <c r="E8" i="7"/>
  <c r="E9" i="7"/>
  <c r="E12" i="7"/>
  <c r="E14" i="7"/>
  <c r="E13" i="7"/>
  <c r="E16" i="7"/>
  <c r="E17" i="7"/>
  <c r="E15" i="7"/>
  <c r="E19" i="7"/>
  <c r="E18" i="7"/>
  <c r="E20" i="7"/>
  <c r="E21" i="7"/>
  <c r="E22" i="7"/>
  <c r="E23" i="7"/>
  <c r="E24" i="7"/>
  <c r="E25" i="7"/>
  <c r="E26" i="7"/>
  <c r="E27" i="7"/>
  <c r="E28" i="7"/>
  <c r="E4" i="7"/>
  <c r="D5" i="7"/>
  <c r="D3" i="7"/>
  <c r="D6" i="7"/>
  <c r="D10" i="7"/>
  <c r="D7" i="7"/>
  <c r="D11" i="7"/>
  <c r="D8" i="7"/>
  <c r="D9" i="7"/>
  <c r="D12" i="7"/>
  <c r="D14" i="7"/>
  <c r="D13" i="7"/>
  <c r="D16" i="7"/>
  <c r="D17" i="7"/>
  <c r="D15" i="7"/>
  <c r="D19" i="7"/>
  <c r="D18" i="7"/>
  <c r="D20" i="7"/>
  <c r="D21" i="7"/>
  <c r="D22" i="7"/>
  <c r="D23" i="7"/>
  <c r="D24" i="7"/>
  <c r="D25" i="7"/>
  <c r="D26" i="7"/>
  <c r="D27" i="7"/>
  <c r="D28" i="7"/>
  <c r="D4" i="7"/>
  <c r="C5" i="7"/>
  <c r="C3" i="7"/>
  <c r="R3" i="7" s="1"/>
  <c r="T3" i="7" s="1"/>
  <c r="C6" i="7"/>
  <c r="C10" i="7"/>
  <c r="C7" i="7"/>
  <c r="C11" i="7"/>
  <c r="R11" i="7" s="1"/>
  <c r="T11" i="7" s="1"/>
  <c r="C8" i="7"/>
  <c r="C9" i="7"/>
  <c r="C12" i="7"/>
  <c r="C14" i="7"/>
  <c r="R14" i="7" s="1"/>
  <c r="T14" i="7" s="1"/>
  <c r="C13" i="7"/>
  <c r="C16" i="7"/>
  <c r="C17" i="7"/>
  <c r="C15" i="7"/>
  <c r="R15" i="7" s="1"/>
  <c r="T15" i="7" s="1"/>
  <c r="C19" i="7"/>
  <c r="C18" i="7"/>
  <c r="C20" i="7"/>
  <c r="C21" i="7"/>
  <c r="R21" i="7" s="1"/>
  <c r="T21" i="7" s="1"/>
  <c r="C22" i="7"/>
  <c r="C23" i="7"/>
  <c r="C24" i="7"/>
  <c r="C25" i="7"/>
  <c r="R25" i="7" s="1"/>
  <c r="T25" i="7" s="1"/>
  <c r="C26" i="7"/>
  <c r="C27" i="7"/>
  <c r="C28" i="7"/>
  <c r="C4" i="7"/>
  <c r="R4" i="7" s="1"/>
  <c r="T4" i="7"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3" i="2" a="1"/>
  <c r="D3" i="2" s="1"/>
  <c r="C4" i="2"/>
  <c r="C5" i="2"/>
  <c r="C6" i="2"/>
  <c r="C7" i="2"/>
  <c r="C8" i="2"/>
  <c r="C9" i="2"/>
  <c r="C10" i="2"/>
  <c r="C11" i="2"/>
  <c r="C12" i="2"/>
  <c r="C13" i="2"/>
  <c r="C14" i="2"/>
  <c r="C15" i="2"/>
  <c r="C16" i="2"/>
  <c r="C17" i="2"/>
  <c r="C18" i="2"/>
  <c r="C19" i="2"/>
  <c r="C20" i="2"/>
  <c r="C21" i="2"/>
  <c r="C22" i="2"/>
  <c r="C23" i="2"/>
  <c r="C24" i="2"/>
  <c r="C25" i="2"/>
  <c r="C26" i="2"/>
  <c r="C27" i="2"/>
  <c r="C28" i="2"/>
  <c r="G3" i="2" a="1"/>
  <c r="G3" i="2" s="1"/>
  <c r="D16" i="5" a="1"/>
  <c r="D16" i="5" s="1"/>
  <c r="D17" i="5" s="1"/>
  <c r="E16" i="5" a="1"/>
  <c r="E16" i="5" s="1"/>
  <c r="E17" i="5" s="1"/>
  <c r="F16" i="5" a="1"/>
  <c r="F16" i="5" s="1"/>
  <c r="F17" i="5" s="1"/>
  <c r="G16" i="5" a="1"/>
  <c r="G16" i="5" s="1"/>
  <c r="G17" i="5" s="1"/>
  <c r="H16" i="5" a="1"/>
  <c r="H16" i="5" s="1"/>
  <c r="H17" i="5" s="1"/>
  <c r="I16" i="5" a="1"/>
  <c r="I16" i="5" s="1"/>
  <c r="I17" i="5" s="1"/>
  <c r="J16" i="5" a="1"/>
  <c r="J16" i="5" s="1"/>
  <c r="J17" i="5" s="1"/>
  <c r="K16" i="5" a="1"/>
  <c r="K16" i="5" s="1"/>
  <c r="K17" i="5" s="1"/>
  <c r="L16" i="5" a="1"/>
  <c r="L16" i="5" s="1"/>
  <c r="L17" i="5" s="1"/>
  <c r="M16" i="5" a="1"/>
  <c r="M16" i="5" s="1"/>
  <c r="M17" i="5" s="1"/>
  <c r="M19" i="5" s="1" a="1"/>
  <c r="M19" i="5" s="1"/>
  <c r="N16" i="5" a="1"/>
  <c r="N16" i="5" s="1"/>
  <c r="N17" i="5" s="1"/>
  <c r="O16" i="5" a="1"/>
  <c r="O16" i="5" s="1"/>
  <c r="O17" i="5" s="1"/>
  <c r="O18" i="5" s="1" a="1"/>
  <c r="O18" i="5" s="1"/>
  <c r="P16" i="5" a="1"/>
  <c r="P16" i="5" s="1"/>
  <c r="P17" i="5" s="1"/>
  <c r="P18" i="5" s="1" a="1"/>
  <c r="P18" i="5" s="1"/>
  <c r="Q16" i="5" a="1"/>
  <c r="Q16" i="5" s="1"/>
  <c r="Q17" i="5" s="1"/>
  <c r="C16" i="5" a="1"/>
  <c r="C16" i="5" s="1"/>
  <c r="C17" i="5" s="1"/>
  <c r="D8" i="5" a="1"/>
  <c r="D8" i="5" s="1"/>
  <c r="D9" i="5" s="1"/>
  <c r="E8" i="5" a="1"/>
  <c r="E8" i="5" s="1"/>
  <c r="E9" i="5" s="1"/>
  <c r="E10" i="5" s="1" a="1"/>
  <c r="E10" i="5" s="1"/>
  <c r="F8" i="5" a="1"/>
  <c r="F8" i="5" s="1"/>
  <c r="F9" i="5" s="1"/>
  <c r="G8" i="5" a="1"/>
  <c r="G8" i="5" s="1"/>
  <c r="G9" i="5" s="1"/>
  <c r="H8" i="5" a="1"/>
  <c r="H8" i="5" s="1"/>
  <c r="H9" i="5" s="1"/>
  <c r="I8" i="5" a="1"/>
  <c r="I8" i="5" s="1"/>
  <c r="I9" i="5" s="1"/>
  <c r="J8" i="5" a="1"/>
  <c r="J8" i="5" s="1"/>
  <c r="J9" i="5" s="1"/>
  <c r="K8" i="5" a="1"/>
  <c r="K8" i="5" s="1"/>
  <c r="K9" i="5" s="1"/>
  <c r="L8" i="5" a="1"/>
  <c r="L8" i="5" s="1"/>
  <c r="L9" i="5" s="1"/>
  <c r="M8" i="5" a="1"/>
  <c r="M8" i="5" s="1"/>
  <c r="M9" i="5" s="1"/>
  <c r="N8" i="5" a="1"/>
  <c r="N8" i="5" s="1"/>
  <c r="N9" i="5" s="1"/>
  <c r="O8" i="5" a="1"/>
  <c r="O8" i="5" s="1"/>
  <c r="O9" i="5" s="1"/>
  <c r="P8" i="5" a="1"/>
  <c r="P8" i="5" s="1"/>
  <c r="P9" i="5" s="1"/>
  <c r="Q8" i="5" a="1"/>
  <c r="Q8" i="5" s="1"/>
  <c r="Q9" i="5" s="1"/>
  <c r="Q13" i="5" s="1" a="1"/>
  <c r="Q13" i="5" s="1"/>
  <c r="C8" i="5" a="1"/>
  <c r="C8" i="5" s="1"/>
  <c r="C9" i="5" s="1"/>
  <c r="C10" i="5" s="1" a="1"/>
  <c r="C10" i="5" s="1"/>
  <c r="D5" i="5" a="1"/>
  <c r="D5" i="5" s="1"/>
  <c r="E5" i="5" a="1"/>
  <c r="E5" i="5" s="1"/>
  <c r="F5" i="5" a="1"/>
  <c r="F5" i="5" s="1"/>
  <c r="G5" i="5" a="1"/>
  <c r="G5" i="5" s="1"/>
  <c r="H5" i="5" a="1"/>
  <c r="H5" i="5" s="1"/>
  <c r="I5" i="5" a="1"/>
  <c r="I5" i="5" s="1"/>
  <c r="J5" i="5" a="1"/>
  <c r="J5" i="5" s="1"/>
  <c r="K5" i="5" a="1"/>
  <c r="K5" i="5" s="1"/>
  <c r="L5" i="5" a="1"/>
  <c r="L5" i="5" s="1"/>
  <c r="M5" i="5" a="1"/>
  <c r="M5" i="5" s="1"/>
  <c r="N5" i="5" a="1"/>
  <c r="N5" i="5" s="1"/>
  <c r="O5" i="5" a="1"/>
  <c r="O5" i="5" s="1"/>
  <c r="P5" i="5" a="1"/>
  <c r="P5" i="5" s="1"/>
  <c r="Q5" i="5" a="1"/>
  <c r="Q5" i="5" s="1"/>
  <c r="C5" i="5" a="1"/>
  <c r="C5" i="5" s="1"/>
  <c r="R26" i="7" l="1"/>
  <c r="T26" i="7" s="1"/>
  <c r="R22" i="7"/>
  <c r="T22" i="7" s="1"/>
  <c r="R19" i="7"/>
  <c r="T19" i="7" s="1"/>
  <c r="R13" i="7"/>
  <c r="T13" i="7" s="1"/>
  <c r="R8" i="7"/>
  <c r="T8" i="7" s="1"/>
  <c r="R6" i="7"/>
  <c r="T6" i="7" s="1"/>
  <c r="R28" i="7"/>
  <c r="T28" i="7" s="1"/>
  <c r="R24" i="7"/>
  <c r="T24" i="7" s="1"/>
  <c r="R20" i="7"/>
  <c r="T20" i="7" s="1"/>
  <c r="R17" i="7"/>
  <c r="T17" i="7" s="1"/>
  <c r="R12" i="7"/>
  <c r="T12" i="7" s="1"/>
  <c r="R7" i="7"/>
  <c r="T7" i="7" s="1"/>
  <c r="R5" i="7"/>
  <c r="T5" i="7" s="1"/>
  <c r="R27" i="7"/>
  <c r="T27" i="7" s="1"/>
  <c r="R23" i="7"/>
  <c r="T23" i="7" s="1"/>
  <c r="R18" i="7"/>
  <c r="T18" i="7" s="1"/>
  <c r="R16" i="7"/>
  <c r="T16" i="7" s="1"/>
  <c r="R9" i="7"/>
  <c r="T9" i="7" s="1"/>
  <c r="R10" i="7"/>
  <c r="T10" i="7" s="1"/>
  <c r="G26" i="2" a="1"/>
  <c r="G26" i="2" s="1"/>
  <c r="L26" i="2"/>
  <c r="G22" i="2" a="1"/>
  <c r="G22" i="2" s="1"/>
  <c r="L22" i="2"/>
  <c r="G18" i="2" a="1"/>
  <c r="G18" i="2" s="1"/>
  <c r="L18" i="2"/>
  <c r="G14" i="2" a="1"/>
  <c r="G14" i="2" s="1"/>
  <c r="L14" i="2"/>
  <c r="G10" i="2" a="1"/>
  <c r="G10" i="2" s="1"/>
  <c r="L10" i="2"/>
  <c r="G6" i="2" a="1"/>
  <c r="G6" i="2" s="1"/>
  <c r="L6" i="2"/>
  <c r="G25" i="2" a="1"/>
  <c r="G25" i="2" s="1"/>
  <c r="L25" i="2"/>
  <c r="G21" i="2" a="1"/>
  <c r="G21" i="2" s="1"/>
  <c r="L21" i="2"/>
  <c r="G17" i="2" a="1"/>
  <c r="G17" i="2" s="1"/>
  <c r="L17" i="2"/>
  <c r="G13" i="2" a="1"/>
  <c r="G13" i="2" s="1"/>
  <c r="L13" i="2"/>
  <c r="G9" i="2" a="1"/>
  <c r="G9" i="2" s="1"/>
  <c r="L9" i="2"/>
  <c r="G5" i="2" a="1"/>
  <c r="G5" i="2" s="1"/>
  <c r="L5" i="2"/>
  <c r="G28" i="2" a="1"/>
  <c r="G28" i="2" s="1"/>
  <c r="L28" i="2"/>
  <c r="G24" i="2" a="1"/>
  <c r="G24" i="2" s="1"/>
  <c r="L24" i="2"/>
  <c r="G20" i="2" a="1"/>
  <c r="G20" i="2" s="1"/>
  <c r="L20" i="2"/>
  <c r="G16" i="2" a="1"/>
  <c r="G16" i="2" s="1"/>
  <c r="L16" i="2"/>
  <c r="G12" i="2" a="1"/>
  <c r="G12" i="2" s="1"/>
  <c r="L12" i="2"/>
  <c r="G8" i="2" a="1"/>
  <c r="G8" i="2" s="1"/>
  <c r="L8" i="2"/>
  <c r="L4" i="2"/>
  <c r="L3" i="2"/>
  <c r="L30" i="2"/>
  <c r="L29" i="2"/>
  <c r="G27" i="2" a="1"/>
  <c r="G27" i="2" s="1"/>
  <c r="L27" i="2"/>
  <c r="G23" i="2" a="1"/>
  <c r="G23" i="2" s="1"/>
  <c r="L23" i="2"/>
  <c r="G19" i="2" a="1"/>
  <c r="G19" i="2" s="1"/>
  <c r="L19" i="2"/>
  <c r="G15" i="2" a="1"/>
  <c r="G15" i="2" s="1"/>
  <c r="L15" i="2"/>
  <c r="G11" i="2" a="1"/>
  <c r="G11" i="2" s="1"/>
  <c r="L11" i="2"/>
  <c r="G7" i="2" a="1"/>
  <c r="G7" i="2" s="1"/>
  <c r="L7" i="2"/>
  <c r="G4" i="2" a="1"/>
  <c r="G4" i="2" s="1"/>
  <c r="C33" i="2"/>
  <c r="D33" i="2"/>
  <c r="B12" i="8" a="1"/>
  <c r="B12" i="8" s="1"/>
  <c r="B13" i="8" s="1" a="1"/>
  <c r="B13" i="8" s="1"/>
  <c r="B14" i="8" s="1" a="1"/>
  <c r="B14" i="8" s="1"/>
  <c r="Q19" i="5" a="1"/>
  <c r="Q19" i="5" s="1"/>
  <c r="Q21" i="5" a="1"/>
  <c r="Q21" i="5" s="1"/>
  <c r="Q20" i="5" a="1"/>
  <c r="Q20" i="5" s="1"/>
  <c r="Q22" i="5" a="1"/>
  <c r="Q22" i="5" s="1"/>
  <c r="P12" i="5" a="1"/>
  <c r="P12" i="5" s="1"/>
  <c r="P11" i="5" a="1"/>
  <c r="P11" i="5" s="1"/>
  <c r="P13" i="5" a="1"/>
  <c r="P13" i="5" s="1"/>
  <c r="P10" i="5" a="1"/>
  <c r="P10" i="5" s="1"/>
  <c r="O11" i="5" a="1"/>
  <c r="O11" i="5" s="1"/>
  <c r="O13" i="5" a="1"/>
  <c r="O13" i="5" s="1"/>
  <c r="O12" i="5" a="1"/>
  <c r="O12" i="5" s="1"/>
  <c r="O10" i="5" a="1"/>
  <c r="O10" i="5" s="1"/>
  <c r="O14" i="5" a="1"/>
  <c r="O14" i="5" s="1"/>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V32" i="3" s="1" a="1"/>
  <c r="V32" i="3" s="1"/>
  <c r="E12" i="3"/>
  <c r="E4" i="3"/>
  <c r="E5" i="3"/>
  <c r="E6" i="3"/>
  <c r="E7" i="3"/>
  <c r="E8" i="3"/>
  <c r="E9" i="3"/>
  <c r="E11" i="3"/>
  <c r="E13" i="3"/>
  <c r="E14" i="3"/>
  <c r="E3" i="3"/>
  <c r="C4" i="3"/>
  <c r="C5" i="3"/>
  <c r="C6" i="3"/>
  <c r="C7" i="3"/>
  <c r="C8" i="3"/>
  <c r="C9" i="3"/>
  <c r="C10" i="3"/>
  <c r="C11" i="3"/>
  <c r="C12" i="3"/>
  <c r="C13" i="3"/>
  <c r="C14" i="3"/>
  <c r="C3" i="3"/>
  <c r="AC51" i="5" l="1"/>
  <c r="AC81" i="5"/>
  <c r="AC82" i="5"/>
  <c r="AC52" i="5"/>
  <c r="M29" i="2"/>
  <c r="M30" i="2"/>
  <c r="B15" i="8" a="1"/>
  <c r="B15" i="8" s="1"/>
  <c r="B16" i="8" s="1" a="1"/>
  <c r="B16" i="8" s="1"/>
  <c r="B17" i="8" s="1" a="1"/>
  <c r="B17" i="8" s="1"/>
  <c r="V29" i="3" a="1"/>
  <c r="V29" i="3" s="1"/>
  <c r="V23" i="3" a="1"/>
  <c r="V23" i="3" s="1"/>
  <c r="V19" i="3" a="1"/>
  <c r="V19" i="3" s="1"/>
  <c r="V15" i="3" a="1"/>
  <c r="V15" i="3" s="1"/>
  <c r="V11" i="3" a="1"/>
  <c r="V11" i="3" s="1"/>
  <c r="V7" i="3" a="1"/>
  <c r="V7" i="3" s="1"/>
  <c r="V31" i="3" a="1"/>
  <c r="V31" i="3" s="1"/>
  <c r="V27" i="3" a="1"/>
  <c r="V27" i="3" s="1"/>
  <c r="V30" i="3" a="1"/>
  <c r="V30" i="3" s="1"/>
  <c r="V26" i="3" a="1"/>
  <c r="V26" i="3" s="1"/>
  <c r="V22" i="3" a="1"/>
  <c r="V22" i="3" s="1"/>
  <c r="V18" i="3" a="1"/>
  <c r="V18" i="3" s="1"/>
  <c r="V14" i="3" a="1"/>
  <c r="V14" i="3" s="1"/>
  <c r="V10" i="3" a="1"/>
  <c r="V10" i="3" s="1"/>
  <c r="V6" i="3" a="1"/>
  <c r="V6" i="3" s="1"/>
  <c r="V25" i="3" a="1"/>
  <c r="V25" i="3" s="1"/>
  <c r="V21" i="3" a="1"/>
  <c r="V21" i="3" s="1"/>
  <c r="V17" i="3" a="1"/>
  <c r="V17" i="3" s="1"/>
  <c r="V13" i="3" a="1"/>
  <c r="V13" i="3" s="1"/>
  <c r="V9" i="3" a="1"/>
  <c r="V9" i="3" s="1"/>
  <c r="V5" i="3" a="1"/>
  <c r="V5" i="3" s="1"/>
  <c r="V4" i="3" a="1"/>
  <c r="V4" i="3" s="1"/>
  <c r="V3" i="3" a="1"/>
  <c r="V3" i="3" s="1"/>
  <c r="U3" i="3" a="1"/>
  <c r="U3" i="3" s="1"/>
  <c r="V28" i="3" a="1"/>
  <c r="V28" i="3" s="1"/>
  <c r="V24" i="3" a="1"/>
  <c r="V24" i="3" s="1"/>
  <c r="V20" i="3" a="1"/>
  <c r="V20" i="3" s="1"/>
  <c r="V16" i="3" a="1"/>
  <c r="V16" i="3" s="1"/>
  <c r="V12" i="3" a="1"/>
  <c r="V12" i="3" s="1"/>
  <c r="V8" i="3" a="1"/>
  <c r="V8" i="3" s="1"/>
  <c r="U32" i="3" a="1"/>
  <c r="U32" i="3" s="1"/>
  <c r="Y32" i="3" a="1"/>
  <c r="Y32" i="3" s="1"/>
  <c r="W32" i="3" a="1"/>
  <c r="W32" i="3" s="1"/>
  <c r="AA32" i="3" a="1"/>
  <c r="AA32" i="3" s="1"/>
  <c r="X32" i="3" a="1"/>
  <c r="X32" i="3" s="1"/>
  <c r="Z32" i="3" a="1"/>
  <c r="Z32" i="3" s="1"/>
  <c r="X31" i="3" a="1"/>
  <c r="X31" i="3" s="1"/>
  <c r="Y31" i="3" a="1"/>
  <c r="Y31" i="3" s="1"/>
  <c r="U31" i="3" a="1"/>
  <c r="U31" i="3" s="1"/>
  <c r="AA31" i="3" a="1"/>
  <c r="AA31" i="3" s="1"/>
  <c r="W31" i="3" a="1"/>
  <c r="W31" i="3" s="1"/>
  <c r="Z31" i="3" a="1"/>
  <c r="Z31" i="3" s="1"/>
  <c r="U23" i="3" a="1"/>
  <c r="U23" i="3" s="1"/>
  <c r="Z23" i="3" a="1"/>
  <c r="Z23" i="3" s="1"/>
  <c r="W23" i="3" a="1"/>
  <c r="W23" i="3" s="1"/>
  <c r="AA23" i="3" a="1"/>
  <c r="AA23" i="3" s="1"/>
  <c r="Y23" i="3" a="1"/>
  <c r="Y23" i="3" s="1"/>
  <c r="X23" i="3" a="1"/>
  <c r="X23" i="3" s="1"/>
  <c r="X15" i="3" a="1"/>
  <c r="X15" i="3" s="1"/>
  <c r="Y15" i="3" a="1"/>
  <c r="Y15" i="3" s="1"/>
  <c r="Z15" i="3" a="1"/>
  <c r="Z15" i="3" s="1"/>
  <c r="U15" i="3" a="1"/>
  <c r="U15" i="3" s="1"/>
  <c r="AA15" i="3" a="1"/>
  <c r="AA15" i="3" s="1"/>
  <c r="W15" i="3" a="1"/>
  <c r="W15" i="3" s="1"/>
  <c r="U7" i="3" a="1"/>
  <c r="U7" i="3" s="1"/>
  <c r="Z7" i="3" a="1"/>
  <c r="Z7" i="3" s="1"/>
  <c r="W7" i="3" a="1"/>
  <c r="W7" i="3" s="1"/>
  <c r="AA7" i="3" a="1"/>
  <c r="AA7" i="3" s="1"/>
  <c r="X7" i="3" a="1"/>
  <c r="X7" i="3" s="1"/>
  <c r="Y7" i="3" a="1"/>
  <c r="Y7" i="3" s="1"/>
  <c r="W30" i="3" a="1"/>
  <c r="W30" i="3" s="1"/>
  <c r="AA30" i="3" a="1"/>
  <c r="AA30" i="3" s="1"/>
  <c r="X30" i="3" a="1"/>
  <c r="X30" i="3" s="1"/>
  <c r="Z30" i="3" a="1"/>
  <c r="Z30" i="3" s="1"/>
  <c r="U30" i="3" a="1"/>
  <c r="U30" i="3" s="1"/>
  <c r="Y30" i="3" a="1"/>
  <c r="Y30" i="3" s="1"/>
  <c r="U26" i="3" a="1"/>
  <c r="U26" i="3" s="1"/>
  <c r="Z26" i="3" a="1"/>
  <c r="Z26" i="3" s="1"/>
  <c r="W26" i="3" a="1"/>
  <c r="W26" i="3" s="1"/>
  <c r="AA26" i="3" a="1"/>
  <c r="AA26" i="3" s="1"/>
  <c r="X26" i="3" a="1"/>
  <c r="X26" i="3" s="1"/>
  <c r="Y26" i="3" a="1"/>
  <c r="Y26" i="3" s="1"/>
  <c r="Y22" i="3" a="1"/>
  <c r="Y22" i="3" s="1"/>
  <c r="U22" i="3" a="1"/>
  <c r="U22" i="3" s="1"/>
  <c r="Z22" i="3" a="1"/>
  <c r="Z22" i="3" s="1"/>
  <c r="AA22" i="3" a="1"/>
  <c r="AA22" i="3" s="1"/>
  <c r="X22" i="3" a="1"/>
  <c r="X22" i="3" s="1"/>
  <c r="W22" i="3" a="1"/>
  <c r="W22" i="3" s="1"/>
  <c r="X18" i="3" a="1"/>
  <c r="X18" i="3" s="1"/>
  <c r="Y18" i="3" a="1"/>
  <c r="Y18" i="3" s="1"/>
  <c r="Z18" i="3" a="1"/>
  <c r="Z18" i="3" s="1"/>
  <c r="U18" i="3" a="1"/>
  <c r="U18" i="3" s="1"/>
  <c r="AA18" i="3" a="1"/>
  <c r="AA18" i="3" s="1"/>
  <c r="W18" i="3" a="1"/>
  <c r="W18" i="3" s="1"/>
  <c r="W14" i="3" a="1"/>
  <c r="W14" i="3" s="1"/>
  <c r="AA14" i="3" a="1"/>
  <c r="AA14" i="3" s="1"/>
  <c r="X14" i="3" a="1"/>
  <c r="X14" i="3" s="1"/>
  <c r="Y14" i="3" a="1"/>
  <c r="Y14" i="3" s="1"/>
  <c r="U14" i="3" a="1"/>
  <c r="U14" i="3" s="1"/>
  <c r="Z14" i="3" a="1"/>
  <c r="Z14" i="3" s="1"/>
  <c r="U10" i="3" a="1"/>
  <c r="U10" i="3" s="1"/>
  <c r="W10" i="3" a="1"/>
  <c r="W10" i="3" s="1"/>
  <c r="Z10" i="3" a="1"/>
  <c r="Z10" i="3" s="1"/>
  <c r="X10" i="3" a="1"/>
  <c r="X10" i="3" s="1"/>
  <c r="AA10" i="3" a="1"/>
  <c r="AA10" i="3" s="1"/>
  <c r="Y10" i="3" a="1"/>
  <c r="Y10" i="3" s="1"/>
  <c r="Y6" i="3" a="1"/>
  <c r="Y6" i="3" s="1"/>
  <c r="U6" i="3" a="1"/>
  <c r="U6" i="3" s="1"/>
  <c r="W6" i="3" a="1"/>
  <c r="W6" i="3" s="1"/>
  <c r="Z6" i="3" a="1"/>
  <c r="Z6" i="3" s="1"/>
  <c r="AA6" i="3" a="1"/>
  <c r="AA6" i="3" s="1"/>
  <c r="X6" i="3" a="1"/>
  <c r="X6" i="3" s="1"/>
  <c r="W27" i="3" a="1"/>
  <c r="W27" i="3" s="1"/>
  <c r="AA27" i="3" a="1"/>
  <c r="AA27" i="3" s="1"/>
  <c r="X27" i="3" a="1"/>
  <c r="X27" i="3" s="1"/>
  <c r="Y27" i="3" a="1"/>
  <c r="Y27" i="3" s="1"/>
  <c r="U27" i="3" a="1"/>
  <c r="U27" i="3" s="1"/>
  <c r="Z27" i="3" a="1"/>
  <c r="Z27" i="3" s="1"/>
  <c r="Y19" i="3" a="1"/>
  <c r="Y19" i="3" s="1"/>
  <c r="U19" i="3" a="1"/>
  <c r="U19" i="3" s="1"/>
  <c r="Z19" i="3" a="1"/>
  <c r="Z19" i="3" s="1"/>
  <c r="W19" i="3" a="1"/>
  <c r="W19" i="3" s="1"/>
  <c r="X19" i="3" a="1"/>
  <c r="X19" i="3" s="1"/>
  <c r="AA19" i="3" a="1"/>
  <c r="AA19" i="3" s="1"/>
  <c r="W11" i="3" a="1"/>
  <c r="W11" i="3" s="1"/>
  <c r="AA11" i="3" a="1"/>
  <c r="AA11" i="3" s="1"/>
  <c r="X11" i="3" a="1"/>
  <c r="X11" i="3" s="1"/>
  <c r="Y11" i="3" a="1"/>
  <c r="Y11" i="3" s="1"/>
  <c r="Z11" i="3" a="1"/>
  <c r="Z11" i="3" s="1"/>
  <c r="U11" i="3" a="1"/>
  <c r="U11" i="3" s="1"/>
  <c r="U29" i="3" a="1"/>
  <c r="U29" i="3" s="1"/>
  <c r="W29" i="3" a="1"/>
  <c r="W29" i="3" s="1"/>
  <c r="Z29" i="3" a="1"/>
  <c r="Z29" i="3" s="1"/>
  <c r="AA29" i="3" a="1"/>
  <c r="AA29" i="3" s="1"/>
  <c r="Y29" i="3" a="1"/>
  <c r="Y29" i="3" s="1"/>
  <c r="X29" i="3" a="1"/>
  <c r="X29" i="3" s="1"/>
  <c r="Y25" i="3" a="1"/>
  <c r="Y25" i="3" s="1"/>
  <c r="U25" i="3" a="1"/>
  <c r="U25" i="3" s="1"/>
  <c r="W25" i="3" a="1"/>
  <c r="W25" i="3" s="1"/>
  <c r="AA25" i="3" a="1"/>
  <c r="AA25" i="3" s="1"/>
  <c r="X25" i="3" a="1"/>
  <c r="X25" i="3" s="1"/>
  <c r="Z25" i="3" a="1"/>
  <c r="Z25" i="3" s="1"/>
  <c r="X21" i="3" a="1"/>
  <c r="X21" i="3" s="1"/>
  <c r="AA21" i="3" a="1"/>
  <c r="AA21" i="3" s="1"/>
  <c r="Y21" i="3" a="1"/>
  <c r="Y21" i="3" s="1"/>
  <c r="W21" i="3" a="1"/>
  <c r="W21" i="3" s="1"/>
  <c r="Z21" i="3" a="1"/>
  <c r="Z21" i="3" s="1"/>
  <c r="U21" i="3" a="1"/>
  <c r="U21" i="3" s="1"/>
  <c r="W17" i="3" a="1"/>
  <c r="W17" i="3" s="1"/>
  <c r="Z17" i="3" a="1"/>
  <c r="Z17" i="3" s="1"/>
  <c r="X17" i="3" a="1"/>
  <c r="X17" i="3" s="1"/>
  <c r="AA17" i="3" a="1"/>
  <c r="AA17" i="3" s="1"/>
  <c r="Y17" i="3" a="1"/>
  <c r="Y17" i="3" s="1"/>
  <c r="U17" i="3" a="1"/>
  <c r="U17" i="3" s="1"/>
  <c r="U13" i="3" a="1"/>
  <c r="U13" i="3" s="1"/>
  <c r="W13" i="3" a="1"/>
  <c r="W13" i="3" s="1"/>
  <c r="Z13" i="3" a="1"/>
  <c r="Z13" i="3" s="1"/>
  <c r="X13" i="3" a="1"/>
  <c r="X13" i="3" s="1"/>
  <c r="AA13" i="3" a="1"/>
  <c r="AA13" i="3" s="1"/>
  <c r="Y13" i="3" a="1"/>
  <c r="Y13" i="3" s="1"/>
  <c r="X9" i="3" a="1"/>
  <c r="X9" i="3" s="1"/>
  <c r="U9" i="3" a="1"/>
  <c r="U9" i="3" s="1"/>
  <c r="Y9" i="3" a="1"/>
  <c r="Y9" i="3" s="1"/>
  <c r="W9" i="3" a="1"/>
  <c r="W9" i="3" s="1"/>
  <c r="Z9" i="3" a="1"/>
  <c r="Z9" i="3" s="1"/>
  <c r="AA9" i="3" a="1"/>
  <c r="AA9" i="3" s="1"/>
  <c r="X5" i="3" a="1"/>
  <c r="X5" i="3" s="1"/>
  <c r="AA5" i="3" a="1"/>
  <c r="AA5" i="3" s="1"/>
  <c r="U5" i="3" a="1"/>
  <c r="U5" i="3" s="1"/>
  <c r="Y5" i="3" a="1"/>
  <c r="Y5" i="3" s="1"/>
  <c r="W5" i="3" a="1"/>
  <c r="W5" i="3" s="1"/>
  <c r="Z5" i="3" a="1"/>
  <c r="Z5" i="3" s="1"/>
  <c r="X28" i="3" a="1"/>
  <c r="X28" i="3" s="1"/>
  <c r="U28" i="3" a="1"/>
  <c r="U28" i="3" s="1"/>
  <c r="Y28" i="3" a="1"/>
  <c r="Y28" i="3" s="1"/>
  <c r="Z28" i="3" a="1"/>
  <c r="Z28" i="3" s="1"/>
  <c r="AA28" i="3" a="1"/>
  <c r="AA28" i="3" s="1"/>
  <c r="W28" i="3" a="1"/>
  <c r="W28" i="3" s="1"/>
  <c r="AA24" i="3" a="1"/>
  <c r="AA24" i="3" s="1"/>
  <c r="X24" i="3" a="1"/>
  <c r="X24" i="3" s="1"/>
  <c r="U24" i="3" a="1"/>
  <c r="U24" i="3" s="1"/>
  <c r="Z24" i="3" a="1"/>
  <c r="Z24" i="3" s="1"/>
  <c r="W24" i="3" a="1"/>
  <c r="W24" i="3" s="1"/>
  <c r="Y24" i="3" a="1"/>
  <c r="Y24" i="3" s="1"/>
  <c r="W20" i="3" a="1"/>
  <c r="W20" i="3" s="1"/>
  <c r="Z20" i="3" a="1"/>
  <c r="Z20" i="3" s="1"/>
  <c r="AA20" i="3" a="1"/>
  <c r="AA20" i="3" s="1"/>
  <c r="X20" i="3" a="1"/>
  <c r="X20" i="3" s="1"/>
  <c r="U20" i="3" a="1"/>
  <c r="U20" i="3" s="1"/>
  <c r="Y20" i="3" a="1"/>
  <c r="Y20" i="3" s="1"/>
  <c r="U16" i="3" a="1"/>
  <c r="U16" i="3" s="1"/>
  <c r="Y16" i="3" a="1"/>
  <c r="Y16" i="3" s="1"/>
  <c r="W16" i="3" a="1"/>
  <c r="W16" i="3" s="1"/>
  <c r="Z16" i="3" a="1"/>
  <c r="Z16" i="3" s="1"/>
  <c r="AA16" i="3" a="1"/>
  <c r="AA16" i="3" s="1"/>
  <c r="Z4" i="3" a="1"/>
  <c r="Z4" i="3" s="1"/>
  <c r="X16" i="3" a="1"/>
  <c r="X16" i="3" s="1"/>
  <c r="U4" i="3" a="1"/>
  <c r="U4" i="3" s="1"/>
  <c r="Z3" i="3" a="1"/>
  <c r="Z3" i="3" s="1"/>
  <c r="X3" i="3" a="1"/>
  <c r="X3" i="3" s="1"/>
  <c r="W4" i="3" a="1"/>
  <c r="W4" i="3" s="1"/>
  <c r="X4" i="3" a="1"/>
  <c r="X4" i="3" s="1"/>
  <c r="AA3" i="3" a="1"/>
  <c r="AA3" i="3" s="1"/>
  <c r="Y3" i="3" a="1"/>
  <c r="Y3" i="3" s="1"/>
  <c r="W3" i="3" a="1"/>
  <c r="W3" i="3" s="1"/>
  <c r="Y4" i="3" a="1"/>
  <c r="Y4" i="3" s="1"/>
  <c r="AA4" i="3" a="1"/>
  <c r="AA4" i="3" s="1"/>
  <c r="X12" i="3" a="1"/>
  <c r="X12" i="3" s="1"/>
  <c r="Y12" i="3" a="1"/>
  <c r="Y12" i="3" s="1"/>
  <c r="U12" i="3" a="1"/>
  <c r="U12" i="3" s="1"/>
  <c r="Z12" i="3" a="1"/>
  <c r="Z12" i="3" s="1"/>
  <c r="W12" i="3" a="1"/>
  <c r="W12" i="3" s="1"/>
  <c r="AA12" i="3" a="1"/>
  <c r="AA12" i="3" s="1"/>
  <c r="W8" i="3" a="1"/>
  <c r="W8" i="3" s="1"/>
  <c r="AA8" i="3" a="1"/>
  <c r="AA8" i="3" s="1"/>
  <c r="X8" i="3" a="1"/>
  <c r="X8" i="3" s="1"/>
  <c r="Y8" i="3" a="1"/>
  <c r="Y8" i="3" s="1"/>
  <c r="Z8" i="3" a="1"/>
  <c r="Z8" i="3" s="1"/>
  <c r="U8" i="3" a="1"/>
  <c r="U8" i="3" s="1"/>
  <c r="E4" i="5"/>
  <c r="F4" i="5"/>
  <c r="G4" i="5"/>
  <c r="H4" i="5"/>
  <c r="I4" i="5"/>
  <c r="J4" i="5"/>
  <c r="K4" i="5"/>
  <c r="L4" i="5"/>
  <c r="M4" i="5"/>
  <c r="N4" i="5"/>
  <c r="O4" i="5"/>
  <c r="P4" i="5"/>
  <c r="Q4" i="5"/>
  <c r="D4" i="5"/>
  <c r="C4" i="5"/>
  <c r="F41" i="2"/>
  <c r="E41" i="2"/>
  <c r="D41" i="2"/>
  <c r="C41" i="2"/>
  <c r="Q98" i="5"/>
  <c r="Q84" i="5"/>
  <c r="Q54" i="5"/>
  <c r="Q24" i="5"/>
  <c r="Q18" i="5" a="1"/>
  <c r="Q18" i="5" s="1"/>
  <c r="S3" i="3"/>
  <c r="P98" i="5"/>
  <c r="O98" i="5"/>
  <c r="N98" i="5"/>
  <c r="M98" i="5"/>
  <c r="L98" i="5"/>
  <c r="K98" i="5"/>
  <c r="J98" i="5"/>
  <c r="I98" i="5"/>
  <c r="H98" i="5"/>
  <c r="G98" i="5"/>
  <c r="F98" i="5"/>
  <c r="E98" i="5"/>
  <c r="D98" i="5"/>
  <c r="C98" i="5"/>
  <c r="R3" i="3"/>
  <c r="C84" i="5"/>
  <c r="C89" i="5" s="1"/>
  <c r="P84" i="5"/>
  <c r="P87" i="5" s="1"/>
  <c r="O84" i="5"/>
  <c r="N84" i="5"/>
  <c r="N92" i="5" s="1"/>
  <c r="M84" i="5"/>
  <c r="L84" i="5"/>
  <c r="L93" i="5" s="1"/>
  <c r="K84" i="5"/>
  <c r="J84" i="5"/>
  <c r="J90" i="5" s="1"/>
  <c r="I84" i="5"/>
  <c r="H84" i="5"/>
  <c r="H91" i="5" s="1"/>
  <c r="G84" i="5"/>
  <c r="F84" i="5"/>
  <c r="F88" i="5" s="1"/>
  <c r="E84" i="5"/>
  <c r="E85" i="5" s="1"/>
  <c r="D84" i="5"/>
  <c r="D89" i="5" s="1"/>
  <c r="B55" i="2"/>
  <c r="B54" i="2"/>
  <c r="B53" i="2"/>
  <c r="B52" i="2"/>
  <c r="B51" i="2"/>
  <c r="B50" i="2"/>
  <c r="B49" i="2"/>
  <c r="B48" i="2"/>
  <c r="B47" i="2"/>
  <c r="B46" i="2"/>
  <c r="B45" i="2"/>
  <c r="B44" i="2"/>
  <c r="B43" i="2"/>
  <c r="B42" i="2"/>
  <c r="F99" i="5" l="1" a="1"/>
  <c r="F99" i="5" s="1"/>
  <c r="C63" i="3" s="1"/>
  <c r="X99" i="5" a="1"/>
  <c r="X99" i="5" s="1"/>
  <c r="C81" i="3" s="1"/>
  <c r="X100" i="5" a="1"/>
  <c r="X100" i="5" s="1"/>
  <c r="D81" i="3" s="1"/>
  <c r="X101" i="5" a="1"/>
  <c r="X101" i="5" s="1"/>
  <c r="E81" i="3" s="1"/>
  <c r="X102" i="5" a="1"/>
  <c r="X102" i="5" s="1"/>
  <c r="F81" i="3" s="1"/>
  <c r="X103" i="5" a="1"/>
  <c r="X103" i="5" s="1"/>
  <c r="G81" i="3" s="1"/>
  <c r="X104" i="5" a="1"/>
  <c r="X104" i="5" s="1"/>
  <c r="H81" i="3" s="1"/>
  <c r="X105" i="5" a="1"/>
  <c r="X105" i="5" s="1"/>
  <c r="I81" i="3" s="1"/>
  <c r="X106" i="5" a="1"/>
  <c r="X106" i="5" s="1"/>
  <c r="J81" i="3" s="1"/>
  <c r="X107" i="5" a="1"/>
  <c r="X107" i="5" s="1"/>
  <c r="K81" i="3" s="1"/>
  <c r="X108" i="5" a="1"/>
  <c r="X108" i="5" s="1"/>
  <c r="L81" i="3" s="1"/>
  <c r="X109" i="5" a="1"/>
  <c r="X109" i="5" s="1"/>
  <c r="M81" i="3" s="1"/>
  <c r="X110" i="5" a="1"/>
  <c r="X110" i="5" s="1"/>
  <c r="N81" i="3" s="1"/>
  <c r="AA106" i="5" a="1"/>
  <c r="AA106" i="5" s="1"/>
  <c r="J84" i="3" s="1"/>
  <c r="AA108" i="5" a="1"/>
  <c r="AA108" i="5" s="1"/>
  <c r="L84" i="3" s="1"/>
  <c r="Y99" i="5" a="1"/>
  <c r="Y99" i="5" s="1"/>
  <c r="C82" i="3" s="1"/>
  <c r="Y100" i="5" a="1"/>
  <c r="Y100" i="5" s="1"/>
  <c r="D82" i="3" s="1"/>
  <c r="Y101" i="5" a="1"/>
  <c r="Y101" i="5" s="1"/>
  <c r="E82" i="3" s="1"/>
  <c r="Y102" i="5" a="1"/>
  <c r="Y102" i="5" s="1"/>
  <c r="F82" i="3" s="1"/>
  <c r="Y103" i="5" a="1"/>
  <c r="Y103" i="5" s="1"/>
  <c r="G82" i="3" s="1"/>
  <c r="Y104" i="5" a="1"/>
  <c r="Y104" i="5" s="1"/>
  <c r="H82" i="3" s="1"/>
  <c r="Y105" i="5" a="1"/>
  <c r="Y105" i="5" s="1"/>
  <c r="I82" i="3" s="1"/>
  <c r="Y106" i="5" a="1"/>
  <c r="Y106" i="5" s="1"/>
  <c r="J82" i="3" s="1"/>
  <c r="Y107" i="5" a="1"/>
  <c r="Y107" i="5" s="1"/>
  <c r="K82" i="3" s="1"/>
  <c r="Y108" i="5" a="1"/>
  <c r="Y108" i="5" s="1"/>
  <c r="L82" i="3" s="1"/>
  <c r="Y109" i="5" a="1"/>
  <c r="Y109" i="5" s="1"/>
  <c r="M82" i="3" s="1"/>
  <c r="Y110" i="5" a="1"/>
  <c r="Y110" i="5" s="1"/>
  <c r="N82" i="3" s="1"/>
  <c r="AA100" i="5" a="1"/>
  <c r="AA100" i="5" s="1"/>
  <c r="D84" i="3" s="1"/>
  <c r="AA101" i="5" a="1"/>
  <c r="AA101" i="5" s="1"/>
  <c r="E84" i="3" s="1"/>
  <c r="AA109" i="5" a="1"/>
  <c r="AA109" i="5" s="1"/>
  <c r="M84" i="3" s="1"/>
  <c r="Z99" i="5" a="1"/>
  <c r="Z99" i="5" s="1"/>
  <c r="C83" i="3" s="1"/>
  <c r="Z100" i="5" a="1"/>
  <c r="Z100" i="5" s="1"/>
  <c r="D83" i="3" s="1"/>
  <c r="Z101" i="5" a="1"/>
  <c r="Z101" i="5" s="1"/>
  <c r="E83" i="3" s="1"/>
  <c r="Z102" i="5" a="1"/>
  <c r="Z102" i="5" s="1"/>
  <c r="F83" i="3" s="1"/>
  <c r="Z103" i="5" a="1"/>
  <c r="Z103" i="5" s="1"/>
  <c r="G83" i="3" s="1"/>
  <c r="Z104" i="5" a="1"/>
  <c r="Z104" i="5" s="1"/>
  <c r="H83" i="3" s="1"/>
  <c r="Z105" i="5" a="1"/>
  <c r="Z105" i="5" s="1"/>
  <c r="I83" i="3" s="1"/>
  <c r="Z106" i="5" a="1"/>
  <c r="Z106" i="5" s="1"/>
  <c r="J83" i="3" s="1"/>
  <c r="Z107" i="5" a="1"/>
  <c r="Z107" i="5" s="1"/>
  <c r="K83" i="3" s="1"/>
  <c r="Z108" i="5" a="1"/>
  <c r="Z108" i="5" s="1"/>
  <c r="L83" i="3" s="1"/>
  <c r="Z109" i="5" a="1"/>
  <c r="Z109" i="5" s="1"/>
  <c r="M83" i="3" s="1"/>
  <c r="Z110" i="5" a="1"/>
  <c r="Z110" i="5" s="1"/>
  <c r="N83" i="3" s="1"/>
  <c r="AA99" i="5" a="1"/>
  <c r="AA99" i="5" s="1"/>
  <c r="C84" i="3" s="1"/>
  <c r="AA102" i="5" a="1"/>
  <c r="AA102" i="5" s="1"/>
  <c r="F84" i="3" s="1"/>
  <c r="AA103" i="5" a="1"/>
  <c r="AA103" i="5" s="1"/>
  <c r="G84" i="3" s="1"/>
  <c r="AA104" i="5" a="1"/>
  <c r="AA104" i="5" s="1"/>
  <c r="H84" i="3" s="1"/>
  <c r="AA105" i="5" a="1"/>
  <c r="AA105" i="5" s="1"/>
  <c r="I84" i="3" s="1"/>
  <c r="AA107" i="5" a="1"/>
  <c r="AA107" i="5" s="1"/>
  <c r="K84" i="3" s="1"/>
  <c r="AA110" i="5" a="1"/>
  <c r="AA110" i="5" s="1"/>
  <c r="N84" i="3" s="1"/>
  <c r="W105" i="5" a="1"/>
  <c r="W105" i="5" s="1"/>
  <c r="I80" i="3" s="1"/>
  <c r="V106" i="5" a="1"/>
  <c r="V106" i="5" s="1"/>
  <c r="J79" i="3" s="1"/>
  <c r="U107" i="5" a="1"/>
  <c r="U107" i="5" s="1"/>
  <c r="K78" i="3" s="1"/>
  <c r="T108" i="5" a="1"/>
  <c r="T108" i="5" s="1"/>
  <c r="L77" i="3" s="1"/>
  <c r="S109" i="5" a="1"/>
  <c r="S109" i="5" s="1"/>
  <c r="M76" i="3" s="1"/>
  <c r="W109" i="5" a="1"/>
  <c r="W109" i="5" s="1"/>
  <c r="M80" i="3" s="1"/>
  <c r="V110" i="5" a="1"/>
  <c r="V110" i="5" s="1"/>
  <c r="N79" i="3" s="1"/>
  <c r="V99" i="5" a="1"/>
  <c r="V99" i="5" s="1"/>
  <c r="C79" i="3" s="1"/>
  <c r="U100" i="5" a="1"/>
  <c r="U100" i="5" s="1"/>
  <c r="D78" i="3" s="1"/>
  <c r="T101" i="5" a="1"/>
  <c r="T101" i="5" s="1"/>
  <c r="E77" i="3" s="1"/>
  <c r="S102" i="5" a="1"/>
  <c r="S102" i="5" s="1"/>
  <c r="F76" i="3" s="1"/>
  <c r="W102" i="5" a="1"/>
  <c r="W102" i="5" s="1"/>
  <c r="F80" i="3" s="1"/>
  <c r="V103" i="5" a="1"/>
  <c r="V103" i="5" s="1"/>
  <c r="G79" i="3" s="1"/>
  <c r="W110" i="5" a="1"/>
  <c r="W110" i="5" s="1"/>
  <c r="N80" i="3" s="1"/>
  <c r="S99" i="5" a="1"/>
  <c r="S99" i="5" s="1"/>
  <c r="C76" i="3" s="1"/>
  <c r="W99" i="5" a="1"/>
  <c r="W99" i="5" s="1"/>
  <c r="C80" i="3" s="1"/>
  <c r="V100" i="5" a="1"/>
  <c r="V100" i="5" s="1"/>
  <c r="D79" i="3" s="1"/>
  <c r="U101" i="5" a="1"/>
  <c r="U101" i="5" s="1"/>
  <c r="E78" i="3" s="1"/>
  <c r="T102" i="5" a="1"/>
  <c r="T102" i="5" s="1"/>
  <c r="F77" i="3" s="1"/>
  <c r="S103" i="5" a="1"/>
  <c r="S103" i="5" s="1"/>
  <c r="G76" i="3" s="1"/>
  <c r="W103" i="5" a="1"/>
  <c r="W103" i="5" s="1"/>
  <c r="G80" i="3" s="1"/>
  <c r="V104" i="5" a="1"/>
  <c r="V104" i="5" s="1"/>
  <c r="H79" i="3" s="1"/>
  <c r="U105" i="5" a="1"/>
  <c r="U105" i="5" s="1"/>
  <c r="I78" i="3" s="1"/>
  <c r="T106" i="5" a="1"/>
  <c r="T106" i="5" s="1"/>
  <c r="J77" i="3" s="1"/>
  <c r="S107" i="5" a="1"/>
  <c r="S107" i="5" s="1"/>
  <c r="K76" i="3" s="1"/>
  <c r="W107" i="5" a="1"/>
  <c r="W107" i="5" s="1"/>
  <c r="K80" i="3" s="1"/>
  <c r="V108" i="5" a="1"/>
  <c r="V108" i="5" s="1"/>
  <c r="L79" i="3" s="1"/>
  <c r="U109" i="5" a="1"/>
  <c r="U109" i="5" s="1"/>
  <c r="M78" i="3" s="1"/>
  <c r="T110" i="5" a="1"/>
  <c r="T110" i="5" s="1"/>
  <c r="N77" i="3" s="1"/>
  <c r="T99" i="5" a="1"/>
  <c r="T99" i="5" s="1"/>
  <c r="C77" i="3" s="1"/>
  <c r="S100" i="5" a="1"/>
  <c r="S100" i="5" s="1"/>
  <c r="D76" i="3" s="1"/>
  <c r="W100" i="5" a="1"/>
  <c r="W100" i="5" s="1"/>
  <c r="D80" i="3" s="1"/>
  <c r="V101" i="5" a="1"/>
  <c r="V101" i="5" s="1"/>
  <c r="E79" i="3" s="1"/>
  <c r="U102" i="5" a="1"/>
  <c r="U102" i="5" s="1"/>
  <c r="F78" i="3" s="1"/>
  <c r="T103" i="5" a="1"/>
  <c r="T103" i="5" s="1"/>
  <c r="G77" i="3" s="1"/>
  <c r="S104" i="5" a="1"/>
  <c r="S104" i="5" s="1"/>
  <c r="H76" i="3" s="1"/>
  <c r="W104" i="5" a="1"/>
  <c r="W104" i="5" s="1"/>
  <c r="H80" i="3" s="1"/>
  <c r="V105" i="5" a="1"/>
  <c r="V105" i="5" s="1"/>
  <c r="I79" i="3" s="1"/>
  <c r="U106" i="5" a="1"/>
  <c r="U106" i="5" s="1"/>
  <c r="J78" i="3" s="1"/>
  <c r="T107" i="5" a="1"/>
  <c r="T107" i="5" s="1"/>
  <c r="K77" i="3" s="1"/>
  <c r="S108" i="5" a="1"/>
  <c r="S108" i="5" s="1"/>
  <c r="L76" i="3" s="1"/>
  <c r="W108" i="5" a="1"/>
  <c r="W108" i="5" s="1"/>
  <c r="L80" i="3" s="1"/>
  <c r="V109" i="5" a="1"/>
  <c r="V109" i="5" s="1"/>
  <c r="M79" i="3" s="1"/>
  <c r="U110" i="5" a="1"/>
  <c r="U110" i="5" s="1"/>
  <c r="N78" i="3" s="1"/>
  <c r="U99" i="5" a="1"/>
  <c r="U99" i="5" s="1"/>
  <c r="C78" i="3" s="1"/>
  <c r="T100" i="5" a="1"/>
  <c r="T100" i="5" s="1"/>
  <c r="D77" i="3" s="1"/>
  <c r="S101" i="5" a="1"/>
  <c r="S101" i="5" s="1"/>
  <c r="E76" i="3" s="1"/>
  <c r="W101" i="5" a="1"/>
  <c r="W101" i="5" s="1"/>
  <c r="E80" i="3" s="1"/>
  <c r="V102" i="5" a="1"/>
  <c r="V102" i="5" s="1"/>
  <c r="F79" i="3" s="1"/>
  <c r="U103" i="5" a="1"/>
  <c r="U103" i="5" s="1"/>
  <c r="G78" i="3" s="1"/>
  <c r="T104" i="5" a="1"/>
  <c r="T104" i="5" s="1"/>
  <c r="H77" i="3" s="1"/>
  <c r="S105" i="5" a="1"/>
  <c r="S105" i="5" s="1"/>
  <c r="I76" i="3" s="1"/>
  <c r="U104" i="5" a="1"/>
  <c r="U104" i="5" s="1"/>
  <c r="H78" i="3" s="1"/>
  <c r="T105" i="5" a="1"/>
  <c r="T105" i="5" s="1"/>
  <c r="I77" i="3" s="1"/>
  <c r="S106" i="5" a="1"/>
  <c r="S106" i="5" s="1"/>
  <c r="J76" i="3" s="1"/>
  <c r="W106" i="5" a="1"/>
  <c r="W106" i="5" s="1"/>
  <c r="J80" i="3" s="1"/>
  <c r="V107" i="5" a="1"/>
  <c r="V107" i="5" s="1"/>
  <c r="K79" i="3" s="1"/>
  <c r="U108" i="5" a="1"/>
  <c r="U108" i="5" s="1"/>
  <c r="L78" i="3" s="1"/>
  <c r="T109" i="5" a="1"/>
  <c r="T109" i="5" s="1"/>
  <c r="M77" i="3" s="1"/>
  <c r="S110" i="5" a="1"/>
  <c r="S110" i="5" s="1"/>
  <c r="N76" i="3" s="1"/>
  <c r="B18" i="8" a="1"/>
  <c r="B18" i="8" s="1"/>
  <c r="B19" i="8" s="1" a="1"/>
  <c r="B19" i="8" s="1"/>
  <c r="B20" i="8" s="1" a="1"/>
  <c r="B20" i="8" s="1"/>
  <c r="B21" i="8" s="1" a="1"/>
  <c r="B21" i="8" s="1"/>
  <c r="B22" i="8" s="1" a="1"/>
  <c r="B22" i="8" s="1"/>
  <c r="B23" i="8" s="1" a="1"/>
  <c r="B23" i="8" s="1"/>
  <c r="B24" i="8" s="1" a="1"/>
  <c r="B24" i="8" s="1"/>
  <c r="B25" i="8" s="1" a="1"/>
  <c r="B25" i="8" s="1"/>
  <c r="B26" i="8" s="1" a="1"/>
  <c r="B26" i="8" s="1"/>
  <c r="B27" i="8" s="1" a="1"/>
  <c r="B27" i="8" s="1"/>
  <c r="B28" i="8" s="1" a="1"/>
  <c r="B28" i="8" s="1"/>
  <c r="B29" i="8" s="1" a="1"/>
  <c r="B29" i="8" s="1"/>
  <c r="B30" i="8" s="1" a="1"/>
  <c r="B30" i="8" s="1"/>
  <c r="B31" i="8" s="1" a="1"/>
  <c r="B31" i="8" s="1"/>
  <c r="B32" i="8" s="1" a="1"/>
  <c r="B32" i="8" s="1"/>
  <c r="B33" i="8" s="1" a="1"/>
  <c r="B33" i="8" s="1"/>
  <c r="B34" i="8" s="1" a="1"/>
  <c r="B34" i="8" s="1"/>
  <c r="B35" i="8" s="1" a="1"/>
  <c r="B35" i="8" s="1"/>
  <c r="B36" i="8" s="1" a="1"/>
  <c r="B36" i="8" s="1"/>
  <c r="B37" i="8" s="1" a="1"/>
  <c r="B37" i="8" s="1"/>
  <c r="B38" i="8" s="1" a="1"/>
  <c r="B38" i="8" s="1"/>
  <c r="B39" i="8" s="1" a="1"/>
  <c r="B39" i="8" s="1"/>
  <c r="B40" i="8" s="1" a="1"/>
  <c r="B40" i="8" s="1"/>
  <c r="B41" i="8" s="1" a="1"/>
  <c r="B41" i="8" s="1"/>
  <c r="B42" i="8" s="1" a="1"/>
  <c r="B42" i="8" s="1"/>
  <c r="B43" i="8" s="1" a="1"/>
  <c r="B43" i="8" s="1"/>
  <c r="B44" i="8" s="1" a="1"/>
  <c r="B44" i="8" s="1"/>
  <c r="B45" i="8" s="1" a="1"/>
  <c r="B45" i="8" s="1"/>
  <c r="B46" i="8" s="1" a="1"/>
  <c r="B46" i="8" s="1"/>
  <c r="B47" i="8" s="1" a="1"/>
  <c r="B47" i="8" s="1"/>
  <c r="B48" i="8" s="1" a="1"/>
  <c r="B48" i="8" s="1"/>
  <c r="B49" i="8" s="1" a="1"/>
  <c r="B49" i="8" s="1"/>
  <c r="B50" i="8" s="1" a="1"/>
  <c r="B50" i="8" s="1"/>
  <c r="B51" i="8" s="1" a="1"/>
  <c r="B51" i="8" s="1"/>
  <c r="B52" i="8" s="1" a="1"/>
  <c r="B52" i="8" s="1"/>
  <c r="B53" i="8" s="1" a="1"/>
  <c r="B53" i="8" s="1"/>
  <c r="B54" i="8" s="1" a="1"/>
  <c r="B54" i="8" s="1"/>
  <c r="B55" i="8" s="1" a="1"/>
  <c r="B55" i="8" s="1"/>
  <c r="B56" i="8" s="1" a="1"/>
  <c r="B56" i="8" s="1"/>
  <c r="B57" i="8" s="1" a="1"/>
  <c r="B57" i="8" s="1"/>
  <c r="B58" i="8" s="1" a="1"/>
  <c r="B58" i="8" s="1"/>
  <c r="B59" i="8" s="1" a="1"/>
  <c r="B59" i="8" s="1"/>
  <c r="B60" i="8" s="1" a="1"/>
  <c r="B60" i="8" s="1"/>
  <c r="B61" i="8" s="1" a="1"/>
  <c r="B61" i="8" s="1"/>
  <c r="B62" i="8" s="1" a="1"/>
  <c r="B62" i="8" s="1"/>
  <c r="B63" i="8" s="1" a="1"/>
  <c r="B63" i="8" s="1"/>
  <c r="B64" i="8" s="1" a="1"/>
  <c r="B64" i="8" s="1"/>
  <c r="B65" i="8" s="1" a="1"/>
  <c r="B65" i="8" s="1"/>
  <c r="B66" i="8" s="1" a="1"/>
  <c r="B66" i="8" s="1"/>
  <c r="B67" i="8" s="1" a="1"/>
  <c r="B67" i="8" s="1"/>
  <c r="B68" i="8" s="1" a="1"/>
  <c r="B68" i="8" s="1"/>
  <c r="B69" i="8" s="1" a="1"/>
  <c r="B69" i="8" s="1"/>
  <c r="B70" i="8" s="1" a="1"/>
  <c r="B70" i="8" s="1"/>
  <c r="B71" i="8" s="1" a="1"/>
  <c r="B71" i="8" s="1"/>
  <c r="B72" i="8" s="1" a="1"/>
  <c r="B72" i="8" s="1"/>
  <c r="B73" i="8" s="1" a="1"/>
  <c r="B73" i="8" s="1"/>
  <c r="B74" i="8" s="1" a="1"/>
  <c r="B74" i="8" s="1"/>
  <c r="B75" i="8" s="1" a="1"/>
  <c r="B75" i="8" s="1"/>
  <c r="B76" i="8" s="1" a="1"/>
  <c r="B76" i="8" s="1"/>
  <c r="B77" i="8" s="1" a="1"/>
  <c r="B77" i="8" s="1"/>
  <c r="B78" i="8" s="1" a="1"/>
  <c r="B78" i="8" s="1"/>
  <c r="B79" i="8" s="1" a="1"/>
  <c r="B79" i="8" s="1"/>
  <c r="B80" i="8" s="1" a="1"/>
  <c r="B80" i="8" s="1"/>
  <c r="B81" i="8" s="1" a="1"/>
  <c r="B81" i="8" s="1"/>
  <c r="B82" i="8" s="1" a="1"/>
  <c r="B82" i="8" s="1"/>
  <c r="B83" i="8" s="1" a="1"/>
  <c r="B83" i="8" s="1"/>
  <c r="B84" i="8" s="1" a="1"/>
  <c r="B84" i="8" s="1"/>
  <c r="B85" i="8" s="1" a="1"/>
  <c r="B85" i="8" s="1"/>
  <c r="B86" i="8" s="1" a="1"/>
  <c r="B86" i="8" s="1"/>
  <c r="B87" i="8" s="1" a="1"/>
  <c r="B87" i="8" s="1"/>
  <c r="B88" i="8" s="1" a="1"/>
  <c r="B88" i="8" s="1"/>
  <c r="B89" i="8" s="1" a="1"/>
  <c r="B89" i="8" s="1"/>
  <c r="B90" i="8" s="1" a="1"/>
  <c r="B90" i="8" s="1"/>
  <c r="B91" i="8" s="1" a="1"/>
  <c r="B91" i="8" s="1"/>
  <c r="B92" i="8" s="1" a="1"/>
  <c r="B92" i="8" s="1"/>
  <c r="B93" i="8" s="1" a="1"/>
  <c r="B93" i="8" s="1"/>
  <c r="B94" i="8" s="1" a="1"/>
  <c r="B94" i="8" s="1"/>
  <c r="B95" i="8" s="1" a="1"/>
  <c r="B95" i="8" s="1"/>
  <c r="B96" i="8" s="1" a="1"/>
  <c r="B96" i="8" s="1"/>
  <c r="B97" i="8" s="1" a="1"/>
  <c r="B97" i="8" s="1"/>
  <c r="B98" i="8" s="1" a="1"/>
  <c r="B98" i="8" s="1"/>
  <c r="B99" i="8" s="1" a="1"/>
  <c r="B99" i="8" s="1"/>
  <c r="B100" i="8" s="1" a="1"/>
  <c r="B100" i="8" s="1"/>
  <c r="B101" i="8" s="1" a="1"/>
  <c r="B101" i="8" s="1"/>
  <c r="B102" i="8" s="1" a="1"/>
  <c r="B102" i="8" s="1"/>
  <c r="B103" i="8" s="1" a="1"/>
  <c r="B103" i="8" s="1"/>
  <c r="B104" i="8" s="1" a="1"/>
  <c r="B104" i="8" s="1"/>
  <c r="B105" i="8" s="1" a="1"/>
  <c r="B105" i="8" s="1"/>
  <c r="B106" i="8" s="1" a="1"/>
  <c r="B106" i="8" s="1"/>
  <c r="B107" i="8" s="1" a="1"/>
  <c r="B107" i="8" s="1"/>
  <c r="B108" i="8" s="1" a="1"/>
  <c r="B108" i="8" s="1"/>
  <c r="B109" i="8" s="1" a="1"/>
  <c r="B109" i="8" s="1"/>
  <c r="B110" i="8" s="1" a="1"/>
  <c r="B110" i="8" s="1"/>
  <c r="B111" i="8" s="1" a="1"/>
  <c r="B111" i="8" s="1"/>
  <c r="B112" i="8" s="1" a="1"/>
  <c r="B112" i="8" s="1"/>
  <c r="B113" i="8" s="1" a="1"/>
  <c r="B113" i="8" s="1"/>
  <c r="B114" i="8" s="1" a="1"/>
  <c r="B114" i="8" s="1"/>
  <c r="B115" i="8" s="1" a="1"/>
  <c r="B115" i="8" s="1"/>
  <c r="B116" i="8" s="1" a="1"/>
  <c r="B116" i="8" s="1"/>
  <c r="B117" i="8" s="1" a="1"/>
  <c r="B117" i="8" s="1"/>
  <c r="B118" i="8" s="1" a="1"/>
  <c r="B118" i="8" s="1"/>
  <c r="B119" i="8" s="1" a="1"/>
  <c r="B119" i="8" s="1"/>
  <c r="B120" i="8" s="1" a="1"/>
  <c r="B120" i="8" s="1"/>
  <c r="B121" i="8" s="1" a="1"/>
  <c r="B121" i="8" s="1"/>
  <c r="B122" i="8" s="1" a="1"/>
  <c r="B122" i="8" s="1"/>
  <c r="B123" i="8" s="1" a="1"/>
  <c r="B123" i="8" s="1"/>
  <c r="B124" i="8" s="1" a="1"/>
  <c r="B124" i="8" s="1"/>
  <c r="B125" i="8" s="1" a="1"/>
  <c r="B125" i="8" s="1"/>
  <c r="B126" i="8" s="1" a="1"/>
  <c r="B126" i="8" s="1"/>
  <c r="B127" i="8" s="1" a="1"/>
  <c r="B127" i="8" s="1"/>
  <c r="B128" i="8" s="1" a="1"/>
  <c r="B128" i="8" s="1"/>
  <c r="B129" i="8" s="1" a="1"/>
  <c r="B129" i="8" s="1"/>
  <c r="B130" i="8" s="1" a="1"/>
  <c r="B130" i="8" s="1"/>
  <c r="B131" i="8" s="1" a="1"/>
  <c r="B131" i="8" s="1"/>
  <c r="B132" i="8" s="1" a="1"/>
  <c r="B132" i="8" s="1"/>
  <c r="B133" i="8" s="1" a="1"/>
  <c r="B133" i="8" s="1"/>
  <c r="B134" i="8" s="1" a="1"/>
  <c r="B134" i="8" s="1"/>
  <c r="B135" i="8" s="1" a="1"/>
  <c r="B135" i="8" s="1"/>
  <c r="B136" i="8" s="1" a="1"/>
  <c r="B136" i="8" s="1"/>
  <c r="B137" i="8" s="1" a="1"/>
  <c r="B137" i="8" s="1"/>
  <c r="B138" i="8" s="1" a="1"/>
  <c r="B138" i="8" s="1"/>
  <c r="B139" i="8" s="1" a="1"/>
  <c r="B139" i="8" s="1"/>
  <c r="B140" i="8" s="1" a="1"/>
  <c r="B140" i="8" s="1"/>
  <c r="B141" i="8" s="1" a="1"/>
  <c r="B141" i="8" s="1"/>
  <c r="B142" i="8" s="1" a="1"/>
  <c r="B142" i="8" s="1"/>
  <c r="B143" i="8" s="1" a="1"/>
  <c r="B143" i="8" s="1"/>
  <c r="B144" i="8" s="1" a="1"/>
  <c r="B144" i="8" s="1"/>
  <c r="B145" i="8" s="1" a="1"/>
  <c r="B145" i="8" s="1"/>
  <c r="B146" i="8" s="1" a="1"/>
  <c r="B146" i="8" s="1"/>
  <c r="B147" i="8" s="1" a="1"/>
  <c r="B147" i="8" s="1"/>
  <c r="B148" i="8" s="1" a="1"/>
  <c r="B148" i="8" s="1"/>
  <c r="B149" i="8" s="1" a="1"/>
  <c r="B149" i="8" s="1"/>
  <c r="B150" i="8" s="1" a="1"/>
  <c r="B150" i="8" s="1"/>
  <c r="B151" i="8" s="1" a="1"/>
  <c r="B151" i="8" s="1"/>
  <c r="B152" i="8" s="1" a="1"/>
  <c r="B152" i="8" s="1"/>
  <c r="B153" i="8" s="1" a="1"/>
  <c r="B153" i="8" s="1"/>
  <c r="B154" i="8" s="1" a="1"/>
  <c r="B154" i="8" s="1"/>
  <c r="B155" i="8" s="1" a="1"/>
  <c r="B155" i="8" s="1"/>
  <c r="B156" i="8" s="1" a="1"/>
  <c r="B156" i="8" s="1"/>
  <c r="B157" i="8" s="1" a="1"/>
  <c r="B157" i="8" s="1"/>
  <c r="B158" i="8" s="1" a="1"/>
  <c r="B158" i="8" s="1"/>
  <c r="B159" i="8" s="1" a="1"/>
  <c r="B159" i="8" s="1"/>
  <c r="B160" i="8" s="1" a="1"/>
  <c r="B160" i="8" s="1"/>
  <c r="B161" i="8" s="1" a="1"/>
  <c r="B161" i="8" s="1"/>
  <c r="B162" i="8" s="1" a="1"/>
  <c r="B162" i="8" s="1"/>
  <c r="B163" i="8" s="1" a="1"/>
  <c r="B163" i="8" s="1"/>
  <c r="B164" i="8" s="1" a="1"/>
  <c r="B164" i="8" s="1"/>
  <c r="B165" i="8" s="1" a="1"/>
  <c r="B165" i="8" s="1"/>
  <c r="B166" i="8" s="1" a="1"/>
  <c r="B166" i="8" s="1"/>
  <c r="B167" i="8" s="1" a="1"/>
  <c r="B167" i="8" s="1"/>
  <c r="B168" i="8" s="1" a="1"/>
  <c r="B168" i="8" s="1"/>
  <c r="B169" i="8" s="1" a="1"/>
  <c r="B169" i="8" s="1"/>
  <c r="B170" i="8" s="1" a="1"/>
  <c r="B170" i="8" s="1"/>
  <c r="B171" i="8" s="1" a="1"/>
  <c r="B171" i="8" s="1"/>
  <c r="B172" i="8" s="1" a="1"/>
  <c r="B172" i="8" s="1"/>
  <c r="B173" i="8" s="1" a="1"/>
  <c r="B173" i="8" s="1"/>
  <c r="B174" i="8" s="1" a="1"/>
  <c r="B174" i="8" s="1"/>
  <c r="B175" i="8" s="1" a="1"/>
  <c r="B175" i="8" s="1"/>
  <c r="B176" i="8" s="1" a="1"/>
  <c r="B176" i="8" s="1"/>
  <c r="B177" i="8" s="1" a="1"/>
  <c r="B177" i="8" s="1"/>
  <c r="B178" i="8" s="1" a="1"/>
  <c r="B178" i="8" s="1"/>
  <c r="B179" i="8" s="1" a="1"/>
  <c r="B179" i="8" s="1"/>
  <c r="B180" i="8" s="1" a="1"/>
  <c r="B180" i="8" s="1"/>
  <c r="B181" i="8" s="1" a="1"/>
  <c r="B181" i="8" s="1"/>
  <c r="B182" i="8" s="1" a="1"/>
  <c r="B182" i="8" s="1"/>
  <c r="B183" i="8" s="1" a="1"/>
  <c r="B183" i="8" s="1"/>
  <c r="B184" i="8" s="1" a="1"/>
  <c r="B184" i="8" s="1"/>
  <c r="B185" i="8" s="1" a="1"/>
  <c r="B185" i="8" s="1"/>
  <c r="B186" i="8" s="1" a="1"/>
  <c r="B186" i="8" s="1"/>
  <c r="B187" i="8" s="1" a="1"/>
  <c r="B187" i="8" s="1"/>
  <c r="B188" i="8" s="1" a="1"/>
  <c r="B188" i="8" s="1"/>
  <c r="B189" i="8" s="1" a="1"/>
  <c r="B189" i="8" s="1"/>
  <c r="B190" i="8" s="1" a="1"/>
  <c r="B190" i="8" s="1"/>
  <c r="B191" i="8" s="1" a="1"/>
  <c r="B191" i="8" s="1"/>
  <c r="B192" i="8" s="1" a="1"/>
  <c r="B192" i="8" s="1"/>
  <c r="B193" i="8" s="1" a="1"/>
  <c r="B193" i="8" s="1"/>
  <c r="B194" i="8" s="1" a="1"/>
  <c r="B194" i="8" s="1"/>
  <c r="B195" i="8" s="1" a="1"/>
  <c r="B195" i="8" s="1"/>
  <c r="B196" i="8" s="1" a="1"/>
  <c r="B196" i="8" s="1"/>
  <c r="B197" i="8" s="1" a="1"/>
  <c r="B197" i="8" s="1"/>
  <c r="B198" i="8" s="1" a="1"/>
  <c r="B198" i="8" s="1"/>
  <c r="B199" i="8" s="1" a="1"/>
  <c r="B199" i="8" s="1"/>
  <c r="B200" i="8" s="1" a="1"/>
  <c r="B200" i="8" s="1"/>
  <c r="B201" i="8" s="1" a="1"/>
  <c r="B201" i="8" s="1"/>
  <c r="B202" i="8" s="1" a="1"/>
  <c r="B202" i="8" s="1"/>
  <c r="B203" i="8" s="1" a="1"/>
  <c r="B203" i="8" s="1"/>
  <c r="B204" i="8" s="1" a="1"/>
  <c r="B204" i="8" s="1"/>
  <c r="B205" i="8" s="1" a="1"/>
  <c r="B205" i="8" s="1"/>
  <c r="B206" i="8" s="1" a="1"/>
  <c r="B206" i="8" s="1"/>
  <c r="B207" i="8" s="1" a="1"/>
  <c r="B207" i="8" s="1"/>
  <c r="B208" i="8" s="1" a="1"/>
  <c r="B208" i="8" s="1"/>
  <c r="B209" i="8" s="1" a="1"/>
  <c r="B209" i="8" s="1"/>
  <c r="B210" i="8" s="1" a="1"/>
  <c r="B210" i="8" s="1"/>
  <c r="B211" i="8" s="1" a="1"/>
  <c r="B211" i="8" s="1"/>
  <c r="B212" i="8" s="1" a="1"/>
  <c r="B212" i="8" s="1"/>
  <c r="B213" i="8" s="1" a="1"/>
  <c r="B213" i="8" s="1"/>
  <c r="B214" i="8" s="1" a="1"/>
  <c r="B214" i="8" s="1"/>
  <c r="B215" i="8" s="1" a="1"/>
  <c r="B215" i="8" s="1"/>
  <c r="B216" i="8" s="1" a="1"/>
  <c r="B216" i="8" s="1"/>
  <c r="B217" i="8" s="1" a="1"/>
  <c r="B217" i="8" s="1"/>
  <c r="B218" i="8" s="1" a="1"/>
  <c r="B218" i="8" s="1"/>
  <c r="B219" i="8" s="1" a="1"/>
  <c r="B219" i="8" s="1"/>
  <c r="B220" i="8" s="1" a="1"/>
  <c r="B220" i="8" s="1"/>
  <c r="B221" i="8" s="1" a="1"/>
  <c r="B221" i="8" s="1"/>
  <c r="B222" i="8" s="1" a="1"/>
  <c r="B222" i="8" s="1"/>
  <c r="B223" i="8" s="1" a="1"/>
  <c r="B223" i="8" s="1"/>
  <c r="B224" i="8" s="1" a="1"/>
  <c r="B224" i="8" s="1"/>
  <c r="B225" i="8" s="1" a="1"/>
  <c r="B225" i="8" s="1"/>
  <c r="B226" i="8" s="1" a="1"/>
  <c r="B226" i="8" s="1"/>
  <c r="B227" i="8" s="1" a="1"/>
  <c r="B227" i="8" s="1"/>
  <c r="B228" i="8" s="1" a="1"/>
  <c r="B228" i="8" s="1"/>
  <c r="B229" i="8" s="1" a="1"/>
  <c r="B229" i="8" s="1"/>
  <c r="B230" i="8" s="1" a="1"/>
  <c r="B230" i="8" s="1"/>
  <c r="B231" i="8" s="1" a="1"/>
  <c r="B231" i="8" s="1"/>
  <c r="B232" i="8" s="1" a="1"/>
  <c r="B232" i="8" s="1"/>
  <c r="B233" i="8" s="1" a="1"/>
  <c r="B233" i="8" s="1"/>
  <c r="B234" i="8" s="1" a="1"/>
  <c r="B234" i="8" s="1"/>
  <c r="B235" i="8" s="1" a="1"/>
  <c r="B235" i="8" s="1"/>
  <c r="B236" i="8" s="1" a="1"/>
  <c r="B236" i="8" s="1"/>
  <c r="B237" i="8" s="1" a="1"/>
  <c r="B237" i="8" s="1"/>
  <c r="B238" i="8" s="1" a="1"/>
  <c r="B238" i="8" s="1"/>
  <c r="B239" i="8" s="1" a="1"/>
  <c r="B239" i="8" s="1"/>
  <c r="B240" i="8" s="1" a="1"/>
  <c r="B240" i="8" s="1"/>
  <c r="B241" i="8" s="1" a="1"/>
  <c r="B241" i="8" s="1"/>
  <c r="B242" i="8" s="1" a="1"/>
  <c r="B242" i="8" s="1"/>
  <c r="B243" i="8" s="1" a="1"/>
  <c r="B243" i="8" s="1"/>
  <c r="B244" i="8" s="1" a="1"/>
  <c r="B244" i="8" s="1"/>
  <c r="B245" i="8" s="1" a="1"/>
  <c r="B245" i="8" s="1"/>
  <c r="B246" i="8" s="1" a="1"/>
  <c r="B246" i="8" s="1"/>
  <c r="B247" i="8" s="1" a="1"/>
  <c r="B247" i="8" s="1"/>
  <c r="B248" i="8" s="1" a="1"/>
  <c r="B248" i="8" s="1"/>
  <c r="B249" i="8" s="1" a="1"/>
  <c r="B249" i="8" s="1"/>
  <c r="B250" i="8" s="1" a="1"/>
  <c r="B250" i="8" s="1"/>
  <c r="B251" i="8" s="1" a="1"/>
  <c r="B251" i="8" s="1"/>
  <c r="B252" i="8" s="1" a="1"/>
  <c r="B252" i="8" s="1"/>
  <c r="B253" i="8" s="1" a="1"/>
  <c r="B253" i="8" s="1"/>
  <c r="B254" i="8" s="1" a="1"/>
  <c r="B254" i="8" s="1"/>
  <c r="B255" i="8" s="1" a="1"/>
  <c r="B255" i="8" s="1"/>
  <c r="B256" i="8" s="1" a="1"/>
  <c r="B256" i="8" s="1"/>
  <c r="B257" i="8" s="1" a="1"/>
  <c r="B257" i="8" s="1"/>
  <c r="B258" i="8" s="1" a="1"/>
  <c r="B258" i="8" s="1"/>
  <c r="B259" i="8" s="1" a="1"/>
  <c r="B259" i="8" s="1"/>
  <c r="B260" i="8" s="1" a="1"/>
  <c r="B260" i="8" s="1"/>
  <c r="B261" i="8" s="1" a="1"/>
  <c r="B261" i="8" s="1"/>
  <c r="B262" i="8" s="1" a="1"/>
  <c r="B262" i="8" s="1"/>
  <c r="B263" i="8" s="1" a="1"/>
  <c r="B263" i="8" s="1"/>
  <c r="B264" i="8" s="1" a="1"/>
  <c r="B264" i="8" s="1"/>
  <c r="B265" i="8" s="1" a="1"/>
  <c r="B265" i="8" s="1"/>
  <c r="B266" i="8" s="1" a="1"/>
  <c r="B266" i="8" s="1"/>
  <c r="B267" i="8" s="1" a="1"/>
  <c r="B267" i="8" s="1"/>
  <c r="B268" i="8" s="1" a="1"/>
  <c r="B268" i="8" s="1"/>
  <c r="B269" i="8" s="1" a="1"/>
  <c r="B269" i="8" s="1"/>
  <c r="B270" i="8" s="1" a="1"/>
  <c r="B270" i="8" s="1"/>
  <c r="B271" i="8" s="1" a="1"/>
  <c r="B271" i="8" s="1"/>
  <c r="B272" i="8" s="1" a="1"/>
  <c r="B272" i="8" s="1"/>
  <c r="B273" i="8" s="1" a="1"/>
  <c r="B273" i="8" s="1"/>
  <c r="B274" i="8" s="1" a="1"/>
  <c r="B274" i="8" s="1"/>
  <c r="B275" i="8" s="1" a="1"/>
  <c r="B275" i="8" s="1"/>
  <c r="B276" i="8" s="1" a="1"/>
  <c r="B276" i="8" s="1"/>
  <c r="B277" i="8" s="1" a="1"/>
  <c r="B277" i="8" s="1"/>
  <c r="B278" i="8" s="1" a="1"/>
  <c r="B278" i="8" s="1"/>
  <c r="B279" i="8" s="1" a="1"/>
  <c r="B279" i="8" s="1"/>
  <c r="B280" i="8" s="1" a="1"/>
  <c r="B280" i="8" s="1"/>
  <c r="B281" i="8" s="1" a="1"/>
  <c r="B281" i="8" s="1"/>
  <c r="B282" i="8" s="1" a="1"/>
  <c r="B282" i="8" s="1"/>
  <c r="B283" i="8" s="1" a="1"/>
  <c r="B283" i="8" s="1"/>
  <c r="B284" i="8" s="1" a="1"/>
  <c r="B284" i="8" s="1"/>
  <c r="B285" i="8" s="1" a="1"/>
  <c r="B285" i="8" s="1"/>
  <c r="B286" i="8" s="1" a="1"/>
  <c r="B286" i="8" s="1"/>
  <c r="B287" i="8" s="1" a="1"/>
  <c r="B287" i="8" s="1"/>
  <c r="B288" i="8" s="1" a="1"/>
  <c r="B288" i="8" s="1"/>
  <c r="B289" i="8" s="1" a="1"/>
  <c r="B289" i="8" s="1"/>
  <c r="B290" i="8" s="1" a="1"/>
  <c r="B290" i="8" s="1"/>
  <c r="B291" i="8" s="1" a="1"/>
  <c r="B291" i="8" s="1"/>
  <c r="B292" i="8" s="1" a="1"/>
  <c r="B292" i="8" s="1"/>
  <c r="B293" i="8" s="1" a="1"/>
  <c r="B293" i="8" s="1"/>
  <c r="B294" i="8" s="1" a="1"/>
  <c r="B294" i="8" s="1"/>
  <c r="B295" i="8" s="1" a="1"/>
  <c r="B295" i="8" s="1"/>
  <c r="B296" i="8" s="1" a="1"/>
  <c r="B296" i="8" s="1"/>
  <c r="B297" i="8" s="1" a="1"/>
  <c r="B297" i="8" s="1"/>
  <c r="B298" i="8" s="1" a="1"/>
  <c r="B298" i="8" s="1"/>
  <c r="B299" i="8" s="1" a="1"/>
  <c r="B299" i="8" s="1"/>
  <c r="B300" i="8" s="1" a="1"/>
  <c r="B300" i="8" s="1"/>
  <c r="B301" i="8" s="1" a="1"/>
  <c r="B301" i="8" s="1"/>
  <c r="B302" i="8" s="1" a="1"/>
  <c r="B302" i="8" s="1"/>
  <c r="B303" i="8" s="1" a="1"/>
  <c r="B303" i="8" s="1"/>
  <c r="B304" i="8" s="1" a="1"/>
  <c r="B304" i="8" s="1"/>
  <c r="B305" i="8" s="1" a="1"/>
  <c r="B305" i="8" s="1"/>
  <c r="B306" i="8" s="1" a="1"/>
  <c r="B306" i="8" s="1"/>
  <c r="B307" i="8" s="1" a="1"/>
  <c r="B307" i="8" s="1"/>
  <c r="B308" i="8" s="1" a="1"/>
  <c r="B308" i="8" s="1"/>
  <c r="B309" i="8" s="1" a="1"/>
  <c r="B309" i="8" s="1"/>
  <c r="B310" i="8" s="1" a="1"/>
  <c r="B310" i="8" s="1"/>
  <c r="B311" i="8" s="1" a="1"/>
  <c r="B311" i="8" s="1"/>
  <c r="B312" i="8" s="1" a="1"/>
  <c r="B312" i="8" s="1"/>
  <c r="B313" i="8" s="1" a="1"/>
  <c r="B313" i="8" s="1"/>
  <c r="B314" i="8" s="1" a="1"/>
  <c r="B314" i="8" s="1"/>
  <c r="B315" i="8" s="1" a="1"/>
  <c r="B315" i="8" s="1"/>
  <c r="B316" i="8" s="1" a="1"/>
  <c r="B316" i="8" s="1"/>
  <c r="B317" i="8" s="1" a="1"/>
  <c r="B317" i="8" s="1"/>
  <c r="B318" i="8" s="1" a="1"/>
  <c r="B318" i="8" s="1"/>
  <c r="B319" i="8" s="1" a="1"/>
  <c r="B319" i="8" s="1"/>
  <c r="B320" i="8" s="1" a="1"/>
  <c r="B320" i="8" s="1"/>
  <c r="B321" i="8" s="1" a="1"/>
  <c r="B321" i="8" s="1"/>
  <c r="B322" i="8" s="1" a="1"/>
  <c r="B322" i="8" s="1"/>
  <c r="B323" i="8" s="1" a="1"/>
  <c r="B323" i="8" s="1"/>
  <c r="B324" i="8" s="1" a="1"/>
  <c r="B324" i="8" s="1"/>
  <c r="B325" i="8" s="1" a="1"/>
  <c r="B325" i="8" s="1"/>
  <c r="B326" i="8" s="1" a="1"/>
  <c r="B326" i="8" s="1"/>
  <c r="B327" i="8" s="1" a="1"/>
  <c r="B327" i="8" s="1"/>
  <c r="B328" i="8" s="1" a="1"/>
  <c r="B328" i="8" s="1"/>
  <c r="B329" i="8" s="1" a="1"/>
  <c r="B329" i="8" s="1"/>
  <c r="B330" i="8" s="1" a="1"/>
  <c r="B330" i="8" s="1"/>
  <c r="B331" i="8" s="1" a="1"/>
  <c r="B331" i="8" s="1"/>
  <c r="B332" i="8" s="1" a="1"/>
  <c r="B332" i="8" s="1"/>
  <c r="B333" i="8" s="1" a="1"/>
  <c r="B333" i="8" s="1"/>
  <c r="B334" i="8" s="1" a="1"/>
  <c r="B334" i="8" s="1"/>
  <c r="B335" i="8" s="1" a="1"/>
  <c r="B335" i="8" s="1"/>
  <c r="B336" i="8" s="1" a="1"/>
  <c r="B336" i="8" s="1"/>
  <c r="B337" i="8" s="1" a="1"/>
  <c r="B337" i="8" s="1"/>
  <c r="B338" i="8" s="1" a="1"/>
  <c r="B338" i="8" s="1"/>
  <c r="B339" i="8" s="1" a="1"/>
  <c r="B339" i="8" s="1"/>
  <c r="B340" i="8" s="1" a="1"/>
  <c r="B340" i="8" s="1"/>
  <c r="B341" i="8" s="1" a="1"/>
  <c r="B341" i="8" s="1"/>
  <c r="B342" i="8" s="1" a="1"/>
  <c r="B342" i="8" s="1"/>
  <c r="B343" i="8" s="1" a="1"/>
  <c r="B343" i="8" s="1"/>
  <c r="B344" i="8" s="1" a="1"/>
  <c r="B344" i="8" s="1"/>
  <c r="B345" i="8" s="1" a="1"/>
  <c r="B345" i="8" s="1"/>
  <c r="B346" i="8" s="1" a="1"/>
  <c r="B346" i="8" s="1"/>
  <c r="B347" i="8" s="1" a="1"/>
  <c r="B347" i="8" s="1"/>
  <c r="B348" i="8" s="1" a="1"/>
  <c r="B348" i="8" s="1"/>
  <c r="B349" i="8" s="1" a="1"/>
  <c r="B349" i="8" s="1"/>
  <c r="B350" i="8" s="1" a="1"/>
  <c r="B350" i="8" s="1"/>
  <c r="B351" i="8" s="1" a="1"/>
  <c r="B351" i="8" s="1"/>
  <c r="B352" i="8" s="1" a="1"/>
  <c r="B352" i="8" s="1"/>
  <c r="B353" i="8" s="1" a="1"/>
  <c r="B353" i="8" s="1"/>
  <c r="B354" i="8" s="1" a="1"/>
  <c r="B354" i="8" s="1"/>
  <c r="B355" i="8" s="1" a="1"/>
  <c r="B355" i="8" s="1"/>
  <c r="B356" i="8" s="1" a="1"/>
  <c r="B356" i="8" s="1"/>
  <c r="B357" i="8" s="1" a="1"/>
  <c r="B357" i="8" s="1"/>
  <c r="B358" i="8" s="1" a="1"/>
  <c r="B358" i="8" s="1"/>
  <c r="B359" i="8" s="1" a="1"/>
  <c r="B359" i="8" s="1"/>
  <c r="B360" i="8" s="1" a="1"/>
  <c r="B360" i="8" s="1"/>
  <c r="B361" i="8" s="1" a="1"/>
  <c r="B361" i="8" s="1"/>
  <c r="B362" i="8" s="1" a="1"/>
  <c r="B362" i="8" s="1"/>
  <c r="B363" i="8" s="1" a="1"/>
  <c r="B363" i="8" s="1"/>
  <c r="B364" i="8" s="1" a="1"/>
  <c r="B364" i="8" s="1"/>
  <c r="B365" i="8" s="1" a="1"/>
  <c r="B365" i="8" s="1"/>
  <c r="B366" i="8" s="1" a="1"/>
  <c r="B366" i="8" s="1"/>
  <c r="B367" i="8" s="1" a="1"/>
  <c r="B367" i="8" s="1"/>
  <c r="B368" i="8" s="1" a="1"/>
  <c r="B368" i="8" s="1"/>
  <c r="B369" i="8" s="1" a="1"/>
  <c r="B369" i="8" s="1"/>
  <c r="B370" i="8" s="1" a="1"/>
  <c r="B370" i="8" s="1"/>
  <c r="B371" i="8" s="1" a="1"/>
  <c r="B371" i="8" s="1"/>
  <c r="B372" i="8" s="1" a="1"/>
  <c r="B372" i="8" s="1"/>
  <c r="B373" i="8" s="1" a="1"/>
  <c r="B373" i="8" s="1"/>
  <c r="B374" i="8" s="1" a="1"/>
  <c r="B374" i="8" s="1"/>
  <c r="B375" i="8" s="1" a="1"/>
  <c r="B375" i="8" s="1"/>
  <c r="B376" i="8" s="1" a="1"/>
  <c r="B376" i="8" s="1"/>
  <c r="B377" i="8" s="1" a="1"/>
  <c r="B377" i="8" s="1"/>
  <c r="B378" i="8" s="1" a="1"/>
  <c r="B378" i="8" s="1"/>
  <c r="B379" i="8" s="1" a="1"/>
  <c r="B379" i="8" s="1"/>
  <c r="B380" i="8" s="1" a="1"/>
  <c r="B380" i="8" s="1"/>
  <c r="F85" i="5"/>
  <c r="P85" i="5"/>
  <c r="L85" i="5"/>
  <c r="C96" i="5"/>
  <c r="C92" i="5"/>
  <c r="C87" i="5"/>
  <c r="N96" i="5"/>
  <c r="F96" i="5"/>
  <c r="D95" i="5"/>
  <c r="P93" i="5"/>
  <c r="L91" i="5"/>
  <c r="H89" i="5"/>
  <c r="D87" i="5"/>
  <c r="F87" i="5"/>
  <c r="F89" i="5"/>
  <c r="F91" i="5"/>
  <c r="F93" i="5"/>
  <c r="F95" i="5"/>
  <c r="J87" i="5"/>
  <c r="J89" i="5"/>
  <c r="J91" i="5"/>
  <c r="J93" i="5"/>
  <c r="J95" i="5"/>
  <c r="N87" i="5"/>
  <c r="N89" i="5"/>
  <c r="N91" i="5"/>
  <c r="N93" i="5"/>
  <c r="N95" i="5"/>
  <c r="G87" i="5"/>
  <c r="G89" i="5"/>
  <c r="G91" i="5"/>
  <c r="G93" i="5"/>
  <c r="G95" i="5"/>
  <c r="G86" i="5"/>
  <c r="G88" i="5"/>
  <c r="G90" i="5"/>
  <c r="G92" i="5"/>
  <c r="G94" i="5"/>
  <c r="G96" i="5"/>
  <c r="K87" i="5"/>
  <c r="K89" i="5"/>
  <c r="K91" i="5"/>
  <c r="K93" i="5"/>
  <c r="K95" i="5"/>
  <c r="K86" i="5"/>
  <c r="K88" i="5"/>
  <c r="K90" i="5"/>
  <c r="K92" i="5"/>
  <c r="K94" i="5"/>
  <c r="O87" i="5"/>
  <c r="O89" i="5"/>
  <c r="O91" i="5"/>
  <c r="O93" i="5"/>
  <c r="O95" i="5"/>
  <c r="O86" i="5"/>
  <c r="O88" i="5"/>
  <c r="O90" i="5"/>
  <c r="O92" i="5"/>
  <c r="O94" i="5"/>
  <c r="R101" i="5" a="1"/>
  <c r="R101" i="5" s="1"/>
  <c r="E75" i="3" s="1"/>
  <c r="R105" i="5" a="1"/>
  <c r="R105" i="5" s="1"/>
  <c r="I75" i="3" s="1"/>
  <c r="R109" i="5" a="1"/>
  <c r="R109" i="5" s="1"/>
  <c r="M75" i="3" s="1"/>
  <c r="R102" i="5" a="1"/>
  <c r="R102" i="5" s="1"/>
  <c r="F75" i="3" s="1"/>
  <c r="R106" i="5" a="1"/>
  <c r="R106" i="5" s="1"/>
  <c r="J75" i="3" s="1"/>
  <c r="R110" i="5" a="1"/>
  <c r="R110" i="5" s="1"/>
  <c r="N75" i="3" s="1"/>
  <c r="R99" i="5" a="1"/>
  <c r="R99" i="5" s="1"/>
  <c r="C75" i="3" s="1"/>
  <c r="R103" i="5" a="1"/>
  <c r="R103" i="5" s="1"/>
  <c r="G75" i="3" s="1"/>
  <c r="R107" i="5" a="1"/>
  <c r="R107" i="5" s="1"/>
  <c r="K75" i="3" s="1"/>
  <c r="R100" i="5" a="1"/>
  <c r="R100" i="5" s="1"/>
  <c r="D75" i="3" s="1"/>
  <c r="R104" i="5" a="1"/>
  <c r="R104" i="5" s="1"/>
  <c r="H75" i="3" s="1"/>
  <c r="R108" i="5" a="1"/>
  <c r="R108" i="5" s="1"/>
  <c r="L75" i="3" s="1"/>
  <c r="D100" i="5" a="1"/>
  <c r="D100" i="5" s="1"/>
  <c r="D61" i="3" s="1"/>
  <c r="H100" i="5" a="1"/>
  <c r="H100" i="5" s="1"/>
  <c r="D65" i="3" s="1"/>
  <c r="L100" i="5" a="1"/>
  <c r="L100" i="5" s="1"/>
  <c r="D69" i="3" s="1"/>
  <c r="P100" i="5" a="1"/>
  <c r="P100" i="5" s="1"/>
  <c r="D73" i="3" s="1"/>
  <c r="F101" i="5" a="1"/>
  <c r="F101" i="5" s="1"/>
  <c r="E63" i="3" s="1"/>
  <c r="J101" i="5" a="1"/>
  <c r="J101" i="5" s="1"/>
  <c r="E67" i="3" s="1"/>
  <c r="N101" i="5" a="1"/>
  <c r="N101" i="5" s="1"/>
  <c r="E71" i="3" s="1"/>
  <c r="D102" i="5" a="1"/>
  <c r="D102" i="5" s="1"/>
  <c r="F61" i="3" s="1"/>
  <c r="H102" i="5" a="1"/>
  <c r="H102" i="5" s="1"/>
  <c r="F65" i="3" s="1"/>
  <c r="L102" i="5" a="1"/>
  <c r="L102" i="5" s="1"/>
  <c r="F69" i="3" s="1"/>
  <c r="P102" i="5" a="1"/>
  <c r="P102" i="5" s="1"/>
  <c r="F73" i="3" s="1"/>
  <c r="F103" i="5" a="1"/>
  <c r="F103" i="5" s="1"/>
  <c r="G63" i="3" s="1"/>
  <c r="J103" i="5" a="1"/>
  <c r="J103" i="5" s="1"/>
  <c r="G67" i="3" s="1"/>
  <c r="N103" i="5" a="1"/>
  <c r="N103" i="5" s="1"/>
  <c r="G71" i="3" s="1"/>
  <c r="D104" i="5" a="1"/>
  <c r="D104" i="5" s="1"/>
  <c r="H61" i="3" s="1"/>
  <c r="H104" i="5" a="1"/>
  <c r="H104" i="5" s="1"/>
  <c r="H65" i="3" s="1"/>
  <c r="L104" i="5" a="1"/>
  <c r="L104" i="5" s="1"/>
  <c r="H69" i="3" s="1"/>
  <c r="P104" i="5" a="1"/>
  <c r="P104" i="5" s="1"/>
  <c r="H73" i="3" s="1"/>
  <c r="F105" i="5" a="1"/>
  <c r="F105" i="5" s="1"/>
  <c r="I63" i="3" s="1"/>
  <c r="J105" i="5" a="1"/>
  <c r="J105" i="5" s="1"/>
  <c r="I67" i="3" s="1"/>
  <c r="N105" i="5" a="1"/>
  <c r="N105" i="5" s="1"/>
  <c r="I71" i="3" s="1"/>
  <c r="D106" i="5" a="1"/>
  <c r="D106" i="5" s="1"/>
  <c r="J61" i="3" s="1"/>
  <c r="H106" i="5" a="1"/>
  <c r="H106" i="5" s="1"/>
  <c r="J65" i="3" s="1"/>
  <c r="L106" i="5" a="1"/>
  <c r="L106" i="5" s="1"/>
  <c r="J69" i="3" s="1"/>
  <c r="P106" i="5" a="1"/>
  <c r="P106" i="5" s="1"/>
  <c r="J73" i="3" s="1"/>
  <c r="F107" i="5" a="1"/>
  <c r="F107" i="5" s="1"/>
  <c r="K63" i="3" s="1"/>
  <c r="J107" i="5" a="1"/>
  <c r="J107" i="5" s="1"/>
  <c r="K67" i="3" s="1"/>
  <c r="N107" i="5" a="1"/>
  <c r="N107" i="5" s="1"/>
  <c r="K71" i="3" s="1"/>
  <c r="D108" i="5" a="1"/>
  <c r="D108" i="5" s="1"/>
  <c r="L61" i="3" s="1"/>
  <c r="H108" i="5" a="1"/>
  <c r="H108" i="5" s="1"/>
  <c r="L65" i="3" s="1"/>
  <c r="L108" i="5" a="1"/>
  <c r="L108" i="5" s="1"/>
  <c r="L69" i="3" s="1"/>
  <c r="P108" i="5" a="1"/>
  <c r="P108" i="5" s="1"/>
  <c r="L73" i="3" s="1"/>
  <c r="F109" i="5" a="1"/>
  <c r="F109" i="5" s="1"/>
  <c r="M63" i="3" s="1"/>
  <c r="J109" i="5" a="1"/>
  <c r="J109" i="5" s="1"/>
  <c r="M67" i="3" s="1"/>
  <c r="N109" i="5" a="1"/>
  <c r="N109" i="5" s="1"/>
  <c r="M71" i="3" s="1"/>
  <c r="D110" i="5" a="1"/>
  <c r="D110" i="5" s="1"/>
  <c r="N61" i="3" s="1"/>
  <c r="H110" i="5" a="1"/>
  <c r="H110" i="5" s="1"/>
  <c r="N65" i="3" s="1"/>
  <c r="L110" i="5" a="1"/>
  <c r="L110" i="5" s="1"/>
  <c r="N69" i="3" s="1"/>
  <c r="P110" i="5" a="1"/>
  <c r="P110" i="5" s="1"/>
  <c r="N73" i="3" s="1"/>
  <c r="Q103" i="5" a="1"/>
  <c r="Q103" i="5" s="1"/>
  <c r="G74" i="3" s="1"/>
  <c r="Q107" i="5" a="1"/>
  <c r="Q107" i="5" s="1"/>
  <c r="K74" i="3" s="1"/>
  <c r="G99" i="5" a="1"/>
  <c r="G99" i="5" s="1"/>
  <c r="C64" i="3" s="1"/>
  <c r="K99" i="5" a="1"/>
  <c r="K99" i="5" s="1"/>
  <c r="C68" i="3" s="1"/>
  <c r="O99" i="5" a="1"/>
  <c r="O99" i="5" s="1"/>
  <c r="C72" i="3" s="1"/>
  <c r="E99" i="5" a="1"/>
  <c r="E99" i="5" s="1"/>
  <c r="C62" i="3" s="1"/>
  <c r="E100" i="5" a="1"/>
  <c r="E100" i="5" s="1"/>
  <c r="D62" i="3" s="1"/>
  <c r="I100" i="5" a="1"/>
  <c r="I100" i="5" s="1"/>
  <c r="D66" i="3" s="1"/>
  <c r="M100" i="5" a="1"/>
  <c r="M100" i="5" s="1"/>
  <c r="D70" i="3" s="1"/>
  <c r="C101" i="5" a="1"/>
  <c r="C101" i="5" s="1"/>
  <c r="E60" i="3" s="1"/>
  <c r="G101" i="5" a="1"/>
  <c r="G101" i="5" s="1"/>
  <c r="E64" i="3" s="1"/>
  <c r="K101" i="5" a="1"/>
  <c r="K101" i="5" s="1"/>
  <c r="E68" i="3" s="1"/>
  <c r="O101" i="5" a="1"/>
  <c r="O101" i="5" s="1"/>
  <c r="E72" i="3" s="1"/>
  <c r="E102" i="5" a="1"/>
  <c r="E102" i="5" s="1"/>
  <c r="F62" i="3" s="1"/>
  <c r="I102" i="5" a="1"/>
  <c r="I102" i="5" s="1"/>
  <c r="F66" i="3" s="1"/>
  <c r="M102" i="5" a="1"/>
  <c r="M102" i="5" s="1"/>
  <c r="F70" i="3" s="1"/>
  <c r="C103" i="5" a="1"/>
  <c r="C103" i="5" s="1"/>
  <c r="G60" i="3" s="1"/>
  <c r="G103" i="5" a="1"/>
  <c r="G103" i="5" s="1"/>
  <c r="G64" i="3" s="1"/>
  <c r="K103" i="5" a="1"/>
  <c r="K103" i="5" s="1"/>
  <c r="G68" i="3" s="1"/>
  <c r="O103" i="5" a="1"/>
  <c r="O103" i="5" s="1"/>
  <c r="G72" i="3" s="1"/>
  <c r="E104" i="5" a="1"/>
  <c r="E104" i="5" s="1"/>
  <c r="H62" i="3" s="1"/>
  <c r="I104" i="5" a="1"/>
  <c r="I104" i="5" s="1"/>
  <c r="H66" i="3" s="1"/>
  <c r="M104" i="5" a="1"/>
  <c r="M104" i="5" s="1"/>
  <c r="H70" i="3" s="1"/>
  <c r="C105" i="5" a="1"/>
  <c r="C105" i="5" s="1"/>
  <c r="I60" i="3" s="1"/>
  <c r="G105" i="5" a="1"/>
  <c r="G105" i="5" s="1"/>
  <c r="I64" i="3" s="1"/>
  <c r="K105" i="5" a="1"/>
  <c r="K105" i="5" s="1"/>
  <c r="I68" i="3" s="1"/>
  <c r="O105" i="5" a="1"/>
  <c r="O105" i="5" s="1"/>
  <c r="I72" i="3" s="1"/>
  <c r="E106" i="5" a="1"/>
  <c r="E106" i="5" s="1"/>
  <c r="J62" i="3" s="1"/>
  <c r="I106" i="5" a="1"/>
  <c r="I106" i="5" s="1"/>
  <c r="J66" i="3" s="1"/>
  <c r="M106" i="5" a="1"/>
  <c r="M106" i="5" s="1"/>
  <c r="J70" i="3" s="1"/>
  <c r="C107" i="5" a="1"/>
  <c r="C107" i="5" s="1"/>
  <c r="K60" i="3" s="1"/>
  <c r="G107" i="5" a="1"/>
  <c r="G107" i="5" s="1"/>
  <c r="K64" i="3" s="1"/>
  <c r="K107" i="5" a="1"/>
  <c r="K107" i="5" s="1"/>
  <c r="K68" i="3" s="1"/>
  <c r="O107" i="5" a="1"/>
  <c r="O107" i="5" s="1"/>
  <c r="K72" i="3" s="1"/>
  <c r="E108" i="5" a="1"/>
  <c r="E108" i="5" s="1"/>
  <c r="L62" i="3" s="1"/>
  <c r="I108" i="5" a="1"/>
  <c r="I108" i="5" s="1"/>
  <c r="L66" i="3" s="1"/>
  <c r="M108" i="5" a="1"/>
  <c r="M108" i="5" s="1"/>
  <c r="L70" i="3" s="1"/>
  <c r="C109" i="5" a="1"/>
  <c r="C109" i="5" s="1"/>
  <c r="M60" i="3" s="1"/>
  <c r="G109" i="5" a="1"/>
  <c r="G109" i="5" s="1"/>
  <c r="M64" i="3" s="1"/>
  <c r="K109" i="5" a="1"/>
  <c r="K109" i="5" s="1"/>
  <c r="M68" i="3" s="1"/>
  <c r="O109" i="5" a="1"/>
  <c r="O109" i="5" s="1"/>
  <c r="M72" i="3" s="1"/>
  <c r="E110" i="5" a="1"/>
  <c r="E110" i="5" s="1"/>
  <c r="N62" i="3" s="1"/>
  <c r="I110" i="5" a="1"/>
  <c r="I110" i="5" s="1"/>
  <c r="N66" i="3" s="1"/>
  <c r="M110" i="5" a="1"/>
  <c r="M110" i="5" s="1"/>
  <c r="N70" i="3" s="1"/>
  <c r="Q100" i="5" a="1"/>
  <c r="Q100" i="5" s="1"/>
  <c r="D74" i="3" s="1"/>
  <c r="Q104" i="5" a="1"/>
  <c r="Q104" i="5" s="1"/>
  <c r="H74" i="3" s="1"/>
  <c r="Q108" i="5" a="1"/>
  <c r="Q108" i="5" s="1"/>
  <c r="L74" i="3" s="1"/>
  <c r="H99" i="5" a="1"/>
  <c r="H99" i="5" s="1"/>
  <c r="C65" i="3" s="1"/>
  <c r="L99" i="5" a="1"/>
  <c r="L99" i="5" s="1"/>
  <c r="C69" i="3" s="1"/>
  <c r="P99" i="5" a="1"/>
  <c r="P99" i="5" s="1"/>
  <c r="C73" i="3" s="1"/>
  <c r="F100" i="5" a="1"/>
  <c r="F100" i="5" s="1"/>
  <c r="D63" i="3" s="1"/>
  <c r="J100" i="5" a="1"/>
  <c r="J100" i="5" s="1"/>
  <c r="D67" i="3" s="1"/>
  <c r="N100" i="5" a="1"/>
  <c r="N100" i="5" s="1"/>
  <c r="D71" i="3" s="1"/>
  <c r="D101" i="5" a="1"/>
  <c r="D101" i="5" s="1"/>
  <c r="E61" i="3" s="1"/>
  <c r="H101" i="5" a="1"/>
  <c r="H101" i="5" s="1"/>
  <c r="E65" i="3" s="1"/>
  <c r="L101" i="5" a="1"/>
  <c r="L101" i="5" s="1"/>
  <c r="E69" i="3" s="1"/>
  <c r="P101" i="5" a="1"/>
  <c r="P101" i="5" s="1"/>
  <c r="E73" i="3" s="1"/>
  <c r="F102" i="5" a="1"/>
  <c r="F102" i="5" s="1"/>
  <c r="F63" i="3" s="1"/>
  <c r="J102" i="5" a="1"/>
  <c r="J102" i="5" s="1"/>
  <c r="F67" i="3" s="1"/>
  <c r="N102" i="5" a="1"/>
  <c r="N102" i="5" s="1"/>
  <c r="F71" i="3" s="1"/>
  <c r="D103" i="5" a="1"/>
  <c r="D103" i="5" s="1"/>
  <c r="G61" i="3" s="1"/>
  <c r="H103" i="5" a="1"/>
  <c r="H103" i="5" s="1"/>
  <c r="G65" i="3" s="1"/>
  <c r="L103" i="5" a="1"/>
  <c r="L103" i="5" s="1"/>
  <c r="G69" i="3" s="1"/>
  <c r="P103" i="5" a="1"/>
  <c r="P103" i="5" s="1"/>
  <c r="G73" i="3" s="1"/>
  <c r="F104" i="5" a="1"/>
  <c r="F104" i="5" s="1"/>
  <c r="H63" i="3" s="1"/>
  <c r="J104" i="5" a="1"/>
  <c r="J104" i="5" s="1"/>
  <c r="H67" i="3" s="1"/>
  <c r="N104" i="5" a="1"/>
  <c r="N104" i="5" s="1"/>
  <c r="H71" i="3" s="1"/>
  <c r="D105" i="5" a="1"/>
  <c r="D105" i="5" s="1"/>
  <c r="I61" i="3" s="1"/>
  <c r="H105" i="5" a="1"/>
  <c r="H105" i="5" s="1"/>
  <c r="I65" i="3" s="1"/>
  <c r="L105" i="5" a="1"/>
  <c r="L105" i="5" s="1"/>
  <c r="I69" i="3" s="1"/>
  <c r="P105" i="5" a="1"/>
  <c r="P105" i="5" s="1"/>
  <c r="I73" i="3" s="1"/>
  <c r="F106" i="5" a="1"/>
  <c r="F106" i="5" s="1"/>
  <c r="J63" i="3" s="1"/>
  <c r="J106" i="5" a="1"/>
  <c r="J106" i="5" s="1"/>
  <c r="J67" i="3" s="1"/>
  <c r="N106" i="5" a="1"/>
  <c r="N106" i="5" s="1"/>
  <c r="J71" i="3" s="1"/>
  <c r="D107" i="5" a="1"/>
  <c r="D107" i="5" s="1"/>
  <c r="K61" i="3" s="1"/>
  <c r="H107" i="5" a="1"/>
  <c r="H107" i="5" s="1"/>
  <c r="K65" i="3" s="1"/>
  <c r="L107" i="5" a="1"/>
  <c r="L107" i="5" s="1"/>
  <c r="K69" i="3" s="1"/>
  <c r="P107" i="5" a="1"/>
  <c r="P107" i="5" s="1"/>
  <c r="K73" i="3" s="1"/>
  <c r="F108" i="5" a="1"/>
  <c r="F108" i="5" s="1"/>
  <c r="L63" i="3" s="1"/>
  <c r="J108" i="5" a="1"/>
  <c r="J108" i="5" s="1"/>
  <c r="L67" i="3" s="1"/>
  <c r="N108" i="5" a="1"/>
  <c r="N108" i="5" s="1"/>
  <c r="L71" i="3" s="1"/>
  <c r="D109" i="5" a="1"/>
  <c r="D109" i="5" s="1"/>
  <c r="M61" i="3" s="1"/>
  <c r="H109" i="5" a="1"/>
  <c r="H109" i="5" s="1"/>
  <c r="M65" i="3" s="1"/>
  <c r="L109" i="5" a="1"/>
  <c r="L109" i="5" s="1"/>
  <c r="M69" i="3" s="1"/>
  <c r="P109" i="5" a="1"/>
  <c r="P109" i="5" s="1"/>
  <c r="M73" i="3" s="1"/>
  <c r="F110" i="5" a="1"/>
  <c r="F110" i="5" s="1"/>
  <c r="N63" i="3" s="1"/>
  <c r="J110" i="5" a="1"/>
  <c r="J110" i="5" s="1"/>
  <c r="N67" i="3" s="1"/>
  <c r="N110" i="5" a="1"/>
  <c r="N110" i="5" s="1"/>
  <c r="N71" i="3" s="1"/>
  <c r="Q101" i="5" a="1"/>
  <c r="Q101" i="5" s="1"/>
  <c r="E74" i="3" s="1"/>
  <c r="Q105" i="5" a="1"/>
  <c r="Q105" i="5" s="1"/>
  <c r="I74" i="3" s="1"/>
  <c r="Q109" i="5" a="1"/>
  <c r="Q109" i="5" s="1"/>
  <c r="M74" i="3" s="1"/>
  <c r="I99" i="5" a="1"/>
  <c r="I99" i="5" s="1"/>
  <c r="C66" i="3" s="1"/>
  <c r="M99" i="5" a="1"/>
  <c r="M99" i="5" s="1"/>
  <c r="C70" i="3" s="1"/>
  <c r="Q99" i="5" a="1"/>
  <c r="Q99" i="5" s="1"/>
  <c r="C74" i="3" s="1"/>
  <c r="C99" i="5" a="1"/>
  <c r="C99" i="5" s="1"/>
  <c r="C60" i="3" s="1"/>
  <c r="C100" i="5" a="1"/>
  <c r="C100" i="5" s="1"/>
  <c r="D60" i="3" s="1"/>
  <c r="G100" i="5" a="1"/>
  <c r="G100" i="5" s="1"/>
  <c r="D64" i="3" s="1"/>
  <c r="K100" i="5" a="1"/>
  <c r="K100" i="5" s="1"/>
  <c r="D68" i="3" s="1"/>
  <c r="O100" i="5" a="1"/>
  <c r="O100" i="5" s="1"/>
  <c r="D72" i="3" s="1"/>
  <c r="E101" i="5" a="1"/>
  <c r="E101" i="5" s="1"/>
  <c r="E62" i="3" s="1"/>
  <c r="I101" i="5" a="1"/>
  <c r="I101" i="5" s="1"/>
  <c r="E66" i="3" s="1"/>
  <c r="M101" i="5" a="1"/>
  <c r="M101" i="5" s="1"/>
  <c r="E70" i="3" s="1"/>
  <c r="C102" i="5" a="1"/>
  <c r="C102" i="5" s="1"/>
  <c r="F60" i="3" s="1"/>
  <c r="G102" i="5" a="1"/>
  <c r="G102" i="5" s="1"/>
  <c r="F64" i="3" s="1"/>
  <c r="K102" i="5" a="1"/>
  <c r="K102" i="5" s="1"/>
  <c r="F68" i="3" s="1"/>
  <c r="O102" i="5" a="1"/>
  <c r="O102" i="5" s="1"/>
  <c r="F72" i="3" s="1"/>
  <c r="E103" i="5" a="1"/>
  <c r="E103" i="5" s="1"/>
  <c r="G62" i="3" s="1"/>
  <c r="I103" i="5" a="1"/>
  <c r="I103" i="5" s="1"/>
  <c r="G66" i="3" s="1"/>
  <c r="M103" i="5" a="1"/>
  <c r="M103" i="5" s="1"/>
  <c r="G70" i="3" s="1"/>
  <c r="C104" i="5" a="1"/>
  <c r="C104" i="5" s="1"/>
  <c r="H60" i="3" s="1"/>
  <c r="G104" i="5" a="1"/>
  <c r="G104" i="5" s="1"/>
  <c r="H64" i="3" s="1"/>
  <c r="K104" i="5" a="1"/>
  <c r="K104" i="5" s="1"/>
  <c r="H68" i="3" s="1"/>
  <c r="O104" i="5" a="1"/>
  <c r="O104" i="5" s="1"/>
  <c r="H72" i="3" s="1"/>
  <c r="E105" i="5" a="1"/>
  <c r="E105" i="5" s="1"/>
  <c r="I62" i="3" s="1"/>
  <c r="I105" i="5" a="1"/>
  <c r="I105" i="5" s="1"/>
  <c r="I66" i="3" s="1"/>
  <c r="M105" i="5" a="1"/>
  <c r="M105" i="5" s="1"/>
  <c r="I70" i="3" s="1"/>
  <c r="C106" i="5" a="1"/>
  <c r="C106" i="5" s="1"/>
  <c r="J60" i="3" s="1"/>
  <c r="G106" i="5" a="1"/>
  <c r="G106" i="5" s="1"/>
  <c r="J64" i="3" s="1"/>
  <c r="K106" i="5" a="1"/>
  <c r="K106" i="5" s="1"/>
  <c r="J68" i="3" s="1"/>
  <c r="O106" i="5" a="1"/>
  <c r="O106" i="5" s="1"/>
  <c r="J72" i="3" s="1"/>
  <c r="E107" i="5" a="1"/>
  <c r="E107" i="5" s="1"/>
  <c r="K62" i="3" s="1"/>
  <c r="I107" i="5" a="1"/>
  <c r="I107" i="5" s="1"/>
  <c r="K66" i="3" s="1"/>
  <c r="M107" i="5" a="1"/>
  <c r="M107" i="5" s="1"/>
  <c r="K70" i="3" s="1"/>
  <c r="C108" i="5" a="1"/>
  <c r="C108" i="5" s="1"/>
  <c r="L60" i="3" s="1"/>
  <c r="G108" i="5" a="1"/>
  <c r="G108" i="5" s="1"/>
  <c r="L64" i="3" s="1"/>
  <c r="K108" i="5" a="1"/>
  <c r="K108" i="5" s="1"/>
  <c r="L68" i="3" s="1"/>
  <c r="O108" i="5" a="1"/>
  <c r="O108" i="5" s="1"/>
  <c r="L72" i="3" s="1"/>
  <c r="E109" i="5" a="1"/>
  <c r="E109" i="5" s="1"/>
  <c r="M62" i="3" s="1"/>
  <c r="I109" i="5" a="1"/>
  <c r="I109" i="5" s="1"/>
  <c r="M66" i="3" s="1"/>
  <c r="M109" i="5" a="1"/>
  <c r="M109" i="5" s="1"/>
  <c r="M70" i="3" s="1"/>
  <c r="C110" i="5" a="1"/>
  <c r="C110" i="5" s="1"/>
  <c r="N60" i="3" s="1"/>
  <c r="G110" i="5" a="1"/>
  <c r="G110" i="5" s="1"/>
  <c r="N64" i="3" s="1"/>
  <c r="K110" i="5" a="1"/>
  <c r="K110" i="5" s="1"/>
  <c r="N68" i="3" s="1"/>
  <c r="O110" i="5" a="1"/>
  <c r="O110" i="5" s="1"/>
  <c r="N72" i="3" s="1"/>
  <c r="Q102" i="5" a="1"/>
  <c r="Q102" i="5" s="1"/>
  <c r="F74" i="3" s="1"/>
  <c r="Q106" i="5" a="1"/>
  <c r="Q106" i="5" s="1"/>
  <c r="J74" i="3" s="1"/>
  <c r="Q110" i="5" a="1"/>
  <c r="Q110" i="5" s="1"/>
  <c r="N74" i="3" s="1"/>
  <c r="J99" i="5" a="1"/>
  <c r="J99" i="5" s="1"/>
  <c r="C67" i="3" s="1"/>
  <c r="N99" i="5" a="1"/>
  <c r="N99" i="5" s="1"/>
  <c r="C71" i="3" s="1"/>
  <c r="D99" i="5" a="1"/>
  <c r="D99" i="5" s="1"/>
  <c r="C61" i="3" s="1"/>
  <c r="C85" i="5"/>
  <c r="O85" i="5"/>
  <c r="K85" i="5"/>
  <c r="C95" i="5"/>
  <c r="C91" i="5"/>
  <c r="C86" i="5"/>
  <c r="L96" i="5"/>
  <c r="P95" i="5"/>
  <c r="N94" i="5"/>
  <c r="J92" i="5"/>
  <c r="F90" i="5"/>
  <c r="N86" i="5"/>
  <c r="E86" i="5"/>
  <c r="E88" i="5"/>
  <c r="E90" i="5"/>
  <c r="E92" i="5"/>
  <c r="E94" i="5"/>
  <c r="E96" i="5"/>
  <c r="E87" i="5"/>
  <c r="E89" i="5"/>
  <c r="E91" i="5"/>
  <c r="E93" i="5"/>
  <c r="E95" i="5"/>
  <c r="I86" i="5"/>
  <c r="I88" i="5"/>
  <c r="I90" i="5"/>
  <c r="I92" i="5"/>
  <c r="I94" i="5"/>
  <c r="I96" i="5"/>
  <c r="I87" i="5"/>
  <c r="I89" i="5"/>
  <c r="I91" i="5"/>
  <c r="I93" i="5"/>
  <c r="I95" i="5"/>
  <c r="M86" i="5"/>
  <c r="M88" i="5"/>
  <c r="M90" i="5"/>
  <c r="M92" i="5"/>
  <c r="M94" i="5"/>
  <c r="M96" i="5"/>
  <c r="M87" i="5"/>
  <c r="M89" i="5"/>
  <c r="M91" i="5"/>
  <c r="M93" i="5"/>
  <c r="M95" i="5"/>
  <c r="D86" i="5"/>
  <c r="D88" i="5"/>
  <c r="D90" i="5"/>
  <c r="D92" i="5"/>
  <c r="D94" i="5"/>
  <c r="D96" i="5"/>
  <c r="H86" i="5"/>
  <c r="H88" i="5"/>
  <c r="H90" i="5"/>
  <c r="H92" i="5"/>
  <c r="H94" i="5"/>
  <c r="H96" i="5"/>
  <c r="L86" i="5"/>
  <c r="L88" i="5"/>
  <c r="L90" i="5"/>
  <c r="L92" i="5"/>
  <c r="L94" i="5"/>
  <c r="P86" i="5"/>
  <c r="P88" i="5"/>
  <c r="P90" i="5"/>
  <c r="P92" i="5"/>
  <c r="P94" i="5"/>
  <c r="H85" i="5"/>
  <c r="D85" i="5"/>
  <c r="N85" i="5"/>
  <c r="J85" i="5"/>
  <c r="C94" i="5"/>
  <c r="C90" i="5"/>
  <c r="P96" i="5"/>
  <c r="K96" i="5"/>
  <c r="L95" i="5"/>
  <c r="J94" i="5"/>
  <c r="H93" i="5"/>
  <c r="F92" i="5"/>
  <c r="D91" i="5"/>
  <c r="P89" i="5"/>
  <c r="N88" i="5"/>
  <c r="L87" i="5"/>
  <c r="J86" i="5"/>
  <c r="Q86" i="5"/>
  <c r="Q88" i="5"/>
  <c r="Q90" i="5"/>
  <c r="Q92" i="5"/>
  <c r="Q94" i="5"/>
  <c r="Q96" i="5"/>
  <c r="Q87" i="5"/>
  <c r="Q89" i="5"/>
  <c r="Q91" i="5"/>
  <c r="Q93" i="5"/>
  <c r="Q95" i="5"/>
  <c r="G85" i="5"/>
  <c r="Q85" i="5"/>
  <c r="M85" i="5"/>
  <c r="I85" i="5"/>
  <c r="C93" i="5"/>
  <c r="C88" i="5"/>
  <c r="O96" i="5"/>
  <c r="J96" i="5"/>
  <c r="H95" i="5"/>
  <c r="F94" i="5"/>
  <c r="D93" i="5"/>
  <c r="P91" i="5"/>
  <c r="N90" i="5"/>
  <c r="L89" i="5"/>
  <c r="J88" i="5"/>
  <c r="H87" i="5"/>
  <c r="F86" i="5"/>
  <c r="Q11" i="5" a="1"/>
  <c r="Q11" i="5" s="1"/>
  <c r="Q10" i="5" a="1"/>
  <c r="Q10" i="5" s="1"/>
  <c r="Q12" i="5" a="1"/>
  <c r="Q12" i="5" s="1"/>
  <c r="Q14" i="5" a="1"/>
  <c r="Q14" i="5" s="1"/>
  <c r="O76" i="3" l="1"/>
  <c r="O82" i="3"/>
  <c r="O77" i="3"/>
  <c r="O84" i="3"/>
  <c r="O83" i="3"/>
  <c r="O78" i="3"/>
  <c r="O81" i="3"/>
  <c r="O80" i="3"/>
  <c r="O79" i="3"/>
  <c r="B381" i="8" a="1"/>
  <c r="B381" i="8" s="1"/>
  <c r="B382" i="8" s="1" a="1"/>
  <c r="B382" i="8" s="1"/>
  <c r="B383" i="8" s="1" a="1"/>
  <c r="B383" i="8" s="1"/>
  <c r="B384" i="8" s="1" a="1"/>
  <c r="B384" i="8" s="1"/>
  <c r="B385" i="8" s="1" a="1"/>
  <c r="B385" i="8" s="1"/>
  <c r="B386" i="8" s="1" a="1"/>
  <c r="B386" i="8" s="1"/>
  <c r="O74" i="3"/>
  <c r="O75" i="3"/>
  <c r="O60" i="3"/>
  <c r="O66" i="3"/>
  <c r="O69" i="3"/>
  <c r="O73" i="3"/>
  <c r="O70" i="3"/>
  <c r="O63" i="3"/>
  <c r="O68" i="3"/>
  <c r="O64" i="3"/>
  <c r="O71" i="3"/>
  <c r="O72" i="3"/>
  <c r="O65" i="3"/>
  <c r="O67" i="3"/>
  <c r="O61" i="3"/>
  <c r="O62" i="3"/>
  <c r="P54" i="5"/>
  <c r="P24" i="5"/>
  <c r="AC5" i="5" a="1"/>
  <c r="AC5" i="5" s="1"/>
  <c r="P5" i="7"/>
  <c r="B387" i="8" l="1" a="1"/>
  <c r="B387" i="8" s="1"/>
  <c r="B388" i="8" s="1" a="1"/>
  <c r="B388" i="8" s="1"/>
  <c r="P24" i="7"/>
  <c r="P15" i="7"/>
  <c r="P23" i="7"/>
  <c r="P12" i="7"/>
  <c r="P16" i="7"/>
  <c r="P11" i="7"/>
  <c r="P8" i="7"/>
  <c r="P9" i="7"/>
  <c r="P28" i="7"/>
  <c r="P13" i="7"/>
  <c r="P21" i="7"/>
  <c r="P10" i="7"/>
  <c r="P7" i="7"/>
  <c r="P25" i="7"/>
  <c r="P22" i="7"/>
  <c r="P27" i="7"/>
  <c r="P20" i="7"/>
  <c r="P19" i="7"/>
  <c r="P4" i="7"/>
  <c r="P18" i="7"/>
  <c r="P26" i="7"/>
  <c r="P14" i="7"/>
  <c r="P6" i="7"/>
  <c r="P3" i="7"/>
  <c r="P17" i="7"/>
  <c r="P14" i="5" a="1"/>
  <c r="P14" i="5" s="1"/>
  <c r="B389" i="8" l="1" a="1"/>
  <c r="B389" i="8" s="1"/>
  <c r="B390" i="8" s="1" a="1"/>
  <c r="B390" i="8" s="1"/>
  <c r="B391" i="8" s="1" a="1"/>
  <c r="B391" i="8" s="1"/>
  <c r="B392" i="8" s="1" a="1"/>
  <c r="B392" i="8" s="1"/>
  <c r="B393" i="8" s="1" a="1"/>
  <c r="B393" i="8" s="1"/>
  <c r="B394" i="8" s="1" a="1"/>
  <c r="B394" i="8" s="1"/>
  <c r="B395" i="8" s="1" a="1"/>
  <c r="B395" i="8" s="1"/>
  <c r="C3" i="4" a="1"/>
  <c r="C3" i="4" s="1"/>
  <c r="B56" i="5"/>
  <c r="B57" i="5"/>
  <c r="B58" i="5"/>
  <c r="B59" i="5"/>
  <c r="B60" i="5"/>
  <c r="B61" i="5"/>
  <c r="B62" i="5"/>
  <c r="B63" i="5"/>
  <c r="B64" i="5"/>
  <c r="B65" i="5"/>
  <c r="B66" i="5"/>
  <c r="B67" i="5"/>
  <c r="B68" i="5"/>
  <c r="B69" i="5"/>
  <c r="B70" i="5"/>
  <c r="B71" i="5"/>
  <c r="B72" i="5"/>
  <c r="B73" i="5"/>
  <c r="B74" i="5"/>
  <c r="B75" i="5"/>
  <c r="B76" i="5"/>
  <c r="B77" i="5"/>
  <c r="B78" i="5"/>
  <c r="B79" i="5"/>
  <c r="B80" i="5"/>
  <c r="B55" i="5"/>
  <c r="D54" i="5"/>
  <c r="E54" i="5"/>
  <c r="F54" i="5"/>
  <c r="G54" i="5"/>
  <c r="H54" i="5"/>
  <c r="I54" i="5"/>
  <c r="J54" i="5"/>
  <c r="K54" i="5"/>
  <c r="L54" i="5"/>
  <c r="M54" i="5"/>
  <c r="N54" i="5"/>
  <c r="O54" i="5"/>
  <c r="C54" i="5"/>
  <c r="D24" i="5"/>
  <c r="E24" i="5"/>
  <c r="F24" i="5"/>
  <c r="G24" i="5"/>
  <c r="H24" i="5"/>
  <c r="I24" i="5"/>
  <c r="J24" i="5"/>
  <c r="K24" i="5"/>
  <c r="L24" i="5"/>
  <c r="M24" i="5"/>
  <c r="N24" i="5"/>
  <c r="O24" i="5"/>
  <c r="C24" i="5"/>
  <c r="B50" i="5"/>
  <c r="B26" i="5"/>
  <c r="B27" i="5"/>
  <c r="B28" i="5"/>
  <c r="B29" i="5"/>
  <c r="B30" i="5"/>
  <c r="B31" i="5"/>
  <c r="B32" i="5"/>
  <c r="B33" i="5"/>
  <c r="B34" i="5"/>
  <c r="B35" i="5"/>
  <c r="B36" i="5"/>
  <c r="B37" i="5"/>
  <c r="B38" i="5"/>
  <c r="B39" i="5"/>
  <c r="B40" i="5"/>
  <c r="B41" i="5"/>
  <c r="B42" i="5"/>
  <c r="B43" i="5"/>
  <c r="B44" i="5"/>
  <c r="B45" i="5"/>
  <c r="B46" i="5"/>
  <c r="B47" i="5"/>
  <c r="B48" i="5"/>
  <c r="B49" i="5"/>
  <c r="H33" i="2"/>
  <c r="M18" i="5" a="1"/>
  <c r="M18" i="5" s="1"/>
  <c r="L18" i="5" a="1"/>
  <c r="L18" i="5" s="1"/>
  <c r="K19" i="5" a="1"/>
  <c r="K19" i="5" s="1"/>
  <c r="I18" i="5" a="1"/>
  <c r="I18" i="5" s="1"/>
  <c r="H18" i="5" a="1"/>
  <c r="H18" i="5" s="1"/>
  <c r="G18" i="5" a="1"/>
  <c r="G18" i="5" s="1"/>
  <c r="F19" i="5" a="1"/>
  <c r="F19" i="5" s="1"/>
  <c r="E18" i="5" a="1"/>
  <c r="E18" i="5" s="1"/>
  <c r="D18" i="5" a="1"/>
  <c r="D18" i="5" s="1"/>
  <c r="E12" i="5" a="1"/>
  <c r="E12" i="5" s="1"/>
  <c r="F10" i="5" a="1"/>
  <c r="F10" i="5" s="1"/>
  <c r="G11" i="5" a="1"/>
  <c r="G11" i="5" s="1"/>
  <c r="H10" i="5" a="1"/>
  <c r="H10" i="5" s="1"/>
  <c r="I10" i="5" a="1"/>
  <c r="I10" i="5" s="1"/>
  <c r="J10" i="5" a="1"/>
  <c r="J10" i="5" s="1"/>
  <c r="K10" i="5" a="1"/>
  <c r="K10" i="5" s="1"/>
  <c r="L10" i="5" a="1"/>
  <c r="L10" i="5" s="1"/>
  <c r="M11" i="5" a="1"/>
  <c r="M11" i="5" s="1"/>
  <c r="N10" i="5" a="1"/>
  <c r="N10" i="5" s="1"/>
  <c r="R46" i="5" l="1"/>
  <c r="Y46" i="5"/>
  <c r="X46" i="5"/>
  <c r="Z46" i="5"/>
  <c r="AA46" i="5"/>
  <c r="S46" i="5"/>
  <c r="W46" i="5"/>
  <c r="T46" i="5"/>
  <c r="V46" i="5"/>
  <c r="U46" i="5"/>
  <c r="R42" i="5"/>
  <c r="Y42" i="5"/>
  <c r="C64" i="2" s="1"/>
  <c r="X42" i="5"/>
  <c r="Z42" i="5"/>
  <c r="AA42" i="5"/>
  <c r="C66" i="2" s="1"/>
  <c r="S42" i="5"/>
  <c r="C58" i="2" s="1"/>
  <c r="W42" i="5"/>
  <c r="C62" i="2" s="1"/>
  <c r="T42" i="5"/>
  <c r="C59" i="2" s="1"/>
  <c r="U42" i="5"/>
  <c r="C60" i="2" s="1"/>
  <c r="V42" i="5"/>
  <c r="C61" i="2" s="1"/>
  <c r="R38" i="5"/>
  <c r="Y38" i="5"/>
  <c r="X38" i="5"/>
  <c r="Z38" i="5"/>
  <c r="AA38" i="5"/>
  <c r="S38" i="5"/>
  <c r="W38" i="5"/>
  <c r="T38" i="5"/>
  <c r="V38" i="5"/>
  <c r="U38" i="5"/>
  <c r="R34" i="5"/>
  <c r="Y34" i="5"/>
  <c r="E64" i="2" s="1"/>
  <c r="X34" i="5"/>
  <c r="E63" i="2" s="1"/>
  <c r="Z34" i="5"/>
  <c r="E65" i="2" s="1"/>
  <c r="AA34" i="5"/>
  <c r="E66" i="2" s="1"/>
  <c r="S34" i="5"/>
  <c r="E58" i="2" s="1"/>
  <c r="W34" i="5"/>
  <c r="E62" i="2" s="1"/>
  <c r="T34" i="5"/>
  <c r="E59" i="2" s="1"/>
  <c r="U34" i="5"/>
  <c r="E60" i="2" s="1"/>
  <c r="V34" i="5"/>
  <c r="E61" i="2" s="1"/>
  <c r="R30" i="5"/>
  <c r="Y30" i="5"/>
  <c r="X30" i="5"/>
  <c r="Z30" i="5"/>
  <c r="AA30" i="5"/>
  <c r="S30" i="5"/>
  <c r="W30" i="5"/>
  <c r="T30" i="5"/>
  <c r="U30" i="5"/>
  <c r="V30" i="5"/>
  <c r="R26" i="5"/>
  <c r="AA26" i="5"/>
  <c r="Y26" i="5"/>
  <c r="Z26" i="5"/>
  <c r="X26" i="5"/>
  <c r="S26" i="5"/>
  <c r="W26" i="5"/>
  <c r="T26" i="5"/>
  <c r="U26" i="5"/>
  <c r="V26" i="5"/>
  <c r="C63" i="2"/>
  <c r="C65" i="2"/>
  <c r="X55" i="5" a="1"/>
  <c r="X55" i="5" s="1"/>
  <c r="Y55" i="5" a="1"/>
  <c r="Y55" i="5" s="1"/>
  <c r="Z55" i="5" a="1"/>
  <c r="Z55" i="5" s="1"/>
  <c r="AA55" i="5" a="1"/>
  <c r="AA55" i="5" s="1"/>
  <c r="V55" i="5" a="1"/>
  <c r="V55" i="5" s="1"/>
  <c r="S55" i="5" a="1"/>
  <c r="S55" i="5" s="1"/>
  <c r="W55" i="5" a="1"/>
  <c r="W55" i="5" s="1"/>
  <c r="T55" i="5" a="1"/>
  <c r="T55" i="5" s="1"/>
  <c r="U55" i="5" a="1"/>
  <c r="U55" i="5" s="1"/>
  <c r="X77" i="5" a="1"/>
  <c r="X77" i="5" s="1"/>
  <c r="Y77" i="5" a="1"/>
  <c r="Y77" i="5" s="1"/>
  <c r="Z77" i="5" a="1"/>
  <c r="Z77" i="5" s="1"/>
  <c r="AA77" i="5" a="1"/>
  <c r="AA77" i="5" s="1"/>
  <c r="T77" i="5" a="1"/>
  <c r="T77" i="5" s="1"/>
  <c r="U77" i="5" a="1"/>
  <c r="U77" i="5" s="1"/>
  <c r="V77" i="5" a="1"/>
  <c r="V77" i="5" s="1"/>
  <c r="W77" i="5" a="1"/>
  <c r="W77" i="5" s="1"/>
  <c r="S77" i="5" a="1"/>
  <c r="S77" i="5" s="1"/>
  <c r="X73" i="5" a="1"/>
  <c r="X73" i="5" s="1"/>
  <c r="AA73" i="5" a="1"/>
  <c r="AA73" i="5" s="1"/>
  <c r="Y73" i="5" a="1"/>
  <c r="Y73" i="5" s="1"/>
  <c r="Z73" i="5" a="1"/>
  <c r="Z73" i="5" s="1"/>
  <c r="T73" i="5" a="1"/>
  <c r="T73" i="5" s="1"/>
  <c r="U73" i="5" a="1"/>
  <c r="U73" i="5" s="1"/>
  <c r="V73" i="5" a="1"/>
  <c r="V73" i="5" s="1"/>
  <c r="W73" i="5" a="1"/>
  <c r="W73" i="5" s="1"/>
  <c r="S73" i="5" a="1"/>
  <c r="S73" i="5" s="1"/>
  <c r="X69" i="5" a="1"/>
  <c r="X69" i="5" s="1"/>
  <c r="Y69" i="5" a="1"/>
  <c r="Y69" i="5" s="1"/>
  <c r="Z69" i="5" a="1"/>
  <c r="Z69" i="5" s="1"/>
  <c r="AA69" i="5" a="1"/>
  <c r="AA69" i="5" s="1"/>
  <c r="T69" i="5" a="1"/>
  <c r="T69" i="5" s="1"/>
  <c r="U69" i="5" a="1"/>
  <c r="U69" i="5" s="1"/>
  <c r="V69" i="5" a="1"/>
  <c r="V69" i="5" s="1"/>
  <c r="S69" i="5" a="1"/>
  <c r="S69" i="5" s="1"/>
  <c r="W69" i="5" a="1"/>
  <c r="W69" i="5" s="1"/>
  <c r="X65" i="5" a="1"/>
  <c r="X65" i="5" s="1"/>
  <c r="AA65" i="5" a="1"/>
  <c r="AA65" i="5" s="1"/>
  <c r="Y65" i="5" a="1"/>
  <c r="Y65" i="5" s="1"/>
  <c r="Z65" i="5" a="1"/>
  <c r="Z65" i="5" s="1"/>
  <c r="T65" i="5" a="1"/>
  <c r="T65" i="5" s="1"/>
  <c r="U65" i="5" a="1"/>
  <c r="U65" i="5" s="1"/>
  <c r="V65" i="5" a="1"/>
  <c r="V65" i="5" s="1"/>
  <c r="S65" i="5" a="1"/>
  <c r="S65" i="5" s="1"/>
  <c r="W65" i="5" a="1"/>
  <c r="W65" i="5" s="1"/>
  <c r="X61" i="5" a="1"/>
  <c r="X61" i="5" s="1"/>
  <c r="Y61" i="5" a="1"/>
  <c r="Y61" i="5" s="1"/>
  <c r="Z61" i="5" a="1"/>
  <c r="Z61" i="5" s="1"/>
  <c r="AA61" i="5" a="1"/>
  <c r="AA61" i="5" s="1"/>
  <c r="T61" i="5" a="1"/>
  <c r="T61" i="5" s="1"/>
  <c r="U61" i="5" a="1"/>
  <c r="U61" i="5" s="1"/>
  <c r="V61" i="5" a="1"/>
  <c r="V61" i="5" s="1"/>
  <c r="W61" i="5" a="1"/>
  <c r="W61" i="5" s="1"/>
  <c r="S61" i="5" a="1"/>
  <c r="S61" i="5" s="1"/>
  <c r="X57" i="5" a="1"/>
  <c r="X57" i="5" s="1"/>
  <c r="AA57" i="5" a="1"/>
  <c r="AA57" i="5" s="1"/>
  <c r="Y57" i="5" a="1"/>
  <c r="Y57" i="5" s="1"/>
  <c r="Z57" i="5" a="1"/>
  <c r="Z57" i="5" s="1"/>
  <c r="T57" i="5" a="1"/>
  <c r="T57" i="5" s="1"/>
  <c r="U57" i="5" a="1"/>
  <c r="U57" i="5" s="1"/>
  <c r="V57" i="5" a="1"/>
  <c r="V57" i="5" s="1"/>
  <c r="W57" i="5" a="1"/>
  <c r="W57" i="5" s="1"/>
  <c r="S57" i="5" a="1"/>
  <c r="S57" i="5" s="1"/>
  <c r="R49" i="5"/>
  <c r="Y49" i="5"/>
  <c r="X49" i="5"/>
  <c r="Z49" i="5"/>
  <c r="AA49" i="5"/>
  <c r="T49" i="5"/>
  <c r="U49" i="5"/>
  <c r="S49" i="5"/>
  <c r="W49" i="5"/>
  <c r="V49" i="5"/>
  <c r="R45" i="5"/>
  <c r="Y45" i="5"/>
  <c r="X45" i="5"/>
  <c r="Z45" i="5"/>
  <c r="AA45" i="5"/>
  <c r="T45" i="5"/>
  <c r="U45" i="5"/>
  <c r="V45" i="5"/>
  <c r="W45" i="5"/>
  <c r="S45" i="5"/>
  <c r="R41" i="5"/>
  <c r="Y41" i="5"/>
  <c r="X41" i="5"/>
  <c r="Z41" i="5"/>
  <c r="AA41" i="5"/>
  <c r="T41" i="5"/>
  <c r="U41" i="5"/>
  <c r="S41" i="5"/>
  <c r="W41" i="5"/>
  <c r="V41" i="5"/>
  <c r="R37" i="5"/>
  <c r="Y37" i="5"/>
  <c r="X37" i="5"/>
  <c r="Z37" i="5"/>
  <c r="AA37" i="5"/>
  <c r="T37" i="5"/>
  <c r="U37" i="5"/>
  <c r="V37" i="5"/>
  <c r="W37" i="5"/>
  <c r="S37" i="5"/>
  <c r="R33" i="5"/>
  <c r="Y33" i="5"/>
  <c r="D64" i="2" s="1"/>
  <c r="X33" i="5"/>
  <c r="D63" i="2" s="1"/>
  <c r="Z33" i="5"/>
  <c r="D65" i="2" s="1"/>
  <c r="AA33" i="5"/>
  <c r="D66" i="2" s="1"/>
  <c r="T33" i="5"/>
  <c r="D59" i="2" s="1"/>
  <c r="U33" i="5"/>
  <c r="D60" i="2" s="1"/>
  <c r="S33" i="5"/>
  <c r="D58" i="2" s="1"/>
  <c r="W33" i="5"/>
  <c r="D62" i="2" s="1"/>
  <c r="V33" i="5"/>
  <c r="D61" i="2" s="1"/>
  <c r="R29" i="5"/>
  <c r="AA29" i="5"/>
  <c r="X29" i="5"/>
  <c r="Y29" i="5"/>
  <c r="Z29" i="5"/>
  <c r="T29" i="5"/>
  <c r="U29" i="5"/>
  <c r="V29" i="5"/>
  <c r="S29" i="5"/>
  <c r="W29" i="5"/>
  <c r="R50" i="5"/>
  <c r="Y50" i="5"/>
  <c r="F64" i="2" s="1"/>
  <c r="X50" i="5"/>
  <c r="F63" i="2" s="1"/>
  <c r="Z50" i="5"/>
  <c r="F65" i="2" s="1"/>
  <c r="AA50" i="5"/>
  <c r="F66" i="2" s="1"/>
  <c r="S50" i="5"/>
  <c r="F58" i="2" s="1"/>
  <c r="W50" i="5"/>
  <c r="F62" i="2" s="1"/>
  <c r="T50" i="5"/>
  <c r="F59" i="2" s="1"/>
  <c r="U50" i="5"/>
  <c r="F60" i="2" s="1"/>
  <c r="V50" i="5"/>
  <c r="F61" i="2" s="1"/>
  <c r="Y80" i="5" a="1"/>
  <c r="Y80" i="5" s="1"/>
  <c r="X80" i="5" a="1"/>
  <c r="X80" i="5" s="1"/>
  <c r="AA80" i="5" a="1"/>
  <c r="AA80" i="5" s="1"/>
  <c r="Z80" i="5" a="1"/>
  <c r="Z80" i="5" s="1"/>
  <c r="U80" i="5" a="1"/>
  <c r="U80" i="5" s="1"/>
  <c r="V80" i="5" a="1"/>
  <c r="V80" i="5" s="1"/>
  <c r="S80" i="5" a="1"/>
  <c r="S80" i="5" s="1"/>
  <c r="W80" i="5" a="1"/>
  <c r="W80" i="5" s="1"/>
  <c r="T80" i="5" a="1"/>
  <c r="T80" i="5" s="1"/>
  <c r="Y76" i="5" a="1"/>
  <c r="Y76" i="5" s="1"/>
  <c r="Z76" i="5" a="1"/>
  <c r="Z76" i="5" s="1"/>
  <c r="X76" i="5" a="1"/>
  <c r="X76" i="5" s="1"/>
  <c r="AA76" i="5" a="1"/>
  <c r="AA76" i="5" s="1"/>
  <c r="U76" i="5" a="1"/>
  <c r="U76" i="5" s="1"/>
  <c r="V76" i="5" a="1"/>
  <c r="V76" i="5" s="1"/>
  <c r="S76" i="5" a="1"/>
  <c r="S76" i="5" s="1"/>
  <c r="W76" i="5" a="1"/>
  <c r="W76" i="5" s="1"/>
  <c r="T76" i="5" a="1"/>
  <c r="T76" i="5" s="1"/>
  <c r="Y72" i="5" a="1"/>
  <c r="Y72" i="5" s="1"/>
  <c r="X72" i="5" a="1"/>
  <c r="X72" i="5" s="1"/>
  <c r="AA72" i="5" a="1"/>
  <c r="AA72" i="5" s="1"/>
  <c r="Z72" i="5" a="1"/>
  <c r="Z72" i="5" s="1"/>
  <c r="U72" i="5" a="1"/>
  <c r="U72" i="5" s="1"/>
  <c r="V72" i="5" a="1"/>
  <c r="V72" i="5" s="1"/>
  <c r="S72" i="5" a="1"/>
  <c r="S72" i="5" s="1"/>
  <c r="W72" i="5" a="1"/>
  <c r="W72" i="5" s="1"/>
  <c r="T72" i="5" a="1"/>
  <c r="T72" i="5" s="1"/>
  <c r="Y68" i="5" a="1"/>
  <c r="Y68" i="5" s="1"/>
  <c r="Z68" i="5" a="1"/>
  <c r="Z68" i="5" s="1"/>
  <c r="X68" i="5" a="1"/>
  <c r="X68" i="5" s="1"/>
  <c r="AA68" i="5" a="1"/>
  <c r="AA68" i="5" s="1"/>
  <c r="U68" i="5" a="1"/>
  <c r="U68" i="5" s="1"/>
  <c r="V68" i="5" a="1"/>
  <c r="V68" i="5" s="1"/>
  <c r="S68" i="5" a="1"/>
  <c r="S68" i="5" s="1"/>
  <c r="W68" i="5" a="1"/>
  <c r="W68" i="5" s="1"/>
  <c r="T68" i="5" a="1"/>
  <c r="T68" i="5" s="1"/>
  <c r="Y64" i="5" a="1"/>
  <c r="Y64" i="5" s="1"/>
  <c r="X64" i="5" a="1"/>
  <c r="X64" i="5" s="1"/>
  <c r="AA64" i="5" a="1"/>
  <c r="AA64" i="5" s="1"/>
  <c r="Z64" i="5" a="1"/>
  <c r="Z64" i="5" s="1"/>
  <c r="U64" i="5" a="1"/>
  <c r="U64" i="5" s="1"/>
  <c r="V64" i="5" a="1"/>
  <c r="V64" i="5" s="1"/>
  <c r="S64" i="5" a="1"/>
  <c r="S64" i="5" s="1"/>
  <c r="W64" i="5" a="1"/>
  <c r="W64" i="5" s="1"/>
  <c r="T64" i="5" a="1"/>
  <c r="T64" i="5" s="1"/>
  <c r="Y60" i="5" a="1"/>
  <c r="Y60" i="5" s="1"/>
  <c r="Z60" i="5" a="1"/>
  <c r="Z60" i="5" s="1"/>
  <c r="X60" i="5" a="1"/>
  <c r="X60" i="5" s="1"/>
  <c r="AA60" i="5" a="1"/>
  <c r="AA60" i="5" s="1"/>
  <c r="U60" i="5" a="1"/>
  <c r="U60" i="5" s="1"/>
  <c r="V60" i="5" a="1"/>
  <c r="V60" i="5" s="1"/>
  <c r="S60" i="5" a="1"/>
  <c r="S60" i="5" s="1"/>
  <c r="W60" i="5" a="1"/>
  <c r="W60" i="5" s="1"/>
  <c r="T60" i="5" a="1"/>
  <c r="T60" i="5" s="1"/>
  <c r="Y56" i="5" a="1"/>
  <c r="Y56" i="5" s="1"/>
  <c r="X56" i="5" a="1"/>
  <c r="X56" i="5" s="1"/>
  <c r="AA56" i="5" a="1"/>
  <c r="AA56" i="5" s="1"/>
  <c r="Z56" i="5" a="1"/>
  <c r="Z56" i="5" s="1"/>
  <c r="U56" i="5" a="1"/>
  <c r="U56" i="5" s="1"/>
  <c r="V56" i="5" a="1"/>
  <c r="V56" i="5" s="1"/>
  <c r="S56" i="5" a="1"/>
  <c r="S56" i="5" s="1"/>
  <c r="W56" i="5" a="1"/>
  <c r="W56" i="5" s="1"/>
  <c r="T56" i="5" a="1"/>
  <c r="T56" i="5" s="1"/>
  <c r="R48" i="5"/>
  <c r="Y48" i="5"/>
  <c r="AA48" i="5"/>
  <c r="X48" i="5"/>
  <c r="Z48" i="5"/>
  <c r="U48" i="5"/>
  <c r="V48" i="5"/>
  <c r="W48" i="5"/>
  <c r="T48" i="5"/>
  <c r="S48" i="5"/>
  <c r="R44" i="5"/>
  <c r="Y44" i="5"/>
  <c r="AA44" i="5"/>
  <c r="X44" i="5"/>
  <c r="Z44" i="5"/>
  <c r="U44" i="5"/>
  <c r="V44" i="5"/>
  <c r="S44" i="5"/>
  <c r="T44" i="5"/>
  <c r="W44" i="5"/>
  <c r="R40" i="5"/>
  <c r="Y40" i="5"/>
  <c r="AA40" i="5"/>
  <c r="X40" i="5"/>
  <c r="Z40" i="5"/>
  <c r="U40" i="5"/>
  <c r="V40" i="5"/>
  <c r="W40" i="5"/>
  <c r="T40" i="5"/>
  <c r="S40" i="5"/>
  <c r="R36" i="5"/>
  <c r="Y36" i="5"/>
  <c r="AA36" i="5"/>
  <c r="X36" i="5"/>
  <c r="Z36" i="5"/>
  <c r="U36" i="5"/>
  <c r="V36" i="5"/>
  <c r="S36" i="5"/>
  <c r="T36" i="5"/>
  <c r="W36" i="5"/>
  <c r="R32" i="5"/>
  <c r="Y32" i="5"/>
  <c r="AA32" i="5"/>
  <c r="X32" i="5"/>
  <c r="Z32" i="5"/>
  <c r="U32" i="5"/>
  <c r="V32" i="5"/>
  <c r="W32" i="5"/>
  <c r="T32" i="5"/>
  <c r="S32" i="5"/>
  <c r="R28" i="5"/>
  <c r="AA28" i="5"/>
  <c r="Y28" i="5"/>
  <c r="Z28" i="5"/>
  <c r="X28" i="5"/>
  <c r="U28" i="5"/>
  <c r="V28" i="5"/>
  <c r="S28" i="5"/>
  <c r="W28" i="5"/>
  <c r="T28" i="5"/>
  <c r="X79" i="5" a="1"/>
  <c r="X79" i="5" s="1"/>
  <c r="Y79" i="5" a="1"/>
  <c r="Y79" i="5" s="1"/>
  <c r="Z79" i="5" a="1"/>
  <c r="Z79" i="5" s="1"/>
  <c r="AA79" i="5" a="1"/>
  <c r="AA79" i="5" s="1"/>
  <c r="V79" i="5" a="1"/>
  <c r="V79" i="5" s="1"/>
  <c r="S79" i="5" a="1"/>
  <c r="S79" i="5" s="1"/>
  <c r="W79" i="5" a="1"/>
  <c r="W79" i="5" s="1"/>
  <c r="T79" i="5" a="1"/>
  <c r="T79" i="5" s="1"/>
  <c r="U79" i="5" a="1"/>
  <c r="U79" i="5" s="1"/>
  <c r="X75" i="5" a="1"/>
  <c r="X75" i="5" s="1"/>
  <c r="Z75" i="5" a="1"/>
  <c r="Z75" i="5" s="1"/>
  <c r="AA75" i="5" a="1"/>
  <c r="AA75" i="5" s="1"/>
  <c r="Y75" i="5" a="1"/>
  <c r="Y75" i="5" s="1"/>
  <c r="V75" i="5" a="1"/>
  <c r="V75" i="5" s="1"/>
  <c r="S75" i="5" a="1"/>
  <c r="S75" i="5" s="1"/>
  <c r="W75" i="5" a="1"/>
  <c r="W75" i="5" s="1"/>
  <c r="T75" i="5" a="1"/>
  <c r="T75" i="5" s="1"/>
  <c r="U75" i="5" a="1"/>
  <c r="U75" i="5" s="1"/>
  <c r="X71" i="5" a="1"/>
  <c r="X71" i="5" s="1"/>
  <c r="Y71" i="5" a="1"/>
  <c r="Y71" i="5" s="1"/>
  <c r="Z71" i="5" a="1"/>
  <c r="Z71" i="5" s="1"/>
  <c r="AA71" i="5" a="1"/>
  <c r="AA71" i="5" s="1"/>
  <c r="V71" i="5" a="1"/>
  <c r="V71" i="5" s="1"/>
  <c r="S71" i="5" a="1"/>
  <c r="S71" i="5" s="1"/>
  <c r="W71" i="5" a="1"/>
  <c r="W71" i="5" s="1"/>
  <c r="T71" i="5" a="1"/>
  <c r="T71" i="5" s="1"/>
  <c r="U71" i="5" a="1"/>
  <c r="U71" i="5" s="1"/>
  <c r="X67" i="5" a="1"/>
  <c r="X67" i="5" s="1"/>
  <c r="Z67" i="5" a="1"/>
  <c r="Z67" i="5" s="1"/>
  <c r="AA67" i="5" a="1"/>
  <c r="AA67" i="5" s="1"/>
  <c r="Y67" i="5" a="1"/>
  <c r="Y67" i="5" s="1"/>
  <c r="V67" i="5" a="1"/>
  <c r="V67" i="5" s="1"/>
  <c r="S67" i="5" a="1"/>
  <c r="S67" i="5" s="1"/>
  <c r="W67" i="5" a="1"/>
  <c r="W67" i="5" s="1"/>
  <c r="T67" i="5" a="1"/>
  <c r="T67" i="5" s="1"/>
  <c r="U67" i="5" a="1"/>
  <c r="U67" i="5" s="1"/>
  <c r="X63" i="5" a="1"/>
  <c r="X63" i="5" s="1"/>
  <c r="Y63" i="5" a="1"/>
  <c r="Y63" i="5" s="1"/>
  <c r="Z63" i="5" a="1"/>
  <c r="Z63" i="5" s="1"/>
  <c r="AA63" i="5" a="1"/>
  <c r="AA63" i="5" s="1"/>
  <c r="V63" i="5" a="1"/>
  <c r="V63" i="5" s="1"/>
  <c r="S63" i="5" a="1"/>
  <c r="S63" i="5" s="1"/>
  <c r="W63" i="5" a="1"/>
  <c r="W63" i="5" s="1"/>
  <c r="T63" i="5" a="1"/>
  <c r="T63" i="5" s="1"/>
  <c r="U63" i="5" a="1"/>
  <c r="U63" i="5" s="1"/>
  <c r="X59" i="5" a="1"/>
  <c r="X59" i="5" s="1"/>
  <c r="Z59" i="5" a="1"/>
  <c r="Z59" i="5" s="1"/>
  <c r="AA59" i="5" a="1"/>
  <c r="AA59" i="5" s="1"/>
  <c r="Y59" i="5" a="1"/>
  <c r="Y59" i="5" s="1"/>
  <c r="V59" i="5" a="1"/>
  <c r="V59" i="5" s="1"/>
  <c r="S59" i="5" a="1"/>
  <c r="S59" i="5" s="1"/>
  <c r="W59" i="5" a="1"/>
  <c r="W59" i="5" s="1"/>
  <c r="T59" i="5" a="1"/>
  <c r="T59" i="5" s="1"/>
  <c r="U59" i="5" a="1"/>
  <c r="U59" i="5" s="1"/>
  <c r="R47" i="5"/>
  <c r="Y47" i="5"/>
  <c r="Z47" i="5"/>
  <c r="AA47" i="5"/>
  <c r="X47" i="5"/>
  <c r="V47" i="5"/>
  <c r="S47" i="5"/>
  <c r="W47" i="5"/>
  <c r="T47" i="5"/>
  <c r="U47" i="5"/>
  <c r="R43" i="5"/>
  <c r="Y43" i="5"/>
  <c r="Z43" i="5"/>
  <c r="AA43" i="5"/>
  <c r="X43" i="5"/>
  <c r="V43" i="5"/>
  <c r="S43" i="5"/>
  <c r="W43" i="5"/>
  <c r="U43" i="5"/>
  <c r="T43" i="5"/>
  <c r="R39" i="5"/>
  <c r="Y39" i="5"/>
  <c r="Z39" i="5"/>
  <c r="AA39" i="5"/>
  <c r="X39" i="5"/>
  <c r="V39" i="5"/>
  <c r="S39" i="5"/>
  <c r="W39" i="5"/>
  <c r="T39" i="5"/>
  <c r="U39" i="5"/>
  <c r="R35" i="5"/>
  <c r="Y35" i="5"/>
  <c r="Z35" i="5"/>
  <c r="AA35" i="5"/>
  <c r="X35" i="5"/>
  <c r="V35" i="5"/>
  <c r="S35" i="5"/>
  <c r="W35" i="5"/>
  <c r="U35" i="5"/>
  <c r="T35" i="5"/>
  <c r="R31" i="5"/>
  <c r="Y31" i="5"/>
  <c r="Z31" i="5"/>
  <c r="AA31" i="5"/>
  <c r="X31" i="5"/>
  <c r="V31" i="5"/>
  <c r="S31" i="5"/>
  <c r="W31" i="5"/>
  <c r="T31" i="5"/>
  <c r="U31" i="5"/>
  <c r="R27" i="5"/>
  <c r="AA27" i="5"/>
  <c r="Z27" i="5"/>
  <c r="X27" i="5"/>
  <c r="Y27" i="5"/>
  <c r="V27" i="5"/>
  <c r="S27" i="5"/>
  <c r="W27" i="5"/>
  <c r="T27" i="5"/>
  <c r="U27" i="5"/>
  <c r="Y78" i="5" a="1"/>
  <c r="Y78" i="5" s="1"/>
  <c r="Z78" i="5" a="1"/>
  <c r="Z78" i="5" s="1"/>
  <c r="X78" i="5" a="1"/>
  <c r="X78" i="5" s="1"/>
  <c r="AA78" i="5" a="1"/>
  <c r="AA78" i="5" s="1"/>
  <c r="S78" i="5" a="1"/>
  <c r="S78" i="5" s="1"/>
  <c r="W78" i="5" a="1"/>
  <c r="W78" i="5" s="1"/>
  <c r="T78" i="5" a="1"/>
  <c r="T78" i="5" s="1"/>
  <c r="U78" i="5" a="1"/>
  <c r="U78" i="5" s="1"/>
  <c r="V78" i="5" a="1"/>
  <c r="V78" i="5" s="1"/>
  <c r="Y74" i="5" a="1"/>
  <c r="Y74" i="5" s="1"/>
  <c r="X74" i="5" a="1"/>
  <c r="X74" i="5" s="1"/>
  <c r="AA74" i="5" a="1"/>
  <c r="AA74" i="5" s="1"/>
  <c r="Z74" i="5" a="1"/>
  <c r="Z74" i="5" s="1"/>
  <c r="S74" i="5" a="1"/>
  <c r="S74" i="5" s="1"/>
  <c r="W74" i="5" a="1"/>
  <c r="W74" i="5" s="1"/>
  <c r="T74" i="5" a="1"/>
  <c r="T74" i="5" s="1"/>
  <c r="U74" i="5" a="1"/>
  <c r="U74" i="5" s="1"/>
  <c r="V74" i="5" a="1"/>
  <c r="V74" i="5" s="1"/>
  <c r="Y70" i="5" a="1"/>
  <c r="Y70" i="5" s="1"/>
  <c r="Z70" i="5" a="1"/>
  <c r="Z70" i="5" s="1"/>
  <c r="X70" i="5" a="1"/>
  <c r="X70" i="5" s="1"/>
  <c r="AA70" i="5" a="1"/>
  <c r="AA70" i="5" s="1"/>
  <c r="S70" i="5" a="1"/>
  <c r="S70" i="5" s="1"/>
  <c r="W70" i="5" a="1"/>
  <c r="W70" i="5" s="1"/>
  <c r="T70" i="5" a="1"/>
  <c r="T70" i="5" s="1"/>
  <c r="U70" i="5" a="1"/>
  <c r="U70" i="5" s="1"/>
  <c r="V70" i="5" a="1"/>
  <c r="V70" i="5" s="1"/>
  <c r="Y66" i="5" a="1"/>
  <c r="Y66" i="5" s="1"/>
  <c r="X66" i="5" a="1"/>
  <c r="X66" i="5" s="1"/>
  <c r="AA66" i="5" a="1"/>
  <c r="AA66" i="5" s="1"/>
  <c r="Z66" i="5" a="1"/>
  <c r="Z66" i="5" s="1"/>
  <c r="S66" i="5" a="1"/>
  <c r="S66" i="5" s="1"/>
  <c r="W66" i="5" a="1"/>
  <c r="W66" i="5" s="1"/>
  <c r="T66" i="5" a="1"/>
  <c r="T66" i="5" s="1"/>
  <c r="U66" i="5" a="1"/>
  <c r="U66" i="5" s="1"/>
  <c r="V66" i="5" a="1"/>
  <c r="V66" i="5" s="1"/>
  <c r="Y62" i="5" a="1"/>
  <c r="Y62" i="5" s="1"/>
  <c r="Z62" i="5" a="1"/>
  <c r="Z62" i="5" s="1"/>
  <c r="AA62" i="5" a="1"/>
  <c r="AA62" i="5" s="1"/>
  <c r="X62" i="5" a="1"/>
  <c r="X62" i="5" s="1"/>
  <c r="S62" i="5" a="1"/>
  <c r="S62" i="5" s="1"/>
  <c r="W62" i="5" a="1"/>
  <c r="W62" i="5" s="1"/>
  <c r="T62" i="5" a="1"/>
  <c r="T62" i="5" s="1"/>
  <c r="U62" i="5" a="1"/>
  <c r="U62" i="5" s="1"/>
  <c r="V62" i="5" a="1"/>
  <c r="V62" i="5" s="1"/>
  <c r="Y58" i="5" a="1"/>
  <c r="Y58" i="5" s="1"/>
  <c r="X58" i="5" a="1"/>
  <c r="X58" i="5" s="1"/>
  <c r="AA58" i="5" a="1"/>
  <c r="AA58" i="5" s="1"/>
  <c r="Z58" i="5" a="1"/>
  <c r="Z58" i="5" s="1"/>
  <c r="S58" i="5" a="1"/>
  <c r="S58" i="5" s="1"/>
  <c r="W58" i="5" a="1"/>
  <c r="W58" i="5" s="1"/>
  <c r="T58" i="5" a="1"/>
  <c r="T58" i="5" s="1"/>
  <c r="U58" i="5" a="1"/>
  <c r="U58" i="5" s="1"/>
  <c r="V58" i="5" a="1"/>
  <c r="V58" i="5" s="1"/>
  <c r="B396" i="8" a="1"/>
  <c r="B396" i="8" s="1"/>
  <c r="B397" i="8" s="1" a="1"/>
  <c r="B397" i="8" s="1"/>
  <c r="C2" i="8"/>
  <c r="R55" i="5" a="1"/>
  <c r="R55" i="5" s="1"/>
  <c r="R80" i="5" a="1"/>
  <c r="R80" i="5" s="1"/>
  <c r="R79" i="5" a="1"/>
  <c r="R79" i="5" s="1"/>
  <c r="R78" i="5" a="1"/>
  <c r="R78" i="5" s="1"/>
  <c r="R77" i="5" a="1"/>
  <c r="R77" i="5" s="1"/>
  <c r="R76" i="5" a="1"/>
  <c r="R76" i="5" s="1"/>
  <c r="R75" i="5" a="1"/>
  <c r="R75" i="5" s="1"/>
  <c r="R74" i="5" a="1"/>
  <c r="R74" i="5" s="1"/>
  <c r="R73" i="5" a="1"/>
  <c r="R73" i="5" s="1"/>
  <c r="R72" i="5" a="1"/>
  <c r="R72" i="5" s="1"/>
  <c r="R71" i="5" a="1"/>
  <c r="R71" i="5" s="1"/>
  <c r="R70" i="5" a="1"/>
  <c r="R70" i="5" s="1"/>
  <c r="R69" i="5" a="1"/>
  <c r="R69" i="5" s="1"/>
  <c r="R68" i="5" a="1"/>
  <c r="R68" i="5" s="1"/>
  <c r="R67" i="5" a="1"/>
  <c r="R67" i="5" s="1"/>
  <c r="R66" i="5" a="1"/>
  <c r="R66" i="5" s="1"/>
  <c r="R65" i="5" a="1"/>
  <c r="R65" i="5" s="1"/>
  <c r="R64" i="5" a="1"/>
  <c r="R64" i="5" s="1"/>
  <c r="R63" i="5" a="1"/>
  <c r="R63" i="5" s="1"/>
  <c r="R62" i="5" a="1"/>
  <c r="R62" i="5" s="1"/>
  <c r="R61" i="5" a="1"/>
  <c r="R61" i="5" s="1"/>
  <c r="R60" i="5" a="1"/>
  <c r="R60" i="5" s="1"/>
  <c r="R59" i="5" a="1"/>
  <c r="R59" i="5" s="1"/>
  <c r="R58" i="5" a="1"/>
  <c r="R58" i="5" s="1"/>
  <c r="R57" i="5" a="1"/>
  <c r="R57" i="5" s="1"/>
  <c r="R56" i="5" a="1"/>
  <c r="R56" i="5" s="1"/>
  <c r="D57" i="2"/>
  <c r="E57" i="2"/>
  <c r="R25" i="5"/>
  <c r="F57" i="2"/>
  <c r="C57" i="2"/>
  <c r="C47" i="5"/>
  <c r="G47" i="5"/>
  <c r="K47" i="5"/>
  <c r="O47" i="5"/>
  <c r="D47" i="5"/>
  <c r="H47" i="5"/>
  <c r="L47" i="5"/>
  <c r="P47" i="5"/>
  <c r="E47" i="5"/>
  <c r="I47" i="5"/>
  <c r="M47" i="5"/>
  <c r="Q47" i="5"/>
  <c r="F47" i="5"/>
  <c r="J47" i="5"/>
  <c r="N47" i="5"/>
  <c r="C43" i="5"/>
  <c r="G43" i="5"/>
  <c r="K43" i="5"/>
  <c r="O43" i="5"/>
  <c r="D43" i="5"/>
  <c r="H43" i="5"/>
  <c r="L43" i="5"/>
  <c r="P43" i="5"/>
  <c r="E43" i="5"/>
  <c r="I43" i="5"/>
  <c r="M43" i="5"/>
  <c r="Q43" i="5"/>
  <c r="F43" i="5"/>
  <c r="J43" i="5"/>
  <c r="N43" i="5"/>
  <c r="D39" i="5"/>
  <c r="H39" i="5"/>
  <c r="L39" i="5"/>
  <c r="E39" i="5"/>
  <c r="J39" i="5"/>
  <c r="O39" i="5"/>
  <c r="F39" i="5"/>
  <c r="K39" i="5"/>
  <c r="P39" i="5"/>
  <c r="G39" i="5"/>
  <c r="M39" i="5"/>
  <c r="Q39" i="5"/>
  <c r="C39" i="5"/>
  <c r="I39" i="5"/>
  <c r="N39" i="5"/>
  <c r="D35" i="5"/>
  <c r="H35" i="5"/>
  <c r="L35" i="5"/>
  <c r="P35" i="5"/>
  <c r="F35" i="5"/>
  <c r="J35" i="5"/>
  <c r="N35" i="5"/>
  <c r="G35" i="5"/>
  <c r="O35" i="5"/>
  <c r="I35" i="5"/>
  <c r="Q35" i="5"/>
  <c r="C35" i="5"/>
  <c r="K35" i="5"/>
  <c r="E35" i="5"/>
  <c r="M35" i="5"/>
  <c r="K31" i="5"/>
  <c r="C31" i="5"/>
  <c r="G31" i="5"/>
  <c r="L31" i="5"/>
  <c r="P31" i="5"/>
  <c r="D31" i="5"/>
  <c r="H31" i="5"/>
  <c r="M31" i="5"/>
  <c r="Q31" i="5"/>
  <c r="E31" i="5"/>
  <c r="I31" i="5"/>
  <c r="N31" i="5"/>
  <c r="O31" i="5"/>
  <c r="F31" i="5"/>
  <c r="J31" i="5"/>
  <c r="C27" i="5"/>
  <c r="G27" i="5"/>
  <c r="K27" i="5"/>
  <c r="O27" i="5"/>
  <c r="D27" i="5"/>
  <c r="H27" i="5"/>
  <c r="L27" i="5"/>
  <c r="P27" i="5"/>
  <c r="E27" i="5"/>
  <c r="I27" i="5"/>
  <c r="M27" i="5"/>
  <c r="Q27" i="5"/>
  <c r="J27" i="5"/>
  <c r="N27" i="5"/>
  <c r="F27" i="5"/>
  <c r="D78" i="5" a="1"/>
  <c r="D78" i="5" s="1"/>
  <c r="H78" i="5" a="1"/>
  <c r="H78" i="5" s="1"/>
  <c r="L78" i="5" a="1"/>
  <c r="L78" i="5" s="1"/>
  <c r="E78" i="5" a="1"/>
  <c r="E78" i="5" s="1"/>
  <c r="I78" i="5" a="1"/>
  <c r="I78" i="5" s="1"/>
  <c r="F78" i="5" a="1"/>
  <c r="F78" i="5" s="1"/>
  <c r="J78" i="5" a="1"/>
  <c r="J78" i="5" s="1"/>
  <c r="G78" i="5" a="1"/>
  <c r="G78" i="5" s="1"/>
  <c r="O78" i="5" a="1"/>
  <c r="O78" i="5" s="1"/>
  <c r="K78" i="5" a="1"/>
  <c r="K78" i="5" s="1"/>
  <c r="P78" i="5" a="1"/>
  <c r="P78" i="5" s="1"/>
  <c r="M78" i="5" a="1"/>
  <c r="M78" i="5" s="1"/>
  <c r="Q78" i="5" a="1"/>
  <c r="Q78" i="5" s="1"/>
  <c r="C78" i="5" a="1"/>
  <c r="C78" i="5" s="1"/>
  <c r="N78" i="5" a="1"/>
  <c r="N78" i="5" s="1"/>
  <c r="D74" i="5" a="1"/>
  <c r="D74" i="5" s="1"/>
  <c r="H74" i="5" a="1"/>
  <c r="H74" i="5" s="1"/>
  <c r="L74" i="5" a="1"/>
  <c r="L74" i="5" s="1"/>
  <c r="P74" i="5" a="1"/>
  <c r="P74" i="5" s="1"/>
  <c r="E74" i="5" a="1"/>
  <c r="E74" i="5" s="1"/>
  <c r="I74" i="5" a="1"/>
  <c r="I74" i="5" s="1"/>
  <c r="M74" i="5" a="1"/>
  <c r="M74" i="5" s="1"/>
  <c r="Q74" i="5" a="1"/>
  <c r="Q74" i="5" s="1"/>
  <c r="F74" i="5" a="1"/>
  <c r="F74" i="5" s="1"/>
  <c r="J74" i="5" a="1"/>
  <c r="J74" i="5" s="1"/>
  <c r="N74" i="5" a="1"/>
  <c r="N74" i="5" s="1"/>
  <c r="C74" i="5" a="1"/>
  <c r="C74" i="5" s="1"/>
  <c r="G74" i="5" a="1"/>
  <c r="G74" i="5" s="1"/>
  <c r="K74" i="5" a="1"/>
  <c r="K74" i="5" s="1"/>
  <c r="O74" i="5" a="1"/>
  <c r="O74" i="5" s="1"/>
  <c r="D70" i="5" a="1"/>
  <c r="D70" i="5" s="1"/>
  <c r="H70" i="5" a="1"/>
  <c r="H70" i="5" s="1"/>
  <c r="L70" i="5" a="1"/>
  <c r="L70" i="5" s="1"/>
  <c r="P70" i="5" a="1"/>
  <c r="P70" i="5" s="1"/>
  <c r="E70" i="5" a="1"/>
  <c r="E70" i="5" s="1"/>
  <c r="I70" i="5" a="1"/>
  <c r="I70" i="5" s="1"/>
  <c r="M70" i="5" a="1"/>
  <c r="M70" i="5" s="1"/>
  <c r="Q70" i="5" a="1"/>
  <c r="Q70" i="5" s="1"/>
  <c r="F70" i="5" a="1"/>
  <c r="F70" i="5" s="1"/>
  <c r="J70" i="5" a="1"/>
  <c r="J70" i="5" s="1"/>
  <c r="N70" i="5" a="1"/>
  <c r="N70" i="5" s="1"/>
  <c r="O70" i="5" a="1"/>
  <c r="O70" i="5" s="1"/>
  <c r="C70" i="5" a="1"/>
  <c r="C70" i="5" s="1"/>
  <c r="G70" i="5" a="1"/>
  <c r="G70" i="5" s="1"/>
  <c r="K70" i="5" a="1"/>
  <c r="K70" i="5" s="1"/>
  <c r="D66" i="5" a="1"/>
  <c r="D66" i="5" s="1"/>
  <c r="H66" i="5" a="1"/>
  <c r="H66" i="5" s="1"/>
  <c r="L66" i="5" a="1"/>
  <c r="L66" i="5" s="1"/>
  <c r="P66" i="5" a="1"/>
  <c r="P66" i="5" s="1"/>
  <c r="E66" i="5" a="1"/>
  <c r="E66" i="5" s="1"/>
  <c r="I66" i="5" a="1"/>
  <c r="I66" i="5" s="1"/>
  <c r="M66" i="5" a="1"/>
  <c r="M66" i="5" s="1"/>
  <c r="Q66" i="5" a="1"/>
  <c r="Q66" i="5" s="1"/>
  <c r="F66" i="5" a="1"/>
  <c r="F66" i="5" s="1"/>
  <c r="J66" i="5" a="1"/>
  <c r="J66" i="5" s="1"/>
  <c r="N66" i="5" a="1"/>
  <c r="N66" i="5" s="1"/>
  <c r="K66" i="5" a="1"/>
  <c r="K66" i="5" s="1"/>
  <c r="O66" i="5" a="1"/>
  <c r="O66" i="5" s="1"/>
  <c r="C66" i="5" a="1"/>
  <c r="C66" i="5" s="1"/>
  <c r="G66" i="5" a="1"/>
  <c r="G66" i="5" s="1"/>
  <c r="D62" i="5" a="1"/>
  <c r="D62" i="5" s="1"/>
  <c r="H62" i="5" a="1"/>
  <c r="H62" i="5" s="1"/>
  <c r="L62" i="5" a="1"/>
  <c r="L62" i="5" s="1"/>
  <c r="P62" i="5" a="1"/>
  <c r="P62" i="5" s="1"/>
  <c r="E62" i="5" a="1"/>
  <c r="E62" i="5" s="1"/>
  <c r="I62" i="5" a="1"/>
  <c r="I62" i="5" s="1"/>
  <c r="M62" i="5" a="1"/>
  <c r="M62" i="5" s="1"/>
  <c r="Q62" i="5" a="1"/>
  <c r="Q62" i="5" s="1"/>
  <c r="F62" i="5" a="1"/>
  <c r="F62" i="5" s="1"/>
  <c r="J62" i="5" a="1"/>
  <c r="J62" i="5" s="1"/>
  <c r="N62" i="5" a="1"/>
  <c r="N62" i="5" s="1"/>
  <c r="G62" i="5" a="1"/>
  <c r="G62" i="5" s="1"/>
  <c r="K62" i="5" a="1"/>
  <c r="K62" i="5" s="1"/>
  <c r="O62" i="5" a="1"/>
  <c r="O62" i="5" s="1"/>
  <c r="C62" i="5" a="1"/>
  <c r="C62" i="5" s="1"/>
  <c r="D58" i="5" a="1"/>
  <c r="D58" i="5" s="1"/>
  <c r="H58" i="5" a="1"/>
  <c r="H58" i="5" s="1"/>
  <c r="L58" i="5" a="1"/>
  <c r="L58" i="5" s="1"/>
  <c r="P58" i="5" a="1"/>
  <c r="P58" i="5" s="1"/>
  <c r="E58" i="5" a="1"/>
  <c r="E58" i="5" s="1"/>
  <c r="I58" i="5" a="1"/>
  <c r="I58" i="5" s="1"/>
  <c r="M58" i="5" a="1"/>
  <c r="M58" i="5" s="1"/>
  <c r="Q58" i="5" a="1"/>
  <c r="Q58" i="5" s="1"/>
  <c r="F58" i="5" a="1"/>
  <c r="F58" i="5" s="1"/>
  <c r="J58" i="5" a="1"/>
  <c r="J58" i="5" s="1"/>
  <c r="N58" i="5" a="1"/>
  <c r="N58" i="5" s="1"/>
  <c r="C58" i="5" a="1"/>
  <c r="C58" i="5" s="1"/>
  <c r="G58" i="5" a="1"/>
  <c r="G58" i="5" s="1"/>
  <c r="K58" i="5" a="1"/>
  <c r="K58" i="5" s="1"/>
  <c r="O58" i="5" a="1"/>
  <c r="O58" i="5" s="1"/>
  <c r="D25" i="5"/>
  <c r="H25" i="5"/>
  <c r="L25" i="5"/>
  <c r="P25" i="5"/>
  <c r="E25" i="5"/>
  <c r="I25" i="5"/>
  <c r="M25" i="5"/>
  <c r="Q25" i="5"/>
  <c r="F25" i="5"/>
  <c r="J25" i="5"/>
  <c r="N25" i="5"/>
  <c r="C25" i="5"/>
  <c r="G25" i="5"/>
  <c r="K25" i="5"/>
  <c r="O25" i="5"/>
  <c r="F46" i="5"/>
  <c r="J46" i="5"/>
  <c r="N46" i="5"/>
  <c r="C46" i="5"/>
  <c r="G46" i="5"/>
  <c r="K46" i="5"/>
  <c r="O46" i="5"/>
  <c r="D46" i="5"/>
  <c r="H46" i="5"/>
  <c r="L46" i="5"/>
  <c r="P46" i="5"/>
  <c r="E46" i="5"/>
  <c r="I46" i="5"/>
  <c r="M46" i="5"/>
  <c r="Q46" i="5"/>
  <c r="F42" i="5"/>
  <c r="J42" i="5"/>
  <c r="N42" i="5"/>
  <c r="C42" i="5"/>
  <c r="G42" i="5"/>
  <c r="K42" i="5"/>
  <c r="O42" i="5"/>
  <c r="D42" i="5"/>
  <c r="H42" i="5"/>
  <c r="L42" i="5"/>
  <c r="P42" i="5"/>
  <c r="E42" i="5"/>
  <c r="I42" i="5"/>
  <c r="M42" i="5"/>
  <c r="Q42" i="5"/>
  <c r="C38" i="5"/>
  <c r="G38" i="5"/>
  <c r="K38" i="5"/>
  <c r="O38" i="5"/>
  <c r="D38" i="5"/>
  <c r="I38" i="5"/>
  <c r="N38" i="5"/>
  <c r="E38" i="5"/>
  <c r="J38" i="5"/>
  <c r="P38" i="5"/>
  <c r="F38" i="5"/>
  <c r="L38" i="5"/>
  <c r="Q38" i="5"/>
  <c r="H38" i="5"/>
  <c r="M38" i="5"/>
  <c r="C34" i="5"/>
  <c r="G34" i="5"/>
  <c r="K34" i="5"/>
  <c r="O34" i="5"/>
  <c r="D34" i="5"/>
  <c r="H34" i="5"/>
  <c r="E34" i="5"/>
  <c r="I34" i="5"/>
  <c r="M34" i="5"/>
  <c r="Q34" i="5"/>
  <c r="N34" i="5"/>
  <c r="F34" i="5"/>
  <c r="P34" i="5"/>
  <c r="J34" i="5"/>
  <c r="L34" i="5"/>
  <c r="F30" i="5"/>
  <c r="J30" i="5"/>
  <c r="N30" i="5"/>
  <c r="C30" i="5"/>
  <c r="G30" i="5"/>
  <c r="K30" i="5"/>
  <c r="O30" i="5"/>
  <c r="D30" i="5"/>
  <c r="H30" i="5"/>
  <c r="L30" i="5"/>
  <c r="P30" i="5"/>
  <c r="M30" i="5"/>
  <c r="Q30" i="5"/>
  <c r="E30" i="5"/>
  <c r="I30" i="5"/>
  <c r="F26" i="5"/>
  <c r="C45" i="2" s="1"/>
  <c r="J26" i="5"/>
  <c r="C49" i="2" s="1"/>
  <c r="N26" i="5"/>
  <c r="C53" i="2" s="1"/>
  <c r="C26" i="5"/>
  <c r="C42" i="2" s="1"/>
  <c r="G26" i="5"/>
  <c r="C46" i="2" s="1"/>
  <c r="K26" i="5"/>
  <c r="C50" i="2" s="1"/>
  <c r="O26" i="5"/>
  <c r="C54" i="2" s="1"/>
  <c r="D26" i="5"/>
  <c r="C43" i="2" s="1"/>
  <c r="H26" i="5"/>
  <c r="C47" i="2" s="1"/>
  <c r="L26" i="5"/>
  <c r="C51" i="2" s="1"/>
  <c r="P26" i="5"/>
  <c r="C55" i="2" s="1"/>
  <c r="I26" i="5"/>
  <c r="M26" i="5"/>
  <c r="Q26" i="5"/>
  <c r="E26" i="5"/>
  <c r="N55" i="5" a="1"/>
  <c r="N55" i="5" s="1"/>
  <c r="J55" i="5" a="1"/>
  <c r="J55" i="5" s="1"/>
  <c r="F55" i="5" a="1"/>
  <c r="F55" i="5" s="1"/>
  <c r="Q55" i="5" a="1"/>
  <c r="Q55" i="5" s="1"/>
  <c r="M55" i="5" a="1"/>
  <c r="M55" i="5" s="1"/>
  <c r="I55" i="5" a="1"/>
  <c r="I55" i="5" s="1"/>
  <c r="E55" i="5" a="1"/>
  <c r="E55" i="5" s="1"/>
  <c r="P55" i="5" a="1"/>
  <c r="P55" i="5" s="1"/>
  <c r="L55" i="5" a="1"/>
  <c r="L55" i="5" s="1"/>
  <c r="H55" i="5" a="1"/>
  <c r="H55" i="5" s="1"/>
  <c r="D55" i="5" a="1"/>
  <c r="D55" i="5" s="1"/>
  <c r="K55" i="5" a="1"/>
  <c r="K55" i="5" s="1"/>
  <c r="G55" i="5" a="1"/>
  <c r="G55" i="5" s="1"/>
  <c r="C55" i="5" a="1"/>
  <c r="C55" i="5" s="1"/>
  <c r="O55" i="5" a="1"/>
  <c r="O55" i="5" s="1"/>
  <c r="C77" i="5" a="1"/>
  <c r="C77" i="5" s="1"/>
  <c r="G77" i="5" a="1"/>
  <c r="G77" i="5" s="1"/>
  <c r="K77" i="5" a="1"/>
  <c r="K77" i="5" s="1"/>
  <c r="O77" i="5" a="1"/>
  <c r="O77" i="5" s="1"/>
  <c r="D77" i="5" a="1"/>
  <c r="D77" i="5" s="1"/>
  <c r="H77" i="5" a="1"/>
  <c r="H77" i="5" s="1"/>
  <c r="L77" i="5" a="1"/>
  <c r="L77" i="5" s="1"/>
  <c r="P77" i="5" a="1"/>
  <c r="P77" i="5" s="1"/>
  <c r="E77" i="5" a="1"/>
  <c r="E77" i="5" s="1"/>
  <c r="I77" i="5" a="1"/>
  <c r="I77" i="5" s="1"/>
  <c r="M77" i="5" a="1"/>
  <c r="M77" i="5" s="1"/>
  <c r="Q77" i="5" a="1"/>
  <c r="Q77" i="5" s="1"/>
  <c r="F77" i="5" a="1"/>
  <c r="F77" i="5" s="1"/>
  <c r="J77" i="5" a="1"/>
  <c r="J77" i="5" s="1"/>
  <c r="N77" i="5" a="1"/>
  <c r="N77" i="5" s="1"/>
  <c r="C73" i="5" a="1"/>
  <c r="C73" i="5" s="1"/>
  <c r="G73" i="5" a="1"/>
  <c r="G73" i="5" s="1"/>
  <c r="K73" i="5" a="1"/>
  <c r="K73" i="5" s="1"/>
  <c r="O73" i="5" a="1"/>
  <c r="O73" i="5" s="1"/>
  <c r="D73" i="5" a="1"/>
  <c r="D73" i="5" s="1"/>
  <c r="H73" i="5" a="1"/>
  <c r="H73" i="5" s="1"/>
  <c r="L73" i="5" a="1"/>
  <c r="L73" i="5" s="1"/>
  <c r="P73" i="5" a="1"/>
  <c r="P73" i="5" s="1"/>
  <c r="E73" i="5" a="1"/>
  <c r="E73" i="5" s="1"/>
  <c r="I73" i="5" a="1"/>
  <c r="I73" i="5" s="1"/>
  <c r="M73" i="5" a="1"/>
  <c r="M73" i="5" s="1"/>
  <c r="Q73" i="5" a="1"/>
  <c r="Q73" i="5" s="1"/>
  <c r="F73" i="5" a="1"/>
  <c r="F73" i="5" s="1"/>
  <c r="J73" i="5" a="1"/>
  <c r="J73" i="5" s="1"/>
  <c r="N73" i="5" a="1"/>
  <c r="N73" i="5" s="1"/>
  <c r="C69" i="5" a="1"/>
  <c r="C69" i="5" s="1"/>
  <c r="G69" i="5" a="1"/>
  <c r="G69" i="5" s="1"/>
  <c r="K69" i="5" a="1"/>
  <c r="K69" i="5" s="1"/>
  <c r="O69" i="5" a="1"/>
  <c r="O69" i="5" s="1"/>
  <c r="D69" i="5" a="1"/>
  <c r="D69" i="5" s="1"/>
  <c r="H69" i="5" a="1"/>
  <c r="H69" i="5" s="1"/>
  <c r="L69" i="5" a="1"/>
  <c r="L69" i="5" s="1"/>
  <c r="P69" i="5" a="1"/>
  <c r="P69" i="5" s="1"/>
  <c r="E69" i="5" a="1"/>
  <c r="E69" i="5" s="1"/>
  <c r="I69" i="5" a="1"/>
  <c r="I69" i="5" s="1"/>
  <c r="M69" i="5" a="1"/>
  <c r="M69" i="5" s="1"/>
  <c r="Q69" i="5" a="1"/>
  <c r="Q69" i="5" s="1"/>
  <c r="N69" i="5" a="1"/>
  <c r="N69" i="5" s="1"/>
  <c r="F69" i="5" a="1"/>
  <c r="F69" i="5" s="1"/>
  <c r="J69" i="5" a="1"/>
  <c r="J69" i="5" s="1"/>
  <c r="C65" i="5" a="1"/>
  <c r="C65" i="5" s="1"/>
  <c r="G65" i="5" a="1"/>
  <c r="G65" i="5" s="1"/>
  <c r="K65" i="5" a="1"/>
  <c r="K65" i="5" s="1"/>
  <c r="O65" i="5" a="1"/>
  <c r="O65" i="5" s="1"/>
  <c r="D65" i="5" a="1"/>
  <c r="D65" i="5" s="1"/>
  <c r="H65" i="5" a="1"/>
  <c r="H65" i="5" s="1"/>
  <c r="L65" i="5" a="1"/>
  <c r="L65" i="5" s="1"/>
  <c r="P65" i="5" a="1"/>
  <c r="P65" i="5" s="1"/>
  <c r="E65" i="5" a="1"/>
  <c r="E65" i="5" s="1"/>
  <c r="I65" i="5" a="1"/>
  <c r="I65" i="5" s="1"/>
  <c r="M65" i="5" a="1"/>
  <c r="M65" i="5" s="1"/>
  <c r="Q65" i="5" a="1"/>
  <c r="Q65" i="5" s="1"/>
  <c r="J65" i="5" a="1"/>
  <c r="J65" i="5" s="1"/>
  <c r="N65" i="5" a="1"/>
  <c r="N65" i="5" s="1"/>
  <c r="F65" i="5" a="1"/>
  <c r="F65" i="5" s="1"/>
  <c r="C61" i="5" a="1"/>
  <c r="C61" i="5" s="1"/>
  <c r="G61" i="5" a="1"/>
  <c r="G61" i="5" s="1"/>
  <c r="K61" i="5" a="1"/>
  <c r="K61" i="5" s="1"/>
  <c r="O61" i="5" a="1"/>
  <c r="O61" i="5" s="1"/>
  <c r="D61" i="5" a="1"/>
  <c r="D61" i="5" s="1"/>
  <c r="H61" i="5" a="1"/>
  <c r="H61" i="5" s="1"/>
  <c r="L61" i="5" a="1"/>
  <c r="L61" i="5" s="1"/>
  <c r="P61" i="5" a="1"/>
  <c r="P61" i="5" s="1"/>
  <c r="E61" i="5" a="1"/>
  <c r="E61" i="5" s="1"/>
  <c r="I61" i="5" a="1"/>
  <c r="I61" i="5" s="1"/>
  <c r="M61" i="5" a="1"/>
  <c r="M61" i="5" s="1"/>
  <c r="Q61" i="5" a="1"/>
  <c r="Q61" i="5" s="1"/>
  <c r="F61" i="5" a="1"/>
  <c r="F61" i="5" s="1"/>
  <c r="J61" i="5" a="1"/>
  <c r="J61" i="5" s="1"/>
  <c r="N61" i="5" a="1"/>
  <c r="N61" i="5" s="1"/>
  <c r="C57" i="5" a="1"/>
  <c r="C57" i="5" s="1"/>
  <c r="G57" i="5" a="1"/>
  <c r="G57" i="5" s="1"/>
  <c r="K57" i="5" a="1"/>
  <c r="K57" i="5" s="1"/>
  <c r="O57" i="5" a="1"/>
  <c r="O57" i="5" s="1"/>
  <c r="D57" i="5" a="1"/>
  <c r="D57" i="5" s="1"/>
  <c r="H57" i="5" a="1"/>
  <c r="H57" i="5" s="1"/>
  <c r="L57" i="5" a="1"/>
  <c r="L57" i="5" s="1"/>
  <c r="P57" i="5" a="1"/>
  <c r="P57" i="5" s="1"/>
  <c r="E57" i="5" a="1"/>
  <c r="E57" i="5" s="1"/>
  <c r="I57" i="5" a="1"/>
  <c r="I57" i="5" s="1"/>
  <c r="M57" i="5" a="1"/>
  <c r="M57" i="5" s="1"/>
  <c r="Q57" i="5" a="1"/>
  <c r="Q57" i="5" s="1"/>
  <c r="F57" i="5" a="1"/>
  <c r="F57" i="5" s="1"/>
  <c r="J57" i="5" a="1"/>
  <c r="J57" i="5" s="1"/>
  <c r="N57" i="5" a="1"/>
  <c r="N57" i="5" s="1"/>
  <c r="E49" i="5"/>
  <c r="I49" i="5"/>
  <c r="M49" i="5"/>
  <c r="Q49" i="5"/>
  <c r="F49" i="5"/>
  <c r="J49" i="5"/>
  <c r="N49" i="5"/>
  <c r="C49" i="5"/>
  <c r="G49" i="5"/>
  <c r="K49" i="5"/>
  <c r="O49" i="5"/>
  <c r="D49" i="5"/>
  <c r="H49" i="5"/>
  <c r="L49" i="5"/>
  <c r="P49" i="5"/>
  <c r="E45" i="5"/>
  <c r="I45" i="5"/>
  <c r="M45" i="5"/>
  <c r="Q45" i="5"/>
  <c r="F45" i="5"/>
  <c r="J45" i="5"/>
  <c r="N45" i="5"/>
  <c r="C45" i="5"/>
  <c r="G45" i="5"/>
  <c r="K45" i="5"/>
  <c r="O45" i="5"/>
  <c r="D45" i="5"/>
  <c r="H45" i="5"/>
  <c r="L45" i="5"/>
  <c r="P45" i="5"/>
  <c r="E41" i="5"/>
  <c r="I41" i="5"/>
  <c r="M41" i="5"/>
  <c r="Q41" i="5"/>
  <c r="F41" i="5"/>
  <c r="J41" i="5"/>
  <c r="N41" i="5"/>
  <c r="C41" i="5"/>
  <c r="G41" i="5"/>
  <c r="K41" i="5"/>
  <c r="O41" i="5"/>
  <c r="D41" i="5"/>
  <c r="H41" i="5"/>
  <c r="L41" i="5"/>
  <c r="P41" i="5"/>
  <c r="F37" i="5"/>
  <c r="J37" i="5"/>
  <c r="N37" i="5"/>
  <c r="D37" i="5"/>
  <c r="H37" i="5"/>
  <c r="M37" i="5"/>
  <c r="C37" i="5"/>
  <c r="I37" i="5"/>
  <c r="O37" i="5"/>
  <c r="E37" i="5"/>
  <c r="K37" i="5"/>
  <c r="P37" i="5"/>
  <c r="G37" i="5"/>
  <c r="L37" i="5"/>
  <c r="Q37" i="5"/>
  <c r="F33" i="5"/>
  <c r="D45" i="2" s="1"/>
  <c r="J33" i="5"/>
  <c r="D49" i="2" s="1"/>
  <c r="N33" i="5"/>
  <c r="D53" i="2" s="1"/>
  <c r="C33" i="5"/>
  <c r="D42" i="2" s="1"/>
  <c r="G33" i="5"/>
  <c r="D46" i="2" s="1"/>
  <c r="K33" i="5"/>
  <c r="D50" i="2" s="1"/>
  <c r="O33" i="5"/>
  <c r="D54" i="2" s="1"/>
  <c r="D33" i="5"/>
  <c r="D43" i="2" s="1"/>
  <c r="H33" i="5"/>
  <c r="D47" i="2" s="1"/>
  <c r="L33" i="5"/>
  <c r="D51" i="2" s="1"/>
  <c r="P33" i="5"/>
  <c r="D55" i="2" s="1"/>
  <c r="Q33" i="5"/>
  <c r="D56" i="2" s="1"/>
  <c r="E33" i="5"/>
  <c r="D44" i="2" s="1"/>
  <c r="I33" i="5"/>
  <c r="D48" i="2" s="1"/>
  <c r="M33" i="5"/>
  <c r="D52" i="2" s="1"/>
  <c r="E29" i="5"/>
  <c r="I29" i="5"/>
  <c r="M29" i="5"/>
  <c r="Q29" i="5"/>
  <c r="F29" i="5"/>
  <c r="J29" i="5"/>
  <c r="N29" i="5"/>
  <c r="C29" i="5"/>
  <c r="G29" i="5"/>
  <c r="K29" i="5"/>
  <c r="O29" i="5"/>
  <c r="L29" i="5"/>
  <c r="P29" i="5"/>
  <c r="D29" i="5"/>
  <c r="H29" i="5"/>
  <c r="F50" i="5"/>
  <c r="J50" i="5"/>
  <c r="N50" i="5"/>
  <c r="C50" i="5"/>
  <c r="G50" i="5"/>
  <c r="K50" i="5"/>
  <c r="O50" i="5"/>
  <c r="D50" i="5"/>
  <c r="H50" i="5"/>
  <c r="L50" i="5"/>
  <c r="P50" i="5"/>
  <c r="E50" i="5"/>
  <c r="I50" i="5"/>
  <c r="M50" i="5"/>
  <c r="Q50" i="5"/>
  <c r="E80" i="5" a="1"/>
  <c r="E80" i="5" s="1"/>
  <c r="I80" i="5" a="1"/>
  <c r="I80" i="5" s="1"/>
  <c r="M80" i="5" a="1"/>
  <c r="M80" i="5" s="1"/>
  <c r="Q80" i="5" a="1"/>
  <c r="Q80" i="5" s="1"/>
  <c r="F80" i="5" a="1"/>
  <c r="F80" i="5" s="1"/>
  <c r="J80" i="5" a="1"/>
  <c r="J80" i="5" s="1"/>
  <c r="N80" i="5" a="1"/>
  <c r="N80" i="5" s="1"/>
  <c r="C80" i="5" a="1"/>
  <c r="C80" i="5" s="1"/>
  <c r="G80" i="5" a="1"/>
  <c r="G80" i="5" s="1"/>
  <c r="K80" i="5" a="1"/>
  <c r="K80" i="5" s="1"/>
  <c r="O80" i="5" a="1"/>
  <c r="O80" i="5" s="1"/>
  <c r="H80" i="5" a="1"/>
  <c r="H80" i="5" s="1"/>
  <c r="L80" i="5" a="1"/>
  <c r="L80" i="5" s="1"/>
  <c r="P80" i="5" a="1"/>
  <c r="P80" i="5" s="1"/>
  <c r="D80" i="5" a="1"/>
  <c r="D80" i="5" s="1"/>
  <c r="F76" i="5" a="1"/>
  <c r="F76" i="5" s="1"/>
  <c r="J76" i="5" a="1"/>
  <c r="J76" i="5" s="1"/>
  <c r="N76" i="5" a="1"/>
  <c r="N76" i="5" s="1"/>
  <c r="C76" i="5" a="1"/>
  <c r="C76" i="5" s="1"/>
  <c r="G76" i="5" a="1"/>
  <c r="G76" i="5" s="1"/>
  <c r="K76" i="5" a="1"/>
  <c r="K76" i="5" s="1"/>
  <c r="O76" i="5" a="1"/>
  <c r="O76" i="5" s="1"/>
  <c r="D76" i="5" a="1"/>
  <c r="D76" i="5" s="1"/>
  <c r="H76" i="5" a="1"/>
  <c r="H76" i="5" s="1"/>
  <c r="L76" i="5" a="1"/>
  <c r="L76" i="5" s="1"/>
  <c r="P76" i="5" a="1"/>
  <c r="P76" i="5" s="1"/>
  <c r="E76" i="5" a="1"/>
  <c r="E76" i="5" s="1"/>
  <c r="I76" i="5" a="1"/>
  <c r="I76" i="5" s="1"/>
  <c r="M76" i="5" a="1"/>
  <c r="M76" i="5" s="1"/>
  <c r="Q76" i="5" a="1"/>
  <c r="Q76" i="5" s="1"/>
  <c r="F72" i="5" a="1"/>
  <c r="F72" i="5" s="1"/>
  <c r="J72" i="5" a="1"/>
  <c r="J72" i="5" s="1"/>
  <c r="N72" i="5" a="1"/>
  <c r="N72" i="5" s="1"/>
  <c r="C72" i="5" a="1"/>
  <c r="C72" i="5" s="1"/>
  <c r="G72" i="5" a="1"/>
  <c r="G72" i="5" s="1"/>
  <c r="K72" i="5" a="1"/>
  <c r="K72" i="5" s="1"/>
  <c r="O72" i="5" a="1"/>
  <c r="O72" i="5" s="1"/>
  <c r="D72" i="5" a="1"/>
  <c r="D72" i="5" s="1"/>
  <c r="H72" i="5" a="1"/>
  <c r="H72" i="5" s="1"/>
  <c r="L72" i="5" a="1"/>
  <c r="L72" i="5" s="1"/>
  <c r="P72" i="5" a="1"/>
  <c r="P72" i="5" s="1"/>
  <c r="Q72" i="5" a="1"/>
  <c r="Q72" i="5" s="1"/>
  <c r="E72" i="5" a="1"/>
  <c r="E72" i="5" s="1"/>
  <c r="I72" i="5" a="1"/>
  <c r="I72" i="5" s="1"/>
  <c r="M72" i="5" a="1"/>
  <c r="M72" i="5" s="1"/>
  <c r="F68" i="5" a="1"/>
  <c r="F68" i="5" s="1"/>
  <c r="J68" i="5" a="1"/>
  <c r="J68" i="5" s="1"/>
  <c r="N68" i="5" a="1"/>
  <c r="N68" i="5" s="1"/>
  <c r="C68" i="5" a="1"/>
  <c r="C68" i="5" s="1"/>
  <c r="G68" i="5" a="1"/>
  <c r="G68" i="5" s="1"/>
  <c r="K68" i="5" a="1"/>
  <c r="K68" i="5" s="1"/>
  <c r="O68" i="5" a="1"/>
  <c r="O68" i="5" s="1"/>
  <c r="D68" i="5" a="1"/>
  <c r="D68" i="5" s="1"/>
  <c r="H68" i="5" a="1"/>
  <c r="H68" i="5" s="1"/>
  <c r="L68" i="5" a="1"/>
  <c r="L68" i="5" s="1"/>
  <c r="P68" i="5" a="1"/>
  <c r="P68" i="5" s="1"/>
  <c r="M68" i="5" a="1"/>
  <c r="M68" i="5" s="1"/>
  <c r="Q68" i="5" a="1"/>
  <c r="Q68" i="5" s="1"/>
  <c r="E68" i="5" a="1"/>
  <c r="E68" i="5" s="1"/>
  <c r="I68" i="5" a="1"/>
  <c r="I68" i="5" s="1"/>
  <c r="F64" i="5" a="1"/>
  <c r="F64" i="5" s="1"/>
  <c r="J64" i="5" a="1"/>
  <c r="J64" i="5" s="1"/>
  <c r="N64" i="5" a="1"/>
  <c r="N64" i="5" s="1"/>
  <c r="C64" i="5" a="1"/>
  <c r="C64" i="5" s="1"/>
  <c r="G64" i="5" a="1"/>
  <c r="G64" i="5" s="1"/>
  <c r="K64" i="5" a="1"/>
  <c r="K64" i="5" s="1"/>
  <c r="O64" i="5" a="1"/>
  <c r="O64" i="5" s="1"/>
  <c r="D64" i="5" a="1"/>
  <c r="D64" i="5" s="1"/>
  <c r="H64" i="5" a="1"/>
  <c r="H64" i="5" s="1"/>
  <c r="L64" i="5" a="1"/>
  <c r="L64" i="5" s="1"/>
  <c r="P64" i="5" a="1"/>
  <c r="P64" i="5" s="1"/>
  <c r="I64" i="5" a="1"/>
  <c r="I64" i="5" s="1"/>
  <c r="M64" i="5" a="1"/>
  <c r="M64" i="5" s="1"/>
  <c r="Q64" i="5" a="1"/>
  <c r="Q64" i="5" s="1"/>
  <c r="E64" i="5" a="1"/>
  <c r="E64" i="5" s="1"/>
  <c r="F60" i="5" a="1"/>
  <c r="F60" i="5" s="1"/>
  <c r="J60" i="5" a="1"/>
  <c r="J60" i="5" s="1"/>
  <c r="N60" i="5" a="1"/>
  <c r="N60" i="5" s="1"/>
  <c r="C60" i="5" a="1"/>
  <c r="C60" i="5" s="1"/>
  <c r="G60" i="5" a="1"/>
  <c r="G60" i="5" s="1"/>
  <c r="K60" i="5" a="1"/>
  <c r="K60" i="5" s="1"/>
  <c r="O60" i="5" a="1"/>
  <c r="O60" i="5" s="1"/>
  <c r="D60" i="5" a="1"/>
  <c r="D60" i="5" s="1"/>
  <c r="H60" i="5" a="1"/>
  <c r="H60" i="5" s="1"/>
  <c r="L60" i="5" a="1"/>
  <c r="L60" i="5" s="1"/>
  <c r="P60" i="5" a="1"/>
  <c r="P60" i="5" s="1"/>
  <c r="E60" i="5" a="1"/>
  <c r="E60" i="5" s="1"/>
  <c r="I60" i="5" a="1"/>
  <c r="I60" i="5" s="1"/>
  <c r="M60" i="5" a="1"/>
  <c r="M60" i="5" s="1"/>
  <c r="Q60" i="5" a="1"/>
  <c r="Q60" i="5" s="1"/>
  <c r="F56" i="5" a="1"/>
  <c r="F56" i="5" s="1"/>
  <c r="J56" i="5" a="1"/>
  <c r="J56" i="5" s="1"/>
  <c r="N56" i="5" a="1"/>
  <c r="N56" i="5" s="1"/>
  <c r="C56" i="5" a="1"/>
  <c r="C56" i="5" s="1"/>
  <c r="G56" i="5" a="1"/>
  <c r="G56" i="5" s="1"/>
  <c r="K56" i="5" a="1"/>
  <c r="K56" i="5" s="1"/>
  <c r="O56" i="5" a="1"/>
  <c r="O56" i="5" s="1"/>
  <c r="D56" i="5" a="1"/>
  <c r="D56" i="5" s="1"/>
  <c r="H56" i="5" a="1"/>
  <c r="H56" i="5" s="1"/>
  <c r="L56" i="5" a="1"/>
  <c r="L56" i="5" s="1"/>
  <c r="P56" i="5" a="1"/>
  <c r="P56" i="5" s="1"/>
  <c r="Q56" i="5" a="1"/>
  <c r="Q56" i="5" s="1"/>
  <c r="E56" i="5" a="1"/>
  <c r="E56" i="5" s="1"/>
  <c r="I56" i="5" a="1"/>
  <c r="I56" i="5" s="1"/>
  <c r="M56" i="5" a="1"/>
  <c r="M56" i="5" s="1"/>
  <c r="D48" i="5"/>
  <c r="H48" i="5"/>
  <c r="L48" i="5"/>
  <c r="P48" i="5"/>
  <c r="E48" i="5"/>
  <c r="I48" i="5"/>
  <c r="M48" i="5"/>
  <c r="Q48" i="5"/>
  <c r="F48" i="5"/>
  <c r="J48" i="5"/>
  <c r="N48" i="5"/>
  <c r="C48" i="5"/>
  <c r="G48" i="5"/>
  <c r="K48" i="5"/>
  <c r="O48" i="5"/>
  <c r="D44" i="5"/>
  <c r="H44" i="5"/>
  <c r="L44" i="5"/>
  <c r="P44" i="5"/>
  <c r="E44" i="5"/>
  <c r="I44" i="5"/>
  <c r="M44" i="5"/>
  <c r="Q44" i="5"/>
  <c r="F44" i="5"/>
  <c r="J44" i="5"/>
  <c r="N44" i="5"/>
  <c r="C44" i="5"/>
  <c r="G44" i="5"/>
  <c r="K44" i="5"/>
  <c r="O44" i="5"/>
  <c r="D40" i="5"/>
  <c r="H40" i="5"/>
  <c r="L40" i="5"/>
  <c r="P40" i="5"/>
  <c r="E40" i="5"/>
  <c r="I40" i="5"/>
  <c r="M40" i="5"/>
  <c r="Q40" i="5"/>
  <c r="F40" i="5"/>
  <c r="J40" i="5"/>
  <c r="N40" i="5"/>
  <c r="C40" i="5"/>
  <c r="G40" i="5"/>
  <c r="K40" i="5"/>
  <c r="O40" i="5"/>
  <c r="E36" i="5"/>
  <c r="I36" i="5"/>
  <c r="M36" i="5"/>
  <c r="Q36" i="5"/>
  <c r="C36" i="5"/>
  <c r="G36" i="5"/>
  <c r="K36" i="5"/>
  <c r="O36" i="5"/>
  <c r="H36" i="5"/>
  <c r="P36" i="5"/>
  <c r="J36" i="5"/>
  <c r="D36" i="5"/>
  <c r="L36" i="5"/>
  <c r="F36" i="5"/>
  <c r="N36" i="5"/>
  <c r="E32" i="5"/>
  <c r="I32" i="5"/>
  <c r="M32" i="5"/>
  <c r="Q32" i="5"/>
  <c r="F32" i="5"/>
  <c r="J32" i="5"/>
  <c r="N32" i="5"/>
  <c r="C32" i="5"/>
  <c r="G32" i="5"/>
  <c r="K32" i="5"/>
  <c r="O32" i="5"/>
  <c r="P32" i="5"/>
  <c r="D32" i="5"/>
  <c r="H32" i="5"/>
  <c r="L32" i="5"/>
  <c r="D28" i="5"/>
  <c r="E43" i="2" s="1"/>
  <c r="H28" i="5"/>
  <c r="E47" i="2" s="1"/>
  <c r="L28" i="5"/>
  <c r="P28" i="5"/>
  <c r="E55" i="2" s="1"/>
  <c r="E28" i="5"/>
  <c r="I28" i="5"/>
  <c r="M28" i="5"/>
  <c r="E52" i="2" s="1"/>
  <c r="Q28" i="5"/>
  <c r="E56" i="2" s="1"/>
  <c r="F28" i="5"/>
  <c r="E45" i="2" s="1"/>
  <c r="J28" i="5"/>
  <c r="E49" i="2" s="1"/>
  <c r="N28" i="5"/>
  <c r="K28" i="5"/>
  <c r="E50" i="2" s="1"/>
  <c r="O28" i="5"/>
  <c r="E54" i="2" s="1"/>
  <c r="C28" i="5"/>
  <c r="E42" i="2" s="1"/>
  <c r="G28" i="5"/>
  <c r="E46" i="2" s="1"/>
  <c r="D79" i="5" a="1"/>
  <c r="D79" i="5" s="1"/>
  <c r="H79" i="5" a="1"/>
  <c r="H79" i="5" s="1"/>
  <c r="L79" i="5" a="1"/>
  <c r="L79" i="5" s="1"/>
  <c r="P79" i="5" a="1"/>
  <c r="P79" i="5" s="1"/>
  <c r="E79" i="5" a="1"/>
  <c r="E79" i="5" s="1"/>
  <c r="I79" i="5" a="1"/>
  <c r="I79" i="5" s="1"/>
  <c r="M79" i="5" a="1"/>
  <c r="M79" i="5" s="1"/>
  <c r="Q79" i="5" a="1"/>
  <c r="Q79" i="5" s="1"/>
  <c r="F79" i="5" a="1"/>
  <c r="F79" i="5" s="1"/>
  <c r="J79" i="5" a="1"/>
  <c r="J79" i="5" s="1"/>
  <c r="N79" i="5" a="1"/>
  <c r="N79" i="5" s="1"/>
  <c r="G79" i="5" a="1"/>
  <c r="G79" i="5" s="1"/>
  <c r="K79" i="5" a="1"/>
  <c r="K79" i="5" s="1"/>
  <c r="O79" i="5" a="1"/>
  <c r="O79" i="5" s="1"/>
  <c r="C79" i="5" a="1"/>
  <c r="C79" i="5" s="1"/>
  <c r="E75" i="5" a="1"/>
  <c r="E75" i="5" s="1"/>
  <c r="I75" i="5" a="1"/>
  <c r="I75" i="5" s="1"/>
  <c r="M75" i="5" a="1"/>
  <c r="M75" i="5" s="1"/>
  <c r="Q75" i="5" a="1"/>
  <c r="Q75" i="5" s="1"/>
  <c r="F75" i="5" a="1"/>
  <c r="F75" i="5" s="1"/>
  <c r="J75" i="5" a="1"/>
  <c r="J75" i="5" s="1"/>
  <c r="N75" i="5" a="1"/>
  <c r="N75" i="5" s="1"/>
  <c r="C75" i="5" a="1"/>
  <c r="C75" i="5" s="1"/>
  <c r="G75" i="5" a="1"/>
  <c r="G75" i="5" s="1"/>
  <c r="K75" i="5" a="1"/>
  <c r="K75" i="5" s="1"/>
  <c r="O75" i="5" a="1"/>
  <c r="O75" i="5" s="1"/>
  <c r="D75" i="5" a="1"/>
  <c r="D75" i="5" s="1"/>
  <c r="H75" i="5" a="1"/>
  <c r="H75" i="5" s="1"/>
  <c r="L75" i="5" a="1"/>
  <c r="L75" i="5" s="1"/>
  <c r="P75" i="5" a="1"/>
  <c r="P75" i="5" s="1"/>
  <c r="E71" i="5" a="1"/>
  <c r="E71" i="5" s="1"/>
  <c r="I71" i="5" a="1"/>
  <c r="I71" i="5" s="1"/>
  <c r="M71" i="5" a="1"/>
  <c r="M71" i="5" s="1"/>
  <c r="Q71" i="5" a="1"/>
  <c r="Q71" i="5" s="1"/>
  <c r="F71" i="5" a="1"/>
  <c r="F71" i="5" s="1"/>
  <c r="J71" i="5" a="1"/>
  <c r="J71" i="5" s="1"/>
  <c r="N71" i="5" a="1"/>
  <c r="N71" i="5" s="1"/>
  <c r="C71" i="5" a="1"/>
  <c r="C71" i="5" s="1"/>
  <c r="G71" i="5" a="1"/>
  <c r="G71" i="5" s="1"/>
  <c r="K71" i="5" a="1"/>
  <c r="K71" i="5" s="1"/>
  <c r="O71" i="5" a="1"/>
  <c r="O71" i="5" s="1"/>
  <c r="P71" i="5" a="1"/>
  <c r="P71" i="5" s="1"/>
  <c r="D71" i="5" a="1"/>
  <c r="D71" i="5" s="1"/>
  <c r="H71" i="5" a="1"/>
  <c r="H71" i="5" s="1"/>
  <c r="L71" i="5" a="1"/>
  <c r="L71" i="5" s="1"/>
  <c r="E67" i="5" a="1"/>
  <c r="E67" i="5" s="1"/>
  <c r="I67" i="5" a="1"/>
  <c r="I67" i="5" s="1"/>
  <c r="M67" i="5" a="1"/>
  <c r="M67" i="5" s="1"/>
  <c r="Q67" i="5" a="1"/>
  <c r="Q67" i="5" s="1"/>
  <c r="F67" i="5" a="1"/>
  <c r="F67" i="5" s="1"/>
  <c r="J67" i="5" a="1"/>
  <c r="J67" i="5" s="1"/>
  <c r="N67" i="5" a="1"/>
  <c r="N67" i="5" s="1"/>
  <c r="C67" i="5" a="1"/>
  <c r="C67" i="5" s="1"/>
  <c r="G67" i="5" a="1"/>
  <c r="G67" i="5" s="1"/>
  <c r="K67" i="5" a="1"/>
  <c r="K67" i="5" s="1"/>
  <c r="O67" i="5" a="1"/>
  <c r="O67" i="5" s="1"/>
  <c r="L67" i="5" a="1"/>
  <c r="L67" i="5" s="1"/>
  <c r="P67" i="5" a="1"/>
  <c r="P67" i="5" s="1"/>
  <c r="D67" i="5" a="1"/>
  <c r="D67" i="5" s="1"/>
  <c r="H67" i="5" a="1"/>
  <c r="H67" i="5" s="1"/>
  <c r="E63" i="5" a="1"/>
  <c r="E63" i="5" s="1"/>
  <c r="I63" i="5" a="1"/>
  <c r="I63" i="5" s="1"/>
  <c r="M63" i="5" a="1"/>
  <c r="M63" i="5" s="1"/>
  <c r="Q63" i="5" a="1"/>
  <c r="Q63" i="5" s="1"/>
  <c r="F63" i="5" a="1"/>
  <c r="F63" i="5" s="1"/>
  <c r="J63" i="5" a="1"/>
  <c r="J63" i="5" s="1"/>
  <c r="N63" i="5" a="1"/>
  <c r="N63" i="5" s="1"/>
  <c r="C63" i="5" a="1"/>
  <c r="C63" i="5" s="1"/>
  <c r="G63" i="5" a="1"/>
  <c r="G63" i="5" s="1"/>
  <c r="K63" i="5" a="1"/>
  <c r="K63" i="5" s="1"/>
  <c r="O63" i="5" a="1"/>
  <c r="O63" i="5" s="1"/>
  <c r="H63" i="5" a="1"/>
  <c r="H63" i="5" s="1"/>
  <c r="L63" i="5" a="1"/>
  <c r="L63" i="5" s="1"/>
  <c r="P63" i="5" a="1"/>
  <c r="P63" i="5" s="1"/>
  <c r="D63" i="5" a="1"/>
  <c r="D63" i="5" s="1"/>
  <c r="E59" i="5" a="1"/>
  <c r="E59" i="5" s="1"/>
  <c r="I59" i="5" a="1"/>
  <c r="I59" i="5" s="1"/>
  <c r="M59" i="5" a="1"/>
  <c r="M59" i="5" s="1"/>
  <c r="Q59" i="5" a="1"/>
  <c r="Q59" i="5" s="1"/>
  <c r="F59" i="5" a="1"/>
  <c r="F59" i="5" s="1"/>
  <c r="J59" i="5" a="1"/>
  <c r="J59" i="5" s="1"/>
  <c r="N59" i="5" a="1"/>
  <c r="N59" i="5" s="1"/>
  <c r="C59" i="5" a="1"/>
  <c r="C59" i="5" s="1"/>
  <c r="G59" i="5" a="1"/>
  <c r="G59" i="5" s="1"/>
  <c r="K59" i="5" a="1"/>
  <c r="K59" i="5" s="1"/>
  <c r="O59" i="5" a="1"/>
  <c r="O59" i="5" s="1"/>
  <c r="D59" i="5" a="1"/>
  <c r="D59" i="5" s="1"/>
  <c r="H59" i="5" a="1"/>
  <c r="H59" i="5" s="1"/>
  <c r="L59" i="5" a="1"/>
  <c r="L59" i="5" s="1"/>
  <c r="P59" i="5" a="1"/>
  <c r="P59" i="5" s="1"/>
  <c r="J21" i="5" a="1"/>
  <c r="J21" i="5" s="1"/>
  <c r="J18" i="5" a="1"/>
  <c r="J18" i="5" s="1"/>
  <c r="D10" i="5" a="1"/>
  <c r="D10" i="5" s="1"/>
  <c r="E28" i="2"/>
  <c r="F28" i="2" s="1" a="1"/>
  <c r="F28" i="2" s="1"/>
  <c r="C19" i="5" a="1"/>
  <c r="C19" i="5" s="1"/>
  <c r="H28" i="2" a="1"/>
  <c r="H28" i="2" s="1"/>
  <c r="C18" i="5" a="1"/>
  <c r="C18" i="5" s="1"/>
  <c r="N18" i="5" a="1"/>
  <c r="N18" i="5" s="1"/>
  <c r="F18" i="5" a="1"/>
  <c r="F18" i="5" s="1"/>
  <c r="I19" i="5" a="1"/>
  <c r="I19" i="5" s="1"/>
  <c r="J20" i="5" a="1"/>
  <c r="J20" i="5" s="1"/>
  <c r="J19" i="5" a="1"/>
  <c r="J19" i="5" s="1"/>
  <c r="J22" i="5" a="1"/>
  <c r="J22" i="5" s="1"/>
  <c r="K18" i="5" a="1"/>
  <c r="K18" i="5" s="1"/>
  <c r="N11" i="5" a="1"/>
  <c r="N11" i="5" s="1"/>
  <c r="M10" i="5" a="1"/>
  <c r="M10" i="5" s="1"/>
  <c r="G10" i="5" a="1"/>
  <c r="G10" i="5" s="1"/>
  <c r="M12" i="5" a="1"/>
  <c r="M12" i="5" s="1"/>
  <c r="M14" i="5" a="1"/>
  <c r="M14" i="5" s="1"/>
  <c r="E11" i="5" a="1"/>
  <c r="E11" i="5" s="1"/>
  <c r="N14" i="5" a="1"/>
  <c r="N14" i="5" s="1"/>
  <c r="N12" i="5" a="1"/>
  <c r="N12" i="5" s="1"/>
  <c r="M13" i="5" a="1"/>
  <c r="M13" i="5" s="1"/>
  <c r="N13" i="5" a="1"/>
  <c r="N13" i="5" s="1"/>
  <c r="E48" i="2" l="1"/>
  <c r="E53" i="2"/>
  <c r="E51" i="2"/>
  <c r="E44" i="2"/>
  <c r="C52" i="2"/>
  <c r="C56" i="2"/>
  <c r="C48" i="2"/>
  <c r="F44" i="2"/>
  <c r="F43" i="2"/>
  <c r="F42" i="2"/>
  <c r="C44" i="2"/>
  <c r="F56" i="2"/>
  <c r="F55" i="2"/>
  <c r="F54" i="2"/>
  <c r="F53" i="2"/>
  <c r="F52" i="2"/>
  <c r="F51" i="2"/>
  <c r="F50" i="2"/>
  <c r="F49" i="2"/>
  <c r="F48" i="2"/>
  <c r="F47" i="2"/>
  <c r="F46" i="2"/>
  <c r="F45" i="2"/>
  <c r="I28" i="2" a="1"/>
  <c r="I28" i="2" s="1"/>
  <c r="AC6" i="5" a="1"/>
  <c r="AC6" i="5" s="1"/>
  <c r="B398" i="8" l="1" a="1"/>
  <c r="B398" i="8" s="1"/>
  <c r="B399" i="8" s="1" a="1"/>
  <c r="B399" i="8" s="1"/>
  <c r="B400" i="8" s="1" a="1"/>
  <c r="B400" i="8" s="1"/>
  <c r="H17" i="2" a="1"/>
  <c r="H17" i="2" s="1"/>
  <c r="B401" i="8" l="1" a="1"/>
  <c r="B401" i="8" s="1"/>
  <c r="B402" i="8" s="1" a="1"/>
  <c r="B402" i="8" s="1"/>
  <c r="B403" i="8" s="1" a="1"/>
  <c r="B403" i="8" s="1"/>
  <c r="B404" i="8" s="1" a="1"/>
  <c r="B404" i="8" s="1"/>
  <c r="B405" i="8" s="1" a="1"/>
  <c r="B405" i="8" s="1"/>
  <c r="B406" i="8" s="1" a="1"/>
  <c r="B406" i="8" s="1"/>
  <c r="B407" i="8" s="1" a="1"/>
  <c r="B407" i="8" s="1"/>
  <c r="B408" i="8" s="1" a="1"/>
  <c r="B408" i="8" s="1"/>
  <c r="B409" i="8" s="1" a="1"/>
  <c r="B409" i="8" s="1"/>
  <c r="B410" i="8" s="1" a="1"/>
  <c r="B410" i="8" s="1"/>
  <c r="B411" i="8" s="1" a="1"/>
  <c r="B411" i="8" s="1"/>
  <c r="B412" i="8" s="1" a="1"/>
  <c r="B412" i="8" s="1"/>
  <c r="B413" i="8" s="1" a="1"/>
  <c r="B413" i="8" s="1"/>
  <c r="B414" i="8" s="1" a="1"/>
  <c r="B414" i="8" s="1"/>
  <c r="B415" i="8" s="1" a="1"/>
  <c r="B415" i="8" s="1"/>
  <c r="B416" i="8" s="1" a="1"/>
  <c r="B416" i="8" s="1"/>
  <c r="B417" i="8" s="1" a="1"/>
  <c r="B417" i="8" s="1"/>
  <c r="B418" i="8" s="1" a="1"/>
  <c r="B418" i="8" s="1"/>
  <c r="B419" i="8" s="1" a="1"/>
  <c r="B419" i="8" s="1"/>
  <c r="B420" i="8" s="1" a="1"/>
  <c r="B420" i="8" s="1"/>
  <c r="B421" i="8" s="1" a="1"/>
  <c r="B421" i="8" s="1"/>
  <c r="B422" i="8" s="1" a="1"/>
  <c r="B422" i="8" s="1"/>
  <c r="B423" i="8" s="1" a="1"/>
  <c r="B423" i="8" s="1"/>
  <c r="B424" i="8" s="1" a="1"/>
  <c r="B424" i="8" s="1"/>
  <c r="B425" i="8" s="1" a="1"/>
  <c r="B425" i="8" s="1"/>
  <c r="B426" i="8" s="1" a="1"/>
  <c r="B426" i="8" s="1"/>
  <c r="B427" i="8" s="1" a="1"/>
  <c r="B427" i="8" s="1"/>
  <c r="B428" i="8" s="1" a="1"/>
  <c r="B428" i="8" s="1"/>
  <c r="B429" i="8" s="1" a="1"/>
  <c r="B429" i="8" s="1"/>
  <c r="B430" i="8" s="1" a="1"/>
  <c r="B430" i="8" s="1"/>
  <c r="B431" i="8" s="1" a="1"/>
  <c r="B431" i="8" s="1"/>
  <c r="B432" i="8" s="1" a="1"/>
  <c r="B432" i="8" s="1"/>
  <c r="B433" i="8" s="1" a="1"/>
  <c r="B433" i="8" s="1"/>
  <c r="B434" i="8" s="1" a="1"/>
  <c r="B434" i="8" s="1"/>
  <c r="B435" i="8" s="1" a="1"/>
  <c r="B435" i="8" s="1"/>
  <c r="B436" i="8" s="1" a="1"/>
  <c r="B436" i="8" s="1"/>
  <c r="B437" i="8" s="1" a="1"/>
  <c r="B437" i="8" s="1"/>
  <c r="B438" i="8" s="1" a="1"/>
  <c r="B438" i="8" s="1"/>
  <c r="B439" i="8" s="1" a="1"/>
  <c r="B439" i="8" s="1"/>
  <c r="B440" i="8" s="1" a="1"/>
  <c r="B440" i="8" s="1"/>
  <c r="B441" i="8" s="1" a="1"/>
  <c r="B441" i="8" s="1"/>
  <c r="B442" i="8" s="1" a="1"/>
  <c r="B442" i="8" s="1"/>
  <c r="B443" i="8" s="1" a="1"/>
  <c r="B443" i="8" s="1"/>
  <c r="B444" i="8" s="1" a="1"/>
  <c r="B444" i="8" s="1"/>
  <c r="B445" i="8" s="1" a="1"/>
  <c r="B445" i="8" s="1"/>
  <c r="B446" i="8" s="1" a="1"/>
  <c r="B446" i="8" s="1"/>
  <c r="B447" i="8" s="1" a="1"/>
  <c r="B447" i="8" s="1"/>
  <c r="B448" i="8" s="1" a="1"/>
  <c r="B448" i="8" s="1"/>
  <c r="B449" i="8" s="1" a="1"/>
  <c r="B449" i="8" s="1"/>
  <c r="B450" i="8" s="1" a="1"/>
  <c r="B450" i="8" s="1"/>
  <c r="H25" i="2" a="1"/>
  <c r="H25" i="2" s="1"/>
  <c r="H26" i="2" a="1"/>
  <c r="H26" i="2" s="1"/>
  <c r="I17" i="2" a="1"/>
  <c r="I17" i="2" s="1"/>
  <c r="E25" i="2"/>
  <c r="F25" i="2" s="1" a="1"/>
  <c r="F25" i="2" s="1"/>
  <c r="E26" i="2"/>
  <c r="F26" i="2" s="1" a="1"/>
  <c r="F26" i="2" s="1"/>
  <c r="I26" i="2" l="1" a="1"/>
  <c r="I26" i="2" s="1"/>
  <c r="I25" i="2" a="1"/>
  <c r="I25" i="2" s="1"/>
  <c r="H24" i="2" l="1" a="1"/>
  <c r="H24" i="2" s="1"/>
  <c r="E24" i="2"/>
  <c r="F24" i="2" s="1" a="1"/>
  <c r="F24" i="2" s="1"/>
  <c r="I24" i="2" l="1" a="1"/>
  <c r="I24" i="2" s="1"/>
  <c r="H22" i="2" l="1" a="1"/>
  <c r="H22" i="2" s="1"/>
  <c r="H23" i="2" a="1"/>
  <c r="H23" i="2" s="1"/>
  <c r="E22" i="2"/>
  <c r="F22" i="2" s="1" a="1"/>
  <c r="F22" i="2" s="1"/>
  <c r="E23" i="2"/>
  <c r="F23" i="2" s="1" a="1"/>
  <c r="F23" i="2" s="1"/>
  <c r="I23" i="2" l="1" a="1"/>
  <c r="I23" i="2" s="1"/>
  <c r="I22" i="2" a="1"/>
  <c r="I22" i="2" s="1"/>
  <c r="H19" i="2" l="1" a="1"/>
  <c r="H19" i="2" s="1"/>
  <c r="H20" i="2" a="1"/>
  <c r="H20" i="2" s="1"/>
  <c r="H21" i="2" a="1"/>
  <c r="H21" i="2" s="1"/>
  <c r="E20" i="2"/>
  <c r="F20" i="2" s="1" a="1"/>
  <c r="F20" i="2" s="1"/>
  <c r="E19" i="2"/>
  <c r="F19" i="2" s="1" a="1"/>
  <c r="F19" i="2" s="1"/>
  <c r="E21" i="2"/>
  <c r="F21" i="2" s="1" a="1"/>
  <c r="F21" i="2" s="1"/>
  <c r="E18" i="2"/>
  <c r="F18" i="2" s="1" a="1"/>
  <c r="F18" i="2" s="1"/>
  <c r="H18" i="2" l="1" a="1"/>
  <c r="H18" i="2" s="1"/>
  <c r="I21" i="2" a="1"/>
  <c r="I21" i="2" s="1"/>
  <c r="I20" i="2" a="1"/>
  <c r="I20" i="2" s="1"/>
  <c r="I19" i="2" a="1"/>
  <c r="I19" i="2" s="1"/>
  <c r="F33" i="2" a="1"/>
  <c r="F33" i="2" s="1"/>
  <c r="I18" i="2" l="1" a="1"/>
  <c r="I18" i="2" s="1"/>
  <c r="I33" i="2" l="1"/>
  <c r="J33" i="2" l="1"/>
  <c r="E17" i="2"/>
  <c r="F17" i="2" s="1" a="1"/>
  <c r="F17" i="2" s="1"/>
  <c r="M9" i="2" l="1"/>
  <c r="H3" i="2" a="1"/>
  <c r="H3" i="2" s="1"/>
  <c r="H5" i="2" a="1"/>
  <c r="H5" i="2" s="1"/>
  <c r="H6" i="2" a="1"/>
  <c r="H6" i="2" s="1"/>
  <c r="H7" i="2" a="1"/>
  <c r="H7" i="2" s="1"/>
  <c r="H8" i="2" a="1"/>
  <c r="H8" i="2" s="1"/>
  <c r="H9" i="2" a="1"/>
  <c r="H9" i="2" s="1"/>
  <c r="H10" i="2" a="1"/>
  <c r="H10" i="2" s="1"/>
  <c r="M11" i="2"/>
  <c r="H11" i="2" a="1"/>
  <c r="H11" i="2" s="1"/>
  <c r="H12" i="2" a="1"/>
  <c r="H12" i="2" s="1"/>
  <c r="M13" i="2"/>
  <c r="H13" i="2" a="1"/>
  <c r="H13" i="2" s="1"/>
  <c r="M14" i="2"/>
  <c r="H14" i="2" a="1"/>
  <c r="H14" i="2" s="1"/>
  <c r="M15" i="2"/>
  <c r="H15" i="2" a="1"/>
  <c r="H15" i="2" s="1"/>
  <c r="H16" i="2" a="1"/>
  <c r="H16" i="2" s="1"/>
  <c r="H27" i="2" a="1"/>
  <c r="H27" i="2" s="1"/>
  <c r="H4" i="2" a="1"/>
  <c r="H4" i="2" s="1"/>
  <c r="E13" i="2"/>
  <c r="F13" i="2" s="1" a="1"/>
  <c r="F13" i="2" s="1"/>
  <c r="E7" i="2"/>
  <c r="F7" i="2" s="1" a="1"/>
  <c r="F7" i="2" s="1"/>
  <c r="E11" i="2"/>
  <c r="F11" i="2" s="1" a="1"/>
  <c r="F11" i="2" s="1"/>
  <c r="E15" i="2"/>
  <c r="F15" i="2" s="1" a="1"/>
  <c r="F15" i="2" s="1"/>
  <c r="E5" i="2"/>
  <c r="F5" i="2" s="1" a="1"/>
  <c r="F5" i="2" s="1"/>
  <c r="E8" i="2"/>
  <c r="F8" i="2" s="1" a="1"/>
  <c r="F8" i="2" s="1"/>
  <c r="E12" i="2"/>
  <c r="F12" i="2" s="1" a="1"/>
  <c r="F12" i="2" s="1"/>
  <c r="E16" i="2"/>
  <c r="F16" i="2" s="1" a="1"/>
  <c r="F16" i="2" s="1"/>
  <c r="E9" i="2"/>
  <c r="F9" i="2" s="1" a="1"/>
  <c r="F9" i="2" s="1"/>
  <c r="E6" i="2"/>
  <c r="F6" i="2" s="1" a="1"/>
  <c r="F6" i="2" s="1"/>
  <c r="E10" i="2"/>
  <c r="F10" i="2" s="1" a="1"/>
  <c r="F10" i="2" s="1"/>
  <c r="E14" i="2"/>
  <c r="F14" i="2" s="1" a="1"/>
  <c r="F14" i="2" s="1"/>
  <c r="E27" i="2"/>
  <c r="F27" i="2" s="1" a="1"/>
  <c r="F27" i="2" s="1"/>
  <c r="E4" i="2"/>
  <c r="F4" i="2" s="1" a="1"/>
  <c r="F4" i="2" s="1"/>
  <c r="AC4" i="5"/>
  <c r="C15" i="3"/>
  <c r="E3" i="2"/>
  <c r="F3" i="2" l="1" a="1"/>
  <c r="F3" i="2" s="1"/>
  <c r="E33" i="2"/>
  <c r="AC72" i="5"/>
  <c r="AC42" i="5"/>
  <c r="AC76" i="5"/>
  <c r="AC46" i="5"/>
  <c r="AC80" i="5"/>
  <c r="AC50" i="5"/>
  <c r="AC64" i="5"/>
  <c r="AC34" i="5"/>
  <c r="AC59" i="5"/>
  <c r="AC29" i="5"/>
  <c r="AC31" i="5"/>
  <c r="AC61" i="5"/>
  <c r="AC71" i="5"/>
  <c r="AC41" i="5"/>
  <c r="AC48" i="5"/>
  <c r="AC78" i="5"/>
  <c r="AC25" i="5"/>
  <c r="AC55" i="5"/>
  <c r="AC60" i="5"/>
  <c r="AC30" i="5"/>
  <c r="AC79" i="5"/>
  <c r="AC49" i="5"/>
  <c r="AC36" i="5"/>
  <c r="AC66" i="5"/>
  <c r="AC40" i="5"/>
  <c r="AC70" i="5"/>
  <c r="AC75" i="5"/>
  <c r="AC45" i="5"/>
  <c r="AC47" i="5"/>
  <c r="AC77" i="5"/>
  <c r="AC56" i="5"/>
  <c r="AC26" i="5"/>
  <c r="AC67" i="5"/>
  <c r="AC37" i="5"/>
  <c r="AC32" i="5"/>
  <c r="AC62" i="5"/>
  <c r="AC28" i="5"/>
  <c r="AC58" i="5"/>
  <c r="AC43" i="5"/>
  <c r="AC73" i="5"/>
  <c r="AC44" i="5"/>
  <c r="AC74" i="5"/>
  <c r="AC39" i="5"/>
  <c r="AC69" i="5"/>
  <c r="AC68" i="5"/>
  <c r="AC38" i="5"/>
  <c r="AC63" i="5"/>
  <c r="AC33" i="5"/>
  <c r="AC35" i="5"/>
  <c r="AC65" i="5"/>
  <c r="AC27" i="5"/>
  <c r="AC57" i="5"/>
  <c r="D6" i="3"/>
  <c r="D10" i="3"/>
  <c r="D14" i="3"/>
  <c r="D5" i="3"/>
  <c r="D9" i="3"/>
  <c r="D13" i="3"/>
  <c r="D7" i="3"/>
  <c r="D11" i="3"/>
  <c r="D3" i="3"/>
  <c r="D4" i="3"/>
  <c r="D8" i="3"/>
  <c r="D12" i="3"/>
  <c r="M10" i="2"/>
  <c r="M8" i="2"/>
  <c r="M7" i="2"/>
  <c r="M6" i="2"/>
  <c r="M16" i="2"/>
  <c r="M12" i="2"/>
  <c r="M4" i="2"/>
  <c r="M27" i="2"/>
  <c r="M33" i="2"/>
  <c r="M28" i="2"/>
  <c r="M17" i="2"/>
  <c r="M25" i="2"/>
  <c r="M26" i="2"/>
  <c r="M24" i="2"/>
  <c r="M22" i="2"/>
  <c r="M23" i="2"/>
  <c r="M20" i="2"/>
  <c r="M19" i="2"/>
  <c r="M21" i="2"/>
  <c r="M18" i="2"/>
  <c r="M5" i="2"/>
  <c r="M3" i="2"/>
  <c r="I4" i="2" a="1"/>
  <c r="I4" i="2" s="1"/>
  <c r="I27" i="2" a="1"/>
  <c r="I27" i="2" s="1"/>
  <c r="I16" i="2" a="1"/>
  <c r="I16" i="2" s="1"/>
  <c r="I15" i="2" a="1"/>
  <c r="I15" i="2" s="1"/>
  <c r="I14" i="2" a="1"/>
  <c r="I14" i="2" s="1"/>
  <c r="I13" i="2" a="1"/>
  <c r="I13" i="2" s="1"/>
  <c r="I12" i="2" a="1"/>
  <c r="I12" i="2" s="1"/>
  <c r="I11" i="2" a="1"/>
  <c r="I11" i="2" s="1"/>
  <c r="I10" i="2" a="1"/>
  <c r="I10" i="2" s="1"/>
  <c r="I9" i="2" a="1"/>
  <c r="I9" i="2" s="1"/>
  <c r="I8" i="2" a="1"/>
  <c r="I8" i="2" s="1"/>
  <c r="I7" i="2" a="1"/>
  <c r="I7" i="2" s="1"/>
  <c r="I6" i="2" a="1"/>
  <c r="I6" i="2" s="1"/>
  <c r="I5" i="2" a="1"/>
  <c r="I5" i="2" s="1"/>
  <c r="I3" i="2" a="1"/>
  <c r="I3" i="2" s="1"/>
  <c r="D15" i="3" l="1"/>
  <c r="E5" i="8" l="1" a="1"/>
  <c r="E5" i="8" s="1"/>
  <c r="G5" i="8" l="1"/>
  <c r="F5" i="8"/>
  <c r="H5" i="8" s="1"/>
  <c r="E6" i="8" a="1"/>
  <c r="E6" i="8" s="1"/>
  <c r="G6" i="8" s="1"/>
  <c r="E7" i="8" l="1" a="1"/>
  <c r="E7" i="8" s="1"/>
  <c r="G7" i="8" s="1"/>
  <c r="F6" i="8"/>
  <c r="H6" i="8" s="1"/>
  <c r="E8" i="8" l="1" a="1"/>
  <c r="E8" i="8" s="1"/>
  <c r="G8" i="8" s="1"/>
  <c r="F7" i="8"/>
  <c r="H7" i="8" s="1"/>
  <c r="F8" i="8" l="1"/>
  <c r="H8" i="8" s="1"/>
  <c r="E9" i="8" a="1"/>
  <c r="E9" i="8" s="1"/>
  <c r="G9" i="8" s="1"/>
  <c r="F9" i="8" l="1"/>
  <c r="H9" i="8" s="1"/>
  <c r="E10" i="8" a="1"/>
  <c r="E10" i="8" s="1"/>
  <c r="G10" i="8" s="1"/>
  <c r="F10" i="8" l="1"/>
  <c r="H10" i="8" s="1"/>
  <c r="E11" i="8" a="1"/>
  <c r="E11" i="8" s="1"/>
  <c r="G11" i="8" l="1"/>
  <c r="F11" i="8"/>
  <c r="H11" i="8" s="1"/>
  <c r="E12" i="8" a="1"/>
  <c r="E12" i="8" s="1"/>
  <c r="G12" i="8" l="1"/>
  <c r="F12" i="8"/>
  <c r="H12" i="8" s="1"/>
  <c r="E13" i="8" a="1"/>
  <c r="E13" i="8" s="1"/>
  <c r="E14" i="8" l="1" a="1"/>
  <c r="E14" i="8" s="1"/>
  <c r="G13" i="8"/>
  <c r="F13" i="8"/>
  <c r="H13" i="8" s="1"/>
  <c r="E15" i="8" l="1" a="1"/>
  <c r="E15" i="8" s="1"/>
  <c r="G14" i="8"/>
  <c r="F14" i="8"/>
  <c r="H14" i="8" s="1"/>
  <c r="G15" i="8" l="1"/>
  <c r="F15" i="8"/>
  <c r="H15" i="8" s="1"/>
  <c r="E16" i="8" a="1"/>
  <c r="E16" i="8" s="1"/>
  <c r="G16" i="8" l="1"/>
  <c r="F16" i="8"/>
  <c r="H16" i="8" s="1"/>
  <c r="E17" i="8" a="1"/>
  <c r="E17" i="8" s="1"/>
  <c r="G17" i="8" l="1"/>
  <c r="F17" i="8"/>
  <c r="H17" i="8" s="1"/>
  <c r="E18" i="8" a="1"/>
  <c r="E18" i="8" s="1"/>
  <c r="G18" i="8" l="1"/>
  <c r="F18" i="8"/>
  <c r="H18" i="8" s="1"/>
  <c r="E19" i="8" a="1"/>
  <c r="E19" i="8" s="1"/>
  <c r="G19" i="8" l="1"/>
  <c r="F19" i="8"/>
  <c r="H19" i="8" s="1"/>
  <c r="E20" i="8" a="1"/>
  <c r="E20" i="8" s="1"/>
  <c r="G20" i="8" l="1"/>
  <c r="F20" i="8"/>
  <c r="H20" i="8" s="1"/>
  <c r="E21" i="8" a="1"/>
  <c r="E21" i="8" s="1"/>
  <c r="G21" i="8" l="1"/>
  <c r="F21" i="8"/>
  <c r="H21" i="8" s="1"/>
  <c r="E22" i="8" a="1"/>
  <c r="E22" i="8" s="1"/>
  <c r="G22" i="8" l="1"/>
  <c r="F22" i="8"/>
  <c r="H22" i="8" s="1"/>
  <c r="E23" i="8" a="1"/>
  <c r="E23" i="8" s="1"/>
  <c r="G23" i="8" l="1"/>
  <c r="F23" i="8"/>
  <c r="H23" i="8" s="1"/>
  <c r="E24" i="8" a="1"/>
  <c r="E24" i="8" s="1"/>
  <c r="G24" i="8" l="1"/>
  <c r="F24" i="8"/>
  <c r="H24" i="8" s="1"/>
  <c r="E25" i="8" a="1"/>
  <c r="E25" i="8" s="1"/>
  <c r="G25" i="8" l="1"/>
  <c r="F25" i="8"/>
  <c r="H25" i="8" s="1"/>
  <c r="E26" i="8" a="1"/>
  <c r="E26" i="8" s="1"/>
  <c r="G26" i="8" l="1"/>
  <c r="F26" i="8"/>
  <c r="H26" i="8" s="1"/>
  <c r="E27" i="8" a="1"/>
  <c r="E27" i="8" s="1"/>
  <c r="G27" i="8" l="1"/>
  <c r="F27" i="8"/>
  <c r="H27" i="8" s="1"/>
  <c r="E28" i="8" a="1"/>
  <c r="E28" i="8" s="1"/>
  <c r="G28" i="8" l="1"/>
  <c r="F28" i="8"/>
  <c r="H28" i="8" s="1"/>
  <c r="E29" i="8" a="1"/>
  <c r="E29" i="8" s="1"/>
  <c r="G29" i="8" l="1"/>
  <c r="F29" i="8"/>
  <c r="H29" i="8" s="1"/>
  <c r="E30" i="8" a="1"/>
  <c r="E30" i="8" s="1"/>
  <c r="G30" i="8" l="1"/>
  <c r="F30" i="8"/>
  <c r="H30" i="8" s="1"/>
  <c r="E31" i="8" a="1"/>
  <c r="E31" i="8" s="1"/>
  <c r="G31" i="8" l="1"/>
  <c r="F31" i="8"/>
  <c r="H31" i="8" s="1"/>
  <c r="E32" i="8" a="1"/>
  <c r="E32" i="8" s="1"/>
  <c r="G32" i="8" l="1"/>
  <c r="F32" i="8"/>
  <c r="H32" i="8" s="1"/>
  <c r="E33" i="8" a="1"/>
  <c r="E33" i="8" s="1"/>
  <c r="G33" i="8" l="1"/>
  <c r="F33" i="8"/>
  <c r="H33" i="8" s="1"/>
  <c r="E34" i="8" a="1"/>
  <c r="E34" i="8" s="1"/>
  <c r="G34" i="8" l="1"/>
  <c r="F34" i="8"/>
  <c r="H34" i="8" s="1"/>
  <c r="E35" i="8" a="1"/>
  <c r="E35" i="8" s="1"/>
  <c r="G35" i="8" l="1"/>
  <c r="F35" i="8"/>
  <c r="H35" i="8" s="1"/>
  <c r="E36" i="8" a="1"/>
  <c r="E36" i="8" s="1"/>
  <c r="G36" i="8" l="1"/>
  <c r="F36" i="8"/>
  <c r="H36" i="8" s="1"/>
  <c r="E37" i="8" a="1"/>
  <c r="E37" i="8" s="1"/>
  <c r="G37" i="8" l="1"/>
  <c r="F37" i="8"/>
  <c r="H37" i="8" s="1"/>
  <c r="E38" i="8" a="1"/>
  <c r="E38" i="8" s="1"/>
  <c r="G38" i="8" l="1"/>
  <c r="F38" i="8"/>
  <c r="H38" i="8" s="1"/>
  <c r="E39" i="8" a="1"/>
  <c r="E39" i="8" s="1"/>
  <c r="G39" i="8" l="1"/>
  <c r="F39" i="8"/>
  <c r="H39" i="8" s="1"/>
  <c r="E40" i="8" a="1"/>
  <c r="E40" i="8" s="1"/>
  <c r="G40" i="8" l="1"/>
  <c r="F40" i="8"/>
  <c r="H40" i="8" s="1"/>
  <c r="E41" i="8" a="1"/>
  <c r="E41" i="8" s="1"/>
  <c r="G41" i="8" l="1"/>
  <c r="F41" i="8"/>
  <c r="H41" i="8" s="1"/>
  <c r="E42" i="8" a="1"/>
  <c r="E42" i="8" s="1"/>
  <c r="G42" i="8" l="1"/>
  <c r="F42" i="8"/>
  <c r="H42" i="8" s="1"/>
  <c r="E43" i="8" a="1"/>
  <c r="E43" i="8" s="1"/>
  <c r="G43" i="8" l="1"/>
  <c r="F43" i="8"/>
  <c r="H43" i="8" s="1"/>
  <c r="E44" i="8" a="1"/>
  <c r="E44" i="8" s="1"/>
  <c r="G44" i="8" l="1"/>
  <c r="F44" i="8"/>
  <c r="H44" i="8" s="1"/>
  <c r="E45" i="8" a="1"/>
  <c r="E45" i="8" s="1"/>
  <c r="G45" i="8" l="1"/>
  <c r="F45" i="8"/>
  <c r="H45" i="8" s="1"/>
  <c r="E46" i="8" a="1"/>
  <c r="E46" i="8" s="1"/>
  <c r="G46" i="8" l="1"/>
  <c r="F46" i="8"/>
  <c r="H46" i="8" s="1"/>
  <c r="E47" i="8" a="1"/>
  <c r="E47" i="8" s="1"/>
  <c r="G47" i="8" l="1"/>
  <c r="F47" i="8"/>
  <c r="H47" i="8" s="1"/>
  <c r="E48" i="8" a="1"/>
  <c r="E48" i="8" s="1"/>
  <c r="G48" i="8" l="1"/>
  <c r="F48" i="8"/>
  <c r="H48" i="8" s="1"/>
  <c r="E49" i="8" a="1"/>
  <c r="E49" i="8" s="1"/>
  <c r="G49" i="8" l="1"/>
  <c r="F49" i="8"/>
  <c r="H49" i="8" s="1"/>
  <c r="E50" i="8" a="1"/>
  <c r="E50" i="8" s="1"/>
  <c r="G50" i="8" l="1"/>
  <c r="F50" i="8"/>
  <c r="H50" i="8" s="1"/>
  <c r="E51" i="8" a="1"/>
  <c r="E51" i="8" s="1"/>
  <c r="G51" i="8" l="1"/>
  <c r="F51" i="8"/>
  <c r="H51" i="8" s="1"/>
  <c r="E52" i="8" a="1"/>
  <c r="E52" i="8" s="1"/>
  <c r="G52" i="8" l="1"/>
  <c r="F52" i="8"/>
  <c r="H52" i="8" s="1"/>
  <c r="E53" i="8" a="1"/>
  <c r="E53" i="8" s="1"/>
  <c r="G53" i="8" l="1"/>
  <c r="F53" i="8"/>
  <c r="H53" i="8" s="1"/>
  <c r="E54" i="8" a="1"/>
  <c r="E54" i="8" s="1"/>
  <c r="G54" i="8" l="1"/>
  <c r="F54" i="8"/>
  <c r="H54" i="8" s="1"/>
  <c r="E55" i="8" a="1"/>
  <c r="E55" i="8" s="1"/>
  <c r="G55" i="8" l="1"/>
  <c r="F55" i="8"/>
  <c r="H55" i="8" s="1"/>
  <c r="E56" i="8" a="1"/>
  <c r="E56" i="8" s="1"/>
  <c r="G56" i="8" l="1"/>
  <c r="F56" i="8"/>
  <c r="H56" i="8" s="1"/>
  <c r="E57" i="8" a="1"/>
  <c r="E57" i="8" s="1"/>
  <c r="G57" i="8" l="1"/>
  <c r="F57" i="8"/>
  <c r="H57" i="8" s="1"/>
  <c r="E58" i="8" a="1"/>
  <c r="E58" i="8" s="1"/>
  <c r="G58" i="8" l="1"/>
  <c r="F58" i="8"/>
  <c r="H58" i="8" s="1"/>
  <c r="E59" i="8" a="1"/>
  <c r="E59" i="8" s="1"/>
  <c r="G59" i="8" l="1"/>
  <c r="F59" i="8"/>
  <c r="H59" i="8" s="1"/>
  <c r="E60" i="8" a="1"/>
  <c r="E60" i="8" s="1"/>
  <c r="G60" i="8" l="1"/>
  <c r="F60" i="8"/>
  <c r="H60" i="8" s="1"/>
  <c r="E61" i="8" a="1"/>
  <c r="E61" i="8" s="1"/>
  <c r="G61" i="8" l="1"/>
  <c r="F61" i="8"/>
  <c r="H61" i="8" s="1"/>
  <c r="E62" i="8" a="1"/>
  <c r="E62" i="8" s="1"/>
  <c r="G62" i="8" l="1"/>
  <c r="F62" i="8"/>
  <c r="H62" i="8" s="1"/>
  <c r="E63" i="8" a="1"/>
  <c r="E63" i="8" s="1"/>
  <c r="G63" i="8" l="1"/>
  <c r="F63" i="8"/>
  <c r="H63" i="8" s="1"/>
  <c r="E64" i="8" a="1"/>
  <c r="E64" i="8" s="1"/>
  <c r="G64" i="8" l="1"/>
  <c r="F64" i="8"/>
  <c r="H64" i="8" s="1"/>
  <c r="E65" i="8" a="1"/>
  <c r="E65" i="8" s="1"/>
  <c r="G65" i="8" l="1"/>
  <c r="F65" i="8"/>
  <c r="H65" i="8" s="1"/>
  <c r="E66" i="8" a="1"/>
  <c r="E66" i="8" s="1"/>
  <c r="G66" i="8" l="1"/>
  <c r="F66" i="8"/>
  <c r="H66" i="8" s="1"/>
  <c r="E67" i="8" a="1"/>
  <c r="E67" i="8" s="1"/>
  <c r="G67" i="8" l="1"/>
  <c r="F67" i="8"/>
  <c r="H67" i="8" s="1"/>
  <c r="E68" i="8" a="1"/>
  <c r="E68" i="8" s="1"/>
  <c r="G68" i="8" l="1"/>
  <c r="F68" i="8"/>
  <c r="H68" i="8" s="1"/>
  <c r="E69" i="8" a="1"/>
  <c r="E69" i="8" s="1"/>
  <c r="G69" i="8" l="1"/>
  <c r="F69" i="8"/>
  <c r="H69" i="8" s="1"/>
  <c r="E70" i="8" a="1"/>
  <c r="E70" i="8" s="1"/>
  <c r="G70" i="8" l="1"/>
  <c r="F70" i="8"/>
  <c r="H70" i="8" s="1"/>
  <c r="E71" i="8" a="1"/>
  <c r="E71" i="8" s="1"/>
  <c r="G71" i="8" l="1"/>
  <c r="F71" i="8"/>
  <c r="H71" i="8" s="1"/>
  <c r="E72" i="8" a="1"/>
  <c r="E72" i="8" s="1"/>
  <c r="G72" i="8" l="1"/>
  <c r="F72" i="8"/>
  <c r="H72" i="8" s="1"/>
  <c r="E73" i="8" a="1"/>
  <c r="E73" i="8" s="1"/>
  <c r="G73" i="8" l="1"/>
  <c r="F73" i="8"/>
  <c r="H73" i="8" s="1"/>
  <c r="E74" i="8" a="1"/>
  <c r="E74" i="8" s="1"/>
  <c r="G74" i="8" l="1"/>
  <c r="F74" i="8"/>
  <c r="H74" i="8" s="1"/>
  <c r="E75" i="8" a="1"/>
  <c r="E75" i="8" s="1"/>
  <c r="G75" i="8" l="1"/>
  <c r="F75" i="8"/>
  <c r="H75" i="8" s="1"/>
  <c r="E76" i="8" a="1"/>
  <c r="E76" i="8" s="1"/>
  <c r="E77" i="8" l="1" a="1"/>
  <c r="E77" i="8" s="1"/>
  <c r="E78" i="8" s="1" a="1"/>
  <c r="E78" i="8" s="1"/>
  <c r="G76" i="8"/>
  <c r="F76" i="8"/>
  <c r="G78" i="8" l="1"/>
  <c r="F78" i="8"/>
  <c r="H78" i="8" s="1"/>
  <c r="F77" i="8"/>
  <c r="H77" i="8" s="1"/>
  <c r="E79" i="8" a="1"/>
  <c r="E79" i="8" s="1"/>
  <c r="E80" i="8" s="1" a="1"/>
  <c r="E80" i="8" s="1"/>
  <c r="G77" i="8"/>
  <c r="H76" i="8"/>
  <c r="G80" i="8" l="1"/>
  <c r="F80" i="8"/>
  <c r="H80" i="8" s="1"/>
  <c r="F79" i="8"/>
  <c r="H79" i="8" s="1"/>
  <c r="G79" i="8"/>
  <c r="E81" i="8" a="1"/>
  <c r="E81" i="8" s="1"/>
  <c r="E82" i="8" s="1" a="1"/>
  <c r="E82" i="8" s="1"/>
  <c r="F81" i="8" l="1"/>
  <c r="H81" i="8" s="1"/>
  <c r="G81" i="8"/>
  <c r="G82" i="8"/>
  <c r="F82" i="8"/>
  <c r="H82" i="8" s="1"/>
  <c r="E83" i="8" a="1"/>
  <c r="E83" i="8" s="1"/>
  <c r="G83" i="8" l="1"/>
  <c r="F83" i="8"/>
  <c r="E84" i="8" a="1"/>
  <c r="E84" i="8" s="1"/>
  <c r="H83" i="8" l="1"/>
  <c r="G84" i="8"/>
  <c r="F84" i="8"/>
  <c r="H84" i="8" s="1"/>
  <c r="E85" i="8" a="1"/>
  <c r="E85" i="8" s="1"/>
  <c r="G85" i="8" l="1"/>
  <c r="F85" i="8"/>
  <c r="H85" i="8" s="1"/>
  <c r="E86" i="8" a="1"/>
  <c r="E86" i="8" s="1"/>
  <c r="G86" i="8" l="1"/>
  <c r="F86" i="8"/>
  <c r="E87" i="8" a="1"/>
  <c r="E87" i="8" s="1"/>
  <c r="G87" i="8" l="1"/>
  <c r="F87" i="8"/>
  <c r="E88" i="8" a="1"/>
  <c r="E88" i="8" s="1"/>
  <c r="H86" i="8"/>
  <c r="G88" i="8" l="1"/>
  <c r="F88" i="8"/>
  <c r="H88" i="8" s="1"/>
  <c r="E89" i="8" a="1"/>
  <c r="E89" i="8" s="1"/>
  <c r="H87" i="8"/>
  <c r="G89" i="8" l="1"/>
  <c r="F89" i="8"/>
  <c r="E90" i="8" a="1"/>
  <c r="E90" i="8" s="1"/>
  <c r="G90" i="8" l="1"/>
  <c r="F90" i="8"/>
  <c r="H90" i="8" s="1"/>
  <c r="E91" i="8" a="1"/>
  <c r="E91" i="8" s="1"/>
  <c r="H89" i="8"/>
  <c r="G91" i="8" l="1"/>
  <c r="F91" i="8"/>
  <c r="E92" i="8" a="1"/>
  <c r="E92" i="8" s="1"/>
  <c r="G92" i="8" l="1"/>
  <c r="F92" i="8"/>
  <c r="E93" i="8" a="1"/>
  <c r="E93" i="8" s="1"/>
  <c r="H91" i="8"/>
  <c r="G93" i="8" l="1"/>
  <c r="F93" i="8"/>
  <c r="E94" i="8" a="1"/>
  <c r="E94" i="8" s="1"/>
  <c r="H92" i="8"/>
  <c r="G94" i="8" l="1"/>
  <c r="F94" i="8"/>
  <c r="E95" i="8" a="1"/>
  <c r="E95" i="8" s="1"/>
  <c r="H93" i="8"/>
  <c r="H94" i="8" l="1"/>
  <c r="G95" i="8"/>
  <c r="F95" i="8"/>
  <c r="E96" i="8" a="1"/>
  <c r="E96" i="8" s="1"/>
  <c r="G96" i="8" l="1"/>
  <c r="F96" i="8"/>
  <c r="E97" i="8" a="1"/>
  <c r="E97" i="8" s="1"/>
  <c r="H95" i="8"/>
  <c r="G97" i="8" l="1"/>
  <c r="F97" i="8"/>
  <c r="E98" i="8" a="1"/>
  <c r="E98" i="8" s="1"/>
  <c r="H96" i="8"/>
  <c r="G98" i="8" l="1"/>
  <c r="F98" i="8"/>
  <c r="E99" i="8" a="1"/>
  <c r="E99" i="8" s="1"/>
  <c r="H97" i="8"/>
  <c r="H98" i="8" l="1"/>
  <c r="G99" i="8"/>
  <c r="F99" i="8"/>
  <c r="E100" i="8" a="1"/>
  <c r="E100" i="8" s="1"/>
  <c r="G100" i="8" l="1"/>
  <c r="F100" i="8"/>
  <c r="E101" i="8" a="1"/>
  <c r="E101" i="8" s="1"/>
  <c r="H99" i="8"/>
  <c r="G101" i="8" l="1"/>
  <c r="F101" i="8"/>
  <c r="H101" i="8" s="1"/>
  <c r="E102" i="8" a="1"/>
  <c r="E102" i="8" s="1"/>
  <c r="H100" i="8"/>
  <c r="G102" i="8" l="1"/>
  <c r="F102" i="8"/>
  <c r="H102" i="8" s="1"/>
  <c r="E103" i="8" a="1"/>
  <c r="E103" i="8" s="1"/>
  <c r="G103" i="8" l="1"/>
  <c r="F103" i="8"/>
  <c r="H103" i="8" s="1"/>
  <c r="E104" i="8" a="1"/>
  <c r="E104" i="8" s="1"/>
  <c r="G104" i="8" l="1"/>
  <c r="F104" i="8"/>
  <c r="E105" i="8" a="1"/>
  <c r="E105" i="8" s="1"/>
  <c r="G105" i="8" l="1"/>
  <c r="F105" i="8"/>
  <c r="E106" i="8" a="1"/>
  <c r="E106" i="8" s="1"/>
  <c r="H104" i="8"/>
  <c r="G106" i="8" l="1"/>
  <c r="F106" i="8"/>
  <c r="H106" i="8" s="1"/>
  <c r="E107" i="8" a="1"/>
  <c r="E107" i="8" s="1"/>
  <c r="H105" i="8"/>
  <c r="G107" i="8" l="1"/>
  <c r="E108" i="8" a="1"/>
  <c r="E108" i="8" s="1"/>
  <c r="F107" i="8"/>
  <c r="H107" i="8" s="1"/>
  <c r="G108" i="8" l="1"/>
  <c r="F108" i="8"/>
  <c r="H108" i="8" s="1"/>
  <c r="E109" i="8" a="1"/>
  <c r="E109" i="8" s="1"/>
  <c r="G109" i="8" l="1"/>
  <c r="F109" i="8"/>
  <c r="E110" i="8" a="1"/>
  <c r="E110" i="8" s="1"/>
  <c r="H109" i="8" l="1"/>
  <c r="G110" i="8"/>
  <c r="F110" i="8"/>
  <c r="E111" i="8" a="1"/>
  <c r="E111" i="8" s="1"/>
  <c r="H110" i="8" l="1"/>
  <c r="G111" i="8"/>
  <c r="F111" i="8"/>
  <c r="E112" i="8" a="1"/>
  <c r="E112" i="8" s="1"/>
  <c r="G112" i="8" l="1"/>
  <c r="F112" i="8"/>
  <c r="H112" i="8" s="1"/>
  <c r="E113" i="8" a="1"/>
  <c r="E113" i="8" s="1"/>
  <c r="H111" i="8"/>
  <c r="G113" i="8" l="1"/>
  <c r="F113" i="8"/>
  <c r="E114" i="8" a="1"/>
  <c r="E114" i="8" s="1"/>
  <c r="G114" i="8" l="1"/>
  <c r="F114" i="8"/>
  <c r="H114" i="8" s="1"/>
  <c r="E115" i="8" a="1"/>
  <c r="E115" i="8" s="1"/>
  <c r="H113" i="8"/>
  <c r="G115" i="8" l="1"/>
  <c r="F115" i="8"/>
  <c r="H115" i="8" s="1"/>
  <c r="E116" i="8" a="1"/>
  <c r="E116" i="8" s="1"/>
  <c r="G116" i="8" l="1"/>
  <c r="F116" i="8"/>
  <c r="H116" i="8" s="1"/>
  <c r="E117" i="8" a="1"/>
  <c r="E117" i="8" s="1"/>
  <c r="G117" i="8" l="1"/>
  <c r="F117" i="8"/>
  <c r="H117" i="8" s="1"/>
  <c r="E118" i="8" a="1"/>
  <c r="E118" i="8" s="1"/>
  <c r="G118" i="8" l="1"/>
  <c r="F118" i="8"/>
  <c r="E119" i="8" a="1"/>
  <c r="E119" i="8" s="1"/>
  <c r="G119" i="8" l="1"/>
  <c r="F119" i="8"/>
  <c r="E120" i="8" a="1"/>
  <c r="E120" i="8" s="1"/>
  <c r="H118" i="8"/>
  <c r="G120" i="8" l="1"/>
  <c r="F120" i="8"/>
  <c r="E121" i="8" a="1"/>
  <c r="E121" i="8" s="1"/>
  <c r="H119" i="8"/>
  <c r="H120" i="8" l="1"/>
  <c r="G121" i="8"/>
  <c r="F121" i="8"/>
  <c r="E122" i="8" a="1"/>
  <c r="E122" i="8" s="1"/>
  <c r="H121" i="8" l="1"/>
  <c r="G122" i="8"/>
  <c r="F122" i="8"/>
  <c r="E123" i="8" a="1"/>
  <c r="E123" i="8" s="1"/>
  <c r="G123" i="8" l="1"/>
  <c r="F123" i="8"/>
  <c r="E124" i="8" a="1"/>
  <c r="E124" i="8" s="1"/>
  <c r="H122" i="8"/>
  <c r="H123" i="8" l="1"/>
  <c r="G124" i="8"/>
  <c r="F124" i="8"/>
  <c r="E125" i="8" a="1"/>
  <c r="E125" i="8" s="1"/>
  <c r="H124" i="8" l="1"/>
  <c r="G125" i="8"/>
  <c r="F125" i="8"/>
  <c r="H125" i="8" s="1"/>
  <c r="E126" i="8" a="1"/>
  <c r="E126" i="8" s="1"/>
  <c r="G126" i="8" l="1"/>
  <c r="F126" i="8"/>
  <c r="E127" i="8" a="1"/>
  <c r="E127" i="8" s="1"/>
  <c r="H126" i="8" l="1"/>
  <c r="G127" i="8"/>
  <c r="F127" i="8"/>
  <c r="H127" i="8" s="1"/>
  <c r="E128" i="8" a="1"/>
  <c r="E128" i="8" s="1"/>
  <c r="G128" i="8" l="1"/>
  <c r="F128" i="8"/>
  <c r="E129" i="8" a="1"/>
  <c r="E129" i="8" s="1"/>
  <c r="G129" i="8" l="1"/>
  <c r="F129" i="8"/>
  <c r="E130" i="8" a="1"/>
  <c r="E130" i="8" s="1"/>
  <c r="H128" i="8"/>
  <c r="H129" i="8" l="1"/>
  <c r="G130" i="8"/>
  <c r="F130" i="8"/>
  <c r="E131" i="8" a="1"/>
  <c r="E131" i="8" s="1"/>
  <c r="H130" i="8" l="1"/>
  <c r="G131" i="8"/>
  <c r="F131" i="8"/>
  <c r="E132" i="8" a="1"/>
  <c r="E132" i="8" s="1"/>
  <c r="G132" i="8" l="1"/>
  <c r="F132" i="8"/>
  <c r="E133" i="8" a="1"/>
  <c r="E133" i="8" s="1"/>
  <c r="H131" i="8"/>
  <c r="G133" i="8" l="1"/>
  <c r="F133" i="8"/>
  <c r="E134" i="8" a="1"/>
  <c r="E134" i="8" s="1"/>
  <c r="H132" i="8"/>
  <c r="H133" i="8" l="1"/>
  <c r="G134" i="8"/>
  <c r="F134" i="8"/>
  <c r="E135" i="8" a="1"/>
  <c r="E135" i="8" s="1"/>
  <c r="G135" i="8" l="1"/>
  <c r="F135" i="8"/>
  <c r="E136" i="8" a="1"/>
  <c r="E136" i="8" s="1"/>
  <c r="H134" i="8"/>
  <c r="G136" i="8" l="1"/>
  <c r="F136" i="8"/>
  <c r="E137" i="8" a="1"/>
  <c r="E137" i="8" s="1"/>
  <c r="H135" i="8"/>
  <c r="G137" i="8" l="1"/>
  <c r="F137" i="8"/>
  <c r="H137" i="8" s="1"/>
  <c r="E138" i="8" a="1"/>
  <c r="E138" i="8" s="1"/>
  <c r="H136" i="8"/>
  <c r="G138" i="8" l="1"/>
  <c r="F138" i="8"/>
  <c r="H138" i="8" s="1"/>
  <c r="E139" i="8" a="1"/>
  <c r="E139" i="8" s="1"/>
  <c r="G139" i="8" l="1"/>
  <c r="E140" i="8" a="1"/>
  <c r="E140" i="8" s="1"/>
  <c r="F139" i="8"/>
  <c r="H139" i="8" s="1"/>
  <c r="G140" i="8" l="1"/>
  <c r="F140" i="8"/>
  <c r="E141" i="8" a="1"/>
  <c r="E141" i="8" s="1"/>
  <c r="G141" i="8" l="1"/>
  <c r="F141" i="8"/>
  <c r="E142" i="8" a="1"/>
  <c r="E142" i="8" s="1"/>
  <c r="H140" i="8"/>
  <c r="G142" i="8" l="1"/>
  <c r="F142" i="8"/>
  <c r="H142" i="8" s="1"/>
  <c r="E143" i="8" a="1"/>
  <c r="E143" i="8" s="1"/>
  <c r="H141" i="8"/>
  <c r="G143" i="8" l="1"/>
  <c r="F143" i="8"/>
  <c r="E144" i="8" a="1"/>
  <c r="E144" i="8" s="1"/>
  <c r="G144" i="8" l="1"/>
  <c r="F144" i="8"/>
  <c r="E145" i="8" a="1"/>
  <c r="E145" i="8" s="1"/>
  <c r="H143" i="8"/>
  <c r="G145" i="8" l="1"/>
  <c r="F145" i="8"/>
  <c r="H145" i="8" s="1"/>
  <c r="E146" i="8" a="1"/>
  <c r="E146" i="8" s="1"/>
  <c r="H144" i="8"/>
  <c r="G146" i="8" l="1"/>
  <c r="F146" i="8"/>
  <c r="E147" i="8" a="1"/>
  <c r="E147" i="8" s="1"/>
  <c r="G147" i="8" l="1"/>
  <c r="F147" i="8"/>
  <c r="E148" i="8" a="1"/>
  <c r="E148" i="8" s="1"/>
  <c r="H146" i="8"/>
  <c r="H147" i="8" l="1"/>
  <c r="G148" i="8"/>
  <c r="F148" i="8"/>
  <c r="E149" i="8" a="1"/>
  <c r="E149" i="8" s="1"/>
  <c r="G149" i="8" l="1"/>
  <c r="F149" i="8"/>
  <c r="E150" i="8" a="1"/>
  <c r="E150" i="8" s="1"/>
  <c r="H148" i="8"/>
  <c r="H149" i="8" l="1"/>
  <c r="G150" i="8"/>
  <c r="F150" i="8"/>
  <c r="E151" i="8" a="1"/>
  <c r="E151" i="8" s="1"/>
  <c r="G151" i="8" l="1"/>
  <c r="F151" i="8"/>
  <c r="E152" i="8" a="1"/>
  <c r="E152" i="8" s="1"/>
  <c r="H150" i="8"/>
  <c r="G152" i="8" l="1"/>
  <c r="F152" i="8"/>
  <c r="E153" i="8" a="1"/>
  <c r="E153" i="8" s="1"/>
  <c r="H151" i="8"/>
  <c r="G153" i="8" l="1"/>
  <c r="F153" i="8"/>
  <c r="E154" i="8" a="1"/>
  <c r="E154" i="8" s="1"/>
  <c r="H152" i="8"/>
  <c r="G154" i="8" l="1"/>
  <c r="F154" i="8"/>
  <c r="E155" i="8" a="1"/>
  <c r="E155" i="8" s="1"/>
  <c r="H153" i="8"/>
  <c r="G155" i="8" l="1"/>
  <c r="F155" i="8"/>
  <c r="E156" i="8" a="1"/>
  <c r="E156" i="8" s="1"/>
  <c r="H154" i="8"/>
  <c r="G156" i="8" l="1"/>
  <c r="F156" i="8"/>
  <c r="H156" i="8" s="1"/>
  <c r="E157" i="8" a="1"/>
  <c r="E157" i="8" s="1"/>
  <c r="H155" i="8"/>
  <c r="G157" i="8" l="1"/>
  <c r="F157" i="8"/>
  <c r="H157" i="8" s="1"/>
  <c r="E158" i="8" a="1"/>
  <c r="E158" i="8" s="1"/>
  <c r="G158" i="8" l="1"/>
  <c r="F158" i="8"/>
  <c r="H158" i="8" s="1"/>
  <c r="E159" i="8" a="1"/>
  <c r="E159" i="8" s="1"/>
  <c r="G159" i="8" l="1"/>
  <c r="F159" i="8"/>
  <c r="E160" i="8" a="1"/>
  <c r="E160" i="8" s="1"/>
  <c r="G160" i="8" l="1"/>
  <c r="F160" i="8"/>
  <c r="E161" i="8" a="1"/>
  <c r="E161" i="8" s="1"/>
  <c r="H159" i="8"/>
  <c r="H160" i="8" l="1"/>
  <c r="G161" i="8"/>
  <c r="F161" i="8"/>
  <c r="E162" i="8" a="1"/>
  <c r="E162" i="8" s="1"/>
  <c r="G162" i="8" l="1"/>
  <c r="F162" i="8"/>
  <c r="E163" i="8" a="1"/>
  <c r="E163" i="8" s="1"/>
  <c r="H161" i="8"/>
  <c r="H162" i="8" l="1"/>
  <c r="G163" i="8"/>
  <c r="F163" i="8"/>
  <c r="E164" i="8" a="1"/>
  <c r="E164" i="8" s="1"/>
  <c r="G164" i="8" l="1"/>
  <c r="F164" i="8"/>
  <c r="H164" i="8" s="1"/>
  <c r="E165" i="8" a="1"/>
  <c r="E165" i="8" s="1"/>
  <c r="H163" i="8"/>
  <c r="G165" i="8" l="1"/>
  <c r="F165" i="8"/>
  <c r="E166" i="8" a="1"/>
  <c r="E166" i="8" s="1"/>
  <c r="G166" i="8" l="1"/>
  <c r="F166" i="8"/>
  <c r="H166" i="8" s="1"/>
  <c r="E167" i="8" a="1"/>
  <c r="E167" i="8" s="1"/>
  <c r="H165" i="8"/>
  <c r="G167" i="8" l="1"/>
  <c r="F167" i="8"/>
  <c r="E168" i="8" a="1"/>
  <c r="E168" i="8" s="1"/>
  <c r="G168" i="8" l="1"/>
  <c r="F168" i="8"/>
  <c r="E169" i="8" a="1"/>
  <c r="E169" i="8" s="1"/>
  <c r="H167" i="8"/>
  <c r="G169" i="8" l="1"/>
  <c r="F169" i="8"/>
  <c r="H169" i="8" s="1"/>
  <c r="E170" i="8" a="1"/>
  <c r="E170" i="8" s="1"/>
  <c r="H168" i="8"/>
  <c r="G170" i="8" l="1"/>
  <c r="F170" i="8"/>
  <c r="E171" i="8" a="1"/>
  <c r="E171" i="8" s="1"/>
  <c r="G171" i="8" l="1"/>
  <c r="F171" i="8"/>
  <c r="E172" i="8" a="1"/>
  <c r="E172" i="8" s="1"/>
  <c r="H170" i="8"/>
  <c r="H171" i="8" l="1"/>
  <c r="G172" i="8"/>
  <c r="F172" i="8"/>
  <c r="E173" i="8" a="1"/>
  <c r="E173" i="8" s="1"/>
  <c r="G173" i="8" l="1"/>
  <c r="F173" i="8"/>
  <c r="E174" i="8" a="1"/>
  <c r="E174" i="8" s="1"/>
  <c r="H172" i="8"/>
  <c r="H173" i="8" l="1"/>
  <c r="G174" i="8"/>
  <c r="F174" i="8"/>
  <c r="E175" i="8" a="1"/>
  <c r="E175" i="8" s="1"/>
  <c r="G175" i="8" l="1"/>
  <c r="F175" i="8"/>
  <c r="E176" i="8" a="1"/>
  <c r="E176" i="8" s="1"/>
  <c r="H174" i="8"/>
  <c r="G176" i="8" l="1"/>
  <c r="F176" i="8"/>
  <c r="E177" i="8" a="1"/>
  <c r="E177" i="8" s="1"/>
  <c r="H175" i="8"/>
  <c r="H176" i="8" l="1"/>
  <c r="G177" i="8"/>
  <c r="F177" i="8"/>
  <c r="E178" i="8" a="1"/>
  <c r="E178" i="8" s="1"/>
  <c r="G178" i="8" l="1"/>
  <c r="F178" i="8"/>
  <c r="E179" i="8" a="1"/>
  <c r="E179" i="8" s="1"/>
  <c r="H177" i="8"/>
  <c r="H178" i="8" l="1"/>
  <c r="G179" i="8"/>
  <c r="F179" i="8"/>
  <c r="E180" i="8" a="1"/>
  <c r="E180" i="8" s="1"/>
  <c r="G180" i="8" l="1"/>
  <c r="E181" i="8" a="1"/>
  <c r="E181" i="8" s="1"/>
  <c r="F180" i="8"/>
  <c r="H179" i="8"/>
  <c r="G181" i="8" l="1"/>
  <c r="F181" i="8"/>
  <c r="H181" i="8" s="1"/>
  <c r="E182" i="8" a="1"/>
  <c r="E182" i="8" s="1"/>
  <c r="H180" i="8"/>
  <c r="G182" i="8" l="1"/>
  <c r="F182" i="8"/>
  <c r="H182" i="8" s="1"/>
  <c r="E183" i="8" a="1"/>
  <c r="E183" i="8" s="1"/>
  <c r="G183" i="8" l="1"/>
  <c r="F183" i="8"/>
  <c r="E184" i="8" a="1"/>
  <c r="E184" i="8" s="1"/>
  <c r="G184" i="8" l="1"/>
  <c r="F184" i="8"/>
  <c r="H184" i="8" s="1"/>
  <c r="E185" i="8" a="1"/>
  <c r="E185" i="8" s="1"/>
  <c r="H183" i="8"/>
  <c r="G185" i="8" l="1"/>
  <c r="F185" i="8"/>
  <c r="E186" i="8" a="1"/>
  <c r="E186" i="8" s="1"/>
  <c r="G186" i="8" l="1"/>
  <c r="F186" i="8"/>
  <c r="E187" i="8" a="1"/>
  <c r="E187" i="8" s="1"/>
  <c r="H185" i="8"/>
  <c r="G187" i="8" l="1"/>
  <c r="F187" i="8"/>
  <c r="E188" i="8" a="1"/>
  <c r="E188" i="8" s="1"/>
  <c r="H186" i="8"/>
  <c r="G188" i="8" l="1"/>
  <c r="F188" i="8"/>
  <c r="E189" i="8" a="1"/>
  <c r="E189" i="8" s="1"/>
  <c r="H187" i="8"/>
  <c r="G189" i="8" l="1"/>
  <c r="F189" i="8"/>
  <c r="E190" i="8" a="1"/>
  <c r="E190" i="8" s="1"/>
  <c r="H188" i="8"/>
  <c r="G190" i="8" l="1"/>
  <c r="F190" i="8"/>
  <c r="E191" i="8" a="1"/>
  <c r="E191" i="8" s="1"/>
  <c r="H189" i="8"/>
  <c r="G191" i="8" l="1"/>
  <c r="F191" i="8"/>
  <c r="E192" i="8" a="1"/>
  <c r="E192" i="8" s="1"/>
  <c r="H190" i="8"/>
  <c r="G192" i="8" l="1"/>
  <c r="F192" i="8"/>
  <c r="H192" i="8" s="1"/>
  <c r="E193" i="8" a="1"/>
  <c r="E193" i="8" s="1"/>
  <c r="H191" i="8"/>
  <c r="G193" i="8" l="1"/>
  <c r="F193" i="8"/>
  <c r="E194" i="8" a="1"/>
  <c r="E194" i="8" s="1"/>
  <c r="G194" i="8" l="1"/>
  <c r="F194" i="8"/>
  <c r="E195" i="8" a="1"/>
  <c r="E195" i="8" s="1"/>
  <c r="H193" i="8"/>
  <c r="G195" i="8" l="1"/>
  <c r="F195" i="8"/>
  <c r="E196" i="8" a="1"/>
  <c r="E196" i="8" s="1"/>
  <c r="H194" i="8"/>
  <c r="G196" i="8" l="1"/>
  <c r="F196" i="8"/>
  <c r="E197" i="8" a="1"/>
  <c r="E197" i="8" s="1"/>
  <c r="H195" i="8"/>
  <c r="H196" i="8" l="1"/>
  <c r="G197" i="8"/>
  <c r="F197" i="8"/>
  <c r="E198" i="8" a="1"/>
  <c r="E198" i="8" s="1"/>
  <c r="G198" i="8" l="1"/>
  <c r="F198" i="8"/>
  <c r="E199" i="8" a="1"/>
  <c r="E199" i="8" s="1"/>
  <c r="H197" i="8"/>
  <c r="G199" i="8" l="1"/>
  <c r="E200" i="8" a="1"/>
  <c r="E200" i="8" s="1"/>
  <c r="F199" i="8"/>
  <c r="J7" i="8" s="1" a="1"/>
  <c r="J7" i="8" s="1"/>
  <c r="H198" i="8"/>
  <c r="J27" i="8" l="1" a="1"/>
  <c r="J27" i="8" s="1"/>
  <c r="L7" i="8"/>
  <c r="K7" i="8"/>
  <c r="J8" i="8" a="1"/>
  <c r="J8" i="8" s="1"/>
  <c r="J19" i="8" a="1"/>
  <c r="J19" i="8" s="1"/>
  <c r="J20" i="8" a="1"/>
  <c r="J20" i="8" s="1"/>
  <c r="J25" i="8" a="1"/>
  <c r="J25" i="8" s="1"/>
  <c r="J10" i="8" a="1"/>
  <c r="J10" i="8" s="1"/>
  <c r="J22" i="8" a="1"/>
  <c r="J22" i="8" s="1"/>
  <c r="J21" i="8" a="1"/>
  <c r="J21" i="8" s="1"/>
  <c r="J13" i="8" a="1"/>
  <c r="J13" i="8" s="1"/>
  <c r="J16" i="8" a="1"/>
  <c r="J16" i="8" s="1"/>
  <c r="H199" i="8"/>
  <c r="J11" i="8" a="1"/>
  <c r="J11" i="8" s="1"/>
  <c r="J26" i="8" a="1"/>
  <c r="J26" i="8" s="1"/>
  <c r="J9" i="8" a="1"/>
  <c r="J9" i="8" s="1"/>
  <c r="J14" i="8" a="1"/>
  <c r="J14" i="8" s="1"/>
  <c r="J6" i="8" a="1"/>
  <c r="J6" i="8" s="1"/>
  <c r="J18" i="8" a="1"/>
  <c r="J18" i="8" s="1"/>
  <c r="J23" i="8" a="1"/>
  <c r="J23" i="8" s="1"/>
  <c r="J5" i="8" a="1"/>
  <c r="J5" i="8" s="1"/>
  <c r="J24" i="8" a="1"/>
  <c r="J24" i="8" s="1"/>
  <c r="J15" i="8" a="1"/>
  <c r="J15" i="8" s="1"/>
  <c r="J28" i="8" a="1"/>
  <c r="J28" i="8" s="1"/>
  <c r="G200" i="8"/>
  <c r="F200" i="8"/>
  <c r="H200" i="8" s="1"/>
  <c r="E201" i="8" a="1"/>
  <c r="E201" i="8" s="1"/>
  <c r="J12" i="8" a="1"/>
  <c r="J12" i="8" s="1"/>
  <c r="L12" i="8" l="1"/>
  <c r="K12" i="8"/>
  <c r="L5" i="8"/>
  <c r="K5" i="8"/>
  <c r="L14" i="8"/>
  <c r="K14" i="8"/>
  <c r="K9" i="8"/>
  <c r="L9" i="8"/>
  <c r="K10" i="8"/>
  <c r="L10" i="8"/>
  <c r="K8" i="8"/>
  <c r="L8" i="8"/>
  <c r="L15" i="8"/>
  <c r="K15" i="8"/>
  <c r="L13" i="8"/>
  <c r="K13" i="8"/>
  <c r="F201" i="8"/>
  <c r="H201" i="8" s="1"/>
  <c r="G201" i="8"/>
  <c r="E202" i="8" a="1"/>
  <c r="E202" i="8" s="1"/>
  <c r="L6" i="8"/>
  <c r="K6" i="8"/>
  <c r="L11" i="8"/>
  <c r="K11" i="8"/>
  <c r="E203" i="8" l="1" a="1"/>
  <c r="E203" i="8" s="1"/>
  <c r="F202" i="8"/>
  <c r="H202" i="8" s="1"/>
  <c r="G202" i="8"/>
  <c r="G203" i="8" l="1"/>
  <c r="F203" i="8"/>
  <c r="H203" i="8" s="1"/>
  <c r="E204" i="8" a="1"/>
  <c r="E204" i="8" s="1"/>
  <c r="G204" i="8" l="1"/>
  <c r="F204" i="8"/>
  <c r="H204" i="8" s="1"/>
  <c r="E205" i="8" a="1"/>
  <c r="E205" i="8" s="1"/>
  <c r="F205" i="8" l="1"/>
  <c r="H205" i="8" s="1"/>
  <c r="G205" i="8"/>
  <c r="E206" i="8" a="1"/>
  <c r="E206" i="8" s="1"/>
  <c r="F206" i="8" l="1"/>
  <c r="H206" i="8" s="1"/>
  <c r="G206" i="8"/>
  <c r="E207" i="8" a="1"/>
  <c r="E207" i="8" s="1"/>
  <c r="G207" i="8" l="1"/>
  <c r="F207" i="8"/>
  <c r="H207" i="8" s="1"/>
  <c r="E209" i="8" a="1"/>
  <c r="E209" i="8" s="1"/>
  <c r="E210" i="8" s="1" a="1"/>
  <c r="E210" i="8" s="1"/>
  <c r="E211" i="8" s="1" a="1"/>
  <c r="E211" i="8" s="1"/>
  <c r="E212" i="8" s="1" a="1"/>
  <c r="E212" i="8" s="1"/>
  <c r="E213" i="8" s="1" a="1"/>
  <c r="E213" i="8" s="1"/>
  <c r="E214" i="8" s="1" a="1"/>
  <c r="E214" i="8" s="1"/>
  <c r="E215" i="8" s="1" a="1"/>
  <c r="E215" i="8" s="1"/>
  <c r="E216" i="8" s="1" a="1"/>
  <c r="E216" i="8" s="1"/>
  <c r="E217" i="8" s="1" a="1"/>
  <c r="E217" i="8" s="1"/>
  <c r="E218" i="8" s="1" a="1"/>
  <c r="E218" i="8" s="1"/>
  <c r="E219" i="8" s="1" a="1"/>
  <c r="E219" i="8" s="1"/>
  <c r="E220" i="8" s="1" a="1"/>
  <c r="E220" i="8" s="1"/>
  <c r="E221" i="8" s="1" a="1"/>
  <c r="E221" i="8" s="1"/>
  <c r="E222" i="8" s="1" a="1"/>
  <c r="E222" i="8" s="1"/>
  <c r="E223" i="8" s="1" a="1"/>
  <c r="E223" i="8" s="1"/>
  <c r="E224" i="8" s="1" a="1"/>
  <c r="E224" i="8" s="1"/>
  <c r="E225" i="8" s="1" a="1"/>
  <c r="E225" i="8" s="1"/>
  <c r="E226" i="8" s="1" a="1"/>
  <c r="E226" i="8" s="1"/>
  <c r="E227" i="8" s="1" a="1"/>
  <c r="E227" i="8" s="1"/>
  <c r="E228" i="8" s="1" a="1"/>
  <c r="E228" i="8" s="1"/>
  <c r="E229" i="8" s="1" a="1"/>
  <c r="E229" i="8" s="1"/>
  <c r="E230" i="8" s="1" a="1"/>
  <c r="E230" i="8" s="1"/>
  <c r="E231" i="8" s="1" a="1"/>
  <c r="E231" i="8" s="1"/>
  <c r="E232" i="8" s="1" a="1"/>
  <c r="E232" i="8" s="1"/>
  <c r="E233" i="8" s="1" a="1"/>
  <c r="E233" i="8" s="1"/>
  <c r="E234" i="8" s="1" a="1"/>
  <c r="E234" i="8" s="1"/>
  <c r="E235" i="8" s="1" a="1"/>
  <c r="E235" i="8" s="1"/>
  <c r="E236" i="8" s="1" a="1"/>
  <c r="E236" i="8" s="1"/>
  <c r="E237" i="8" s="1" a="1"/>
  <c r="E237" i="8" s="1"/>
  <c r="E238" i="8" s="1" a="1"/>
  <c r="E238" i="8" s="1"/>
  <c r="E239" i="8" s="1" a="1"/>
  <c r="E239" i="8" s="1"/>
  <c r="E240" i="8" s="1" a="1"/>
  <c r="E240" i="8" s="1"/>
  <c r="E241" i="8" s="1" a="1"/>
  <c r="E241" i="8" s="1"/>
  <c r="E242" i="8" s="1" a="1"/>
  <c r="E242" i="8" s="1"/>
  <c r="E243" i="8" s="1" a="1"/>
  <c r="E243" i="8" s="1"/>
  <c r="E244" i="8" s="1" a="1"/>
  <c r="E244" i="8" s="1"/>
  <c r="E245" i="8" s="1" a="1"/>
  <c r="E245" i="8" s="1"/>
  <c r="E246" i="8" s="1" a="1"/>
  <c r="E246" i="8" s="1"/>
  <c r="E247" i="8" s="1" a="1"/>
  <c r="E247" i="8" s="1"/>
  <c r="E248" i="8" s="1" a="1"/>
  <c r="E248" i="8" s="1"/>
  <c r="E249" i="8" s="1" a="1"/>
  <c r="E249" i="8" s="1"/>
  <c r="E250" i="8" s="1" a="1"/>
  <c r="E250" i="8" s="1"/>
  <c r="E251" i="8" s="1" a="1"/>
  <c r="E251" i="8" s="1"/>
  <c r="E252" i="8" s="1" a="1"/>
  <c r="E252" i="8" s="1"/>
  <c r="E253" i="8" s="1" a="1"/>
  <c r="E253" i="8" s="1"/>
  <c r="E254" i="8" s="1" a="1"/>
  <c r="E254" i="8" s="1"/>
  <c r="E255" i="8" s="1" a="1"/>
  <c r="E255" i="8" s="1"/>
  <c r="E256" i="8" s="1" a="1"/>
  <c r="E256" i="8" s="1"/>
  <c r="E257" i="8" s="1" a="1"/>
  <c r="E257" i="8" s="1"/>
  <c r="E258" i="8" s="1" a="1"/>
  <c r="E258" i="8" s="1"/>
  <c r="E259" i="8" s="1" a="1"/>
  <c r="E259" i="8" s="1"/>
  <c r="E260" i="8" s="1" a="1"/>
  <c r="E260" i="8" s="1"/>
  <c r="E261" i="8" s="1" a="1"/>
  <c r="E261" i="8" s="1"/>
  <c r="E262" i="8" s="1" a="1"/>
  <c r="E262" i="8" s="1"/>
  <c r="E263" i="8" s="1" a="1"/>
  <c r="E263" i="8" s="1"/>
  <c r="E264" i="8" s="1" a="1"/>
  <c r="E264" i="8" s="1"/>
  <c r="E265" i="8" s="1" a="1"/>
  <c r="E265" i="8" s="1"/>
  <c r="E266" i="8" s="1" a="1"/>
  <c r="E266" i="8" s="1"/>
  <c r="E267" i="8" s="1" a="1"/>
  <c r="E267" i="8" s="1"/>
  <c r="E268" i="8" s="1" a="1"/>
  <c r="E268" i="8" s="1"/>
  <c r="E269" i="8" s="1" a="1"/>
  <c r="E269" i="8" s="1"/>
  <c r="E270" i="8" s="1" a="1"/>
  <c r="E270" i="8" s="1"/>
  <c r="E271" i="8" s="1" a="1"/>
  <c r="E271" i="8" s="1"/>
  <c r="E272" i="8" s="1" a="1"/>
  <c r="E272" i="8" s="1"/>
  <c r="E273" i="8" s="1" a="1"/>
  <c r="E273" i="8" s="1"/>
  <c r="E274" i="8" s="1" a="1"/>
  <c r="E274" i="8" s="1"/>
  <c r="E275" i="8" s="1" a="1"/>
  <c r="E275" i="8" s="1"/>
  <c r="E276" i="8" s="1" a="1"/>
  <c r="E276" i="8" s="1"/>
  <c r="E277" i="8" s="1" a="1"/>
  <c r="E277" i="8" s="1"/>
  <c r="E278" i="8" s="1" a="1"/>
  <c r="E278" i="8" s="1"/>
  <c r="E279" i="8" s="1" a="1"/>
  <c r="E279" i="8" s="1"/>
  <c r="E280" i="8" s="1" a="1"/>
  <c r="E280" i="8" s="1"/>
  <c r="E281" i="8" s="1" a="1"/>
  <c r="E281" i="8" s="1"/>
  <c r="E282" i="8" s="1" a="1"/>
  <c r="E282" i="8" s="1"/>
  <c r="E283" i="8" s="1" a="1"/>
  <c r="E283" i="8" s="1"/>
  <c r="E284" i="8" s="1" a="1"/>
  <c r="E284" i="8" s="1"/>
  <c r="E285" i="8" s="1" a="1"/>
  <c r="E285" i="8" s="1"/>
  <c r="E286" i="8" s="1" a="1"/>
  <c r="E286" i="8" s="1"/>
  <c r="E287" i="8" s="1" a="1"/>
  <c r="E287" i="8" s="1"/>
  <c r="E288" i="8" s="1" a="1"/>
  <c r="E288" i="8" s="1"/>
  <c r="E289" i="8" s="1" a="1"/>
  <c r="E289" i="8" s="1"/>
  <c r="E290" i="8" s="1" a="1"/>
  <c r="E290" i="8" s="1"/>
  <c r="E291" i="8" s="1" a="1"/>
  <c r="E291" i="8" s="1"/>
  <c r="E292" i="8" s="1" a="1"/>
  <c r="E292" i="8" s="1"/>
  <c r="E293" i="8" s="1" a="1"/>
  <c r="E293" i="8" s="1"/>
  <c r="E294" i="8" s="1" a="1"/>
  <c r="E294" i="8" s="1"/>
  <c r="E295" i="8" s="1" a="1"/>
  <c r="E295" i="8" s="1"/>
  <c r="E296" i="8" s="1" a="1"/>
  <c r="E296" i="8" s="1"/>
  <c r="E297" i="8" s="1" a="1"/>
  <c r="E297" i="8" s="1"/>
  <c r="E298" i="8" s="1" a="1"/>
  <c r="E298" i="8" s="1"/>
  <c r="E299" i="8" s="1" a="1"/>
  <c r="E299" i="8" s="1"/>
  <c r="E300" i="8" s="1" a="1"/>
  <c r="E300"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<sst xmlns="http://schemas.openxmlformats.org/spreadsheetml/2006/main" count="14052" uniqueCount="3735">
  <si>
    <t>Drink Style</t>
  </si>
  <si>
    <t>Name</t>
  </si>
  <si>
    <t>Number of Drinks</t>
  </si>
  <si>
    <t>Date</t>
  </si>
  <si>
    <t>Average Score</t>
  </si>
  <si>
    <t>Drink Type</t>
  </si>
  <si>
    <t>Beer</t>
  </si>
  <si>
    <t>Mixer 1</t>
  </si>
  <si>
    <t>Mixer 2</t>
  </si>
  <si>
    <t>Stephanie Hewlett</t>
  </si>
  <si>
    <t>score</t>
  </si>
  <si>
    <t>Sipsmiths</t>
  </si>
  <si>
    <t>Gin</t>
  </si>
  <si>
    <t>Lime</t>
  </si>
  <si>
    <t>Fresh</t>
  </si>
  <si>
    <t>Fruity</t>
  </si>
  <si>
    <t>Sweet</t>
  </si>
  <si>
    <t>Scenty</t>
  </si>
  <si>
    <t>Daniel Hewlett</t>
  </si>
  <si>
    <t>Leffe Blond</t>
  </si>
  <si>
    <t>Honey</t>
  </si>
  <si>
    <t>Chewy</t>
  </si>
  <si>
    <t>Topaz Blue Gin</t>
  </si>
  <si>
    <t>Tonic</t>
  </si>
  <si>
    <t>Punchy</t>
  </si>
  <si>
    <t>Bitter</t>
  </si>
  <si>
    <t>Ross Savill</t>
  </si>
  <si>
    <t>Liqueur</t>
  </si>
  <si>
    <t>Diet Coke</t>
  </si>
  <si>
    <t>Cookies</t>
  </si>
  <si>
    <t>Vanilla</t>
  </si>
  <si>
    <t>Tipsy Wight Pear Spiced Vodka</t>
  </si>
  <si>
    <t>Vodka</t>
  </si>
  <si>
    <t>Fucking</t>
  </si>
  <si>
    <t>Cider</t>
  </si>
  <si>
    <t>Anthony Draper</t>
  </si>
  <si>
    <t>Whiskey</t>
  </si>
  <si>
    <t>Sibling Gin</t>
  </si>
  <si>
    <t>Shaun Munro</t>
  </si>
  <si>
    <t>Schweppes Streamline Tonic</t>
  </si>
  <si>
    <t>Hendricks Gin</t>
  </si>
  <si>
    <t>Jason Bowen</t>
  </si>
  <si>
    <t>Wine</t>
  </si>
  <si>
    <t>Koppaberg Mixed Fruit Gin</t>
  </si>
  <si>
    <t>Kalkar Coffee Liquer</t>
  </si>
  <si>
    <t>Ben Millier</t>
  </si>
  <si>
    <t>Aggressive</t>
  </si>
  <si>
    <t>Lively</t>
  </si>
  <si>
    <t>Brandy</t>
  </si>
  <si>
    <t>Exciting</t>
  </si>
  <si>
    <t>Libby Millier</t>
  </si>
  <si>
    <t>Curio Gin</t>
  </si>
  <si>
    <t>Tesco lo-cal tonic</t>
  </si>
  <si>
    <t>Powerful</t>
  </si>
  <si>
    <t>Fortified Wine</t>
  </si>
  <si>
    <t>Tiny Rebel Clwb Tropicana Passion Fruit IPA</t>
  </si>
  <si>
    <t>Bitterlyful</t>
  </si>
  <si>
    <t>Tamova Premium Vodka</t>
  </si>
  <si>
    <t>Apple Sourz</t>
  </si>
  <si>
    <t>other</t>
  </si>
  <si>
    <t>Lemon &amp; Lime Soda</t>
  </si>
  <si>
    <t>Caroline Draper</t>
  </si>
  <si>
    <t>Feisty</t>
  </si>
  <si>
    <t>Sweetier</t>
  </si>
  <si>
    <t>Bacardi White Rum</t>
  </si>
  <si>
    <t>Rum</t>
  </si>
  <si>
    <t>Disaronno Amaretto</t>
  </si>
  <si>
    <t>Alex Arbuckle</t>
  </si>
  <si>
    <t>Smirnoff Vodka</t>
  </si>
  <si>
    <t>Orange Juice</t>
  </si>
  <si>
    <t>Sharp</t>
  </si>
  <si>
    <t>Moreish</t>
  </si>
  <si>
    <t>McGuigan Estate Chiraz</t>
  </si>
  <si>
    <t>Joe Cuthbert</t>
  </si>
  <si>
    <t>Sparkly</t>
  </si>
  <si>
    <t>Lucy Englefield</t>
  </si>
  <si>
    <t>Aero Hot Chocolate</t>
  </si>
  <si>
    <t>Velvetty</t>
  </si>
  <si>
    <t>Arcadian</t>
  </si>
  <si>
    <t>Michael Smidman</t>
  </si>
  <si>
    <t>Boarish</t>
  </si>
  <si>
    <t>Sclerotic</t>
  </si>
  <si>
    <t>Bold</t>
  </si>
  <si>
    <t>OVERALL</t>
  </si>
  <si>
    <t>Heavenly</t>
  </si>
  <si>
    <t>Grand Marnier</t>
  </si>
  <si>
    <t>Spicy</t>
  </si>
  <si>
    <t>Caramel</t>
  </si>
  <si>
    <t>Sierra Tequila</t>
  </si>
  <si>
    <t>Shit</t>
  </si>
  <si>
    <t>Soft Drink</t>
  </si>
  <si>
    <t>Sxollie Granny Smith Cider</t>
  </si>
  <si>
    <t>Koppaberg Pear Cider</t>
  </si>
  <si>
    <t>Juicy</t>
  </si>
  <si>
    <t>Rattler Cider</t>
  </si>
  <si>
    <t>Swashbuckling</t>
  </si>
  <si>
    <t>Plod</t>
  </si>
  <si>
    <t>Sainsbury's Tonic</t>
  </si>
  <si>
    <t>Monkey Shoulder Whiskey</t>
  </si>
  <si>
    <t>Hills Absinth</t>
  </si>
  <si>
    <t>Queen Margot Scotch Whiskey</t>
  </si>
  <si>
    <t>TOTALS</t>
  </si>
  <si>
    <t>Melini Chianti</t>
  </si>
  <si>
    <t>Soplica Jagodowa Blueberry Vodka</t>
  </si>
  <si>
    <t>Zubrowka Bison Grass Vodka</t>
  </si>
  <si>
    <t>Bombay Sapphire Gin</t>
  </si>
  <si>
    <t>Yeastie Boys Digital IPA</t>
  </si>
  <si>
    <t>North Brewing Sputnik Pale Ale</t>
  </si>
  <si>
    <t>Smirnoff Ice</t>
  </si>
  <si>
    <t>Most Common Descriptive Word</t>
  </si>
  <si>
    <t>Beavertown Lupuloid IPA</t>
  </si>
  <si>
    <t>Gentle</t>
  </si>
  <si>
    <t>Nice</t>
  </si>
  <si>
    <t>Gabriel Boudier Dijon Crème de Casis</t>
  </si>
  <si>
    <t>Descriptive words used for lowest rated 5 drinks</t>
  </si>
  <si>
    <t>Aigaion Oyzo</t>
  </si>
  <si>
    <t>Nick's Cider</t>
  </si>
  <si>
    <t>Sainsbury's Vodka</t>
  </si>
  <si>
    <t>Subpar</t>
  </si>
  <si>
    <t>Descriptive words used for highest rated 5 drinks</t>
  </si>
  <si>
    <t>Vecchia Romagna Brandy</t>
  </si>
  <si>
    <t>Cherry Coke</t>
  </si>
  <si>
    <t>Sunset Reef Coconut Rum</t>
  </si>
  <si>
    <t>Jagermeister</t>
  </si>
  <si>
    <t>Heinekken</t>
  </si>
  <si>
    <t>Loch Lomond Brewery Different Class Pale Ale</t>
  </si>
  <si>
    <t>Mangoey</t>
  </si>
  <si>
    <t>First Chop West Coast Session IPA</t>
  </si>
  <si>
    <t>Pepsi Max</t>
  </si>
  <si>
    <t>Waitrose Cream Sherry</t>
  </si>
  <si>
    <t>Sainsbury's Apple Squash</t>
  </si>
  <si>
    <t>Appley</t>
  </si>
  <si>
    <t>Dry</t>
  </si>
  <si>
    <t>Sortilege's Maple Syrup Liqueur</t>
  </si>
  <si>
    <t>Sainsbury's Cherries and Berries Squash</t>
  </si>
  <si>
    <t>Berryie</t>
  </si>
  <si>
    <t>Tiny Rebel Shakedown Mango IPA</t>
  </si>
  <si>
    <t>Big Boi Bowen's 2017 Vintage Sloe Gin</t>
  </si>
  <si>
    <t>Brewdog Punk IPA</t>
  </si>
  <si>
    <t>Mmmmm</t>
  </si>
  <si>
    <t>Total Drinks</t>
  </si>
  <si>
    <t>Wax Sealed O'Reizinho Medeira Rum</t>
  </si>
  <si>
    <t>Absolut Vanilla Vodka</t>
  </si>
  <si>
    <t>Most common type</t>
  </si>
  <si>
    <t>Gordon's Gin</t>
  </si>
  <si>
    <t>Who drank most</t>
  </si>
  <si>
    <t>Sour</t>
  </si>
  <si>
    <t>Nightmare</t>
  </si>
  <si>
    <t>Barefoot Malbec</t>
  </si>
  <si>
    <t>Liquorice</t>
  </si>
  <si>
    <t>Metallic</t>
  </si>
  <si>
    <t>Bready</t>
  </si>
  <si>
    <t>Estrella</t>
  </si>
  <si>
    <t>Aromatic</t>
  </si>
  <si>
    <t>Poncey</t>
  </si>
  <si>
    <t>Metaxa</t>
  </si>
  <si>
    <t>Four Roses Bourbon</t>
  </si>
  <si>
    <t>Avalanche Amber Ale</t>
  </si>
  <si>
    <t>Budweiser</t>
  </si>
  <si>
    <t>Hoptastic</t>
  </si>
  <si>
    <t>Koppaberg Rhubarb</t>
  </si>
  <si>
    <t>Coke</t>
  </si>
  <si>
    <t>Tiny Rebel Stay Puft Coconut</t>
  </si>
  <si>
    <t>Too</t>
  </si>
  <si>
    <t>Corona Extra</t>
  </si>
  <si>
    <t>Epidemic</t>
  </si>
  <si>
    <t>Scalini Prosecco</t>
  </si>
  <si>
    <t>Charcoaly</t>
  </si>
  <si>
    <t>Heavy</t>
  </si>
  <si>
    <t>Traumatic</t>
  </si>
  <si>
    <t>Desperados</t>
  </si>
  <si>
    <t>Camden Off Menu IPA</t>
  </si>
  <si>
    <t>Blue Moon</t>
  </si>
  <si>
    <t>Water</t>
  </si>
  <si>
    <t>Brewdog Paradox Grain</t>
  </si>
  <si>
    <t>Sxollie Golden Delicious Cider</t>
  </si>
  <si>
    <t>Strangely</t>
  </si>
  <si>
    <t>Bay Berry Wine</t>
  </si>
  <si>
    <t>Two Tribes Metroland Session IPA</t>
  </si>
  <si>
    <t>Steven Ireland</t>
  </si>
  <si>
    <t>Chivas Regal 12 Year</t>
  </si>
  <si>
    <t>Prost Pilsner</t>
  </si>
  <si>
    <t>Whole Foods Sparkling Mineral Water</t>
  </si>
  <si>
    <t>White Hag Farmhouse Saisson</t>
  </si>
  <si>
    <t>Cointreau Blood Orange</t>
  </si>
  <si>
    <t>Delectable</t>
  </si>
  <si>
    <t>Westerns Pear Cider</t>
  </si>
  <si>
    <t>Rubicon Pineapple</t>
  </si>
  <si>
    <t>Tasty</t>
  </si>
  <si>
    <t>Dawn Jones</t>
  </si>
  <si>
    <t>Other</t>
  </si>
  <si>
    <t>Awful</t>
  </si>
  <si>
    <t>Smooth</t>
  </si>
  <si>
    <t>Clean</t>
  </si>
  <si>
    <t>Crisp</t>
  </si>
  <si>
    <t>Boring</t>
  </si>
  <si>
    <t>Passive</t>
  </si>
  <si>
    <t>Playful</t>
  </si>
  <si>
    <t>Bland</t>
  </si>
  <si>
    <t>Cool</t>
  </si>
  <si>
    <t>Unnerving</t>
  </si>
  <si>
    <t>Sickly</t>
  </si>
  <si>
    <t>Artificial</t>
  </si>
  <si>
    <t>Almondy</t>
  </si>
  <si>
    <t>Deep</t>
  </si>
  <si>
    <t>Provocative</t>
  </si>
  <si>
    <t>Violent</t>
  </si>
  <si>
    <t>Upsetting</t>
  </si>
  <si>
    <t>Fragrant</t>
  </si>
  <si>
    <t>Rish</t>
  </si>
  <si>
    <t>Champagney</t>
  </si>
  <si>
    <t>Breezy</t>
  </si>
  <si>
    <t>Tinny</t>
  </si>
  <si>
    <t>Raw</t>
  </si>
  <si>
    <t>Festive</t>
  </si>
  <si>
    <t>Tangy</t>
  </si>
  <si>
    <t>Piquant</t>
  </si>
  <si>
    <t>Basic</t>
  </si>
  <si>
    <t>Enjoyable</t>
  </si>
  <si>
    <t>Tart</t>
  </si>
  <si>
    <t>Mild</t>
  </si>
  <si>
    <t>Breathy</t>
  </si>
  <si>
    <t>Strong</t>
  </si>
  <si>
    <t>Surprising</t>
  </si>
  <si>
    <t>Unpleasant</t>
  </si>
  <si>
    <t>Lingering</t>
  </si>
  <si>
    <t>Dark</t>
  </si>
  <si>
    <t>Delightful</t>
  </si>
  <si>
    <t>Clawing</t>
  </si>
  <si>
    <t>Easy</t>
  </si>
  <si>
    <t>Malty</t>
  </si>
  <si>
    <t>Herbal</t>
  </si>
  <si>
    <t>Refreshing</t>
  </si>
  <si>
    <t>Reliable</t>
  </si>
  <si>
    <t>Dull</t>
  </si>
  <si>
    <t>Average</t>
  </si>
  <si>
    <t>Airy</t>
  </si>
  <si>
    <t>Generic</t>
  </si>
  <si>
    <t>Delicious</t>
  </si>
  <si>
    <t>Berrylike</t>
  </si>
  <si>
    <t>Vibrant</t>
  </si>
  <si>
    <t>Bracing</t>
  </si>
  <si>
    <t>Full</t>
  </si>
  <si>
    <t>Decent</t>
  </si>
  <si>
    <t>Ok</t>
  </si>
  <si>
    <t>Uninspiring</t>
  </si>
  <si>
    <t>Drinkable</t>
  </si>
  <si>
    <t>Pungeant</t>
  </si>
  <si>
    <t>Oaky</t>
  </si>
  <si>
    <t>Nutty</t>
  </si>
  <si>
    <t>Rank</t>
  </si>
  <si>
    <t>Disgust</t>
  </si>
  <si>
    <t>Disgusting</t>
  </si>
  <si>
    <t>Piney</t>
  </si>
  <si>
    <t>Revivifying</t>
  </si>
  <si>
    <t>Odious</t>
  </si>
  <si>
    <t>Repelent</t>
  </si>
  <si>
    <t>Salty</t>
  </si>
  <si>
    <t>Cherryie</t>
  </si>
  <si>
    <t>Mediocre</t>
  </si>
  <si>
    <t>Predictable</t>
  </si>
  <si>
    <t>Undrinkable</t>
  </si>
  <si>
    <t>Pleasant</t>
  </si>
  <si>
    <t>Familiar</t>
  </si>
  <si>
    <t>Lovely</t>
  </si>
  <si>
    <t>Tropical</t>
  </si>
  <si>
    <t>Optimistic</t>
  </si>
  <si>
    <t>Orangey</t>
  </si>
  <si>
    <t>Satisfying</t>
  </si>
  <si>
    <t>Deucy</t>
  </si>
  <si>
    <t>Invigorating</t>
  </si>
  <si>
    <t>Puckering</t>
  </si>
  <si>
    <t>Hoppy</t>
  </si>
  <si>
    <t>Astringent</t>
  </si>
  <si>
    <t>Progressive</t>
  </si>
  <si>
    <t>Unforgiving</t>
  </si>
  <si>
    <t>Unplanned</t>
  </si>
  <si>
    <t>Accidental</t>
  </si>
  <si>
    <t>Lacking</t>
  </si>
  <si>
    <t>Suboptimal</t>
  </si>
  <si>
    <t>Pineapply</t>
  </si>
  <si>
    <t>Extra</t>
  </si>
  <si>
    <t>Flavourful</t>
  </si>
  <si>
    <t>Fantastic</t>
  </si>
  <si>
    <t>Acid</t>
  </si>
  <si>
    <t>Potent</t>
  </si>
  <si>
    <t>Unpredictable</t>
  </si>
  <si>
    <t>Nostalgic</t>
  </si>
  <si>
    <t>Cloying</t>
  </si>
  <si>
    <t>Delicate</t>
  </si>
  <si>
    <t>Bright</t>
  </si>
  <si>
    <t>Standard</t>
  </si>
  <si>
    <t>Rounded</t>
  </si>
  <si>
    <t>Tepid</t>
  </si>
  <si>
    <t>Clear</t>
  </si>
  <si>
    <t>Soothing</t>
  </si>
  <si>
    <t>Placid</t>
  </si>
  <si>
    <t>Gratifying</t>
  </si>
  <si>
    <t>Effervescent</t>
  </si>
  <si>
    <t>Starter</t>
  </si>
  <si>
    <t>Orphic</t>
  </si>
  <si>
    <t>Greatful</t>
  </si>
  <si>
    <t>Reminiscent</t>
  </si>
  <si>
    <t>Firey</t>
  </si>
  <si>
    <t>Warm</t>
  </si>
  <si>
    <t>Coconutty</t>
  </si>
  <si>
    <t>Subtle</t>
  </si>
  <si>
    <t>Hipster</t>
  </si>
  <si>
    <t>Perfumed</t>
  </si>
  <si>
    <t>Calming</t>
  </si>
  <si>
    <t>Herbacious</t>
  </si>
  <si>
    <t>Creamy</t>
  </si>
  <si>
    <t>Succulent</t>
  </si>
  <si>
    <t>Fizzy</t>
  </si>
  <si>
    <t>Deceptive</t>
  </si>
  <si>
    <t>Plain</t>
  </si>
  <si>
    <t>Beery</t>
  </si>
  <si>
    <t>Yummy</t>
  </si>
  <si>
    <t>Stampedey</t>
  </si>
  <si>
    <t>Hefty</t>
  </si>
  <si>
    <t>Yeah</t>
  </si>
  <si>
    <t>Light</t>
  </si>
  <si>
    <t>Chemical</t>
  </si>
  <si>
    <t>Citrus</t>
  </si>
  <si>
    <t>Lasting</t>
  </si>
  <si>
    <t>Horrendous</t>
  </si>
  <si>
    <t>Passionate</t>
  </si>
  <si>
    <t>Exotic</t>
  </si>
  <si>
    <t>Orange</t>
  </si>
  <si>
    <t>Synthetic</t>
  </si>
  <si>
    <t>Briny</t>
  </si>
  <si>
    <t>Zesty</t>
  </si>
  <si>
    <t>Wonderful</t>
  </si>
  <si>
    <t>Magnificent</t>
  </si>
  <si>
    <t>Soapy</t>
  </si>
  <si>
    <t>Shockingly</t>
  </si>
  <si>
    <t>Forceful</t>
  </si>
  <si>
    <t>Reluctant</t>
  </si>
  <si>
    <t>Unexciting</t>
  </si>
  <si>
    <t>Opulent</t>
  </si>
  <si>
    <t>Fine</t>
  </si>
  <si>
    <t>Acceptable</t>
  </si>
  <si>
    <t>Fugly</t>
  </si>
  <si>
    <t>Slut</t>
  </si>
  <si>
    <t>Putrid</t>
  </si>
  <si>
    <t>Uneventful</t>
  </si>
  <si>
    <t>Charming</t>
  </si>
  <si>
    <t>Cumbersome</t>
  </si>
  <si>
    <t>Quininy</t>
  </si>
  <si>
    <t>Prickly</t>
  </si>
  <si>
    <t>Vague</t>
  </si>
  <si>
    <t>Wet</t>
  </si>
  <si>
    <t>Hydrogeny</t>
  </si>
  <si>
    <t>Stalwart</t>
  </si>
  <si>
    <t>Sacariferous</t>
  </si>
  <si>
    <t>Bodacious</t>
  </si>
  <si>
    <t>Plucky</t>
  </si>
  <si>
    <t>Mordant</t>
  </si>
  <si>
    <t>Broad</t>
  </si>
  <si>
    <t>Lazy</t>
  </si>
  <si>
    <t>Corte Molino Prosecco</t>
  </si>
  <si>
    <t>Sean Carey</t>
  </si>
  <si>
    <t>Aspall's Cider</t>
  </si>
  <si>
    <t>Portobello Brewing Tropical Crush Passion IPA</t>
  </si>
  <si>
    <t>Red Stripe</t>
  </si>
  <si>
    <t>Cointreau</t>
  </si>
  <si>
    <t>Fruit Juices</t>
  </si>
  <si>
    <t>Crabbies Ginger Beer</t>
  </si>
  <si>
    <t>Staple</t>
  </si>
  <si>
    <t>Flirtatious</t>
  </si>
  <si>
    <t>Energising</t>
  </si>
  <si>
    <t>Big</t>
  </si>
  <si>
    <t>Sierra Nevada IPA</t>
  </si>
  <si>
    <t>J.J. Whitley Watermelon &amp; Lime Vodka</t>
  </si>
  <si>
    <t>Lemonade</t>
  </si>
  <si>
    <t>Northern Monk Doomsday Disco</t>
  </si>
  <si>
    <t>Jumanjiesque</t>
  </si>
  <si>
    <t>Citruslike</t>
  </si>
  <si>
    <t>Asda White Rum</t>
  </si>
  <si>
    <t>Strawberry Juice</t>
  </si>
  <si>
    <t>Cranberry Juice</t>
  </si>
  <si>
    <t>Tropical Juice</t>
  </si>
  <si>
    <t>Cornish Gold</t>
  </si>
  <si>
    <t>Aspall's Imperial Cyder</t>
  </si>
  <si>
    <t>Thick</t>
  </si>
  <si>
    <t>Hibiscus Tonic Water</t>
  </si>
  <si>
    <t>Tiny Rebel Cali Pale</t>
  </si>
  <si>
    <t>Tequila</t>
  </si>
  <si>
    <t>Hawaiiany</t>
  </si>
  <si>
    <t>Hogan's Golden Medium Cider</t>
  </si>
  <si>
    <t>Pedigree</t>
  </si>
  <si>
    <t>Mount Gay Black Barrel</t>
  </si>
  <si>
    <t>Disarming</t>
  </si>
  <si>
    <t>Barron</t>
  </si>
  <si>
    <t>Milk</t>
  </si>
  <si>
    <t>Sapid</t>
  </si>
  <si>
    <t>Transcndental</t>
  </si>
  <si>
    <t>Hot Wood Gin</t>
  </si>
  <si>
    <t>Slight</t>
  </si>
  <si>
    <t>Ribena</t>
  </si>
  <si>
    <t>Bulmer's Cider</t>
  </si>
  <si>
    <t>Tonic Water</t>
  </si>
  <si>
    <t>Chi-Spiced Milk</t>
  </si>
  <si>
    <t>Its</t>
  </si>
  <si>
    <t>Alright</t>
  </si>
  <si>
    <t>Norweigian</t>
  </si>
  <si>
    <t>Hogan's Vintage Perry</t>
  </si>
  <si>
    <t>Delinquent</t>
  </si>
  <si>
    <t>Belgian Mountain Time</t>
  </si>
  <si>
    <t>Lois Savill</t>
  </si>
  <si>
    <t>Hot Milk</t>
  </si>
  <si>
    <t>Big Willie Ginger Beer</t>
  </si>
  <si>
    <t>HobGoblin</t>
  </si>
  <si>
    <t>Coors Light</t>
  </si>
  <si>
    <t>Sunday</t>
  </si>
  <si>
    <t>Malibu Rum</t>
  </si>
  <si>
    <t>Pineapple</t>
  </si>
  <si>
    <t>Somerset Traditional Cider</t>
  </si>
  <si>
    <t>Garden Brewery Imperial Stout Toffee and Hazelnut</t>
  </si>
  <si>
    <t>Modelo Cerveza</t>
  </si>
  <si>
    <t>Ed Saunders</t>
  </si>
  <si>
    <t>Helen Miles</t>
  </si>
  <si>
    <t>Whitley Neal Blood Orange Gin</t>
  </si>
  <si>
    <t>Sxollie Pink Apple</t>
  </si>
  <si>
    <t>Rossen Roussanov</t>
  </si>
  <si>
    <t>Little Creatures Pale Ale</t>
  </si>
  <si>
    <t>Brewdog Clockwork Tangerine</t>
  </si>
  <si>
    <t>Robinson's Pear and Elderflower</t>
  </si>
  <si>
    <t>Old Tom Strong Ale</t>
  </si>
  <si>
    <t>Soda Water</t>
  </si>
  <si>
    <t>Summery</t>
  </si>
  <si>
    <t>Superficial</t>
  </si>
  <si>
    <t>Absolut Vaniila Vodka</t>
  </si>
  <si>
    <t>Chocolate Nesquik</t>
  </si>
  <si>
    <t>The Pogues Single Malt Irish Whiskey</t>
  </si>
  <si>
    <t>Earthy</t>
  </si>
  <si>
    <t>Dunkerton Dry Organic</t>
  </si>
  <si>
    <t>Suffolk Blonde</t>
  </si>
  <si>
    <t>Dunkerton Craft</t>
  </si>
  <si>
    <t>Northern Monk Gluten Free IPA</t>
  </si>
  <si>
    <t>Taylor's Port</t>
  </si>
  <si>
    <t>Northern Monk Shower Head IPA</t>
  </si>
  <si>
    <t>Mercant Heart Hibiscus</t>
  </si>
  <si>
    <t>Tenciously</t>
  </si>
  <si>
    <t>Toad Vodka</t>
  </si>
  <si>
    <t>Sparkling Rhubarb</t>
  </si>
  <si>
    <t>Welcome</t>
  </si>
  <si>
    <t>Silk</t>
  </si>
  <si>
    <t>Wanting</t>
  </si>
  <si>
    <t>Undistinguished</t>
  </si>
  <si>
    <t>Stringent</t>
  </si>
  <si>
    <t>Insipid</t>
  </si>
  <si>
    <t>Pink Lemonade</t>
  </si>
  <si>
    <t>Erotic</t>
  </si>
  <si>
    <t>Eden Mill</t>
  </si>
  <si>
    <t>Wild Wood Organic Cider</t>
  </si>
  <si>
    <t>Jura - The Sound</t>
  </si>
  <si>
    <t>Northern Monk Sofa Arms</t>
  </si>
  <si>
    <t>Rich</t>
  </si>
  <si>
    <t>Textural</t>
  </si>
  <si>
    <t>Mad Goose</t>
  </si>
  <si>
    <t>Plymouth Gin</t>
  </si>
  <si>
    <t>Koppaberg Rose</t>
  </si>
  <si>
    <t>Craine Pommegranate &amp; Raspberry</t>
  </si>
  <si>
    <t>Turkish</t>
  </si>
  <si>
    <t>Delight</t>
  </si>
  <si>
    <t>Shipyard Pale Ale</t>
  </si>
  <si>
    <t>Overly</t>
  </si>
  <si>
    <t>Weighty</t>
  </si>
  <si>
    <t>Substancial</t>
  </si>
  <si>
    <t>Southern Comfort</t>
  </si>
  <si>
    <t>Happy</t>
  </si>
  <si>
    <t>Miserable</t>
  </si>
  <si>
    <t>Unnecessarily</t>
  </si>
  <si>
    <t>Somerset Matured Vintage Cider</t>
  </si>
  <si>
    <t>Floaty</t>
  </si>
  <si>
    <t>Ginger</t>
  </si>
  <si>
    <t>Opaque</t>
  </si>
  <si>
    <t>Bells Whisky</t>
  </si>
  <si>
    <t>Asda Biere de Luxe</t>
  </si>
  <si>
    <t>Veuve Clicquot Champagne</t>
  </si>
  <si>
    <t>Regal</t>
  </si>
  <si>
    <t>Oaty</t>
  </si>
  <si>
    <t>Full-Bodied</t>
  </si>
  <si>
    <t>Malibu</t>
  </si>
  <si>
    <t>ABC Juice Springsteen Tropical IPA</t>
  </si>
  <si>
    <t>Goose Island IPA</t>
  </si>
  <si>
    <t>Black Isle Brewery Spider Monkey</t>
  </si>
  <si>
    <t>Choice</t>
  </si>
  <si>
    <t>Equatorial</t>
  </si>
  <si>
    <t>Metalic</t>
  </si>
  <si>
    <t>Lush</t>
  </si>
  <si>
    <t>Shallow</t>
  </si>
  <si>
    <t>Sappy</t>
  </si>
  <si>
    <t>Over-Simplified</t>
  </si>
  <si>
    <t>Acidic</t>
  </si>
  <si>
    <t>Brew York Juice Forsyth</t>
  </si>
  <si>
    <t>Fallen Angel Black Spiced Rum</t>
  </si>
  <si>
    <t>Unfortunately</t>
  </si>
  <si>
    <t>Flat</t>
  </si>
  <si>
    <t>ABC Juice Lee Dragonfruit &amp; Lychee IPA</t>
  </si>
  <si>
    <t>Swampy</t>
  </si>
  <si>
    <t>Magic</t>
  </si>
  <si>
    <t>Exhuberant</t>
  </si>
  <si>
    <t>Sprite</t>
  </si>
  <si>
    <t>Grenadine</t>
  </si>
  <si>
    <t>Orijin Herbal Gin</t>
  </si>
  <si>
    <t>Cloudy Lemonade</t>
  </si>
  <si>
    <t>Darkly</t>
  </si>
  <si>
    <t>Seductive</t>
  </si>
  <si>
    <t>Ginger Ale</t>
  </si>
  <si>
    <t>Regretful</t>
  </si>
  <si>
    <t>Peach Schnappes</t>
  </si>
  <si>
    <t>City Lights Keller Helles</t>
  </si>
  <si>
    <t>Hard</t>
  </si>
  <si>
    <t>San Pellegrino Lemon</t>
  </si>
  <si>
    <t>Bouyant</t>
  </si>
  <si>
    <t>Illuminating</t>
  </si>
  <si>
    <t>Uplifting</t>
  </si>
  <si>
    <t>Black Isle Brewery Gold Finch</t>
  </si>
  <si>
    <t>Savanna Dry</t>
  </si>
  <si>
    <t>Tesco Value Vodka</t>
  </si>
  <si>
    <t>Pernod</t>
  </si>
  <si>
    <t>Aniseed</t>
  </si>
  <si>
    <t>Blue Topaz</t>
  </si>
  <si>
    <t>Warming</t>
  </si>
  <si>
    <t>Rubicon Guava</t>
  </si>
  <si>
    <t>Red Leg Spiced, Dead Man's Finger Pineapple, Dead Man's Finger Spiced Rum, Captain Morgan's Spiced Rum, Fallen Angel Spiced Rum</t>
  </si>
  <si>
    <t>Cohesive</t>
  </si>
  <si>
    <t>Overpowered</t>
  </si>
  <si>
    <t>Chambord</t>
  </si>
  <si>
    <t>Angels Peach Schnapps</t>
  </si>
  <si>
    <t>Howling Hops Fruity Bastard Passion Fruit Gose</t>
  </si>
  <si>
    <t>Three Barrels</t>
  </si>
  <si>
    <t>Burning</t>
  </si>
  <si>
    <t>Gordon's Sicilian Lemon Gin</t>
  </si>
  <si>
    <t>Sainsbury's White Rum</t>
  </si>
  <si>
    <t>Bitter Lemon</t>
  </si>
  <si>
    <t>Duvel</t>
  </si>
  <si>
    <t>ABC Hook, Lime and Sinker Lime &amp; Chilli Gose</t>
  </si>
  <si>
    <t>Italian</t>
  </si>
  <si>
    <t>Hooch Lemon</t>
  </si>
  <si>
    <t>Moor Beer Co Revival</t>
  </si>
  <si>
    <t>Anspach &amp; Hobday The Pale Ale</t>
  </si>
  <si>
    <t>Co-op Berry sparkling</t>
  </si>
  <si>
    <t>Citrusy</t>
  </si>
  <si>
    <t>Lemonic</t>
  </si>
  <si>
    <t>Asda Xtra Special Rhubarb and Ginger Gin Liqueur</t>
  </si>
  <si>
    <t>Syrupy</t>
  </si>
  <si>
    <t>Brooklyn Lager</t>
  </si>
  <si>
    <t>Toasty</t>
  </si>
  <si>
    <t>Gentile</t>
  </si>
  <si>
    <t>Viral</t>
  </si>
  <si>
    <t>Dependable</t>
  </si>
  <si>
    <t>Black Sheep Ale</t>
  </si>
  <si>
    <t>Coffee</t>
  </si>
  <si>
    <t>North Brewing Triple Fruited Gose</t>
  </si>
  <si>
    <t>Koppaberg Cherry</t>
  </si>
  <si>
    <t>Sainsbury's English Vintage Cider</t>
  </si>
  <si>
    <t>HobGoblin Ruby</t>
  </si>
  <si>
    <t>Bad Co West Coast Pale Ale</t>
  </si>
  <si>
    <t>JJ Whitley Artisanal Vodka</t>
  </si>
  <si>
    <t>Sailor Jerry's Rum</t>
  </si>
  <si>
    <t>Malfy Gin Rosa</t>
  </si>
  <si>
    <t>Aromatic Bitters</t>
  </si>
  <si>
    <t>Cleansing</t>
  </si>
  <si>
    <t>Cold</t>
  </si>
  <si>
    <t>Christmassy</t>
  </si>
  <si>
    <t>Santas</t>
  </si>
  <si>
    <t>Sleeve</t>
  </si>
  <si>
    <t>Essentially</t>
  </si>
  <si>
    <t>Calpol</t>
  </si>
  <si>
    <t>Childhood</t>
  </si>
  <si>
    <t>Illness</t>
  </si>
  <si>
    <t>Mixer</t>
  </si>
  <si>
    <t>Very</t>
  </si>
  <si>
    <t>Exquisite</t>
  </si>
  <si>
    <t>Aggressively</t>
  </si>
  <si>
    <t>Repugnant</t>
  </si>
  <si>
    <t>Perfumey</t>
  </si>
  <si>
    <t>Depressing</t>
  </si>
  <si>
    <t>Stoic</t>
  </si>
  <si>
    <t>Confused</t>
  </si>
  <si>
    <t>Multi-Palleted</t>
  </si>
  <si>
    <t>Spitfire</t>
  </si>
  <si>
    <t>Northern Monk Heathern IPA</t>
  </si>
  <si>
    <t>Flacid</t>
  </si>
  <si>
    <t>Pissy</t>
  </si>
  <si>
    <t>Pineapple Juice</t>
  </si>
  <si>
    <t>Coconut Milk</t>
  </si>
  <si>
    <t>Moor Beer Co Return of the Empire</t>
  </si>
  <si>
    <t>Appropriately</t>
  </si>
  <si>
    <t>Coop Lemon and Lime sparkling</t>
  </si>
  <si>
    <t>Aspall's Draft Cyder</t>
  </si>
  <si>
    <t>Substantial</t>
  </si>
  <si>
    <t>Boundless</t>
  </si>
  <si>
    <t>Candied</t>
  </si>
  <si>
    <t>Northen Monk Great Northern Lager</t>
  </si>
  <si>
    <t>Squawk Muta DIPA</t>
  </si>
  <si>
    <t>Perky</t>
  </si>
  <si>
    <t>Bad Co American IPA</t>
  </si>
  <si>
    <t>Schweppes Diet Lemonade</t>
  </si>
  <si>
    <t>Koppaberg Raspberry</t>
  </si>
  <si>
    <t>Tantalisingly</t>
  </si>
  <si>
    <t>Evocative</t>
  </si>
  <si>
    <t>Cameron's Brewery Surf Bohemian Lager</t>
  </si>
  <si>
    <t>Mediocrity</t>
  </si>
  <si>
    <t>Dunkerton Black Fox Organic Cider</t>
  </si>
  <si>
    <t>Maison Rouge Claret Bourdeaux</t>
  </si>
  <si>
    <t>Sipsmith Gin</t>
  </si>
  <si>
    <t>Sticky</t>
  </si>
  <si>
    <t>Herby</t>
  </si>
  <si>
    <t>Fragile</t>
  </si>
  <si>
    <t>Clotted</t>
  </si>
  <si>
    <t>Failure</t>
  </si>
  <si>
    <t>Slop</t>
  </si>
  <si>
    <t>Kraken Rum</t>
  </si>
  <si>
    <t>Martini Bianco</t>
  </si>
  <si>
    <t>Pure</t>
  </si>
  <si>
    <t>Filth</t>
  </si>
  <si>
    <t>Signature Grants 12 Yr</t>
  </si>
  <si>
    <t>Aftertaste</t>
  </si>
  <si>
    <t>Sugary</t>
  </si>
  <si>
    <t>Paradise</t>
  </si>
  <si>
    <t>Sheep Dip Malted Scotch Whiskry</t>
  </si>
  <si>
    <t>Vitriolic</t>
  </si>
  <si>
    <t>JJ Whitley Watermelon &amp; ime Vodka</t>
  </si>
  <si>
    <t>Brisk</t>
  </si>
  <si>
    <t>Reality</t>
  </si>
  <si>
    <t>Harsh</t>
  </si>
  <si>
    <t>Newness</t>
  </si>
  <si>
    <t>Romanetti Vermouth</t>
  </si>
  <si>
    <t>Endless</t>
  </si>
  <si>
    <t>Trash</t>
  </si>
  <si>
    <t>Golden Wainrights</t>
  </si>
  <si>
    <t>Otter Ale</t>
  </si>
  <si>
    <t>Beautiful</t>
  </si>
  <si>
    <t>Days</t>
  </si>
  <si>
    <t>Sesh</t>
  </si>
  <si>
    <t>Apple &amp; Raspberry</t>
  </si>
  <si>
    <t>Resolute</t>
  </si>
  <si>
    <t>Appreciable</t>
  </si>
  <si>
    <t>Middling</t>
  </si>
  <si>
    <t>Wholesome</t>
  </si>
  <si>
    <t>Koppaberg Alcohol Free Berries</t>
  </si>
  <si>
    <t>Corking</t>
  </si>
  <si>
    <t>Sainsbury's Taste The Difference Kentish Ale</t>
  </si>
  <si>
    <t>Foxy</t>
  </si>
  <si>
    <t>Ubiquitous</t>
  </si>
  <si>
    <t>Mistake</t>
  </si>
  <si>
    <t>Aldi Blood Orange Soda</t>
  </si>
  <si>
    <t>Robinsons Apple and Blackcurrant</t>
  </si>
  <si>
    <t>Burley</t>
  </si>
  <si>
    <t>No</t>
  </si>
  <si>
    <t>Thankyou</t>
  </si>
  <si>
    <t>Henneys Dry</t>
  </si>
  <si>
    <t>Just</t>
  </si>
  <si>
    <t>Bad</t>
  </si>
  <si>
    <t>Economic</t>
  </si>
  <si>
    <t>Unsettling</t>
  </si>
  <si>
    <t>Stale</t>
  </si>
  <si>
    <t>Baron</t>
  </si>
  <si>
    <t>Alabama</t>
  </si>
  <si>
    <t>Kahlua</t>
  </si>
  <si>
    <t>Brewdog Dead Pony Club</t>
  </si>
  <si>
    <t>Brewdog Tsar Struck</t>
  </si>
  <si>
    <t>Two Tribes</t>
  </si>
  <si>
    <t>Portobello Brewing</t>
  </si>
  <si>
    <t>Brew York</t>
  </si>
  <si>
    <t>Lervig</t>
  </si>
  <si>
    <t>Vibrant Forest</t>
  </si>
  <si>
    <t>Northern Monk Eternal Session IPA</t>
  </si>
  <si>
    <t>Northern Monk Travellers Rest Bedroom</t>
  </si>
  <si>
    <t>Koppaberg Sweet Apple</t>
  </si>
  <si>
    <t>Black Isle Brewery</t>
  </si>
  <si>
    <t>Black Isle Brewery Red Kite</t>
  </si>
  <si>
    <t>Black Isle Brewery Blonde</t>
  </si>
  <si>
    <t>Black Isle Brewery 21 Pale Ale</t>
  </si>
  <si>
    <t>Howling Hops</t>
  </si>
  <si>
    <t>Anspach &amp; Hobday</t>
  </si>
  <si>
    <t>Hobgoblin</t>
  </si>
  <si>
    <t>Brewdog Elvis Juice</t>
  </si>
  <si>
    <t>Brewdog Hazy Jane</t>
  </si>
  <si>
    <t>ABC Charlie Don't Surf</t>
  </si>
  <si>
    <t>Northern Monk Striding Edge Light IPA</t>
  </si>
  <si>
    <t>Williams Bro Brewing Company Otis Blood Orange IPA</t>
  </si>
  <si>
    <t>Going</t>
  </si>
  <si>
    <t>Antonia Amaning</t>
  </si>
  <si>
    <t>Affable</t>
  </si>
  <si>
    <t>Hearty</t>
  </si>
  <si>
    <t>George McLachlan</t>
  </si>
  <si>
    <t>Strawberry</t>
  </si>
  <si>
    <t>Passion Fruit</t>
  </si>
  <si>
    <t>Northern Monk Rapscallion Orange Zest IPA</t>
  </si>
  <si>
    <t>Tyskie</t>
  </si>
  <si>
    <t>Glenkinchie 12 yr</t>
  </si>
  <si>
    <t>Brewdog Duopolis Oat Cream DDH IPA</t>
  </si>
  <si>
    <t>Cherry Pepsi Max</t>
  </si>
  <si>
    <t>Hogan's Peaty Dry Cider</t>
  </si>
  <si>
    <t>Underwhelming</t>
  </si>
  <si>
    <t>Glenmorangie Original</t>
  </si>
  <si>
    <t>Hilden Brewing Company King Midas</t>
  </si>
  <si>
    <t>Pipeline Brewing All Eyes On You IPA</t>
  </si>
  <si>
    <t>Tia Maria</t>
  </si>
  <si>
    <t>Opihr</t>
  </si>
  <si>
    <t>Taste</t>
  </si>
  <si>
    <t>Sensation</t>
  </si>
  <si>
    <t>Stolichnaya Vodka</t>
  </si>
  <si>
    <t>Rainbow Iced Sourz</t>
  </si>
  <si>
    <t>Grim</t>
  </si>
  <si>
    <t>Satisfyingly</t>
  </si>
  <si>
    <t>Sherbett Gin Raspberry</t>
  </si>
  <si>
    <t>Ron Jeremy Hardcore Rum</t>
  </si>
  <si>
    <t>Fuller's Bengal Lancer</t>
  </si>
  <si>
    <t>Dudda's Tun</t>
  </si>
  <si>
    <t>Irn Bru</t>
  </si>
  <si>
    <t>Gorgeously</t>
  </si>
  <si>
    <t>Golden</t>
  </si>
  <si>
    <t>Sunshiney</t>
  </si>
  <si>
    <t>Libbyesque</t>
  </si>
  <si>
    <t>Festivaly</t>
  </si>
  <si>
    <t>Nourishing</t>
  </si>
  <si>
    <t>Silky</t>
  </si>
  <si>
    <t>Haemotastic</t>
  </si>
  <si>
    <t>Asda Extra Special Rhubarb Gin</t>
  </si>
  <si>
    <t>Pepsi Max Ginger</t>
  </si>
  <si>
    <t>Vasilikon White Wine</t>
  </si>
  <si>
    <t>Wiper And True Kaleidoscop Pale Ale</t>
  </si>
  <si>
    <t>Unsurprising</t>
  </si>
  <si>
    <t>Thornbridge Florida Weisse Hazy Raspberry</t>
  </si>
  <si>
    <t>Tempest Brewing Void Vision Mango Chilli Gose</t>
  </si>
  <si>
    <t>Hot Nandos Sauce</t>
  </si>
  <si>
    <t>Crate Brewery Lager</t>
  </si>
  <si>
    <t>Confusingly</t>
  </si>
  <si>
    <t>Liquoricy</t>
  </si>
  <si>
    <t>Raspberry Lemonade</t>
  </si>
  <si>
    <t>Hilden Brewing Golden Gate</t>
  </si>
  <si>
    <t>Brew York Goose Willis</t>
  </si>
  <si>
    <t>Genius</t>
  </si>
  <si>
    <t>Ghost Dance Chinook Pale Ale</t>
  </si>
  <si>
    <t>Musty</t>
  </si>
  <si>
    <t>Atlas Brewing Nimbus Blonde</t>
  </si>
  <si>
    <t>Acceptably</t>
  </si>
  <si>
    <t>Hell</t>
  </si>
  <si>
    <t>Fire</t>
  </si>
  <si>
    <t>Vanilla Vodka</t>
  </si>
  <si>
    <t>Needs</t>
  </si>
  <si>
    <t>Curdly</t>
  </si>
  <si>
    <t>Hopegiving</t>
  </si>
  <si>
    <t>Slick</t>
  </si>
  <si>
    <t>Berry</t>
  </si>
  <si>
    <t>Soft</t>
  </si>
  <si>
    <t>Wrong</t>
  </si>
  <si>
    <t>Annoyingly</t>
  </si>
  <si>
    <t>Beardo IPA</t>
  </si>
  <si>
    <t>Rockstar Pineapple Grenade Rum</t>
  </si>
  <si>
    <t>Atlas Brewing Latitude Pale Ale</t>
  </si>
  <si>
    <t>SALT Hex Lager</t>
  </si>
  <si>
    <t>SALT Calico Session Pale Ale</t>
  </si>
  <si>
    <t>Crate Brewery Pale</t>
  </si>
  <si>
    <t>Old Mout Lime &amp; Kiwi</t>
  </si>
  <si>
    <t>Hilden Brewing Company Czech Please</t>
  </si>
  <si>
    <t>Glenfiddich 12 yr Cherry Cask</t>
  </si>
  <si>
    <t>Fuller's</t>
  </si>
  <si>
    <t>Siren</t>
  </si>
  <si>
    <t>Northern Monk</t>
  </si>
  <si>
    <t>Smirnoff</t>
  </si>
  <si>
    <t>Gordon's</t>
  </si>
  <si>
    <t>Guinness</t>
  </si>
  <si>
    <t>Guinness Foreign Extra</t>
  </si>
  <si>
    <t>Guinness Golden Ale</t>
  </si>
  <si>
    <t>Brew York Katy Berry</t>
  </si>
  <si>
    <t>Festival</t>
  </si>
  <si>
    <t>Grapevine Merlot</t>
  </si>
  <si>
    <t>Kentish Pip Braeburn Apple and Cherry Cider</t>
  </si>
  <si>
    <t>Watery</t>
  </si>
  <si>
    <t>Urbanaut Blood Orange Kveik IPA</t>
  </si>
  <si>
    <t>Urbanaut Beer Blender Mosaic Mango Sour and Blood Orange Kveik IPA</t>
  </si>
  <si>
    <t>Electric Bear Drifting American Pale Ale</t>
  </si>
  <si>
    <t>Time Keeper Red</t>
  </si>
  <si>
    <t>Corked</t>
  </si>
  <si>
    <t>Piss</t>
  </si>
  <si>
    <t>Innocent Mango &amp; passion fruit smoothie</t>
  </si>
  <si>
    <t>Biting</t>
  </si>
  <si>
    <t>Tingly</t>
  </si>
  <si>
    <t>Amundsen Lorita Passion Fruit Pale</t>
  </si>
  <si>
    <t>Text</t>
  </si>
  <si>
    <t>Book</t>
  </si>
  <si>
    <t>City of London Distillery Rhubarb and Rum Gin</t>
  </si>
  <si>
    <t>Whitstable Bay Organic Ale</t>
  </si>
  <si>
    <t>Tsingtao Lager</t>
  </si>
  <si>
    <t>Surprisingly</t>
  </si>
  <si>
    <t>Dynamic</t>
  </si>
  <si>
    <t>Moor Beer Co Union Hop</t>
  </si>
  <si>
    <t>Peroni</t>
  </si>
  <si>
    <t>Pheasant Gully Chiraz</t>
  </si>
  <si>
    <t>Edinburgh Gin Elderflower Liqueur</t>
  </si>
  <si>
    <t>Bad-Afters</t>
  </si>
  <si>
    <t>Terrifically</t>
  </si>
  <si>
    <t>Sainsbury's Limoncello</t>
  </si>
  <si>
    <t>Amundsen Apocalyptic Thunder Juice</t>
  </si>
  <si>
    <t>Brew York Rhubarbara Streisand</t>
  </si>
  <si>
    <t>Magic Rock Goosebery Gose</t>
  </si>
  <si>
    <t>Radeberger Pilsner</t>
  </si>
  <si>
    <t>Campari</t>
  </si>
  <si>
    <t>Negroni mix</t>
  </si>
  <si>
    <t>Grainy</t>
  </si>
  <si>
    <t>Dependably</t>
  </si>
  <si>
    <t>Old Mout Pineapple &amp; Raspberry</t>
  </si>
  <si>
    <t>Restorative</t>
  </si>
  <si>
    <t>Pedestrian</t>
  </si>
  <si>
    <t>Decency</t>
  </si>
  <si>
    <t>Deshite</t>
  </si>
  <si>
    <t>Another</t>
  </si>
  <si>
    <t>Bollocking</t>
  </si>
  <si>
    <t>Berries</t>
  </si>
  <si>
    <t>Bacardi</t>
  </si>
  <si>
    <t>Nectary</t>
  </si>
  <si>
    <t>Succulant</t>
  </si>
  <si>
    <t>Smirnoff Apple Vodka</t>
  </si>
  <si>
    <t>Coke Zero</t>
  </si>
  <si>
    <t>Hooper's Alcoholic Dandelion and Burdock</t>
  </si>
  <si>
    <t>Catherine Allen</t>
  </si>
  <si>
    <t>St. Peter's Pale Ale</t>
  </si>
  <si>
    <t>Solidly</t>
  </si>
  <si>
    <t>Moor Beer Co Hoppyness</t>
  </si>
  <si>
    <t>Sanford Orchard Elderflower Farmhouse Cider</t>
  </si>
  <si>
    <t>Cargo Cult Spiced Rum</t>
  </si>
  <si>
    <t>Dr. Pepper</t>
  </si>
  <si>
    <t>Vile</t>
  </si>
  <si>
    <t>Naff</t>
  </si>
  <si>
    <t>Strawberry Coke</t>
  </si>
  <si>
    <t>Shameful</t>
  </si>
  <si>
    <t>Lervig Passion Tang Sour Ale</t>
  </si>
  <si>
    <t>Wilde Child Rite of Passage Hoppy Fourth Birthday</t>
  </si>
  <si>
    <t>Hermetically</t>
  </si>
  <si>
    <t>There</t>
  </si>
  <si>
    <t>Missing</t>
  </si>
  <si>
    <t>Mango</t>
  </si>
  <si>
    <t>Bella Veroni Amaretto</t>
  </si>
  <si>
    <t>Bellucci Amaretto</t>
  </si>
  <si>
    <t>Fondant</t>
  </si>
  <si>
    <t>Fancy</t>
  </si>
  <si>
    <t>iHeart Pinot Grigio</t>
  </si>
  <si>
    <t>Wedding</t>
  </si>
  <si>
    <t>Table</t>
  </si>
  <si>
    <t>Gallo Family Spritz</t>
  </si>
  <si>
    <t>Aggresively</t>
  </si>
  <si>
    <t>Carribeany</t>
  </si>
  <si>
    <t>Stupendous</t>
  </si>
  <si>
    <t>Dizzy</t>
  </si>
  <si>
    <t>Vomit</t>
  </si>
  <si>
    <t>Fogey</t>
  </si>
  <si>
    <t>Sad</t>
  </si>
  <si>
    <t>Overwhelming</t>
  </si>
  <si>
    <t>Sunrise Fortified Apple Wine</t>
  </si>
  <si>
    <t>Tantilising</t>
  </si>
  <si>
    <t>Dreamy</t>
  </si>
  <si>
    <t>Pant</t>
  </si>
  <si>
    <t>Servicable</t>
  </si>
  <si>
    <t>Drinkability</t>
  </si>
  <si>
    <t>Odorous</t>
  </si>
  <si>
    <t>Sainsbury's Czech Lager</t>
  </si>
  <si>
    <t>Bohemian</t>
  </si>
  <si>
    <t>Moor Beer Co. Raw</t>
  </si>
  <si>
    <t>Old Jamaica Ginger Beer</t>
  </si>
  <si>
    <t>Atom Framework APA</t>
  </si>
  <si>
    <t>Sufficient</t>
  </si>
  <si>
    <t>Lurid</t>
  </si>
  <si>
    <t>Delighty</t>
  </si>
  <si>
    <t>Lucozade Wild Cherry</t>
  </si>
  <si>
    <t>Old Jamaica Grape Soda</t>
  </si>
  <si>
    <t>Cute</t>
  </si>
  <si>
    <t>Captivating</t>
  </si>
  <si>
    <t>Sainsbury's Mango</t>
  </si>
  <si>
    <t>Equivocal</t>
  </si>
  <si>
    <t>Scicillian Lemon Gordon's</t>
  </si>
  <si>
    <t>Gordon's Scicillian Lemon</t>
  </si>
  <si>
    <t>Gordon's Sicillian Lemon</t>
  </si>
  <si>
    <t>Arctic Sky Cold IPA</t>
  </si>
  <si>
    <t>Idiot</t>
  </si>
  <si>
    <t>Drink</t>
  </si>
  <si>
    <t>Unexpectedly</t>
  </si>
  <si>
    <t>Sainsbury's Pale Dry Fino Sherry</t>
  </si>
  <si>
    <t>Crunk</t>
  </si>
  <si>
    <t>Repulsive</t>
  </si>
  <si>
    <t>Abyss</t>
  </si>
  <si>
    <t>Dow's Port</t>
  </si>
  <si>
    <t>Glenlivet</t>
  </si>
  <si>
    <t>?</t>
  </si>
  <si>
    <t>Cromulent</t>
  </si>
  <si>
    <t>Grape</t>
  </si>
  <si>
    <t>Consumate</t>
  </si>
  <si>
    <t>Atom</t>
  </si>
  <si>
    <t>Wilde Child Brewing Opaque Reality</t>
  </si>
  <si>
    <t>Gipsy Hill</t>
  </si>
  <si>
    <t>Weird Beard</t>
  </si>
  <si>
    <t>Rooster's Brewing Roots Rock Reggae</t>
  </si>
  <si>
    <t>Urbanaut</t>
  </si>
  <si>
    <t>Gipsy Hill Bandit Gluten Free Pale Ale</t>
  </si>
  <si>
    <t>Coop Crisp &amp; Dry Classic Apple Cider</t>
  </si>
  <si>
    <t>Spiky</t>
  </si>
  <si>
    <t>Sourish</t>
  </si>
  <si>
    <t>Williams Bro Caesar Augustus Lager IPA</t>
  </si>
  <si>
    <t>Rekorderlig Pear with Peach and Basil</t>
  </si>
  <si>
    <t>Wimbledon Pale New World Pale Ale</t>
  </si>
  <si>
    <t>Absolut Mixt Blueberry &amp; Lime</t>
  </si>
  <si>
    <t>Asda Double Concentrte apple &amp; Blackcurrant Squash</t>
  </si>
  <si>
    <t>Sophisticated</t>
  </si>
  <si>
    <t>Kahlua Espresso Martini</t>
  </si>
  <si>
    <t>Vocation Life &amp; Death IPA</t>
  </si>
  <si>
    <t>Amstel</t>
  </si>
  <si>
    <t>Limealiciously</t>
  </si>
  <si>
    <t>Funkin Espresso Martini</t>
  </si>
  <si>
    <t>Drygate Chimera IPA</t>
  </si>
  <si>
    <t>Blue Raspberry Dragon Soop</t>
  </si>
  <si>
    <t>Northern Monk OFS001 Mango &amp; Cacao Sour</t>
  </si>
  <si>
    <t>Magic Rock Radiant Fog Lychee Session IPA</t>
  </si>
  <si>
    <t>Amundsen Pimp Dust Blueberry Muffin Pastry Sour</t>
  </si>
  <si>
    <t>Danish</t>
  </si>
  <si>
    <t>Deliciousness</t>
  </si>
  <si>
    <t>Tequila Rose</t>
  </si>
  <si>
    <t>Marks &amp; Spencer Dark Rum</t>
  </si>
  <si>
    <t>Starts-Bad</t>
  </si>
  <si>
    <t>Gets-Worse</t>
  </si>
  <si>
    <t>Hardy's Rose</t>
  </si>
  <si>
    <t>Exquisitly</t>
  </si>
  <si>
    <t>Cheap</t>
  </si>
  <si>
    <t>Raising</t>
  </si>
  <si>
    <t>Shivery</t>
  </si>
  <si>
    <t>Sidekick Cola</t>
  </si>
  <si>
    <t>Basically</t>
  </si>
  <si>
    <t>Squash</t>
  </si>
  <si>
    <t>Exemplary</t>
  </si>
  <si>
    <t>Hoppiness</t>
  </si>
  <si>
    <t>Earth Station DDH Sabro Pale</t>
  </si>
  <si>
    <t>Oakham Citra</t>
  </si>
  <si>
    <t>Robinson's Brewery Triple Hop IPA</t>
  </si>
  <si>
    <t>Shaun</t>
  </si>
  <si>
    <t>Correct</t>
  </si>
  <si>
    <t>Northern Monk Faith Hazy Pale Ale</t>
  </si>
  <si>
    <t>Lervig Spiked Seltzer Grapefruit</t>
  </si>
  <si>
    <t>First Chop Win Vienna Lager</t>
  </si>
  <si>
    <t>Flare Cocktails Mojito</t>
  </si>
  <si>
    <t>That Boutique-y Gin Company Yuzu Gin Collins</t>
  </si>
  <si>
    <t>People Like us Tea Party Cream Ale</t>
  </si>
  <si>
    <t>Bad Co Flavourly The Shy Retirer Micro Pale</t>
  </si>
  <si>
    <t>Fradulent</t>
  </si>
  <si>
    <t>George</t>
  </si>
  <si>
    <t>Michael</t>
  </si>
  <si>
    <t>Franziskaner Weissbier</t>
  </si>
  <si>
    <t>Trim Tab Brewing Peach Rings Sour</t>
  </si>
  <si>
    <t>Drygate Seven Peaks</t>
  </si>
  <si>
    <t>Pimms</t>
  </si>
  <si>
    <t>Black Isle Brewery Porter</t>
  </si>
  <si>
    <t>Beavertown Nanobot IPA</t>
  </si>
  <si>
    <t>Vodka and Khalua</t>
  </si>
  <si>
    <t>Thiccc</t>
  </si>
  <si>
    <t>Mordor</t>
  </si>
  <si>
    <t>Sainsbury Tonic Water</t>
  </si>
  <si>
    <t>Life-Giving</t>
  </si>
  <si>
    <t>Christmas</t>
  </si>
  <si>
    <t>Morning</t>
  </si>
  <si>
    <t>Samuel Joe's Bourbon</t>
  </si>
  <si>
    <t>Clearing</t>
  </si>
  <si>
    <t>Blue WKD</t>
  </si>
  <si>
    <t>Passoa</t>
  </si>
  <si>
    <t>Rosacious</t>
  </si>
  <si>
    <t>Dank</t>
  </si>
  <si>
    <t>Mortimer's Orchard English Berry Cider</t>
  </si>
  <si>
    <t>Apple</t>
  </si>
  <si>
    <t>Perfectly</t>
  </si>
  <si>
    <t>Balanced</t>
  </si>
  <si>
    <t>Explosive</t>
  </si>
  <si>
    <t>Funky</t>
  </si>
  <si>
    <t>Old Mout Kiwi &amp; Lime</t>
  </si>
  <si>
    <t>Wimbledon Gold English Craft Lager</t>
  </si>
  <si>
    <t>Apple Juice</t>
  </si>
  <si>
    <t>Amundsen Everyday Hero New World IPA</t>
  </si>
  <si>
    <t>By The Horns Squeezer Juicy IPA</t>
  </si>
  <si>
    <t>Wimbledon</t>
  </si>
  <si>
    <t>Frangelico</t>
  </si>
  <si>
    <t>Chocolate Ice Cream</t>
  </si>
  <si>
    <t>Marshmallow</t>
  </si>
  <si>
    <t>Funkin Amaretto Sour</t>
  </si>
  <si>
    <t>BrewDog Evil Twin Roaster Coaster Coffee Stout</t>
  </si>
  <si>
    <t>Thornbridge North Brewing North Bridge Mountain IPA</t>
  </si>
  <si>
    <t>Thicc</t>
  </si>
  <si>
    <t>Courage Best Bitter</t>
  </si>
  <si>
    <t>By The Horns Drifter Transatlantic Pale Ale</t>
  </si>
  <si>
    <t>Wild Card Brewery Pale Ale</t>
  </si>
  <si>
    <t>Ale</t>
  </si>
  <si>
    <t>Gimmick</t>
  </si>
  <si>
    <t>Shame</t>
  </si>
  <si>
    <t>Pistonhead Kustom Lager</t>
  </si>
  <si>
    <t>Shake Baby Shake Tropical Daquiri</t>
  </si>
  <si>
    <t>Nicholas Draper</t>
  </si>
  <si>
    <t>Ozeki Sake Dry</t>
  </si>
  <si>
    <t>Japanese</t>
  </si>
  <si>
    <t>Tasteless</t>
  </si>
  <si>
    <t>Italian Plaza Centro Prosecco</t>
  </si>
  <si>
    <t>Never</t>
  </si>
  <si>
    <t>Chug</t>
  </si>
  <si>
    <t>Vomitty</t>
  </si>
  <si>
    <t>Fizz</t>
  </si>
  <si>
    <t>Luxurious</t>
  </si>
  <si>
    <t>Sangster's Rum and Raisin Cream</t>
  </si>
  <si>
    <t>Monstrosity</t>
  </si>
  <si>
    <t>Cool Shot Blue Lemon</t>
  </si>
  <si>
    <t>Irresponsibly</t>
  </si>
  <si>
    <t>Cool Shot Tropical</t>
  </si>
  <si>
    <t>Nice Sauvignon Blanc</t>
  </si>
  <si>
    <t>Lervig Raspberry &amp; Lime Spiked Seltzer</t>
  </si>
  <si>
    <t>Savage</t>
  </si>
  <si>
    <t>Brewdog Pale Ale</t>
  </si>
  <si>
    <t>Hog's Back RIP Snorter</t>
  </si>
  <si>
    <t>Pistonhead Flat Tire Lager</t>
  </si>
  <si>
    <t>Vanillary</t>
  </si>
  <si>
    <t>Posh</t>
  </si>
  <si>
    <t>Karol Blanco</t>
  </si>
  <si>
    <t>Cosecha El Meson Tequila</t>
  </si>
  <si>
    <t>Vocation Pride &amp; Joy</t>
  </si>
  <si>
    <t>By The Horns Citrus Paradisi Grapefruit Session IPA</t>
  </si>
  <si>
    <t>Singha</t>
  </si>
  <si>
    <t>Whitstable Bay Pale Ale</t>
  </si>
  <si>
    <t>Hog's Back OTT</t>
  </si>
  <si>
    <t>By The Horns Lambeth Walk Porter</t>
  </si>
  <si>
    <t>That Boutique-y Gin Company Cherry Gin Cola</t>
  </si>
  <si>
    <t>JP Chenet Merlot</t>
  </si>
  <si>
    <t>Genuine</t>
  </si>
  <si>
    <t>Surprise</t>
  </si>
  <si>
    <t>Asda Gin Bramble</t>
  </si>
  <si>
    <t>Autumnal</t>
  </si>
  <si>
    <t>Joyous</t>
  </si>
  <si>
    <t>Archer's Peach Schnapps</t>
  </si>
  <si>
    <t>Rampunctious</t>
  </si>
  <si>
    <t>Oompful</t>
  </si>
  <si>
    <t>Saint Germont Vodka</t>
  </si>
  <si>
    <t>Glenn's</t>
  </si>
  <si>
    <t>Vibez</t>
  </si>
  <si>
    <t>Bacardi Rum</t>
  </si>
  <si>
    <t>Lime Juice</t>
  </si>
  <si>
    <t>Limey</t>
  </si>
  <si>
    <t>Firebox Unicorn Tears Gin</t>
  </si>
  <si>
    <t>Cool Shot Berry Burst</t>
  </si>
  <si>
    <t>Bloom London Dry Gin</t>
  </si>
  <si>
    <t>Floral</t>
  </si>
  <si>
    <t>Woodford Reserve</t>
  </si>
  <si>
    <t>Autumn</t>
  </si>
  <si>
    <t>Tiger</t>
  </si>
  <si>
    <t>Gun Brewery Scaramanga Extra Pale</t>
  </si>
  <si>
    <t>Enough</t>
  </si>
  <si>
    <t>Mortimer's Orchard English Apple Cider</t>
  </si>
  <si>
    <t>Rubicon Mango</t>
  </si>
  <si>
    <t>Hot Chocolate</t>
  </si>
  <si>
    <t>Red</t>
  </si>
  <si>
    <t>Club Colombia</t>
  </si>
  <si>
    <t>By The Horns Hopadelic Session IPA</t>
  </si>
  <si>
    <t>Cucha</t>
  </si>
  <si>
    <t>Parcera</t>
  </si>
  <si>
    <t>Warm Milk</t>
  </si>
  <si>
    <t>Sugar &amp; Cinnamon</t>
  </si>
  <si>
    <t>Sleepy</t>
  </si>
  <si>
    <t>Flare Cocktails On the Beach</t>
  </si>
  <si>
    <t>Belgian</t>
  </si>
  <si>
    <t>Brilliance</t>
  </si>
  <si>
    <t>Cool Shots Apple</t>
  </si>
  <si>
    <t>Snakey</t>
  </si>
  <si>
    <t>Cool Shots Tropical</t>
  </si>
  <si>
    <t>Scorpiony</t>
  </si>
  <si>
    <t>Quaffable</t>
  </si>
  <si>
    <t>Delectableness</t>
  </si>
  <si>
    <t>Muthafucka</t>
  </si>
  <si>
    <t>La Fizzyness</t>
  </si>
  <si>
    <t>Puta</t>
  </si>
  <si>
    <t>By The Horns Cosmic Warrior Pale Ale</t>
  </si>
  <si>
    <t>Pohjala Orange Gose</t>
  </si>
  <si>
    <t>Cosmically</t>
  </si>
  <si>
    <t>Hazy</t>
  </si>
  <si>
    <t>Spacy</t>
  </si>
  <si>
    <t>Beavertown Gamma Ray American Pale Ale</t>
  </si>
  <si>
    <t>Dirt</t>
  </si>
  <si>
    <t>Adnam's New England IPA</t>
  </si>
  <si>
    <t>Adnam's Crystal Rye IPA</t>
  </si>
  <si>
    <t>Bevog</t>
  </si>
  <si>
    <t>Pistonhead</t>
  </si>
  <si>
    <t>Mortimer's Orchard</t>
  </si>
  <si>
    <t>Gun Brewery</t>
  </si>
  <si>
    <t>Franziskaner</t>
  </si>
  <si>
    <t>Vocation</t>
  </si>
  <si>
    <t>Thornbridge</t>
  </si>
  <si>
    <t>Belhaven</t>
  </si>
  <si>
    <t>People Like Us</t>
  </si>
  <si>
    <t>Oakham</t>
  </si>
  <si>
    <t>Earth Station</t>
  </si>
  <si>
    <t>Strongbow Cloudy Apple</t>
  </si>
  <si>
    <t>Oh Schnapp Peach and Berries</t>
  </si>
  <si>
    <t>Disarono Amaretto</t>
  </si>
  <si>
    <t>Almond</t>
  </si>
  <si>
    <t>Thrust</t>
  </si>
  <si>
    <t>Manufactured</t>
  </si>
  <si>
    <t>Black Iris Brewery Endless Summer Session IPA</t>
  </si>
  <si>
    <t>Asda Woo Woo</t>
  </si>
  <si>
    <t>Phantom</t>
  </si>
  <si>
    <t>Grapefruit</t>
  </si>
  <si>
    <t>Shake Baby Shake Passion Fruit Martini</t>
  </si>
  <si>
    <t>North Brewing Pinata Mango + Guava Pale Ale</t>
  </si>
  <si>
    <t>Death</t>
  </si>
  <si>
    <t>Mouthwash</t>
  </si>
  <si>
    <t>Gordon's Pink Gin</t>
  </si>
  <si>
    <t>Passion</t>
  </si>
  <si>
    <t>Splash</t>
  </si>
  <si>
    <t>Twisted Cider Sunset</t>
  </si>
  <si>
    <t>Sunset</t>
  </si>
  <si>
    <t>Good</t>
  </si>
  <si>
    <t>Siren Yu Lu Session Pale Ale</t>
  </si>
  <si>
    <t>Slightly</t>
  </si>
  <si>
    <t>Tanquerray Gin</t>
  </si>
  <si>
    <t>Wild Beer Co. Fresh Extra Pale</t>
  </si>
  <si>
    <t>White Hag Hopstravaganza Hazy IPA</t>
  </si>
  <si>
    <t>Nia Harman</t>
  </si>
  <si>
    <t>Viscous</t>
  </si>
  <si>
    <t>Northen Monk Tropical World Smoothie IPA</t>
  </si>
  <si>
    <t>Jagged</t>
  </si>
  <si>
    <t>Freakishly</t>
  </si>
  <si>
    <t>Nasal</t>
  </si>
  <si>
    <t>Pilsner Urquell</t>
  </si>
  <si>
    <t>Ughhhhh</t>
  </si>
  <si>
    <t>WKD Dark Fruit</t>
  </si>
  <si>
    <t>Go</t>
  </si>
  <si>
    <t>Again</t>
  </si>
  <si>
    <t>Misguided</t>
  </si>
  <si>
    <t>Cockburn's Fine Tawny</t>
  </si>
  <si>
    <t>Grassy</t>
  </si>
  <si>
    <t>Fun</t>
  </si>
  <si>
    <t>WKD Cheeky V</t>
  </si>
  <si>
    <t>Goodness</t>
  </si>
  <si>
    <t>Pipeworks Brewing Infinite City IPA</t>
  </si>
  <si>
    <t>Wonderfully</t>
  </si>
  <si>
    <t>Cwtch</t>
  </si>
  <si>
    <t>Bloody</t>
  </si>
  <si>
    <t>Offensive</t>
  </si>
  <si>
    <t>Jason's Vanila Vodka</t>
  </si>
  <si>
    <t>Buxton Lupulous X IPA</t>
  </si>
  <si>
    <t>Sinister</t>
  </si>
  <si>
    <t>Complex</t>
  </si>
  <si>
    <t>Rustic</t>
  </si>
  <si>
    <t>Dredgy</t>
  </si>
  <si>
    <t>Childish</t>
  </si>
  <si>
    <t>Fever Tree Ginger Ale</t>
  </si>
  <si>
    <t>Wild Beer Co. Sleeping Limes</t>
  </si>
  <si>
    <t>Limes</t>
  </si>
  <si>
    <t>Against-Humanity</t>
  </si>
  <si>
    <t>Schweppes Tonic</t>
  </si>
  <si>
    <t>Wild Beer Co. Comet</t>
  </si>
  <si>
    <t>Wild Card India Pale Ale</t>
  </si>
  <si>
    <t>Brother's Toffee Apple</t>
  </si>
  <si>
    <t>Famous Grouse</t>
  </si>
  <si>
    <t>Otherworldy</t>
  </si>
  <si>
    <t>Wild Beer Co. Nebula</t>
  </si>
  <si>
    <t>Bordeaux Rose</t>
  </si>
  <si>
    <t>WKD Pink Gin</t>
  </si>
  <si>
    <t>Urine</t>
  </si>
  <si>
    <t>Rampunctiously</t>
  </si>
  <si>
    <t>Grave</t>
  </si>
  <si>
    <t>Deliciously</t>
  </si>
  <si>
    <t>Northern Monk It's Great Up North Pale Ale</t>
  </si>
  <si>
    <t>Magner's Pear</t>
  </si>
  <si>
    <t>Siren Lumina Session IPA</t>
  </si>
  <si>
    <t>Wild Beer Co. Eagle Hunter</t>
  </si>
  <si>
    <t>Perry</t>
  </si>
  <si>
    <t>Really</t>
  </si>
  <si>
    <t>Twisted Cider Bubblegum Burst</t>
  </si>
  <si>
    <t>Beauty</t>
  </si>
  <si>
    <t>Garden Brewery Micro NEIPA</t>
  </si>
  <si>
    <t>Drinker</t>
  </si>
  <si>
    <t>Score</t>
  </si>
  <si>
    <t/>
  </si>
  <si>
    <t>Northern Monk Tidal</t>
  </si>
  <si>
    <t>Verdant Brewing Headband</t>
  </si>
  <si>
    <t>Oban 14yr</t>
  </si>
  <si>
    <t>Gwynt Y Ddraig Celtic Warrior</t>
  </si>
  <si>
    <t>Weird Beard Brewery Reformatory DDH Hazy Pale</t>
  </si>
  <si>
    <t>1</t>
  </si>
  <si>
    <t>Woodgate Apple &amp; Elderflower</t>
  </si>
  <si>
    <t>Buxton King Slayer Double IPA</t>
  </si>
  <si>
    <t>Brother's Marshmallow</t>
  </si>
  <si>
    <t>Shake Baby Shake Raspberry Mojito</t>
  </si>
  <si>
    <t>Week Number</t>
  </si>
  <si>
    <t>LOWEST RATED DRINKS BY WEEK</t>
  </si>
  <si>
    <t>HIGHEST RATED DRINKS</t>
  </si>
  <si>
    <t>Drink Names</t>
  </si>
  <si>
    <t>Lowest Rated Drink(s) of the Week</t>
  </si>
  <si>
    <t>Highest Score of the Week</t>
  </si>
  <si>
    <t>Rating Word 1</t>
  </si>
  <si>
    <t>Rating Word 2</t>
  </si>
  <si>
    <t>Most Common Drink Type</t>
  </si>
  <si>
    <t>Drinks Rank</t>
  </si>
  <si>
    <t>Average Score Rank</t>
  </si>
  <si>
    <t>Lowest Scored (one of?)</t>
  </si>
  <si>
    <t>% of all drinks drunk</t>
  </si>
  <si>
    <t>WEEKLY INDIVIDUAL DRINKS TOTAL</t>
  </si>
  <si>
    <t>WEEKLY INDIVIDUAL DRINKS INCREASE</t>
  </si>
  <si>
    <t>Pepsi Max Cherry</t>
  </si>
  <si>
    <t>Lilley's Gladiator</t>
  </si>
  <si>
    <t>Diet Tonic</t>
  </si>
  <si>
    <t>Adnam's Mosaic Pale Ale</t>
  </si>
  <si>
    <t>Taurus Pear Cider</t>
  </si>
  <si>
    <t>Pale-Ale</t>
  </si>
  <si>
    <t>Thunder-Punch</t>
  </si>
  <si>
    <t>American</t>
  </si>
  <si>
    <t>Fabulous</t>
  </si>
  <si>
    <t>Calvet Rose</t>
  </si>
  <si>
    <t>Lilley's Mango</t>
  </si>
  <si>
    <t>Saint-Chinian Red</t>
  </si>
  <si>
    <t>Quirky</t>
  </si>
  <si>
    <t>Asda Tonic</t>
  </si>
  <si>
    <t>Lilley's Rhubarb</t>
  </si>
  <si>
    <t>Angioletti Cider</t>
  </si>
  <si>
    <t>SALT Jute Session IPA</t>
  </si>
  <si>
    <t>Concentrated</t>
  </si>
  <si>
    <t>Lilley's Fire Dancer</t>
  </si>
  <si>
    <t>Mobbley Big Idea Otameal Stout</t>
  </si>
  <si>
    <t>Diet Lemonade</t>
  </si>
  <si>
    <t>Carbonated</t>
  </si>
  <si>
    <t>Contemplation</t>
  </si>
  <si>
    <t>Nikka Whiskey</t>
  </si>
  <si>
    <t>Sainsbury's 3 Year Brandy</t>
  </si>
  <si>
    <t>Big Pezzer Rhubarb Gin</t>
  </si>
  <si>
    <t>Smooth-Ass</t>
  </si>
  <si>
    <t>Bloody-Lovely</t>
  </si>
  <si>
    <t>Sipsmith Lemon Drizzle Gin</t>
  </si>
  <si>
    <t>Stunningly</t>
  </si>
  <si>
    <t>Cococariba Rum</t>
  </si>
  <si>
    <t>Summer</t>
  </si>
  <si>
    <t>Holiday</t>
  </si>
  <si>
    <t>Classless</t>
  </si>
  <si>
    <t>Timotei</t>
  </si>
  <si>
    <t>Vomitus</t>
  </si>
  <si>
    <t>Devil-Cum</t>
  </si>
  <si>
    <t>Roulade</t>
  </si>
  <si>
    <t>Cool Shots Blue Lemon</t>
  </si>
  <si>
    <t>Prepubescent</t>
  </si>
  <si>
    <t>Distortion</t>
  </si>
  <si>
    <t>Sparce</t>
  </si>
  <si>
    <t>Necromancy</t>
  </si>
  <si>
    <t>Absolutely</t>
  </si>
  <si>
    <t>Sludgy</t>
  </si>
  <si>
    <t>Bread</t>
  </si>
  <si>
    <t>Freixenet</t>
  </si>
  <si>
    <t>Momentus</t>
  </si>
  <si>
    <t>Occasion</t>
  </si>
  <si>
    <t>Hard-Throat</t>
  </si>
  <si>
    <t>Nonsense</t>
  </si>
  <si>
    <t>Canti Prosecco</t>
  </si>
  <si>
    <t>Bortolomiol Prosecco</t>
  </si>
  <si>
    <t>Foul</t>
  </si>
  <si>
    <t>Efervescent</t>
  </si>
  <si>
    <t>Compost</t>
  </si>
  <si>
    <t>Asterial</t>
  </si>
  <si>
    <t>Spice</t>
  </si>
  <si>
    <t>Asda</t>
  </si>
  <si>
    <t>Fizzy-Shit</t>
  </si>
  <si>
    <t>Super Bock</t>
  </si>
  <si>
    <t>Not</t>
  </si>
  <si>
    <t>Worthy</t>
  </si>
  <si>
    <t>Unimportant</t>
  </si>
  <si>
    <t>Hoegaarden</t>
  </si>
  <si>
    <t>Two Swallows Cherry &amp; Salted Caramel Rum</t>
  </si>
  <si>
    <t>White Claw Hard Seltzer Black Cherry</t>
  </si>
  <si>
    <t>Siren Soundwave IPA</t>
  </si>
  <si>
    <t>Like-Sunday-Morning</t>
  </si>
  <si>
    <t>Perry's Cidermills Barn Owl</t>
  </si>
  <si>
    <t>Luscious</t>
  </si>
  <si>
    <t>Teenage</t>
  </si>
  <si>
    <t>Gingery</t>
  </si>
  <si>
    <t>Afterkick</t>
  </si>
  <si>
    <t>Edinburgh Gin</t>
  </si>
  <si>
    <t>Grievance</t>
  </si>
  <si>
    <t>Addictive</t>
  </si>
  <si>
    <t>Edinburgh Gin Plum &amp; Vanilla</t>
  </si>
  <si>
    <t>Cafinated</t>
  </si>
  <si>
    <t>Sugar</t>
  </si>
  <si>
    <t>Smoky</t>
  </si>
  <si>
    <t>By The Horns Spark Dust</t>
  </si>
  <si>
    <t>Brewdog O-G Hazy</t>
  </si>
  <si>
    <t>Utter</t>
  </si>
  <si>
    <t>Perfection</t>
  </si>
  <si>
    <t>Garden Brewery Flat Whtie Coffee Porter</t>
  </si>
  <si>
    <t>Scrumpy Jack</t>
  </si>
  <si>
    <t>Juicalicous</t>
  </si>
  <si>
    <t>Uncomfortable</t>
  </si>
  <si>
    <t>Wetness</t>
  </si>
  <si>
    <t>Unbeatable</t>
  </si>
  <si>
    <t>Joy</t>
  </si>
  <si>
    <t>Nice Rose</t>
  </si>
  <si>
    <t>Williams Bro Rubus Grapefruit IPA</t>
  </si>
  <si>
    <t>Sainsbury's Tropical Juice</t>
  </si>
  <si>
    <t>Wild Card Pale Ale</t>
  </si>
  <si>
    <t>Great</t>
  </si>
  <si>
    <t>Tainted</t>
  </si>
  <si>
    <t>Allrounded</t>
  </si>
  <si>
    <t>Bonerific</t>
  </si>
  <si>
    <t>By The Horns Old Smoke English Bitter</t>
  </si>
  <si>
    <t>Siren Broken Dreams Breakfast Stout</t>
  </si>
  <si>
    <t>Lilley's Strawberry Cider</t>
  </si>
  <si>
    <t>Unacceptably</t>
  </si>
  <si>
    <t>Dreary</t>
  </si>
  <si>
    <t>Lilley's</t>
  </si>
  <si>
    <t>Sum of score</t>
  </si>
  <si>
    <t>Column Labels</t>
  </si>
  <si>
    <t>Grand Total</t>
  </si>
  <si>
    <t>Row Labels</t>
  </si>
  <si>
    <t>27-Mar</t>
  </si>
  <si>
    <t>3-Apr</t>
  </si>
  <si>
    <t>10-Apr</t>
  </si>
  <si>
    <t>17-Apr</t>
  </si>
  <si>
    <t>24-Apr</t>
  </si>
  <si>
    <t>1-May</t>
  </si>
  <si>
    <t>8-May</t>
  </si>
  <si>
    <t>15-May</t>
  </si>
  <si>
    <t>22-May</t>
  </si>
  <si>
    <t>29-May</t>
  </si>
  <si>
    <t>5-Jun</t>
  </si>
  <si>
    <t>12-Jun</t>
  </si>
  <si>
    <t>19-Jun</t>
  </si>
  <si>
    <t>26-Jun</t>
  </si>
  <si>
    <t>Week</t>
  </si>
  <si>
    <t>Drinkers in Chart</t>
  </si>
  <si>
    <t>WEEKLY DRINK TYPE INCREASE</t>
  </si>
  <si>
    <t>All drinks 9.5 and above</t>
  </si>
  <si>
    <t>No. of drinks which have received 9.5 and above</t>
  </si>
  <si>
    <t>TOTAL</t>
  </si>
  <si>
    <t>WEEKLY DRINK TYPE TOTAL</t>
  </si>
  <si>
    <t>% of Total</t>
  </si>
  <si>
    <t>Lemonade &amp; Soda</t>
  </si>
  <si>
    <t>Semi-Skimmed Milk</t>
  </si>
  <si>
    <t>Ambiguious</t>
  </si>
  <si>
    <t>Strawberry Crusha</t>
  </si>
  <si>
    <t>Meon Valley Brown Trout Cider</t>
  </si>
  <si>
    <t>Mango Loco Monster</t>
  </si>
  <si>
    <t xml:space="preserve">Too </t>
  </si>
  <si>
    <t>Imperial Vintage Aspall</t>
  </si>
  <si>
    <t>Budweiser Zero</t>
  </si>
  <si>
    <t>Similar</t>
  </si>
  <si>
    <t>Mars Milkshake</t>
  </si>
  <si>
    <t xml:space="preserve">Noisy </t>
  </si>
  <si>
    <t>Camarel</t>
  </si>
  <si>
    <t>Club</t>
  </si>
  <si>
    <t>Hug</t>
  </si>
  <si>
    <t xml:space="preserve">Dry </t>
  </si>
  <si>
    <t>Eurphoria</t>
  </si>
  <si>
    <t xml:space="preserve">Strong </t>
  </si>
  <si>
    <t>Struggle</t>
  </si>
  <si>
    <t>Victoria Sponge</t>
  </si>
  <si>
    <t>Fake</t>
  </si>
  <si>
    <t>Yogurt</t>
  </si>
  <si>
    <t>Cerveza Alhambra 1925</t>
  </si>
  <si>
    <t>Drivel</t>
  </si>
  <si>
    <t xml:space="preserve">Fancy </t>
  </si>
  <si>
    <t>Chav</t>
  </si>
  <si>
    <t>Peach State Fourpure</t>
  </si>
  <si>
    <t>Vault City Yuzu Galaxy</t>
  </si>
  <si>
    <t>Meon Valley Dragonfly</t>
  </si>
  <si>
    <t>Nutrious</t>
  </si>
  <si>
    <t xml:space="preserve">Weatherspoons </t>
  </si>
  <si>
    <t>Lilleys Crazy Goat</t>
  </si>
  <si>
    <t>Fragrent</t>
  </si>
  <si>
    <t>Aeromatic</t>
  </si>
  <si>
    <t>Farmyard</t>
  </si>
  <si>
    <t>Confusion</t>
  </si>
  <si>
    <t>Plastacine</t>
  </si>
  <si>
    <t>Chunky</t>
  </si>
  <si>
    <t>Tang</t>
  </si>
  <si>
    <t>Nostalgia</t>
  </si>
  <si>
    <t>Lightness</t>
  </si>
  <si>
    <t>Absolwent Vodka</t>
  </si>
  <si>
    <t>Loki's Mead</t>
  </si>
  <si>
    <t>Cotes Du Rhone Sainsburys House Red Wine</t>
  </si>
  <si>
    <t>Oh</t>
  </si>
  <si>
    <t>Unpleasantly</t>
  </si>
  <si>
    <t>Fast</t>
  </si>
  <si>
    <t>Vintage</t>
  </si>
  <si>
    <t>Alcohol-Poisoning</t>
  </si>
  <si>
    <t xml:space="preserve">Tasty </t>
  </si>
  <si>
    <t>Glide</t>
  </si>
  <si>
    <t>Perverse</t>
  </si>
  <si>
    <t>Chococide</t>
  </si>
  <si>
    <t>Crusha Chocolate</t>
  </si>
  <si>
    <t>Burnet</t>
  </si>
  <si>
    <t>Robinsons Orange Double Strength</t>
  </si>
  <si>
    <t>Unnatural</t>
  </si>
  <si>
    <t>Cat</t>
  </si>
  <si>
    <t>Sean</t>
  </si>
  <si>
    <t>Carey</t>
  </si>
  <si>
    <t>Grotty</t>
  </si>
  <si>
    <t>Vinegar</t>
  </si>
  <si>
    <t>Brewdog Punk AF</t>
  </si>
  <si>
    <t>Lilley's Cherries and Berries</t>
  </si>
  <si>
    <t>Old Golden Hen</t>
  </si>
  <si>
    <t xml:space="preserve">Old </t>
  </si>
  <si>
    <t>Faithful</t>
  </si>
  <si>
    <t>Fourpure Shapeshifter IPA</t>
  </si>
  <si>
    <t>Fourpure Session IPA</t>
  </si>
  <si>
    <t>Fourpure Rift Valley Micro Pale Ale</t>
  </si>
  <si>
    <t>Fourpure Easy Peeler Citrus Session IPA</t>
  </si>
  <si>
    <t>Fourpure Jet Lager</t>
  </si>
  <si>
    <t>Fourpure Hemisphere Session IPA</t>
  </si>
  <si>
    <t>Fourpure Ridgeline Pale Ale</t>
  </si>
  <si>
    <t>Fourpure Juicebox Citrus IPA</t>
  </si>
  <si>
    <t>Fourpure Geyser Session IPA</t>
  </si>
  <si>
    <t>Sweetshot</t>
  </si>
  <si>
    <t>Fruit</t>
  </si>
  <si>
    <t>Dessert</t>
  </si>
  <si>
    <t>Cherry</t>
  </si>
  <si>
    <t>Licious</t>
  </si>
  <si>
    <t>Radical</t>
  </si>
  <si>
    <t>Cola</t>
  </si>
  <si>
    <t>Tendernous</t>
  </si>
  <si>
    <t>One</t>
  </si>
  <si>
    <t>Belhaven Brewery 80 Shilling</t>
  </si>
  <si>
    <t>Vocation Heart and Soul Session IPA</t>
  </si>
  <si>
    <t>Terrible</t>
  </si>
  <si>
    <t>Outstanding</t>
  </si>
  <si>
    <t>Magic Rock Saucery Session IPA</t>
  </si>
  <si>
    <t>Shot</t>
  </si>
  <si>
    <t>Optimum Chocolate Pre-Workout</t>
  </si>
  <si>
    <t xml:space="preserve">Diabetic </t>
  </si>
  <si>
    <t>Inducing</t>
  </si>
  <si>
    <t>Desperate</t>
  </si>
  <si>
    <t>Speedround</t>
  </si>
  <si>
    <t>Fundamentals</t>
  </si>
  <si>
    <t>Sadness</t>
  </si>
  <si>
    <t>Fuck</t>
  </si>
  <si>
    <t>Twisted-Sour</t>
  </si>
  <si>
    <t>Ness</t>
  </si>
  <si>
    <t>Surprises</t>
  </si>
  <si>
    <t>The-Job</t>
  </si>
  <si>
    <t>It-Does</t>
  </si>
  <si>
    <t>Fierce Brewing Undefeated Champion IPA</t>
  </si>
  <si>
    <t>Worst</t>
  </si>
  <si>
    <t>Weather</t>
  </si>
  <si>
    <t xml:space="preserve">Whistful </t>
  </si>
  <si>
    <t>No. of drinks which have received 1 and below</t>
  </si>
  <si>
    <t>All drinks 1 and below</t>
  </si>
  <si>
    <t>Suffolk Distillery</t>
  </si>
  <si>
    <t>Leffe</t>
  </si>
  <si>
    <t>Aldi</t>
  </si>
  <si>
    <t>Anglesey Distillery Black Cherry Liqueur</t>
  </si>
  <si>
    <t>Anglesey Distillery</t>
  </si>
  <si>
    <t>Tipsy Wight</t>
  </si>
  <si>
    <t>Glen Moray</t>
  </si>
  <si>
    <t>Sibling Distillery</t>
  </si>
  <si>
    <t>Hendrick's Gin</t>
  </si>
  <si>
    <t>Hendrick's</t>
  </si>
  <si>
    <t>Kopparbergs Brewery</t>
  </si>
  <si>
    <t>Kalkar Coffee Liqueur</t>
  </si>
  <si>
    <t>Kalkar</t>
  </si>
  <si>
    <t>Celtic Spirit</t>
  </si>
  <si>
    <t>Curio Spirits Company</t>
  </si>
  <si>
    <t>Black Mountain Apple &amp; Blackcurrant Brandy Liqueur</t>
  </si>
  <si>
    <t xml:space="preserve">Tiny Rebel </t>
  </si>
  <si>
    <t>Beam Suntory</t>
  </si>
  <si>
    <t>Swinkels Family Brewers</t>
  </si>
  <si>
    <t>McGuigan Wines</t>
  </si>
  <si>
    <t>Campari Group</t>
  </si>
  <si>
    <t>BORCO</t>
  </si>
  <si>
    <t>Galliano Vanilla Liqueur</t>
  </si>
  <si>
    <t>Lucas Bols</t>
  </si>
  <si>
    <t>Brand</t>
  </si>
  <si>
    <t>Sourz</t>
  </si>
  <si>
    <t>Topaz Blue</t>
  </si>
  <si>
    <t>Kopparberg</t>
  </si>
  <si>
    <t>Bavaria</t>
  </si>
  <si>
    <t>Curio</t>
  </si>
  <si>
    <t>Tamova</t>
  </si>
  <si>
    <t>Fairtrade Carmenere Red Wine</t>
  </si>
  <si>
    <t>Taste The Difference</t>
  </si>
  <si>
    <t>Galliano</t>
  </si>
  <si>
    <t>Crafty Brands</t>
  </si>
  <si>
    <t>Sxollie</t>
  </si>
  <si>
    <t>Healeys Cyder</t>
  </si>
  <si>
    <t>Rattler Cyder</t>
  </si>
  <si>
    <t>Thatchers</t>
  </si>
  <si>
    <t>Thatchers Rascal Cider</t>
  </si>
  <si>
    <t>Thatchers Katy</t>
  </si>
  <si>
    <t>Stewart Brewing</t>
  </si>
  <si>
    <t>The Libertines</t>
  </si>
  <si>
    <t>Silver Circle Distillery</t>
  </si>
  <si>
    <t>Monkey Shoulder</t>
  </si>
  <si>
    <t>William Grant &amp; Sons</t>
  </si>
  <si>
    <t>Hills</t>
  </si>
  <si>
    <t>Coop</t>
  </si>
  <si>
    <t>Bavaria low-alcohol Beer</t>
  </si>
  <si>
    <t>Proximo Spirits</t>
  </si>
  <si>
    <t>Kraken</t>
  </si>
  <si>
    <t>Lidl</t>
  </si>
  <si>
    <t>Queen Margot</t>
  </si>
  <si>
    <t>Melini</t>
  </si>
  <si>
    <t>Liquore Al Limone Limoncello</t>
  </si>
  <si>
    <t>Soplica</t>
  </si>
  <si>
    <t>Aberlour 12yr Scotch Malt Whiskey</t>
  </si>
  <si>
    <t>Aberlour</t>
  </si>
  <si>
    <t>Roust International</t>
  </si>
  <si>
    <t>Holsten Pils</t>
  </si>
  <si>
    <t xml:space="preserve">	Holsten Brewery</t>
  </si>
  <si>
    <t>Bombay Sapphire</t>
  </si>
  <si>
    <t>Bombay Spirits Company</t>
  </si>
  <si>
    <t>ILLVA Saronno</t>
  </si>
  <si>
    <t>Lucia Maria Melchiori</t>
  </si>
  <si>
    <t>Sainsburys</t>
  </si>
  <si>
    <t>Blue Curacao Orange Liqueur</t>
  </si>
  <si>
    <t>Yeastie Boys</t>
  </si>
  <si>
    <t>North Brewing Company</t>
  </si>
  <si>
    <t>Giardini di Ravello</t>
  </si>
  <si>
    <t>Wild Beer</t>
  </si>
  <si>
    <t>Diageo</t>
  </si>
  <si>
    <t>Beavertown</t>
  </si>
  <si>
    <t>Gabriel Boudier</t>
  </si>
  <si>
    <t>Aigaion Distillery</t>
  </si>
  <si>
    <t xml:space="preserve">Schladerer </t>
  </si>
  <si>
    <t>Vecchia</t>
  </si>
  <si>
    <t>Vecchia Romagna</t>
  </si>
  <si>
    <t>Jack Daniel</t>
  </si>
  <si>
    <t>Sunset Reef</t>
  </si>
  <si>
    <t>Mast-Jägermeister</t>
  </si>
  <si>
    <t>Heineken</t>
  </si>
  <si>
    <t>Oscar's Peach Schnappes</t>
  </si>
  <si>
    <t>Oscar's</t>
  </si>
  <si>
    <t>Loch Lomond Brewery</t>
  </si>
  <si>
    <t>First Chop Brewing Arm</t>
  </si>
  <si>
    <t>Waitrose</t>
  </si>
  <si>
    <t>Mondia Alliance Wine and Spirits</t>
  </si>
  <si>
    <t>Heineken International</t>
  </si>
  <si>
    <t>Strongbow</t>
  </si>
  <si>
    <t>Brewdog</t>
  </si>
  <si>
    <t>Dead Man's Fingers</t>
  </si>
  <si>
    <t>Halewood International</t>
  </si>
  <si>
    <t>Siren Calypso Dry Hopped Sour</t>
  </si>
  <si>
    <t>Siren Craft Brew</t>
  </si>
  <si>
    <t>Electric Bear Werrrd APA</t>
  </si>
  <si>
    <t>Electric Bear Brewing Co.</t>
  </si>
  <si>
    <t>Fourpure Brewing Company</t>
  </si>
  <si>
    <t>Siren Pompelmocello Grapefruit Sour IPA</t>
  </si>
  <si>
    <t>Magic Rock Brewing</t>
  </si>
  <si>
    <t>That Boutique-y Rum Company</t>
  </si>
  <si>
    <t>Absolut</t>
  </si>
  <si>
    <t>Barefoot</t>
  </si>
  <si>
    <t>Dawn Star Sauvignon Blanc</t>
  </si>
  <si>
    <t xml:space="preserve">Dawn Star </t>
  </si>
  <si>
    <t>Prospero</t>
  </si>
  <si>
    <t>Felix Solis</t>
  </si>
  <si>
    <t>Prospero Grand Selezione Prosecco</t>
  </si>
  <si>
    <t>Hopback Brewery</t>
  </si>
  <si>
    <t>Estrella Damm</t>
  </si>
  <si>
    <t>Sociedad Anónima Damm</t>
  </si>
  <si>
    <t>Old Sea Dog Black Spiced Rum</t>
  </si>
  <si>
    <t>Old Hopking</t>
  </si>
  <si>
    <t>Remy Cointreau</t>
  </si>
  <si>
    <t>Hortus Pommegranate and Rose Gin Liqueur</t>
  </si>
  <si>
    <t>Hortus</t>
  </si>
  <si>
    <t>Hopback Summer Lightning</t>
  </si>
  <si>
    <t>Tap Water</t>
  </si>
  <si>
    <t>Four Roses</t>
  </si>
  <si>
    <t>Breckenridge Brewery</t>
  </si>
  <si>
    <t>Anheuser-Busch InBev</t>
  </si>
  <si>
    <t>None</t>
  </si>
  <si>
    <t>Kopparberg Rhubarb</t>
  </si>
  <si>
    <t>Northern Monk Jam Roly Poly</t>
  </si>
  <si>
    <t>Northern Monk Brewing Company</t>
  </si>
  <si>
    <t>Corona</t>
  </si>
  <si>
    <t>Lonewolf Gin</t>
  </si>
  <si>
    <t>Rhubarb and Ginger Edinburgh Gin</t>
  </si>
  <si>
    <t>Ian Macleod Distillers</t>
  </si>
  <si>
    <t>Northern Monk Aunt Bessies Sunday Dinner</t>
  </si>
  <si>
    <t>Old Mout Berries and Cherries</t>
  </si>
  <si>
    <t>Old Mout Cider</t>
  </si>
  <si>
    <t>Scalini</t>
  </si>
  <si>
    <t>Diebels</t>
  </si>
  <si>
    <t>Fourpure Basecamp Pils</t>
  </si>
  <si>
    <t>Camden Town Brewery</t>
  </si>
  <si>
    <t>Whitley Neill</t>
  </si>
  <si>
    <t>North Brewing x Stillwater Kveik</t>
  </si>
  <si>
    <t>Hot Wood Distillery</t>
  </si>
  <si>
    <t>Shake Baby Shake</t>
  </si>
  <si>
    <t>Global Brands</t>
  </si>
  <si>
    <t>Molson Coors Beverage Company</t>
  </si>
  <si>
    <t>Captain Morgan</t>
  </si>
  <si>
    <t>Vila Nova de Gaia Ruby Port</t>
  </si>
  <si>
    <t>ASDA</t>
  </si>
  <si>
    <t>St Peter's</t>
  </si>
  <si>
    <t>Buxton Axe Edge IPA</t>
  </si>
  <si>
    <t>Buxton Brewery</t>
  </si>
  <si>
    <t>Chivas Regal</t>
  </si>
  <si>
    <t>Pernod Ricard</t>
  </si>
  <si>
    <t>Kopparberg Mixed Fruit Cider</t>
  </si>
  <si>
    <t>Prost Brewing Co.</t>
  </si>
  <si>
    <t>Whole Foods</t>
  </si>
  <si>
    <t>Amazon.com</t>
  </si>
  <si>
    <t>The White Hag Irish Brewing Company</t>
  </si>
  <si>
    <t>Innis &amp; Gunn Drop It Like Its Hop Passion Fruit IPA</t>
  </si>
  <si>
    <t>Balans Mandarin Aqua Spritz</t>
  </si>
  <si>
    <t>Balans</t>
  </si>
  <si>
    <t>Minuty Rose</t>
  </si>
  <si>
    <t xml:space="preserve">	Château Minuty</t>
  </si>
  <si>
    <t>LB7 Lisboa Red</t>
  </si>
  <si>
    <t>Portugal Vinyards</t>
  </si>
  <si>
    <t>Westons</t>
  </si>
  <si>
    <t>H.Weston &amp; Sons</t>
  </si>
  <si>
    <t>Beavertown Neck Oil Session IPA</t>
  </si>
  <si>
    <t>Jameson</t>
  </si>
  <si>
    <t>Corte Molino</t>
  </si>
  <si>
    <t>Borgo Molino</t>
  </si>
  <si>
    <t>Hogan's 2014 Vintage Cider</t>
  </si>
  <si>
    <t>Hogans</t>
  </si>
  <si>
    <t>Hogans Cider</t>
  </si>
  <si>
    <t>Aspall</t>
  </si>
  <si>
    <t>Portobello</t>
  </si>
  <si>
    <t>Tiny Rebel Holy Hand Grenade IPA</t>
  </si>
  <si>
    <t>Desnoes &amp; Geddes</t>
  </si>
  <si>
    <t>Crabbie's</t>
  </si>
  <si>
    <t>John Crabbie &amp; Co's</t>
  </si>
  <si>
    <t>Sierra Nevada Brewing Company</t>
  </si>
  <si>
    <t>Sierra Nevada</t>
  </si>
  <si>
    <t>J.J. Whitley</t>
  </si>
  <si>
    <t>Dunkertons Premium Reserve</t>
  </si>
  <si>
    <t>Dunkertons Cider Company</t>
  </si>
  <si>
    <t>Dunkertons</t>
  </si>
  <si>
    <t>Brewed by Numbers No.5 IPA</t>
  </si>
  <si>
    <t>Brew By Numbers</t>
  </si>
  <si>
    <t>Dead Man's Fingers Spiced Rum</t>
  </si>
  <si>
    <t>Dead Man's Fingers Pineapple Spiced Rum</t>
  </si>
  <si>
    <t>Dead Man's Fingers Spice Rum</t>
  </si>
  <si>
    <t>Bombardier</t>
  </si>
  <si>
    <t>Marston’s</t>
  </si>
  <si>
    <t>Blueshack Beers Radio Wave Session APA</t>
  </si>
  <si>
    <t>Blueshack Beers - Chelmsford Brewing Co</t>
  </si>
  <si>
    <t>ASDA Passion Fruit &amp; Pineapple Cider</t>
  </si>
  <si>
    <t>Jose Cuervo</t>
  </si>
  <si>
    <t>Tequila Cuervo La Rojena</t>
  </si>
  <si>
    <t>Calvors Session IPA</t>
  </si>
  <si>
    <t>Calvors</t>
  </si>
  <si>
    <t>Calvors Brewery</t>
  </si>
  <si>
    <t>Portobello Brewing Westway Pale</t>
  </si>
  <si>
    <t>Hackney x Mister B Banchee</t>
  </si>
  <si>
    <t>Hackney</t>
  </si>
  <si>
    <t>Hackney Brewery</t>
  </si>
  <si>
    <t>Mount Gay</t>
  </si>
  <si>
    <t>Mount Gay Distilleries</t>
  </si>
  <si>
    <t>Hogan's French Revelation Keeved Cider</t>
  </si>
  <si>
    <t>Chateau Ste Michelle Riesling</t>
  </si>
  <si>
    <t>Altira</t>
  </si>
  <si>
    <t>Chateau Ste. Michelle</t>
  </si>
  <si>
    <t>Bulmers</t>
  </si>
  <si>
    <t>Ringwood Brewery</t>
  </si>
  <si>
    <t>Lervig Tasty Juice IPA</t>
  </si>
  <si>
    <t xml:space="preserve">Lervig Aktiebryggeri </t>
  </si>
  <si>
    <t>Drygate Brewing Disco Forklift Truck Mango Pale Ale</t>
  </si>
  <si>
    <t>Drygate Brewing Co.</t>
  </si>
  <si>
    <t>Drygate Brewing Company</t>
  </si>
  <si>
    <t>Fourpure Peach State Peach Sour</t>
  </si>
  <si>
    <t>Red Leg Spiced Rum</t>
  </si>
  <si>
    <t>Red Leg</t>
  </si>
  <si>
    <t>Distil</t>
  </si>
  <si>
    <t>Vibrant Forest Pupa Juicy Pale Ale</t>
  </si>
  <si>
    <t>Vibrant Forest Brewery</t>
  </si>
  <si>
    <t>New Belgium Brewing Company</t>
  </si>
  <si>
    <t>Lion</t>
  </si>
  <si>
    <t>Gwynt y Ddraig</t>
  </si>
  <si>
    <t>Wychwood</t>
  </si>
  <si>
    <t>Duration Turtle's All The Way Down</t>
  </si>
  <si>
    <t>Duration</t>
  </si>
  <si>
    <t>Duration Brewing</t>
  </si>
  <si>
    <t>Coors</t>
  </si>
  <si>
    <t>Kirk &amp; Sweeney Dominican 12 Year</t>
  </si>
  <si>
    <t>3 Badge Beverage Corporation</t>
  </si>
  <si>
    <t>Sheppy's</t>
  </si>
  <si>
    <t>Sheppy's Cider Farm</t>
  </si>
  <si>
    <t>Modelo</t>
  </si>
  <si>
    <t>The Garden Brewery</t>
  </si>
  <si>
    <t>The Bird</t>
  </si>
  <si>
    <t>Little Creatures</t>
  </si>
  <si>
    <t>Northern Monk Raspberry Passion Fruit IPA 1007</t>
  </si>
  <si>
    <t>Robinsons Brewery</t>
  </si>
  <si>
    <t>The Pogues</t>
  </si>
  <si>
    <t>Taylor's</t>
  </si>
  <si>
    <t>Tribute Ale</t>
  </si>
  <si>
    <t>St Austell</t>
  </si>
  <si>
    <t>St Austell Brewery</t>
  </si>
  <si>
    <t>The Oxford Artisan Distillery</t>
  </si>
  <si>
    <t>Aspalls Imperial Cyder</t>
  </si>
  <si>
    <t>Eden Mill St Andrews</t>
  </si>
  <si>
    <t>Isle of Jura</t>
  </si>
  <si>
    <t>Emperador</t>
  </si>
  <si>
    <t>Old Peculier</t>
  </si>
  <si>
    <t>T&amp;R Theakston</t>
  </si>
  <si>
    <t>Theakston</t>
  </si>
  <si>
    <t>Purity Brewing Co</t>
  </si>
  <si>
    <t>Purity Brewing</t>
  </si>
  <si>
    <t>Cornish Orchards Gold</t>
  </si>
  <si>
    <t>Cornish Orchards</t>
  </si>
  <si>
    <t>Asahi</t>
  </si>
  <si>
    <t>Henry Westons Vintage Cider</t>
  </si>
  <si>
    <t>Plymouth</t>
  </si>
  <si>
    <t>Cranes</t>
  </si>
  <si>
    <t>Cranes Drinks</t>
  </si>
  <si>
    <t>Shipyard</t>
  </si>
  <si>
    <t>Salzerac Company</t>
  </si>
  <si>
    <t>Ardmore Legend</t>
  </si>
  <si>
    <t>Northern Monk Tuck Inn Imperial Stout</t>
  </si>
  <si>
    <t>Bells</t>
  </si>
  <si>
    <t>Bath Ales</t>
  </si>
  <si>
    <t>Veuve Clicquot</t>
  </si>
  <si>
    <t xml:space="preserve">LVMH Group </t>
  </si>
  <si>
    <t>Hawks Head Dry Stoned Stout</t>
  </si>
  <si>
    <t>Hawkshead Brewery</t>
  </si>
  <si>
    <t>Brewdog Cocoa Psycho</t>
  </si>
  <si>
    <t>Alphabet Brewing Company</t>
  </si>
  <si>
    <t>Goose Island</t>
  </si>
  <si>
    <t>Black Isle Brewing</t>
  </si>
  <si>
    <t>Camden Hells</t>
  </si>
  <si>
    <t>ABC OranguTang Tangerine Sour</t>
  </si>
  <si>
    <t>Fallen Angel</t>
  </si>
  <si>
    <t>Fallen Angel Drinks</t>
  </si>
  <si>
    <t>Ringwood Brewery Forty Niner</t>
  </si>
  <si>
    <t>Orijin</t>
  </si>
  <si>
    <t>Verdant Brewing Co</t>
  </si>
  <si>
    <t>71 Brewing Co</t>
  </si>
  <si>
    <t>Glen Moray Elgin</t>
  </si>
  <si>
    <t>Glen Moray Elgin Classic</t>
  </si>
  <si>
    <t>Savanna</t>
  </si>
  <si>
    <t>Savanna Cider</t>
  </si>
  <si>
    <t>Tesco</t>
  </si>
  <si>
    <t>Everyday Value</t>
  </si>
  <si>
    <t>Pernod Liqueur</t>
  </si>
  <si>
    <t>J.J Whitley Raspberry Vodka</t>
  </si>
  <si>
    <t>Oban</t>
  </si>
  <si>
    <t>Angels</t>
  </si>
  <si>
    <t>ICB</t>
  </si>
  <si>
    <t>Brown-Forman</t>
  </si>
  <si>
    <t>Sainsbury's Superior White Rum Expertly Blended</t>
  </si>
  <si>
    <t>Duvel Moortgat Brewery</t>
  </si>
  <si>
    <t>Adeletto Prosecco</t>
  </si>
  <si>
    <t>Bosco Viticulture</t>
  </si>
  <si>
    <t>Adeletto</t>
  </si>
  <si>
    <t>Hooch</t>
  </si>
  <si>
    <t>Williams Bros Brewing Company Chokka Blokka Mocha Stout</t>
  </si>
  <si>
    <t>Williams Bros. Brewing Co</t>
  </si>
  <si>
    <t>Williams Bros Brewing Company</t>
  </si>
  <si>
    <t>Moor Beer Company</t>
  </si>
  <si>
    <t xml:space="preserve">Carlsberg </t>
  </si>
  <si>
    <t>Frontaal Stratification DIPA</t>
  </si>
  <si>
    <t>Black Sheep Brewery</t>
  </si>
  <si>
    <t>Fourpure Monument Valley Tangerine Pale</t>
  </si>
  <si>
    <t>Bad Co.</t>
  </si>
  <si>
    <t>Sailor Jerry</t>
  </si>
  <si>
    <t>Malfy</t>
  </si>
  <si>
    <t>Shepherd Neame</t>
  </si>
  <si>
    <t>Beavertown Bloody 'Ell Blood Orange IPA</t>
  </si>
  <si>
    <t>Squawk Brewing Company</t>
  </si>
  <si>
    <t>Camerons</t>
  </si>
  <si>
    <t>Camerons Brewery</t>
  </si>
  <si>
    <t>Martini</t>
  </si>
  <si>
    <t>Grant's</t>
  </si>
  <si>
    <t>Glenfiddich 12 yr Sherry Cask</t>
  </si>
  <si>
    <t>Glenfiddich</t>
  </si>
  <si>
    <t>Sheep Dip</t>
  </si>
  <si>
    <t>Spencerfield Spirit Company</t>
  </si>
  <si>
    <t>Romanetti</t>
  </si>
  <si>
    <t>Wainwright</t>
  </si>
  <si>
    <t>Otter Brewery</t>
  </si>
  <si>
    <t>Otter</t>
  </si>
  <si>
    <t>Strongbow Rose Cider</t>
  </si>
  <si>
    <t>Robinsons</t>
  </si>
  <si>
    <t>Britvic</t>
  </si>
  <si>
    <t>Henney's</t>
  </si>
  <si>
    <t>Henney's Cider</t>
  </si>
  <si>
    <t>Kahlúa</t>
  </si>
  <si>
    <t>Glenkinchie</t>
  </si>
  <si>
    <t>Shuda</t>
  </si>
  <si>
    <t>Manchester Drinks Co.</t>
  </si>
  <si>
    <t>Willam Bros Brewing Company Elderflower and Lime Pale Ale</t>
  </si>
  <si>
    <t>Glenmorangie</t>
  </si>
  <si>
    <t>Brewhive X Hilden</t>
  </si>
  <si>
    <t>Brouwerij Frontaal X Frost Beer Works Co.</t>
  </si>
  <si>
    <t>Pipeline Brewing Co.</t>
  </si>
  <si>
    <t>Sortilège</t>
  </si>
  <si>
    <t>Stolichnaya</t>
  </si>
  <si>
    <t>SPI Group</t>
  </si>
  <si>
    <t>Sherbet Gin Raspberry</t>
  </si>
  <si>
    <t>Sherbet Gin</t>
  </si>
  <si>
    <t>Gravity Drinks</t>
  </si>
  <si>
    <t>Ron De Jeremy</t>
  </si>
  <si>
    <t>Dudda's Tun Greenhorn</t>
  </si>
  <si>
    <t>Dudda's Tun Cider</t>
  </si>
  <si>
    <t>Vasilikon Winery</t>
  </si>
  <si>
    <t>Vasilikon</t>
  </si>
  <si>
    <t>Wiper And True</t>
  </si>
  <si>
    <t>Thornbridge Brewery</t>
  </si>
  <si>
    <t>Craftwork Alpha Inception West Coast IPA</t>
  </si>
  <si>
    <t>Oakham Ales</t>
  </si>
  <si>
    <t>Tempest Brewing Co</t>
  </si>
  <si>
    <t>Crate Brewery</t>
  </si>
  <si>
    <t>Glenfiiddich 12 yr Sherry Cask</t>
  </si>
  <si>
    <t>ABC A To The K American Pale Ale</t>
  </si>
  <si>
    <t>Atlas Brewing Company</t>
  </si>
  <si>
    <t>Sinclair Breweries</t>
  </si>
  <si>
    <t>Vivir Tequila</t>
  </si>
  <si>
    <t>Vivir</t>
  </si>
  <si>
    <t>Rockstar Spirits</t>
  </si>
  <si>
    <t>Salt Beer Factory</t>
  </si>
  <si>
    <t>Anthony Draper X Sean Carey</t>
  </si>
  <si>
    <t>Anthony Draper X Daniel Hewlett</t>
  </si>
  <si>
    <t>Kentish</t>
  </si>
  <si>
    <t>Beer 52 Take Up Space Raspberry And Vanilla Spring Stout</t>
  </si>
  <si>
    <t>Beer 52 X Queer Brewing Project</t>
  </si>
  <si>
    <t>Urbanaut Mosaic Mango Sour</t>
  </si>
  <si>
    <t>Urbanaut Brewing Co</t>
  </si>
  <si>
    <t>Amundsen Dessert In A Can - Rocky Road</t>
  </si>
  <si>
    <t>Amundsen Bryggeri</t>
  </si>
  <si>
    <t>Broadland Drinks</t>
  </si>
  <si>
    <t>City of London Distillery</t>
  </si>
  <si>
    <t>The Kernal</t>
  </si>
  <si>
    <t>The Kernal Brewery</t>
  </si>
  <si>
    <t>Fleur De Prairie Rose</t>
  </si>
  <si>
    <t>Fleurs de Prairie</t>
  </si>
  <si>
    <t>Deutsch Family</t>
  </si>
  <si>
    <t>Rooster Brewing Co.</t>
  </si>
  <si>
    <t>Marks &amp; Spencer</t>
  </si>
  <si>
    <t>Tsingtao</t>
  </si>
  <si>
    <t>Pheasant Gully</t>
  </si>
  <si>
    <t xml:space="preserve">	Radeberger Group</t>
  </si>
  <si>
    <t>Leffe Lager</t>
  </si>
  <si>
    <t>Weird Beard Brew Co.</t>
  </si>
  <si>
    <t>Kopparberg Gin</t>
  </si>
  <si>
    <t>Kopparberg Mixed Fruits</t>
  </si>
  <si>
    <t>Hooper's</t>
  </si>
  <si>
    <t>St Peter's Cream Stout</t>
  </si>
  <si>
    <t>Drygate Brewery Disco Forklift Truck Mango Pale Ale</t>
  </si>
  <si>
    <t>Sandford Orchard Farmhouse Cider</t>
  </si>
  <si>
    <t>Cargo Cult</t>
  </si>
  <si>
    <t>The Small Batch Spirits Company</t>
  </si>
  <si>
    <t>Smirnoff Raspberry Vodka</t>
  </si>
  <si>
    <t>Gipsy Hill Hepcat</t>
  </si>
  <si>
    <t>Gipsy Hill Brewing Company</t>
  </si>
  <si>
    <t>Wilde Child Brewing Co.</t>
  </si>
  <si>
    <t>Bella Veroni</t>
  </si>
  <si>
    <t>Bellucci</t>
  </si>
  <si>
    <t>i heart Wines</t>
  </si>
  <si>
    <t>Freixenet Copestick</t>
  </si>
  <si>
    <t>Gallo Family</t>
  </si>
  <si>
    <t>E &amp; J Gallo Winery</t>
  </si>
  <si>
    <t>Atom Beers</t>
  </si>
  <si>
    <t>Lukas Helles Lager</t>
  </si>
  <si>
    <t>71 Brewing Company Rivet Red American Red Ale</t>
  </si>
  <si>
    <t>Harviestoun Brewery</t>
  </si>
  <si>
    <t>Harviestoun Brewery Old Engine Oil</t>
  </si>
  <si>
    <t>Harbour Brewing Company</t>
  </si>
  <si>
    <t>Dow's</t>
  </si>
  <si>
    <t>Symington Family Estates</t>
  </si>
  <si>
    <t>The Glenlivet</t>
  </si>
  <si>
    <t>Amundsen Endless Feedback No Coast IPA</t>
  </si>
  <si>
    <t>The Wimbledon Brewery Company</t>
  </si>
  <si>
    <t xml:space="preserve">Åbro Bryggeri </t>
  </si>
  <si>
    <t>Rekorderlig</t>
  </si>
  <si>
    <t>Kopparberg Mixed Fruit Light</t>
  </si>
  <si>
    <t>Vocation Brewery</t>
  </si>
  <si>
    <t>A.G. Barr</t>
  </si>
  <si>
    <t>Funkin</t>
  </si>
  <si>
    <t>Dragon Soop</t>
  </si>
  <si>
    <t>Corinthian Brands</t>
  </si>
  <si>
    <t>Hardy's</t>
  </si>
  <si>
    <t>Accolade Wines</t>
  </si>
  <si>
    <t>Rhubarb And Ginger Edinburgh Gin</t>
  </si>
  <si>
    <t>Greenall's</t>
  </si>
  <si>
    <t>Quintessential Brands Group</t>
  </si>
  <si>
    <t>Sidekick</t>
  </si>
  <si>
    <t>Kopparberg Strawberry &amp; Lime</t>
  </si>
  <si>
    <t>First Chop X Flavourly</t>
  </si>
  <si>
    <t>Flare Cocktails</t>
  </si>
  <si>
    <t>Atom Supplies</t>
  </si>
  <si>
    <t>That Boutique-y Gin Company</t>
  </si>
  <si>
    <t>Bad Co. X Flavourly</t>
  </si>
  <si>
    <t>Harviestoun Brewery Old Engine Oil Engineer's Reserve</t>
  </si>
  <si>
    <t>Hilden Brewery Fox Tale</t>
  </si>
  <si>
    <t>TrimTab Brewing</t>
  </si>
  <si>
    <t>TrimTab Brewing Company</t>
  </si>
  <si>
    <t>Boundary Road Brewery</t>
  </si>
  <si>
    <t>Westons Cider for Marks &amp; Spencer</t>
  </si>
  <si>
    <t>Kopparberg Elderflower &amp; Lime</t>
  </si>
  <si>
    <t>Thornbridge Pon Dera West Coast IPA</t>
  </si>
  <si>
    <t>Lilley's Peach</t>
  </si>
  <si>
    <t>Stella Artois</t>
  </si>
  <si>
    <t>Big Boy Bowen's Brews</t>
  </si>
  <si>
    <t>California</t>
  </si>
  <si>
    <t>Dreamin</t>
  </si>
  <si>
    <t>Sweet-Shop</t>
  </si>
  <si>
    <t>Easy-Drinking</t>
  </si>
  <si>
    <t>Urbanaut Brewing Company - Lager</t>
  </si>
  <si>
    <t>Lager</t>
  </si>
  <si>
    <t>Urbanaut Brewing Company - Cider and Blackcurrent</t>
  </si>
  <si>
    <t>Meh</t>
  </si>
  <si>
    <t>Cotswold Premium Lager</t>
  </si>
  <si>
    <t>Premium</t>
  </si>
  <si>
    <t>Sol</t>
  </si>
  <si>
    <t>Mint, Lime, Sugar</t>
  </si>
  <si>
    <t>Jim Beam Burbon</t>
  </si>
  <si>
    <t>It</t>
  </si>
  <si>
    <t>Works</t>
  </si>
  <si>
    <t>Dan</t>
  </si>
  <si>
    <t>Mistaken</t>
  </si>
  <si>
    <t>Smirnoff Seltzer Orange &amp; Grapefruit</t>
  </si>
  <si>
    <t xml:space="preserve">Winemaker's Choice South Eastern Australia Shiraz </t>
  </si>
  <si>
    <t>Medicore</t>
  </si>
  <si>
    <t>Zingy</t>
  </si>
  <si>
    <t>Body</t>
  </si>
  <si>
    <t>Spray</t>
  </si>
  <si>
    <t>Beer(?)</t>
  </si>
  <si>
    <t>Low-Key</t>
  </si>
  <si>
    <t>Shabby</t>
  </si>
  <si>
    <t>Not-Too</t>
  </si>
  <si>
    <t>Eye</t>
  </si>
  <si>
    <t>Opener</t>
  </si>
  <si>
    <t>Fluid</t>
  </si>
  <si>
    <t>Urbanaut Brewing Company - Cider &amp; Lagar Combo (Snakebite)</t>
  </si>
  <si>
    <t>Angry Orchard Original</t>
  </si>
  <si>
    <t>Northern Monk Neopolitan</t>
  </si>
  <si>
    <t>Stone</t>
  </si>
  <si>
    <t>Stone Brewery Never Ending Haze</t>
  </si>
  <si>
    <t>Fuzz</t>
  </si>
  <si>
    <t>Laid-Back Lumberjack</t>
  </si>
  <si>
    <t>Against The Grain</t>
  </si>
  <si>
    <t xml:space="preserve">Cachaca 51 - Raspberry and Mint Caipriana </t>
  </si>
  <si>
    <t>Porterhouse IPA</t>
  </si>
  <si>
    <t>Margarita Mix</t>
  </si>
  <si>
    <t>Mexican</t>
  </si>
  <si>
    <t>Fiesta</t>
  </si>
  <si>
    <t>Brendy Boy Lavender Cider - Mayfield Original</t>
  </si>
  <si>
    <t>Remember</t>
  </si>
  <si>
    <t>Golden Champion</t>
  </si>
  <si>
    <t>Fowl</t>
  </si>
  <si>
    <t>Milky</t>
  </si>
  <si>
    <t>West-Country</t>
  </si>
  <si>
    <t>Dish-Cloth</t>
  </si>
  <si>
    <t>Gassy</t>
  </si>
  <si>
    <t>Funk</t>
  </si>
  <si>
    <t>Bols Triple Sec</t>
  </si>
  <si>
    <t>Bols Triple sec</t>
  </si>
  <si>
    <t>Forest</t>
  </si>
  <si>
    <t>Burning Sky Brewers and Blenders - Out Of Vogue West Coast Pale</t>
  </si>
  <si>
    <t>Dayz</t>
  </si>
  <si>
    <t>Late</t>
  </si>
  <si>
    <t>Finish</t>
  </si>
  <si>
    <t>Rekorderlig Passionfruit</t>
  </si>
  <si>
    <t>Non-Alcoholic Ceeders Classic Juniper - Alt Gin</t>
  </si>
  <si>
    <t>Fever Tree Tonic</t>
  </si>
  <si>
    <t>Cola Sainsburys</t>
  </si>
  <si>
    <t>Glorious</t>
  </si>
  <si>
    <t>Climax</t>
  </si>
  <si>
    <t>Pinot Grigio - Delle Venezie - Lucotto</t>
  </si>
  <si>
    <t>Slghtly-Above</t>
  </si>
  <si>
    <t>Par</t>
  </si>
  <si>
    <t>Silly</t>
  </si>
  <si>
    <t>Billy</t>
  </si>
  <si>
    <t>Dilute</t>
  </si>
  <si>
    <t>Slightly-Below</t>
  </si>
  <si>
    <t>Bols</t>
  </si>
  <si>
    <t>38%%</t>
  </si>
  <si>
    <t>Lilley's Cider</t>
  </si>
  <si>
    <t>Cotswold Brew Co</t>
  </si>
  <si>
    <t>Jim Beam</t>
  </si>
  <si>
    <t>Winemakers Choice</t>
  </si>
  <si>
    <t>The Infusionist Mango, Papaya &amp; Yuzu Vodka Liqueur</t>
  </si>
  <si>
    <t>The Infusionist</t>
  </si>
  <si>
    <t>Angry Orchard</t>
  </si>
  <si>
    <t>Boston Beer Co.</t>
  </si>
  <si>
    <t>Cachaca 51</t>
  </si>
  <si>
    <t>Companhia Müller de bebidas</t>
  </si>
  <si>
    <t>Stone Brewing</t>
  </si>
  <si>
    <t>Porterhouse</t>
  </si>
  <si>
    <t>Porterhouse Brew Co.</t>
  </si>
  <si>
    <t>Mayfield</t>
  </si>
  <si>
    <t>Mayfield Lavender</t>
  </si>
  <si>
    <t>Badger</t>
  </si>
  <si>
    <t>Burning Sky</t>
  </si>
  <si>
    <t>Burning Sky Beer</t>
  </si>
  <si>
    <t>Ceder's Classic Non-Alcoholic  Juniper - Alt Gin</t>
  </si>
  <si>
    <t>Ceder's</t>
  </si>
  <si>
    <t>Ceder's Drinks</t>
  </si>
  <si>
    <t>Lucotto</t>
  </si>
  <si>
    <t>Sortilege Maple Syrup Liqueur</t>
  </si>
  <si>
    <t>Brlo Happy Pils</t>
  </si>
  <si>
    <t>BRLO</t>
  </si>
  <si>
    <t>Sidekick Strawberry &amp; Cream</t>
  </si>
  <si>
    <t>Samuel Joe's</t>
  </si>
  <si>
    <t>SHS Drinks</t>
  </si>
  <si>
    <t>WKD</t>
  </si>
  <si>
    <t>Sheppy's Cider Farm Somerset Dabinett Apple Cider</t>
  </si>
  <si>
    <t>Belhaven Black Scottish Stout</t>
  </si>
  <si>
    <t>Greene King</t>
  </si>
  <si>
    <t>By The Horns Brewing Co.</t>
  </si>
  <si>
    <t>Brewdog X Evil Twin</t>
  </si>
  <si>
    <t>Thornbridge X North Brewing Co.</t>
  </si>
  <si>
    <t>Courage</t>
  </si>
  <si>
    <t>Flavourly X By The Horns Brewing Co.</t>
  </si>
  <si>
    <t>Wild Card Brewery</t>
  </si>
  <si>
    <t>Kirkstall Brewery Providence New England Pale</t>
  </si>
  <si>
    <t>Kirkstall Brewery Company</t>
  </si>
  <si>
    <t>Fourpure Brewing Company X Flavourly</t>
  </si>
  <si>
    <t>Stormtrooper</t>
  </si>
  <si>
    <t>St Peter's Space Craft Beer Stormtrooper Pale Ale</t>
  </si>
  <si>
    <t>Brewdog Barnard Castle Eye Test</t>
  </si>
  <si>
    <t>Spendrups Bryggeri AB</t>
  </si>
  <si>
    <t>Hogs Back Hogstar</t>
  </si>
  <si>
    <t>Hogs Back Brewery</t>
  </si>
  <si>
    <t>Hogs Back</t>
  </si>
  <si>
    <t>Adroit Brewery Future You Hates You Russian Imperial Stout</t>
  </si>
  <si>
    <t>Adroit Theory X Cushwa Brewing</t>
  </si>
  <si>
    <t>Ozeki</t>
  </si>
  <si>
    <t>Ozeki Sake</t>
  </si>
  <si>
    <t>Plaza Centro</t>
  </si>
  <si>
    <t>Cantine Maschio</t>
  </si>
  <si>
    <t>Sangster's</t>
  </si>
  <si>
    <t>Cool Shot</t>
  </si>
  <si>
    <t>Enjoydrinks</t>
  </si>
  <si>
    <t>71 Brewing Company Lager</t>
  </si>
  <si>
    <t>Destilado de Agave</t>
  </si>
  <si>
    <t>Aguirreña</t>
  </si>
  <si>
    <t>Boon Rawd Brewery</t>
  </si>
  <si>
    <t>J.P. Chenet</t>
  </si>
  <si>
    <t>Archers</t>
  </si>
  <si>
    <t>G W Archer &amp; Co Distillery</t>
  </si>
  <si>
    <t>Firebox</t>
  </si>
  <si>
    <t>Bloom</t>
  </si>
  <si>
    <t>Adnams Southwold</t>
  </si>
  <si>
    <t>Bevog Brauhaus The Haze Out Of Space DDH IPA</t>
  </si>
  <si>
    <t>Bevog Brauhaus</t>
  </si>
  <si>
    <t>Põhjala</t>
  </si>
  <si>
    <t>Põhjala Brewing AS</t>
  </si>
  <si>
    <t>Woodgate</t>
  </si>
  <si>
    <t>By The Horns Heat Wave British Pale Ale</t>
  </si>
  <si>
    <t>Budweiser Budvar</t>
  </si>
  <si>
    <t>Black Iris Brewery</t>
  </si>
  <si>
    <t>Twisted Cider</t>
  </si>
  <si>
    <t>That Boutique-y Pineapple Gin Mule</t>
  </si>
  <si>
    <t>Vault City Apricot Mosaic Sour</t>
  </si>
  <si>
    <t>Vault City Brewing</t>
  </si>
  <si>
    <t>The Lakes Rhubarb &amp; Rosehip Gin Liqueur</t>
  </si>
  <si>
    <t>The Lakes Distillery</t>
  </si>
  <si>
    <t>Tanqueray</t>
  </si>
  <si>
    <t>The White Hag Irish Brewing Company X Crosby Hop Farm X Loughran Brewing Stores</t>
  </si>
  <si>
    <t>Rekorderlig Strawberry-Lime</t>
  </si>
  <si>
    <t>Åbro Bryggeri</t>
  </si>
  <si>
    <t>The Kernel IPA Citra</t>
  </si>
  <si>
    <t>Pilsner Urquell Brewery</t>
  </si>
  <si>
    <t>Baileys</t>
  </si>
  <si>
    <t xml:space="preserve">Sidekick Strawberry </t>
  </si>
  <si>
    <t>Cockburn's</t>
  </si>
  <si>
    <t>Pipeworks Brewing Co</t>
  </si>
  <si>
    <t>Brothers</t>
  </si>
  <si>
    <t>Brothers Cider</t>
  </si>
  <si>
    <t>Wild Beer X Flavourly</t>
  </si>
  <si>
    <t>The Famous Grouse</t>
  </si>
  <si>
    <t>Edrington</t>
  </si>
  <si>
    <t>Bulleit Borbon</t>
  </si>
  <si>
    <t>Bulleit</t>
  </si>
  <si>
    <t>McGuigan Estate Shiraz</t>
  </si>
  <si>
    <t>Australian Vintage</t>
  </si>
  <si>
    <t>McGuigan</t>
  </si>
  <si>
    <t>Wild Beer Co. Pogo Pale Ale</t>
  </si>
  <si>
    <t>Magners</t>
  </si>
  <si>
    <t>C&amp;C Group</t>
  </si>
  <si>
    <t>Taurus</t>
  </si>
  <si>
    <t>Magic Rock High Wire West Coast Pale Ale</t>
  </si>
  <si>
    <t xml:space="preserve">Andrew Peace Shiraz </t>
  </si>
  <si>
    <t>Andrew Peace</t>
  </si>
  <si>
    <t>Andrew Peace Wines</t>
  </si>
  <si>
    <t>Calvet</t>
  </si>
  <si>
    <t>Maison Fortant X Tesco</t>
  </si>
  <si>
    <t>Doom Bar</t>
  </si>
  <si>
    <t>Sharp's</t>
  </si>
  <si>
    <t>The Mobberley Brewhouse</t>
  </si>
  <si>
    <t>Mobberley Brewhouse</t>
  </si>
  <si>
    <t>Nikka</t>
  </si>
  <si>
    <t>Big Pezzer Gin</t>
  </si>
  <si>
    <t>CocoCariba</t>
  </si>
  <si>
    <t>Captain Morgan Dark Rum</t>
  </si>
  <si>
    <t>Tanqueray Flor de Sevilla Distilled Gin</t>
  </si>
  <si>
    <t>Oetker Group</t>
  </si>
  <si>
    <t>Canti</t>
  </si>
  <si>
    <t>Allini Vino Prosecco Spumante</t>
  </si>
  <si>
    <t>Allini</t>
  </si>
  <si>
    <t>Bortolomiol</t>
  </si>
  <si>
    <t>Super Bock Group</t>
  </si>
  <si>
    <t>Asda Extra Special Passion Fruit &amp; Pineapple Cider</t>
  </si>
  <si>
    <t>Siren Sound Wave IPA</t>
  </si>
  <si>
    <t>Mark Anthony Brands International</t>
  </si>
  <si>
    <t>Vault City Mandarina Mandarin</t>
  </si>
  <si>
    <t>Perry's Cider</t>
  </si>
  <si>
    <t>Patrón</t>
  </si>
  <si>
    <t>Café Patrón Tequila</t>
  </si>
  <si>
    <t>Kernel Mosaic IPA</t>
  </si>
  <si>
    <t>Hog's Back T.E.A</t>
  </si>
  <si>
    <t>To Øl House of Pale</t>
  </si>
  <si>
    <t>To Øl</t>
  </si>
  <si>
    <t>Crusha</t>
  </si>
  <si>
    <t>Silver Spoon</t>
  </si>
  <si>
    <t>Shipyard American Indian Pale Ale</t>
  </si>
  <si>
    <t>Meon Valley Cider</t>
  </si>
  <si>
    <t>Monster</t>
  </si>
  <si>
    <t>Monster Beverage Corporation</t>
  </si>
  <si>
    <t>Mars</t>
  </si>
  <si>
    <t>Alhambra</t>
  </si>
  <si>
    <t>Mahou San Miguel</t>
  </si>
  <si>
    <t>PinotPinot Pinot Grigio Fizz</t>
  </si>
  <si>
    <t>PinotPinot</t>
  </si>
  <si>
    <t>Off Piste Wines</t>
  </si>
  <si>
    <t xml:space="preserve">By The Horns Kaz-Fusion </t>
  </si>
  <si>
    <t>Tanqueray Fever Tree Mediterranean Tonic</t>
  </si>
  <si>
    <t>WRCLW</t>
  </si>
  <si>
    <t>Browar Stu Mostów</t>
  </si>
  <si>
    <t>Absolwent</t>
  </si>
  <si>
    <t>Polmos Białystok</t>
  </si>
  <si>
    <t>Lancashire Mead Company</t>
  </si>
  <si>
    <t>Himbeere Blackforset Raspberry Liquour</t>
  </si>
  <si>
    <t>Himbeere Black Forest Raspberry Liqueur</t>
  </si>
  <si>
    <t>Rhubis Chocolate Velvet Ruby Port</t>
  </si>
  <si>
    <t>Rubis</t>
  </si>
  <si>
    <t>Rubis International</t>
  </si>
  <si>
    <t>Stewart Brewing Radical Road Pale Ale</t>
  </si>
  <si>
    <t>Chaplin &amp; Cork's</t>
  </si>
  <si>
    <t>Flare Cocktails Cosmo</t>
  </si>
  <si>
    <t>Campo Viejo Roja</t>
  </si>
  <si>
    <t>Campo Viejo</t>
  </si>
  <si>
    <t>iHeart Prosecco</t>
  </si>
  <si>
    <t>Mortimer's English Berry Cider</t>
  </si>
  <si>
    <t>Greene King IPA</t>
  </si>
  <si>
    <t>Fierce</t>
  </si>
  <si>
    <t>Fierce Brewing</t>
  </si>
  <si>
    <t>Atlántico Rum</t>
  </si>
  <si>
    <t>Trinity</t>
  </si>
  <si>
    <t>PinotPinot Pinot Grigio Pink Fizz</t>
  </si>
  <si>
    <t>Cranes Raspberries &amp; Pomegranates</t>
  </si>
  <si>
    <t>Cranes Blueberries &amp; Apples</t>
  </si>
  <si>
    <t>ABV(%)</t>
  </si>
  <si>
    <t>Hall &amp; Woodhouse</t>
  </si>
  <si>
    <t>Search</t>
  </si>
  <si>
    <t>Drink Component</t>
  </si>
  <si>
    <t>Suffolk Distillery Strawberry and Cucumber Gin</t>
  </si>
  <si>
    <t>Highest Ever Rating</t>
  </si>
  <si>
    <t>Weeks Participated</t>
  </si>
  <si>
    <t>Average Drinks Total</t>
  </si>
  <si>
    <t>Lowest Ever Rating</t>
  </si>
  <si>
    <t>Total #</t>
  </si>
  <si>
    <t>Well-Rounded</t>
  </si>
  <si>
    <t>Self-Isolating</t>
  </si>
  <si>
    <t>Grimey</t>
  </si>
  <si>
    <t>Reviving</t>
  </si>
  <si>
    <t>Inoffensive</t>
  </si>
  <si>
    <t>Scrumptious</t>
  </si>
  <si>
    <t>Vapid</t>
  </si>
  <si>
    <t>Bitter-Sweet</t>
  </si>
  <si>
    <t>Allbaronedrinkesque</t>
  </si>
  <si>
    <t>Entry-Level</t>
  </si>
  <si>
    <t>Thirst-Quenching</t>
  </si>
  <si>
    <t>Enthralling</t>
  </si>
  <si>
    <t>Woody</t>
  </si>
  <si>
    <t>Old</t>
  </si>
  <si>
    <t>Prosaic</t>
  </si>
  <si>
    <t>Murky</t>
  </si>
  <si>
    <t>Inviting</t>
  </si>
  <si>
    <t>Magnificently</t>
  </si>
  <si>
    <t>Resonant</t>
  </si>
  <si>
    <t>Chocolatey</t>
  </si>
  <si>
    <t>Tedious</t>
  </si>
  <si>
    <t>Bilious</t>
  </si>
  <si>
    <t>Uninspired</t>
  </si>
  <si>
    <t>Sunshine</t>
  </si>
  <si>
    <t>Flavoursome</t>
  </si>
  <si>
    <t>Marzipan</t>
  </si>
  <si>
    <t>Chocolate</t>
  </si>
  <si>
    <t>Organic</t>
  </si>
  <si>
    <t>Foggy</t>
  </si>
  <si>
    <t>Caramelly</t>
  </si>
  <si>
    <t>Sherbetty</t>
  </si>
  <si>
    <t>Stealthy</t>
  </si>
  <si>
    <t>Competent</t>
  </si>
  <si>
    <t>Savoury</t>
  </si>
  <si>
    <t>Fair</t>
  </si>
  <si>
    <t>Palma</t>
  </si>
  <si>
    <t>Scandalous</t>
  </si>
  <si>
    <t>Musky</t>
  </si>
  <si>
    <t>Imperial</t>
  </si>
  <si>
    <t>Basicy</t>
  </si>
  <si>
    <t>Masterfly</t>
  </si>
  <si>
    <t>Run-Of-The-Mill</t>
  </si>
  <si>
    <t>Robust</t>
  </si>
  <si>
    <t>Fighty</t>
  </si>
  <si>
    <t>Rusty</t>
  </si>
  <si>
    <t>Quaint</t>
  </si>
  <si>
    <t>Regrettable</t>
  </si>
  <si>
    <t>Barley</t>
  </si>
  <si>
    <t>Dog</t>
  </si>
  <si>
    <t>Comfortably</t>
  </si>
  <si>
    <t>Brutal</t>
  </si>
  <si>
    <t>Honeyed</t>
  </si>
  <si>
    <t>Rose</t>
  </si>
  <si>
    <t>Devlishly</t>
  </si>
  <si>
    <t>Background</t>
  </si>
  <si>
    <t>Homosexual</t>
  </si>
  <si>
    <t>Bellicose</t>
  </si>
  <si>
    <t>Abrasive</t>
  </si>
  <si>
    <t>Beginner</t>
  </si>
  <si>
    <t>Passionfruity</t>
  </si>
  <si>
    <t>Peppery</t>
  </si>
  <si>
    <t>Chokka</t>
  </si>
  <si>
    <t>Rock</t>
  </si>
  <si>
    <t>Custardy</t>
  </si>
  <si>
    <t>Thoughtful</t>
  </si>
  <si>
    <t>Rural</t>
  </si>
  <si>
    <t>Citrussy</t>
  </si>
  <si>
    <t>Resonous</t>
  </si>
  <si>
    <t>Claggy</t>
  </si>
  <si>
    <t>Cucumbering</t>
  </si>
  <si>
    <t>Chalky</t>
  </si>
  <si>
    <t>Palatable</t>
  </si>
  <si>
    <t>Primal</t>
  </si>
  <si>
    <t>Riotous</t>
  </si>
  <si>
    <t>Tender</t>
  </si>
  <si>
    <t>Sunripened</t>
  </si>
  <si>
    <t>Pretty</t>
  </si>
  <si>
    <t>Cheerful</t>
  </si>
  <si>
    <t>Weak</t>
  </si>
  <si>
    <t>Trendy</t>
  </si>
  <si>
    <t>Minty</t>
  </si>
  <si>
    <t>Hideous</t>
  </si>
  <si>
    <t>Hardcore</t>
  </si>
  <si>
    <t>Colonial</t>
  </si>
  <si>
    <t>Rooty</t>
  </si>
  <si>
    <t>Trash-Tier</t>
  </si>
  <si>
    <t>Throaty</t>
  </si>
  <si>
    <t>Mouthwatering</t>
  </si>
  <si>
    <t>Risably</t>
  </si>
  <si>
    <t>Mildly-Exotic</t>
  </si>
  <si>
    <t>Super</t>
  </si>
  <si>
    <t>Spring</t>
  </si>
  <si>
    <t>Dark-Web</t>
  </si>
  <si>
    <t>Depression</t>
  </si>
  <si>
    <t>Best-Ever</t>
  </si>
  <si>
    <t>Acceptanly</t>
  </si>
  <si>
    <t>Comforting</t>
  </si>
  <si>
    <t>Contemporary</t>
  </si>
  <si>
    <t>So</t>
  </si>
  <si>
    <t>Dettol</t>
  </si>
  <si>
    <t>Straight</t>
  </si>
  <si>
    <t>Beachy</t>
  </si>
  <si>
    <t>Cloudesque</t>
  </si>
  <si>
    <t>Universityesque</t>
  </si>
  <si>
    <t>Open</t>
  </si>
  <si>
    <t>Lemony</t>
  </si>
  <si>
    <t>Pithy</t>
  </si>
  <si>
    <t>Remarkably</t>
  </si>
  <si>
    <t>Eggy</t>
  </si>
  <si>
    <t>Shocking</t>
  </si>
  <si>
    <t>Disagreeable</t>
  </si>
  <si>
    <t>Medicinal</t>
  </si>
  <si>
    <t>Refined</t>
  </si>
  <si>
    <t>Typical</t>
  </si>
  <si>
    <t>Pushy</t>
  </si>
  <si>
    <t>Devine</t>
  </si>
  <si>
    <t>Grungy</t>
  </si>
  <si>
    <t>Wank</t>
  </si>
  <si>
    <t>Obnoxious</t>
  </si>
  <si>
    <t>Deceptively</t>
  </si>
  <si>
    <t>Pleasing</t>
  </si>
  <si>
    <t>Beans</t>
  </si>
  <si>
    <t>Growernotashower</t>
  </si>
  <si>
    <t>Stikingly</t>
  </si>
  <si>
    <t>Idol</t>
  </si>
  <si>
    <t>Frity</t>
  </si>
  <si>
    <t>Poo</t>
  </si>
  <si>
    <t>Enzymatic</t>
  </si>
  <si>
    <t>Sweaddy</t>
  </si>
  <si>
    <t>Truthful</t>
  </si>
  <si>
    <t>Tangfully</t>
  </si>
  <si>
    <t>Sublime</t>
  </si>
  <si>
    <t>Divine</t>
  </si>
  <si>
    <t>Rancid</t>
  </si>
  <si>
    <t>Shitty</t>
  </si>
  <si>
    <t>Ironic</t>
  </si>
  <si>
    <t>Jazzy</t>
  </si>
  <si>
    <t>Delectably</t>
  </si>
  <si>
    <t>Spritely</t>
  </si>
  <si>
    <t>Reasonably</t>
  </si>
  <si>
    <t>Christ-Tier</t>
  </si>
  <si>
    <t>Dense</t>
  </si>
  <si>
    <t>Expectantly</t>
  </si>
  <si>
    <t>Cherries</t>
  </si>
  <si>
    <t>Shimmering</t>
  </si>
  <si>
    <t>Unlawful</t>
  </si>
  <si>
    <t>Does-The-Job</t>
  </si>
  <si>
    <t>Flavour-Bursting</t>
  </si>
  <si>
    <t>Deliriously</t>
  </si>
  <si>
    <t>Sunflowery</t>
  </si>
  <si>
    <t>Nonoptimal</t>
  </si>
  <si>
    <t>Lemon</t>
  </si>
  <si>
    <t>Dissipating</t>
  </si>
  <si>
    <t>Rapey</t>
  </si>
  <si>
    <t>Weirdly</t>
  </si>
  <si>
    <t>Almost</t>
  </si>
  <si>
    <t>Dirty</t>
  </si>
  <si>
    <t>Pre-School</t>
  </si>
  <si>
    <t>Flirtacious</t>
  </si>
  <si>
    <t>Fiery</t>
  </si>
  <si>
    <t>Liquid</t>
  </si>
  <si>
    <t>Saltry</t>
  </si>
  <si>
    <t>Vivacious</t>
  </si>
  <si>
    <t>Crisply</t>
  </si>
  <si>
    <t>Zombie</t>
  </si>
  <si>
    <t>Juicalicious</t>
  </si>
  <si>
    <t>Ruby</t>
  </si>
  <si>
    <t>Acrid</t>
  </si>
  <si>
    <t>Inate</t>
  </si>
  <si>
    <t>Panoramic</t>
  </si>
  <si>
    <t>Distinctly</t>
  </si>
  <si>
    <t>Entry</t>
  </si>
  <si>
    <t>Media</t>
  </si>
  <si>
    <t>Worryingly</t>
  </si>
  <si>
    <t>Isolated</t>
  </si>
  <si>
    <t>Pornographic</t>
  </si>
  <si>
    <t>Herbalicious</t>
  </si>
  <si>
    <t>A-Literal</t>
  </si>
  <si>
    <t>Jammy</t>
  </si>
  <si>
    <t>Alcoholic</t>
  </si>
  <si>
    <t>Horrific</t>
  </si>
  <si>
    <t>In</t>
  </si>
  <si>
    <t>Distilled</t>
  </si>
  <si>
    <t>Should-Not</t>
  </si>
  <si>
    <t>Dog-Shit</t>
  </si>
  <si>
    <t>Flush</t>
  </si>
  <si>
    <t>Ball-Tingly</t>
  </si>
  <si>
    <t>Overpriced</t>
  </si>
  <si>
    <t>Palateable</t>
  </si>
  <si>
    <t>Clenchy</t>
  </si>
  <si>
    <t>Sovereign</t>
  </si>
  <si>
    <t>Regret</t>
  </si>
  <si>
    <t>Honest</t>
  </si>
  <si>
    <t>Memorable</t>
  </si>
  <si>
    <t>Spectacular</t>
  </si>
  <si>
    <t>Desperadoey</t>
  </si>
  <si>
    <t>Astonishing</t>
  </si>
  <si>
    <t>Irritating</t>
  </si>
  <si>
    <t>Crack</t>
  </si>
  <si>
    <t>Downable</t>
  </si>
  <si>
    <t>Cuddly</t>
  </si>
  <si>
    <t>Irksome</t>
  </si>
  <si>
    <t>Splendiferous</t>
  </si>
  <si>
    <t>Wearysome</t>
  </si>
  <si>
    <t>Niggling</t>
  </si>
  <si>
    <t>Spooky</t>
  </si>
  <si>
    <t>Mouldy</t>
  </si>
  <si>
    <t>Ipa</t>
  </si>
  <si>
    <t>Hostile</t>
  </si>
  <si>
    <t>Dude</t>
  </si>
  <si>
    <t>Spikey</t>
  </si>
  <si>
    <t>Envelpoing</t>
  </si>
  <si>
    <t>Anti-Freeze</t>
  </si>
  <si>
    <t>Lackadaisical</t>
  </si>
  <si>
    <t>Abominable</t>
  </si>
  <si>
    <t>Joyful</t>
  </si>
  <si>
    <t>Un-Shit</t>
  </si>
  <si>
    <t>Shanty</t>
  </si>
  <si>
    <t>Persistent</t>
  </si>
  <si>
    <t>Enlightening</t>
  </si>
  <si>
    <t>Violets</t>
  </si>
  <si>
    <t>Phenomenal</t>
  </si>
  <si>
    <t>Scam</t>
  </si>
  <si>
    <t>Intense</t>
  </si>
  <si>
    <t>Classic</t>
  </si>
  <si>
    <t>Friendly</t>
  </si>
  <si>
    <t>Potable</t>
  </si>
  <si>
    <t>Brusque</t>
  </si>
  <si>
    <t>Interesting</t>
  </si>
  <si>
    <t>Seabound</t>
  </si>
  <si>
    <t>Copper</t>
  </si>
  <si>
    <t>Charcoaled</t>
  </si>
  <si>
    <t>Tight</t>
  </si>
  <si>
    <t>Ashy</t>
  </si>
  <si>
    <t>Pastel</t>
  </si>
  <si>
    <t>Tropic</t>
  </si>
  <si>
    <t>Insular</t>
  </si>
  <si>
    <t>Sickening</t>
  </si>
  <si>
    <t>Luminous</t>
  </si>
  <si>
    <t>Redeemable</t>
  </si>
  <si>
    <t>Agreeable</t>
  </si>
  <si>
    <t>Overly-Agreeable</t>
  </si>
  <si>
    <t>Petals</t>
  </si>
  <si>
    <t>Hansome</t>
  </si>
  <si>
    <t>Solid</t>
  </si>
  <si>
    <t>Done</t>
  </si>
  <si>
    <t>Bombastic</t>
  </si>
  <si>
    <t>Deluxe</t>
  </si>
  <si>
    <t>Stark</t>
  </si>
  <si>
    <t>Unpopular</t>
  </si>
  <si>
    <t>Grapes</t>
  </si>
  <si>
    <t>Keen</t>
  </si>
  <si>
    <t>Blokka</t>
  </si>
  <si>
    <t>Bastardised</t>
  </si>
  <si>
    <t>Relaxed</t>
  </si>
  <si>
    <t>Wonderment</t>
  </si>
  <si>
    <t>Open-Celled</t>
  </si>
  <si>
    <t>Ambrosial</t>
  </si>
  <si>
    <t>Biological</t>
  </si>
  <si>
    <t>Ruminating</t>
  </si>
  <si>
    <t>Bouncy</t>
  </si>
  <si>
    <t>Discordant</t>
  </si>
  <si>
    <t>Amber</t>
  </si>
  <si>
    <t>Bollocks</t>
  </si>
  <si>
    <t>Comfort</t>
  </si>
  <si>
    <t>Sessionable</t>
  </si>
  <si>
    <t>Filling</t>
  </si>
  <si>
    <t>Plus</t>
  </si>
  <si>
    <t>Nuanced</t>
  </si>
  <si>
    <t>Homely</t>
  </si>
  <si>
    <t>Pathertic</t>
  </si>
  <si>
    <t>Rich (For A Lager)</t>
  </si>
  <si>
    <t>Burny</t>
  </si>
  <si>
    <t>Gorgeous</t>
  </si>
  <si>
    <t>Perppery</t>
  </si>
  <si>
    <t>Excessive</t>
  </si>
  <si>
    <t>Plasticinesque</t>
  </si>
  <si>
    <t>Opressive</t>
  </si>
  <si>
    <t>Caper</t>
  </si>
  <si>
    <t>Incredible</t>
  </si>
  <si>
    <t>Heaven</t>
  </si>
  <si>
    <t>Garbo</t>
  </si>
  <si>
    <t>Nonsensicle</t>
  </si>
  <si>
    <t>Sunny</t>
  </si>
  <si>
    <t>Inspiring</t>
  </si>
  <si>
    <t>Manageable</t>
  </si>
  <si>
    <t>Pink</t>
  </si>
  <si>
    <t>Vicious</t>
  </si>
  <si>
    <t>Gruel</t>
  </si>
  <si>
    <t>Piercing</t>
  </si>
  <si>
    <t>Warmth</t>
  </si>
  <si>
    <t>Theatre</t>
  </si>
  <si>
    <t>Beautification</t>
  </si>
  <si>
    <t>Springy</t>
  </si>
  <si>
    <t>General</t>
  </si>
  <si>
    <t>Party</t>
  </si>
  <si>
    <t>Youthful</t>
  </si>
  <si>
    <t>Flavourly</t>
  </si>
  <si>
    <t>Well-Trodden</t>
  </si>
  <si>
    <t>Strawberryie</t>
  </si>
  <si>
    <t>Slippery</t>
  </si>
  <si>
    <t>Lawdy</t>
  </si>
  <si>
    <t>Penetrating</t>
  </si>
  <si>
    <t>Soul-Destroying</t>
  </si>
  <si>
    <t>Palet-Cleansing</t>
  </si>
  <si>
    <t>Workmanlike</t>
  </si>
  <si>
    <t>Soap</t>
  </si>
  <si>
    <t>Jake</t>
  </si>
  <si>
    <t>Sweetness</t>
  </si>
  <si>
    <t>Lovely-Aftertaste</t>
  </si>
  <si>
    <t>Vexatcious</t>
  </si>
  <si>
    <t>Off-Putting</t>
  </si>
  <si>
    <t>Toothsome</t>
  </si>
  <si>
    <t>Quencher</t>
  </si>
  <si>
    <t>Suppable</t>
  </si>
  <si>
    <t>Fare</t>
  </si>
  <si>
    <t>Banger</t>
  </si>
  <si>
    <t>Juices</t>
  </si>
  <si>
    <t>Sickly-Sweet</t>
  </si>
  <si>
    <t>Pudding</t>
  </si>
  <si>
    <t>Unsophisticated</t>
  </si>
  <si>
    <t>Delights</t>
  </si>
  <si>
    <t>Buzz-Killing</t>
  </si>
  <si>
    <t>Shitwater</t>
  </si>
  <si>
    <t>Flavourless</t>
  </si>
  <si>
    <t>Idea</t>
  </si>
  <si>
    <t>Radiant</t>
  </si>
  <si>
    <t>Heinz</t>
  </si>
  <si>
    <t>Pleasureable</t>
  </si>
  <si>
    <t>Italiano-Y</t>
  </si>
  <si>
    <t>This</t>
  </si>
  <si>
    <t>Thanks</t>
  </si>
  <si>
    <t>Complementary</t>
  </si>
  <si>
    <t>Slogg</t>
  </si>
  <si>
    <t>Deadly</t>
  </si>
  <si>
    <t>Not-Nice</t>
  </si>
  <si>
    <t>Ablution</t>
  </si>
  <si>
    <t>Ingredients</t>
  </si>
  <si>
    <t>Ballz</t>
  </si>
  <si>
    <t>Stout</t>
  </si>
  <si>
    <t>Wish-I-Was-In-Sunshine</t>
  </si>
  <si>
    <t>Pissed</t>
  </si>
  <si>
    <t>Mellow</t>
  </si>
  <si>
    <t>Bleurghh</t>
  </si>
  <si>
    <t>Pedantic</t>
  </si>
  <si>
    <t>Alcopop</t>
  </si>
  <si>
    <t>Thin</t>
  </si>
  <si>
    <t>Journeyman</t>
  </si>
  <si>
    <t>Moist</t>
  </si>
  <si>
    <t>Gross</t>
  </si>
  <si>
    <t>Ernest</t>
  </si>
  <si>
    <t>Ale-Wannabe</t>
  </si>
  <si>
    <t>Syrup</t>
  </si>
  <si>
    <t>Substandard</t>
  </si>
  <si>
    <t>Obtuse</t>
  </si>
  <si>
    <t>Dishonesty</t>
  </si>
  <si>
    <t>Non-Descript</t>
  </si>
  <si>
    <t>Wheaty</t>
  </si>
  <si>
    <t>Forgettable</t>
  </si>
  <si>
    <t>Crap</t>
  </si>
  <si>
    <t>Spring-Like</t>
  </si>
  <si>
    <t>Individual</t>
  </si>
  <si>
    <t>Different</t>
  </si>
  <si>
    <t>Ash-Tray</t>
  </si>
  <si>
    <t>Spiritual</t>
  </si>
  <si>
    <t>Masterpiece</t>
  </si>
  <si>
    <t>Bovril</t>
  </si>
  <si>
    <t>Artifical</t>
  </si>
  <si>
    <t>Militarised</t>
  </si>
  <si>
    <t>Heartbreaking</t>
  </si>
  <si>
    <t>Probably</t>
  </si>
  <si>
    <t>Grounding</t>
  </si>
  <si>
    <t>Tragedy</t>
  </si>
  <si>
    <t>Simple</t>
  </si>
  <si>
    <t>Mangogasm</t>
  </si>
  <si>
    <t>Thatchery</t>
  </si>
  <si>
    <t>Rosy</t>
  </si>
  <si>
    <t>Grainly</t>
  </si>
  <si>
    <t>Graphic</t>
  </si>
  <si>
    <t>Road</t>
  </si>
  <si>
    <t>Fanta</t>
  </si>
  <si>
    <t>Gawjus</t>
  </si>
  <si>
    <t>Coconut</t>
  </si>
  <si>
    <t>Taxing</t>
  </si>
  <si>
    <t>Waste</t>
  </si>
  <si>
    <t>Bigamy</t>
  </si>
  <si>
    <t>Fairy-Like</t>
  </si>
  <si>
    <t>Gaugey</t>
  </si>
  <si>
    <t>Misery</t>
  </si>
  <si>
    <t>Victoria-Sponge</t>
  </si>
  <si>
    <t>Candyfloss</t>
  </si>
  <si>
    <t>Caressing</t>
  </si>
  <si>
    <t>Class</t>
  </si>
  <si>
    <t>Girth</t>
  </si>
  <si>
    <t xml:space="preserve">Ecstasy </t>
  </si>
  <si>
    <t>Salad</t>
  </si>
  <si>
    <t>Level</t>
  </si>
  <si>
    <t>Ciance</t>
  </si>
  <si>
    <t>Prancer</t>
  </si>
  <si>
    <t>Obliviation</t>
  </si>
  <si>
    <t>Not-Shit</t>
  </si>
  <si>
    <t>Champagne</t>
  </si>
  <si>
    <t>Zeneth</t>
  </si>
  <si>
    <t>Piss-Water</t>
  </si>
  <si>
    <t>Wicked</t>
  </si>
  <si>
    <t>Culmination</t>
  </si>
  <si>
    <t>Shit-Storm</t>
  </si>
  <si>
    <t>Scrumdiddlyumptious</t>
  </si>
  <si>
    <t>British</t>
  </si>
  <si>
    <t>I-Guess</t>
  </si>
  <si>
    <t>Fuckery</t>
  </si>
  <si>
    <t>Vibes</t>
  </si>
  <si>
    <t>Turrrrble</t>
  </si>
  <si>
    <t>Ideal</t>
  </si>
  <si>
    <t>Oompfness</t>
  </si>
  <si>
    <t>Palate</t>
  </si>
  <si>
    <t>Tea</t>
  </si>
  <si>
    <t>Patriachy</t>
  </si>
  <si>
    <t>Tastic</t>
  </si>
  <si>
    <t>Dot Dot Dot</t>
  </si>
  <si>
    <t>Life-Changing</t>
  </si>
  <si>
    <t>Brands</t>
  </si>
  <si>
    <t>Zubrowka</t>
  </si>
  <si>
    <t>Holsten</t>
  </si>
  <si>
    <t>Château Minuty</t>
  </si>
  <si>
    <t>Kirk and Sweeney</t>
  </si>
  <si>
    <t>The Ardmore</t>
  </si>
  <si>
    <t>Innis &amp; Gunn</t>
  </si>
  <si>
    <t>Number of Beer /Cider Brewerys / Brands</t>
  </si>
  <si>
    <t>Avg Score</t>
  </si>
  <si>
    <t>10+ Breweries</t>
  </si>
  <si>
    <t>Brouwerij Frontaal</t>
  </si>
  <si>
    <t>Frost Beer Works Co.</t>
  </si>
  <si>
    <t>Sandford Orchards</t>
  </si>
  <si>
    <t>Evil Twin</t>
  </si>
  <si>
    <t>Crosby Hop Farm</t>
  </si>
  <si>
    <t>Loughran Brewing Stores</t>
  </si>
  <si>
    <t>Overtone</t>
  </si>
  <si>
    <t>Collaborations</t>
  </si>
  <si>
    <t>Kopparberg Passionfruit Hard Seltzer</t>
  </si>
  <si>
    <t>Chipper</t>
  </si>
  <si>
    <t>Kopparberg Black Cherry Hard Seltzer</t>
  </si>
  <si>
    <t>Resist Strawberry Milkshake IPA</t>
  </si>
  <si>
    <t>Meon Valley Cider Chalk Stream</t>
  </si>
  <si>
    <t>ASDA Sloe Berry &amp; Juniper Cider</t>
  </si>
  <si>
    <t>Complicated</t>
  </si>
  <si>
    <t>Weird</t>
  </si>
  <si>
    <t>Ploomage</t>
  </si>
  <si>
    <t>Lilley's Bee Sting Perry</t>
  </si>
  <si>
    <t>Five Point Jupa</t>
  </si>
  <si>
    <t>Dream</t>
  </si>
  <si>
    <t>Glory</t>
  </si>
  <si>
    <t>Barnstormer Black</t>
  </si>
  <si>
    <t>Brothers Palma Violet</t>
  </si>
  <si>
    <t>Poundland</t>
  </si>
  <si>
    <t>Pisswater</t>
  </si>
  <si>
    <t>Lilley's Pineapple</t>
  </si>
  <si>
    <t>Magners Original</t>
  </si>
  <si>
    <t>Love</t>
  </si>
  <si>
    <t>Hurts</t>
  </si>
  <si>
    <t>Gloppy</t>
  </si>
  <si>
    <t>Jammyness</t>
  </si>
  <si>
    <t>Cockburn's Special Reserve Port</t>
  </si>
  <si>
    <t>Off</t>
  </si>
  <si>
    <t>Winey</t>
  </si>
  <si>
    <t>Tame</t>
  </si>
  <si>
    <t>Something-Missing</t>
  </si>
  <si>
    <t xml:space="preserve">Champagne Brut House of Commons </t>
  </si>
  <si>
    <t>Love &amp; Hate NIPA IPA</t>
  </si>
  <si>
    <t>On-The-Cusp</t>
  </si>
  <si>
    <t>Lilley's Tropical Cider</t>
  </si>
  <si>
    <t>Acceptability</t>
  </si>
  <si>
    <t>Hatherwood Craft Beer Company Twisted Knots American IPA</t>
  </si>
  <si>
    <t>Mystifying</t>
  </si>
  <si>
    <t>Sugaryness</t>
  </si>
  <si>
    <t>Dive</t>
  </si>
  <si>
    <t>Adults</t>
  </si>
  <si>
    <t>Lilt</t>
  </si>
  <si>
    <t>Difference</t>
  </si>
  <si>
    <t>Black Sheep Brewery Milk Stout</t>
  </si>
  <si>
    <t>Mendis Old Arrack Coconut Spirit</t>
  </si>
  <si>
    <t>Peer</t>
  </si>
  <si>
    <t>Pressure</t>
  </si>
  <si>
    <t xml:space="preserve">Big Boy Bowen's Damsen Gin </t>
  </si>
  <si>
    <t>Lost</t>
  </si>
  <si>
    <t>Thacarin</t>
  </si>
  <si>
    <t>Explorers Savingnon Blanc</t>
  </si>
  <si>
    <t>Stodge</t>
  </si>
  <si>
    <t>Passionfruit</t>
  </si>
  <si>
    <t>OK</t>
  </si>
  <si>
    <t>Second-Best</t>
  </si>
  <si>
    <t>Ableforths Bathtub Gin</t>
  </si>
  <si>
    <t>Punch</t>
  </si>
  <si>
    <t>White</t>
  </si>
  <si>
    <t>Drunk</t>
  </si>
  <si>
    <t>Whitley Neill Raspberry Gin</t>
  </si>
  <si>
    <t>Sinfonia Amaretto</t>
  </si>
  <si>
    <t>Merrydown Original</t>
  </si>
  <si>
    <t>Merrydown</t>
  </si>
  <si>
    <t>Hardys Chardonnay Semillon</t>
  </si>
  <si>
    <t>Hardys</t>
  </si>
  <si>
    <t>Hardys Wines</t>
  </si>
  <si>
    <t>Barnstormer</t>
  </si>
  <si>
    <t>Malt House Vinters</t>
  </si>
  <si>
    <t>The Brewing Projekt</t>
  </si>
  <si>
    <t>Fourpure Deucebox Double IPA</t>
  </si>
  <si>
    <t>Mason’s Hipster Apocalypse IPA</t>
  </si>
  <si>
    <t>Mason’s</t>
  </si>
  <si>
    <t>Mason’s Brewing Company</t>
  </si>
  <si>
    <t xml:space="preserve">The Five Point Brewing Company </t>
  </si>
  <si>
    <t>The Five Point Brewing Co.</t>
  </si>
  <si>
    <t>Brewery Search</t>
  </si>
  <si>
    <t>Chaplin &amp; Cork's Somerset Vintage Cider 2017</t>
  </si>
  <si>
    <t>Chaplin and Corks Somerset Reserve Cider</t>
  </si>
  <si>
    <t>Coca Cola</t>
  </si>
  <si>
    <t>The Coca Cola Company</t>
  </si>
  <si>
    <t>House Of Commons</t>
  </si>
  <si>
    <t>Thatchers Gold</t>
  </si>
  <si>
    <t>Thatchers Haze</t>
  </si>
  <si>
    <t>Thatchers Rose</t>
  </si>
  <si>
    <t>Runestone Marlborough Sauvignon Blanc from the Coop</t>
  </si>
  <si>
    <t>Runestone</t>
  </si>
  <si>
    <t>Hatherwood Craft Beer Company</t>
  </si>
  <si>
    <t>Turning Point X Almasty Brewery Company Unnatural Selection IPA</t>
  </si>
  <si>
    <t>Almasty Brewing Co.</t>
  </si>
  <si>
    <t>Turning Point Brew Co.</t>
  </si>
  <si>
    <t>Turning Point Brew Co. X Almasty Brewing Co.</t>
  </si>
  <si>
    <t>Mendis</t>
  </si>
  <si>
    <t>W M Mendis &amp; Co</t>
  </si>
  <si>
    <t>Dilmoor</t>
  </si>
  <si>
    <t>Sinfonia</t>
  </si>
  <si>
    <t>Echo Falls White Zinfandel</t>
  </si>
  <si>
    <t>Echo Falls</t>
  </si>
  <si>
    <t>Whitley Neill Blood Orange Gin</t>
  </si>
  <si>
    <t>Barefoot Merlot</t>
  </si>
  <si>
    <t>Barefoot Cellars</t>
  </si>
  <si>
    <t>Kopparburg Passionfruit Cider</t>
  </si>
  <si>
    <t>Ableforth’s</t>
  </si>
  <si>
    <t>Bath Ales Landsdown IPA</t>
  </si>
  <si>
    <t>Bath Ales Gem Amber</t>
  </si>
  <si>
    <t>Thatchers Vintage 2019 Somerset Cider</t>
  </si>
  <si>
    <t>Ascot London Dry Gin</t>
  </si>
  <si>
    <t>Ascot</t>
  </si>
  <si>
    <t>International Distillers</t>
  </si>
  <si>
    <t>Tiny Rebel</t>
  </si>
  <si>
    <t>Disaronno</t>
  </si>
  <si>
    <t>Angioletti</t>
  </si>
  <si>
    <t>Schladerer</t>
  </si>
  <si>
    <t>Dawn Star</t>
  </si>
  <si>
    <t>TIny Rebel</t>
  </si>
  <si>
    <t>Radeberger</t>
  </si>
  <si>
    <t>Kirkstall Brewery</t>
  </si>
  <si>
    <t>Saint Gérmont</t>
  </si>
  <si>
    <t>White Claw</t>
  </si>
  <si>
    <t>All Brands</t>
  </si>
  <si>
    <t>Total Brands:</t>
  </si>
  <si>
    <t>Botham Malbec 79 Series</t>
  </si>
  <si>
    <t>Bubblegum</t>
  </si>
  <si>
    <t>Butt</t>
  </si>
  <si>
    <t>Stuff</t>
  </si>
  <si>
    <t>Against The Grain Hippe Tripper Fruited Cider</t>
  </si>
  <si>
    <t>It's A Rum Ting - Mango Passionfruit and Elderflower</t>
  </si>
  <si>
    <t>De Kuyper Blue Curacao Liqueur</t>
  </si>
  <si>
    <t>Me</t>
  </si>
  <si>
    <t>Bols Corenwyn 1575 Gineva Dutch "Pre-Gin"</t>
  </si>
  <si>
    <t>Lilley's Select</t>
  </si>
  <si>
    <t>Select</t>
  </si>
  <si>
    <t>Gasoline</t>
  </si>
  <si>
    <t>Fosters</t>
  </si>
  <si>
    <t>Alska Strawberry &amp; Lime Vegan Friendly Premium Cider</t>
  </si>
  <si>
    <t>älska</t>
  </si>
  <si>
    <t>älska cider</t>
  </si>
  <si>
    <t>Pimms and Lemonade Can</t>
  </si>
  <si>
    <t>Lilley's Sunset Cider</t>
  </si>
  <si>
    <t>Alska Blood Orange &amp; Blackcurrant</t>
  </si>
  <si>
    <t>Kaiken Malbec Wine</t>
  </si>
  <si>
    <t>Niche Cocktails Macha Mojito</t>
  </si>
  <si>
    <t>Bab's Purple Pear Brandy</t>
  </si>
  <si>
    <t>Toffee</t>
  </si>
  <si>
    <t>Oohh</t>
  </si>
  <si>
    <t>Comfortingly</t>
  </si>
  <si>
    <t>Hardys Crest Chardonnay</t>
  </si>
  <si>
    <t>Backward-Velvet</t>
  </si>
  <si>
    <t>Alska Nordic Berries Fruit Cider</t>
  </si>
  <si>
    <t>Inspired</t>
  </si>
  <si>
    <t>Fantastical</t>
  </si>
  <si>
    <t>Innis &amp; Gunn Mangos on the Run</t>
  </si>
  <si>
    <t>Trapiche Pure Malbec</t>
  </si>
  <si>
    <t>Elegantly</t>
  </si>
  <si>
    <t>Niche Cocktails Manuka Honey Whisky Sour</t>
  </si>
  <si>
    <t>Bumblebee</t>
  </si>
  <si>
    <t>Hoegaarden Rosee</t>
  </si>
  <si>
    <t>Ambiguously</t>
  </si>
  <si>
    <t>Blackberry</t>
  </si>
  <si>
    <t>Fulfilling</t>
  </si>
  <si>
    <t>Alska Mango &amp; Yellow Mandarin</t>
  </si>
  <si>
    <t>Velvet</t>
  </si>
  <si>
    <t>Yet-Bitter</t>
  </si>
  <si>
    <t>Influenced</t>
  </si>
  <si>
    <t>Lilley's Apples &amp; Pears</t>
  </si>
  <si>
    <t>Barbara Jones 2016 Damsen Gin</t>
  </si>
  <si>
    <t>Chocolate Crushams</t>
  </si>
  <si>
    <t xml:space="preserve">Big Boi Bowen's Rhubarb Gin </t>
  </si>
  <si>
    <t>Royal</t>
  </si>
  <si>
    <t>Clubby</t>
  </si>
  <si>
    <t>Nutella</t>
  </si>
  <si>
    <t>Explosion</t>
  </si>
  <si>
    <t>Nasil</t>
  </si>
  <si>
    <t>Penderin Madira Finish Whisky</t>
  </si>
  <si>
    <t>Lemsip</t>
  </si>
  <si>
    <t>Orchard</t>
  </si>
  <si>
    <t>Depths</t>
  </si>
  <si>
    <t>Botham Wines</t>
  </si>
  <si>
    <t>De Kuyper</t>
  </si>
  <si>
    <t>DeKuyper Royal Distillers</t>
  </si>
  <si>
    <t>Wild Beer Co. Bibble</t>
  </si>
  <si>
    <t>Wild Beer Co. I Love Yuzu</t>
  </si>
  <si>
    <t>Wild Beer Co. Quantic</t>
  </si>
  <si>
    <t>Kaiken</t>
  </si>
  <si>
    <t>Niche</t>
  </si>
  <si>
    <t>Niche Brand Cocktails</t>
  </si>
  <si>
    <t>Half Pipe Session Pale Ale</t>
  </si>
  <si>
    <t>Marston's Brewery</t>
  </si>
  <si>
    <t>Niche Cocktails Passion Fruit Dachery</t>
  </si>
  <si>
    <t>Innis &amp; Gunn Brewing Company</t>
  </si>
  <si>
    <t>Trapiche</t>
  </si>
  <si>
    <t>JP. Chenet</t>
  </si>
  <si>
    <t>Niche Cocktails Blood Orange Old Fashioned</t>
  </si>
  <si>
    <t>Adroit Theory RISE UP (Ghost 837) Triple IPA</t>
  </si>
  <si>
    <t>Adroit Theory</t>
  </si>
  <si>
    <t>Adroit Theory Brewing Company</t>
  </si>
  <si>
    <t>Nordic Wolf</t>
  </si>
  <si>
    <t>Bab's Brews</t>
  </si>
  <si>
    <t>Toro Loco Superior 2019</t>
  </si>
  <si>
    <t>Toro Loco</t>
  </si>
  <si>
    <t>Nordic Wolf Hard Seltzer Strawberry &amp; Lime</t>
  </si>
  <si>
    <t>Nordic Wolf Hard Seltzer Lemon</t>
  </si>
  <si>
    <t>Strongbow Original Cider</t>
  </si>
  <si>
    <t>Resist 2X Vanilla (Double Vanilla)</t>
  </si>
  <si>
    <t>Stiegl</t>
  </si>
  <si>
    <t>Custard-Slice</t>
  </si>
  <si>
    <t>Oedipus Panty Stout</t>
  </si>
  <si>
    <t>Oedipus</t>
  </si>
  <si>
    <t>Angry Orchard Crisp Apple Original Blend</t>
  </si>
  <si>
    <t>Freak Aleworks Phantom Pale Ale</t>
  </si>
  <si>
    <t>Fresh Lime Juice</t>
  </si>
  <si>
    <t>Brecon Special Reserve Gin</t>
  </si>
  <si>
    <t>Amusing</t>
  </si>
  <si>
    <t>Yummyness</t>
  </si>
  <si>
    <t>Jovial</t>
  </si>
  <si>
    <t>Boost</t>
  </si>
  <si>
    <t>Rum Ting</t>
  </si>
  <si>
    <t xml:space="preserve">Two Drifters Overproof Spiced Pineapple Rum </t>
  </si>
  <si>
    <t>Eye-Watering</t>
  </si>
  <si>
    <t>Arousing</t>
  </si>
  <si>
    <t>Agitation</t>
  </si>
  <si>
    <t>Pharmacy</t>
  </si>
  <si>
    <t>Slappy</t>
  </si>
  <si>
    <t>Funkin Peach Bellini</t>
  </si>
  <si>
    <t>Breakfast</t>
  </si>
  <si>
    <t>Facemelter</t>
  </si>
  <si>
    <t>Less</t>
  </si>
  <si>
    <t>English</t>
  </si>
  <si>
    <t>Thickness</t>
  </si>
  <si>
    <t>71 Brewing Company Magnitude Of Thoughts</t>
  </si>
  <si>
    <t>Breeze</t>
  </si>
  <si>
    <t>Magnitude</t>
  </si>
  <si>
    <t>Dowsing</t>
  </si>
  <si>
    <t>Turbulence</t>
  </si>
  <si>
    <t>Two Drifters Spiced Rum</t>
  </si>
  <si>
    <t>Two Swallows Cherry</t>
  </si>
  <si>
    <t>Tranquillity</t>
  </si>
  <si>
    <t>Rubber</t>
  </si>
  <si>
    <t>Fucker</t>
  </si>
  <si>
    <t>Spiced</t>
  </si>
  <si>
    <t>Burns</t>
  </si>
  <si>
    <t>Juice</t>
  </si>
  <si>
    <t>Bomb</t>
  </si>
  <si>
    <t>Prolific</t>
  </si>
  <si>
    <t>Lingerer</t>
  </si>
  <si>
    <t>Sandpaper</t>
  </si>
  <si>
    <t>Dulch</t>
  </si>
  <si>
    <t>Desert Haze Pale</t>
  </si>
  <si>
    <t>Paganini Grappa</t>
  </si>
  <si>
    <t>Salzburger Stiegl Bier</t>
  </si>
  <si>
    <t>Stiegl Brewery Salzburg</t>
  </si>
  <si>
    <t>Banyan</t>
  </si>
  <si>
    <t>Swannay Brewery</t>
  </si>
  <si>
    <t>Oedipus Brewing</t>
  </si>
  <si>
    <t>Brecon</t>
  </si>
  <si>
    <t>Penderyn Distillery</t>
  </si>
  <si>
    <t>Two Drifters</t>
  </si>
  <si>
    <t>Two Drifters Distillery</t>
  </si>
  <si>
    <t>Vermouth Extra Dry</t>
  </si>
  <si>
    <t>Paganini</t>
  </si>
  <si>
    <t>J.J. Whitley Elderflower Gin</t>
  </si>
  <si>
    <t>Jack Daniel's Tennessee Fire Whiskey</t>
  </si>
  <si>
    <t>Jack Daniel's Old No. 7</t>
  </si>
  <si>
    <t>Whitley Neill Gooseberry Gin</t>
  </si>
  <si>
    <t>Fever Tree Mediterranean Tonic Water</t>
  </si>
  <si>
    <t>De Moersleutel Abstract Formation</t>
  </si>
  <si>
    <t>Brouwerij De Moersleutel</t>
  </si>
  <si>
    <t>De Moersleutel</t>
  </si>
  <si>
    <t>Lost + Found ABL. R-39 Hold It Down Session IPA + Amplified</t>
  </si>
  <si>
    <t>Lost+Found</t>
  </si>
  <si>
    <t>Twisted Tree Vintage Cider</t>
  </si>
  <si>
    <t>Brouwerij Hazy Sunrise</t>
  </si>
  <si>
    <t>Brouwerij Kees</t>
  </si>
  <si>
    <t>Buckhorn Brewery</t>
  </si>
  <si>
    <t>Beer 52</t>
  </si>
  <si>
    <t>Queer Brewing Project</t>
  </si>
  <si>
    <t>Maison Fortant</t>
  </si>
  <si>
    <t>Brewhive</t>
  </si>
  <si>
    <t>Hilden</t>
  </si>
  <si>
    <t>Cushwa Brewing</t>
  </si>
  <si>
    <t>The Gipsy Hill Brewing Co. X Beer 52</t>
  </si>
  <si>
    <t>Beer 53</t>
  </si>
  <si>
    <t>Twisted Cider Premium No.5 Lightly Sparkling Golden Cider</t>
  </si>
  <si>
    <t>Stowford Press</t>
  </si>
  <si>
    <t>On-The-Limit</t>
  </si>
  <si>
    <t>Bitch</t>
  </si>
  <si>
    <t>Draft</t>
  </si>
  <si>
    <t>Saving</t>
  </si>
  <si>
    <t>Annings Fruit Cider Pink Grapefruit &amp; Pineapple</t>
  </si>
  <si>
    <t>Comahue Malbec Wine</t>
  </si>
  <si>
    <t>Barbie Jones</t>
  </si>
  <si>
    <t>Yellow Tail Jammy Red Roo</t>
  </si>
  <si>
    <t>Father Jones</t>
  </si>
  <si>
    <t>Superb</t>
  </si>
  <si>
    <t>Boisterous</t>
  </si>
  <si>
    <t>Lubricant</t>
  </si>
  <si>
    <t>Annings Fruit Cider Pink Pear &amp; Peach</t>
  </si>
  <si>
    <t>Damn</t>
  </si>
  <si>
    <t>Son</t>
  </si>
  <si>
    <t>Leffe Blonde</t>
  </si>
  <si>
    <t>Reassuringly</t>
  </si>
  <si>
    <t>Two Drifers Dark Rum</t>
  </si>
  <si>
    <t>Heart-Attack</t>
  </si>
  <si>
    <t>Coquelicot French Poppy Liqueur</t>
  </si>
  <si>
    <t>Ass</t>
  </si>
  <si>
    <t>Boswandeling</t>
  </si>
  <si>
    <t>Banana</t>
  </si>
  <si>
    <t>G &amp; G Prosecco</t>
  </si>
  <si>
    <t>Nothing</t>
  </si>
  <si>
    <t>Cranes Cranberries &amp; Limes</t>
  </si>
  <si>
    <t>Numbing</t>
  </si>
  <si>
    <t>Cornish Scrumpy</t>
  </si>
  <si>
    <t>Courtney's Cider Silly Cow</t>
  </si>
  <si>
    <t>Crunchy</t>
  </si>
  <si>
    <t>Stella Artois (8 yr old can)</t>
  </si>
  <si>
    <t>Keisha's</t>
  </si>
  <si>
    <t>Sick</t>
  </si>
  <si>
    <t>Cornish Orchards Farmhouse Cider</t>
  </si>
  <si>
    <t>Two Drifters White Rum</t>
  </si>
  <si>
    <t>Stabby</t>
  </si>
  <si>
    <t>Geist's Edelbrand Zwetstge Plum Brandy</t>
  </si>
  <si>
    <t>Pandemic</t>
  </si>
  <si>
    <t>Bastard</t>
  </si>
  <si>
    <t>Marks &amp; Spencer Finest Reserve Port</t>
  </si>
  <si>
    <t>Nana</t>
  </si>
  <si>
    <t>Traditional</t>
  </si>
  <si>
    <t>Rusticness</t>
  </si>
  <si>
    <t>Jab</t>
  </si>
  <si>
    <t>Thornbridge Brewing Green Mountain Hazy Session IPA</t>
  </si>
  <si>
    <t>Fever Tree Mediterranean</t>
  </si>
  <si>
    <t>Slim Line Tonic</t>
  </si>
  <si>
    <t>Lemon Tonic</t>
  </si>
  <si>
    <t>Rubicon Lychee</t>
  </si>
  <si>
    <t>Raspberry and Mint</t>
  </si>
  <si>
    <t>Rubicon Passion Fruit</t>
  </si>
  <si>
    <t>Annings Fruit Cider</t>
  </si>
  <si>
    <t>Lyme Bay Cider Co.</t>
  </si>
  <si>
    <t>Butty Bach</t>
  </si>
  <si>
    <t>Frapple Cider Mixed Berries</t>
  </si>
  <si>
    <t>Mud House Sav Blanc Rose 2019</t>
  </si>
  <si>
    <t xml:space="preserve">The Shire Sloe Port </t>
  </si>
  <si>
    <t>Velvity</t>
  </si>
  <si>
    <t>Brew York Black Eagle IPA</t>
  </si>
  <si>
    <t>Salvia-Inducing</t>
  </si>
  <si>
    <t>Alluria</t>
  </si>
  <si>
    <t>Glue</t>
  </si>
  <si>
    <t>Burly</t>
  </si>
  <si>
    <t>Strong-Ass</t>
  </si>
  <si>
    <t>Banging</t>
  </si>
  <si>
    <t>Taylor's Late Bottled Vintage Port 2012</t>
  </si>
  <si>
    <t>Anesthetic</t>
  </si>
  <si>
    <t>Blackcurrent</t>
  </si>
  <si>
    <t>Narcotic</t>
  </si>
  <si>
    <t>Fruit-Pie</t>
  </si>
  <si>
    <t>Grampa</t>
  </si>
  <si>
    <t>Jam</t>
  </si>
  <si>
    <t>Grown-Up</t>
  </si>
  <si>
    <t>Sweeties</t>
  </si>
  <si>
    <t>Tawy Port from Sainsburys</t>
  </si>
  <si>
    <t>Hazel</t>
  </si>
  <si>
    <t>Trooper Help For Heroes Light Brigade</t>
  </si>
  <si>
    <t>Grating</t>
  </si>
  <si>
    <t>Slash</t>
  </si>
  <si>
    <t>Elegant</t>
  </si>
  <si>
    <t>Groove</t>
  </si>
  <si>
    <t>Piddle Brewry Limited</t>
  </si>
  <si>
    <t>Tanker Craft Lager Czechstonian</t>
  </si>
  <si>
    <t>Soda</t>
  </si>
  <si>
    <t>Maracugar</t>
  </si>
  <si>
    <t>Mainstream</t>
  </si>
  <si>
    <t>Fierce Brewing X Devil's Peak Cape Sour Hazy Sour IPA</t>
  </si>
  <si>
    <t>Sourness</t>
  </si>
  <si>
    <t>By The Horns Levitate</t>
  </si>
  <si>
    <t>Comahue</t>
  </si>
  <si>
    <t>Casella Family Brands</t>
  </si>
  <si>
    <t>Hawkshead Brewery Unfashionably Late</t>
  </si>
  <si>
    <t>Pulsar</t>
  </si>
  <si>
    <t>G&amp;G</t>
  </si>
  <si>
    <t>FLS Company</t>
  </si>
  <si>
    <t>Courtney's of Whimple</t>
  </si>
  <si>
    <t>Geist's</t>
  </si>
  <si>
    <t>Dorest Nectar Grab Life By The Damsons</t>
  </si>
  <si>
    <t>Dorest Nectar</t>
  </si>
  <si>
    <t>Wye Valley Brewery</t>
  </si>
  <si>
    <t>Frapple</t>
  </si>
  <si>
    <t>Courtney's Cider</t>
  </si>
  <si>
    <t>Mud House</t>
  </si>
  <si>
    <t>The Shire</t>
  </si>
  <si>
    <t>Terre Siciliane</t>
  </si>
  <si>
    <t>Alluria Organic Pinot Grigio 2019</t>
  </si>
  <si>
    <t>Brouwerij Poesiat &amp; Kater</t>
  </si>
  <si>
    <t>Van Vollenhoven &amp; Co. Extra Stout</t>
  </si>
  <si>
    <t>Van Vollenhoven &amp; Co.</t>
  </si>
  <si>
    <t>Speyside Asda Extra Special Brand Whisky</t>
  </si>
  <si>
    <t>Silver Circle Distillery Gunga Gin</t>
  </si>
  <si>
    <t>Trooper</t>
  </si>
  <si>
    <t>Aguardiente</t>
  </si>
  <si>
    <t>Antioqueno</t>
  </si>
  <si>
    <t>Schweppes Lime Tonic</t>
  </si>
  <si>
    <t>Orchard Irish Cider</t>
  </si>
  <si>
    <t>Tanker</t>
  </si>
  <si>
    <t>Tanker Brewery</t>
  </si>
  <si>
    <t>Fierce Beer</t>
  </si>
  <si>
    <t>Devil's Peak Brewing Company</t>
  </si>
  <si>
    <t>Fierce Brewing X Devil's Peak Brewing Company</t>
  </si>
  <si>
    <t>Wasn't</t>
  </si>
  <si>
    <t>Home Bargain Shuda Strawberry Cream Shots</t>
  </si>
  <si>
    <t>Home Bargain Shuda Blueberry Shot</t>
  </si>
  <si>
    <t>Home Bargain Shuda Cherry Sourz Shot</t>
  </si>
  <si>
    <t>Christmas Spirit Rum Liqueur Copper Pot</t>
  </si>
  <si>
    <t>English Spirit</t>
  </si>
  <si>
    <t>JW Distillers Ltd</t>
  </si>
  <si>
    <t>GinTing</t>
  </si>
  <si>
    <t>Home Bargain Shuda Cola Cube Shot</t>
  </si>
  <si>
    <t>Home Bargain Shuda Strawberries &amp; Cream Shot</t>
  </si>
  <si>
    <t>10%%</t>
  </si>
  <si>
    <t>Home Bargain Shuda Blueberry Sours Shot</t>
  </si>
  <si>
    <t>Home Bargain Shuda Cherry Sours Shot</t>
  </si>
  <si>
    <t>Home Bargain Shuda Berry Sour</t>
  </si>
  <si>
    <t>Home Bargain Shuda Apple Sour</t>
  </si>
  <si>
    <t>Cream</t>
  </si>
  <si>
    <t>Fentimas Cherry Coke</t>
  </si>
  <si>
    <t>Lime Soda</t>
  </si>
  <si>
    <t>Carlos Rodriguez Morum Rioja Blanco 2019</t>
  </si>
  <si>
    <t>Morum</t>
  </si>
  <si>
    <t>Carlos Rodriguez</t>
  </si>
  <si>
    <t>Co-op Vermouth Bianco</t>
  </si>
  <si>
    <t>Edmond Briottet</t>
  </si>
  <si>
    <t xml:space="preserve"> Edmond Briottet</t>
  </si>
  <si>
    <t>Wiper and True Hop Garden Series No.3 Ekuanot Pale Ale</t>
  </si>
  <si>
    <t>Beast</t>
  </si>
  <si>
    <t>VK Orange and Passionfruit</t>
  </si>
  <si>
    <t>Funkin Rum Pina Colada Can</t>
  </si>
  <si>
    <t>Business</t>
  </si>
  <si>
    <t>Fourteen-Year-Old</t>
  </si>
  <si>
    <t>Romance</t>
  </si>
  <si>
    <t>Friels Cider</t>
  </si>
  <si>
    <t>VK Tropical Fruits</t>
  </si>
  <si>
    <t>Concoction</t>
  </si>
  <si>
    <t>Melted</t>
  </si>
  <si>
    <t>Friels</t>
  </si>
  <si>
    <t>Bougie</t>
  </si>
  <si>
    <t>Snakebite</t>
  </si>
  <si>
    <t>Birthday Dinosaurs Papaya and Guava Sour</t>
  </si>
  <si>
    <t>Marble Brewery</t>
  </si>
  <si>
    <t>O'Hara's Brewing White Haze IPA</t>
  </si>
  <si>
    <t>Malfy Sicilian Blood Orange Gin</t>
  </si>
  <si>
    <t>VK Black Cherry</t>
  </si>
  <si>
    <t>Caberne-Sauvig-</t>
  </si>
  <si>
    <t>Yes</t>
  </si>
  <si>
    <t>Luis Felipe Edwards Reserve - Colshager Valley 2017</t>
  </si>
  <si>
    <t>William Brewers Brewgooder One-On-Us Grapefruit Pale Ale</t>
  </si>
  <si>
    <t>Terrorist</t>
  </si>
  <si>
    <t>Irish</t>
  </si>
  <si>
    <t>Asda Xtra Special Rhubarb and Ginger Cider</t>
  </si>
  <si>
    <t>Haig Club</t>
  </si>
  <si>
    <t>Plummy</t>
  </si>
  <si>
    <t>Peppy</t>
  </si>
  <si>
    <t>Fantasmegorian</t>
  </si>
  <si>
    <t>VK Blue</t>
  </si>
  <si>
    <t>Tweenage-Dream</t>
  </si>
  <si>
    <t>Haig Club Clubman Single Scotch Whisky &amp; Crafted Cola</t>
  </si>
  <si>
    <t>Saccharine</t>
  </si>
  <si>
    <t>Diarrhea</t>
  </si>
  <si>
    <t>Vanilla Ice Cream</t>
  </si>
  <si>
    <t>Berocca</t>
  </si>
  <si>
    <t>Frapple Cider Strawberry and Lime</t>
  </si>
  <si>
    <t>Volare Banana</t>
  </si>
  <si>
    <t>Winning</t>
  </si>
  <si>
    <t>Tiger-Blood</t>
  </si>
  <si>
    <t>Banana-y</t>
  </si>
  <si>
    <t>Soy Milk</t>
  </si>
  <si>
    <t>Yoga</t>
  </si>
  <si>
    <t>Smothered</t>
  </si>
  <si>
    <t>Jack Daniel's Old No. 7 Legacy Edition Two</t>
  </si>
  <si>
    <t>Unholy</t>
  </si>
  <si>
    <t>Combination</t>
  </si>
  <si>
    <t>Deep-Sea</t>
  </si>
  <si>
    <t>VK Ice</t>
  </si>
  <si>
    <t>Lyrical</t>
  </si>
  <si>
    <t>Oooooo</t>
  </si>
  <si>
    <t>Big Boi Bowen's Golden Plum Gin</t>
  </si>
  <si>
    <t>VK Strawberry and Lime</t>
  </si>
  <si>
    <t>Aerospace</t>
  </si>
  <si>
    <t>Berried</t>
  </si>
  <si>
    <t>Dismay</t>
  </si>
  <si>
    <t>Pale</t>
  </si>
  <si>
    <t>Comparison</t>
  </si>
  <si>
    <t>Frapple Cider Mango</t>
  </si>
  <si>
    <t>Reigned-In</t>
  </si>
  <si>
    <t>Yellow Tail Shiraz 2019</t>
  </si>
  <si>
    <t>Yellow Tail</t>
  </si>
  <si>
    <t>Silly Moo Wild Ferment</t>
  </si>
  <si>
    <t>Silly Moo</t>
  </si>
  <si>
    <t xml:space="preserve">The Garden Brewery Huell Melon Pale Ale #09 </t>
  </si>
  <si>
    <t>Thatchers Green Goblin</t>
  </si>
  <si>
    <t>Countryside</t>
  </si>
  <si>
    <t>Turning Point Brew Co Sunshine Indoors Mango and Safron Lassi Donut Ale</t>
  </si>
  <si>
    <t>Ghost</t>
  </si>
  <si>
    <t>Melon-Spector</t>
  </si>
  <si>
    <t>Drying</t>
  </si>
  <si>
    <t>Goblin-Cum</t>
  </si>
  <si>
    <t>Increasingly</t>
  </si>
  <si>
    <t>Brew York Simon Le Mon</t>
  </si>
  <si>
    <t>Henney's Autumn Gold Cider</t>
  </si>
  <si>
    <t>Spitfire Gold</t>
  </si>
  <si>
    <t>Slack Alice Cider</t>
  </si>
  <si>
    <t>Celtic Marches</t>
  </si>
  <si>
    <t>Ripe</t>
  </si>
  <si>
    <t>Tastebud</t>
  </si>
  <si>
    <t>Separated</t>
  </si>
  <si>
    <t>Definitely</t>
  </si>
  <si>
    <t>Turbulent</t>
  </si>
  <si>
    <t>Oddly</t>
  </si>
  <si>
    <t>Blanket</t>
  </si>
  <si>
    <t>Wild Beer Co. Millionaire Salted Caramel + Chocolate + Milk Stout</t>
  </si>
  <si>
    <t>Meriticiousness</t>
  </si>
  <si>
    <t>WRCLW Pils</t>
  </si>
  <si>
    <t>Black Sheep Brewery Pineapple Milkshake IPA</t>
  </si>
  <si>
    <t>Anspach &amp; Hobday The Cream Ale</t>
  </si>
  <si>
    <t>Confusiion</t>
  </si>
  <si>
    <t>Twisted Cider Stormy Lemonade</t>
  </si>
  <si>
    <t>Crumpton Oaks Farmhouse Dry</t>
  </si>
  <si>
    <t>Falsehood</t>
  </si>
  <si>
    <t>VK Apple &amp; Mango</t>
  </si>
  <si>
    <t>Nothingness</t>
  </si>
  <si>
    <t>Mysterious</t>
  </si>
  <si>
    <t>Familiarity</t>
  </si>
  <si>
    <t>Original</t>
  </si>
  <si>
    <t>Thirst</t>
  </si>
  <si>
    <t>Quenching</t>
  </si>
  <si>
    <t>Grey</t>
  </si>
  <si>
    <t>Averageness</t>
  </si>
  <si>
    <t>Stella Artois Cidre</t>
  </si>
  <si>
    <t>Two Tribes Dream Factory</t>
  </si>
  <si>
    <t>Shell</t>
  </si>
  <si>
    <t>Shocked</t>
  </si>
  <si>
    <t>Cushion</t>
  </si>
  <si>
    <t>Betrayal</t>
  </si>
  <si>
    <t>Algae</t>
  </si>
  <si>
    <t>Bullshit</t>
  </si>
  <si>
    <t>Progressively</t>
  </si>
  <si>
    <t>Worsening</t>
  </si>
  <si>
    <t>Generically</t>
  </si>
  <si>
    <t>Tapdance</t>
  </si>
  <si>
    <t>McEwan's Headspace Scotch Whisky Beer</t>
  </si>
  <si>
    <t>Operator</t>
  </si>
  <si>
    <t>French</t>
  </si>
  <si>
    <t>Sophistication</t>
  </si>
  <si>
    <t>All-Shits</t>
  </si>
  <si>
    <t>Grandma's</t>
  </si>
  <si>
    <t>Dinner</t>
  </si>
  <si>
    <t>Lyme Gold Crisp Golden Ale</t>
  </si>
  <si>
    <t>Muscey</t>
  </si>
  <si>
    <t>Cobwebs</t>
  </si>
  <si>
    <t>Poison</t>
  </si>
  <si>
    <t>Cloverleaf</t>
  </si>
  <si>
    <t>Sainsbury's Bucks Fizz</t>
  </si>
  <si>
    <t>Notes</t>
  </si>
  <si>
    <t>Illva Saronno Disaronno Originale</t>
  </si>
  <si>
    <t>Orbit Peel Belgian Pale</t>
  </si>
  <si>
    <t>AF</t>
  </si>
  <si>
    <t>VK</t>
  </si>
  <si>
    <t>Carlow Craft Brewery</t>
  </si>
  <si>
    <t>O'Hara's Brewing</t>
  </si>
  <si>
    <t>Torino Distillati</t>
  </si>
  <si>
    <t>Luis Felipe Edwards</t>
  </si>
  <si>
    <t>Brewgooder</t>
  </si>
  <si>
    <t>ASDA Extra Special</t>
  </si>
  <si>
    <t>Quad of Chocolate Luxe Baileys</t>
  </si>
  <si>
    <t>Trenchmore Farm</t>
  </si>
  <si>
    <t>Amundsen Personal Space Invader Hazy IPA</t>
  </si>
  <si>
    <t>Turning Point Brew Co. X Brewdog</t>
  </si>
  <si>
    <t>Dark Revolution So.L.A West Coast Pale</t>
  </si>
  <si>
    <t>Dark Revolution</t>
  </si>
  <si>
    <t>Spitfire Amber Ale</t>
  </si>
  <si>
    <t>Mozart</t>
  </si>
  <si>
    <t>Mozart Spirits</t>
  </si>
  <si>
    <t>Soplica Pigwowa Quince Vodka</t>
  </si>
  <si>
    <t>Marlborough Pinot Noir 2019</t>
  </si>
  <si>
    <t>WRCLW Browar Stu Mostów Baltic Porter Vanilla Chocolate Nitro</t>
  </si>
  <si>
    <t>Crumpton Oaks</t>
  </si>
  <si>
    <t>Crumpton Oaks Cider</t>
  </si>
  <si>
    <t>Keswick Brewing Co. Thirst Quencher Pale Ale</t>
  </si>
  <si>
    <t>Keswick Brewing Co.</t>
  </si>
  <si>
    <t>Keswick Brewing Company</t>
  </si>
  <si>
    <t>Drygate Brewing Crossing The Rubicon West Coast IPA</t>
  </si>
  <si>
    <t>Innocent Bolt from the Blue Juice</t>
  </si>
  <si>
    <t>McEWAN'S</t>
  </si>
  <si>
    <t>Lyme Lager Traditional Real Ale</t>
  </si>
  <si>
    <t>Lyme Regis Brewery</t>
  </si>
  <si>
    <t>Orbit</t>
  </si>
  <si>
    <t>Orbit Beers</t>
  </si>
  <si>
    <t>Bulmers Cider</t>
  </si>
  <si>
    <t>Bulmers Orchard Pioneer Cider</t>
  </si>
  <si>
    <t>Golden Spiced Drury 173 Rum</t>
  </si>
  <si>
    <t>Drury</t>
  </si>
  <si>
    <t>Cotes du Rhone Villages Red 2019</t>
  </si>
  <si>
    <t>Vina Ulmo Sauvignon Blanc</t>
  </si>
  <si>
    <t>Daiquiri Mix</t>
  </si>
  <si>
    <t>Buckhorn Stateside IPA</t>
  </si>
  <si>
    <t>Gabriel Boudier Dijon Blue Curacao Orange Liqueur</t>
  </si>
  <si>
    <t>Drink Name: Espresso Martini</t>
  </si>
  <si>
    <t>Absolut Vodka</t>
  </si>
  <si>
    <t>Tesco Apple &amp; Mango Juice</t>
  </si>
  <si>
    <t>Slimline Indian Fever Tree Tonic</t>
  </si>
  <si>
    <t>Tanqueray Flor De Sevilla Blood Orange Gin</t>
  </si>
  <si>
    <t>Social</t>
  </si>
  <si>
    <t>Satisfaction</t>
  </si>
  <si>
    <t>"I'm not in my conservatory I'm with my friends."</t>
  </si>
  <si>
    <t>Pretencious</t>
  </si>
  <si>
    <t>Whitley Neill Blackberry Gin</t>
  </si>
  <si>
    <t>Hobbit</t>
  </si>
  <si>
    <t>The</t>
  </si>
  <si>
    <t>Blueberry</t>
  </si>
  <si>
    <t>Firebrand Brewing Co. Citrus Simcoe NEIPA</t>
  </si>
  <si>
    <t>Mermaid Gin</t>
  </si>
  <si>
    <t>Isle of Wight Distillery</t>
  </si>
  <si>
    <t>Mermaid</t>
  </si>
  <si>
    <t>Boss Brewing Co. Boss Brave</t>
  </si>
  <si>
    <t>Toilet</t>
  </si>
  <si>
    <t>Cleaner</t>
  </si>
  <si>
    <t>The Infusionist Pear, Cranberry &amp; Cinnamon Vodka Liqueur</t>
  </si>
  <si>
    <t>Loud</t>
  </si>
  <si>
    <t>Perfume-y</t>
  </si>
  <si>
    <t>Willy-Wonka</t>
  </si>
  <si>
    <t>Cumshot</t>
  </si>
  <si>
    <t>Squishy</t>
  </si>
  <si>
    <t>Chompy</t>
  </si>
  <si>
    <t>Marks &amp; Spencer Berry Cider</t>
  </si>
  <si>
    <t>Celtic Marches Lily The Pink Cider</t>
  </si>
  <si>
    <t>Gif</t>
  </si>
  <si>
    <t>Thatchers Cloudy Lemon Cider</t>
  </si>
  <si>
    <t>Calcified</t>
  </si>
  <si>
    <t>Exuberance</t>
  </si>
  <si>
    <t>Crabbies Rhubarb Ginger Beer</t>
  </si>
  <si>
    <t>College</t>
  </si>
  <si>
    <t>Pistonhead Full Amber Lager</t>
  </si>
  <si>
    <t>Dregs</t>
  </si>
  <si>
    <t>Diabetic</t>
  </si>
  <si>
    <t>The Holdings Mendoza Argentina 2019 Syrah Malbec</t>
  </si>
  <si>
    <t>Glamorgan Brewing Co Welsh Pale</t>
  </si>
  <si>
    <t>Twisted Cider Misty</t>
  </si>
  <si>
    <t>Treacly</t>
  </si>
  <si>
    <t>Glamorgan Brewing Co Jemima's Pitchfork</t>
  </si>
  <si>
    <t>Estevez Cabernet Sauvignon 2018</t>
  </si>
  <si>
    <t>Sucrose</t>
  </si>
  <si>
    <t>Urghhh</t>
  </si>
  <si>
    <t>Crunch</t>
  </si>
  <si>
    <t>Blocky</t>
  </si>
  <si>
    <t>Sewer</t>
  </si>
  <si>
    <t>Cascade</t>
  </si>
  <si>
    <t>JJ Whitley Watermelon &amp; Lime Vodka</t>
  </si>
  <si>
    <t>Robinsons Apple &amp; Blackcurrant</t>
  </si>
  <si>
    <t>Coke No.4</t>
  </si>
  <si>
    <t>Homemade in Chinese Residence</t>
  </si>
  <si>
    <t>Unknown White Wine</t>
  </si>
  <si>
    <t>Store Bought</t>
  </si>
  <si>
    <t>Garnish: Lime</t>
  </si>
  <si>
    <t>Garnish: Orange Slice</t>
  </si>
  <si>
    <t>Garnish: Pomegranate</t>
  </si>
  <si>
    <t>Garnish: Corriander</t>
  </si>
  <si>
    <t>Garnish: Grape</t>
  </si>
  <si>
    <t>Garnish: Bay Berry</t>
  </si>
  <si>
    <t>Garnish: Lemon</t>
  </si>
  <si>
    <t>Garnish: Frozen Strawberries</t>
  </si>
  <si>
    <t>Garnish: Blueberries</t>
  </si>
  <si>
    <t>Garnish: Orange</t>
  </si>
  <si>
    <t>Garnish: Raspberry</t>
  </si>
  <si>
    <t>Garnish: Chocolate Milk</t>
  </si>
  <si>
    <t>Garnish: Banana + Juices</t>
  </si>
  <si>
    <t>Garnish: Orange Peel</t>
  </si>
  <si>
    <t>Garnish: Haribo</t>
  </si>
  <si>
    <t>Garnish: Strawberry Nesquik</t>
  </si>
  <si>
    <t>Garnish: Pickled Onion Monster Munch</t>
  </si>
  <si>
    <t>Garnish: Cellery</t>
  </si>
  <si>
    <t>Garnish: Jalapeño</t>
  </si>
  <si>
    <t>Garnish: Chocolate Flakes</t>
  </si>
  <si>
    <t>Garnish: Marshmallow</t>
  </si>
  <si>
    <t>Garnish: Residual Nescafe Coffee Azira with Oat Milk</t>
  </si>
  <si>
    <t>Garnish: Orange and Grapefruit</t>
  </si>
  <si>
    <t xml:space="preserve">Garnish: Orange and Raspberries. "A Strong 6.5". </t>
  </si>
  <si>
    <t>Garnish: Raspberries and Blueberries</t>
  </si>
  <si>
    <t>Bearfaced Brewing What's Shakin'</t>
  </si>
  <si>
    <t>Barefaced Brewing</t>
  </si>
  <si>
    <t>Stroud Brewery Rye PA</t>
  </si>
  <si>
    <t>Stroud Brewery</t>
  </si>
  <si>
    <t xml:space="preserve"> Firebrand Brewing Co.</t>
  </si>
  <si>
    <t>Boss Brewing</t>
  </si>
  <si>
    <t>Malbec Argentina 2019</t>
  </si>
  <si>
    <t>Store Purchase: Lidl</t>
  </si>
  <si>
    <t>Glamorgan Brewing Co.</t>
  </si>
  <si>
    <t>City of London Rhubarb and Rose London Gin</t>
  </si>
  <si>
    <t>Mozart Chocolate Cream</t>
  </si>
  <si>
    <t>Mozart Dark Chocolate</t>
  </si>
  <si>
    <t>Brewed by Westons Cider</t>
  </si>
  <si>
    <t>Region: Argentina</t>
  </si>
  <si>
    <t>Familia Zuccardi</t>
  </si>
  <si>
    <t>The Holdings Syrah Malbec</t>
  </si>
  <si>
    <t>Glamorgan Brewing Co Cwrw Gorslas</t>
  </si>
  <si>
    <t>Brewed in Llantrisant</t>
  </si>
  <si>
    <t>Specially produced for Aldi stores</t>
  </si>
  <si>
    <t>Drink Name: Pink Russian</t>
  </si>
  <si>
    <t>Total % of all Beers and Ciders</t>
  </si>
  <si>
    <t>Average % of all Beers and Ciders Had</t>
  </si>
  <si>
    <t>Total Beers and Ciders Drunk</t>
  </si>
  <si>
    <t>Perlenbacher</t>
  </si>
  <si>
    <t>Ben Soley</t>
  </si>
  <si>
    <t>Brooklyn Summer Ale</t>
  </si>
  <si>
    <t>Thistly Cross Cider</t>
  </si>
  <si>
    <t>Vocation X Manchester Brerwery Hop Skip and Juice</t>
  </si>
  <si>
    <t>Great South Bay Brewery</t>
  </si>
  <si>
    <t>Great South Bay Brewery Blood Orange Pale Ale</t>
  </si>
  <si>
    <t>Cumbrian</t>
  </si>
  <si>
    <t>Hydration</t>
  </si>
  <si>
    <t>Fairy</t>
  </si>
  <si>
    <t>Fart</t>
  </si>
  <si>
    <t>Unpatriotically</t>
  </si>
  <si>
    <t>Marks &amp; Spencer Coffee Liqueur</t>
  </si>
  <si>
    <t>Smelly</t>
  </si>
  <si>
    <t>Bougey</t>
  </si>
  <si>
    <t>Comeback</t>
  </si>
  <si>
    <t>Better-Than-Expected</t>
  </si>
  <si>
    <t>Thistly Cross Cider Original</t>
  </si>
  <si>
    <t>Thistly Cross Cider Traditional</t>
  </si>
  <si>
    <t>Hopalicious</t>
  </si>
  <si>
    <t>Revelation</t>
  </si>
  <si>
    <t>Beavertown Nanobot</t>
  </si>
  <si>
    <t>St Ives Lust Camerel Cream Liqueur</t>
  </si>
  <si>
    <t>Jesus-Fucking</t>
  </si>
  <si>
    <t>Christ</t>
  </si>
  <si>
    <t>Flavour-Lack</t>
  </si>
  <si>
    <t>BULLY-</t>
  </si>
  <si>
    <t>Underage</t>
  </si>
  <si>
    <t>Park</t>
  </si>
  <si>
    <t>Sunrise Coctails Woo Woo</t>
  </si>
  <si>
    <t>Sacer-y</t>
  </si>
  <si>
    <t>Absolute</t>
  </si>
  <si>
    <t>Polish</t>
  </si>
  <si>
    <t>Yankee Beer</t>
  </si>
  <si>
    <t>Multi</t>
  </si>
  <si>
    <t>Cocky</t>
  </si>
  <si>
    <t>Sainsburies Sugar Blue Bolt</t>
  </si>
  <si>
    <t>Milk Brand: Eastly Holiday Inn Milk</t>
  </si>
  <si>
    <t>Newburgh Brewing Company Nano Boss</t>
  </si>
  <si>
    <t>Gummy</t>
  </si>
  <si>
    <t>Bears</t>
  </si>
  <si>
    <t>Strawberry-ey</t>
  </si>
  <si>
    <t>Curdeled</t>
  </si>
  <si>
    <t>Stella Artois Cidre Raspberry</t>
  </si>
  <si>
    <t>Ikat DDH DIPA</t>
  </si>
  <si>
    <t>Stolewort</t>
  </si>
  <si>
    <t>Bracer</t>
  </si>
  <si>
    <t>Summer Lightning</t>
  </si>
  <si>
    <t>Razor</t>
  </si>
  <si>
    <t>Luke's Cider Third Batch</t>
  </si>
  <si>
    <t>Lilley's Apples &amp; Blackberries</t>
  </si>
  <si>
    <t>Nnnyynnrrrr</t>
  </si>
  <si>
    <t>Draught</t>
  </si>
  <si>
    <t>Refreshingly</t>
  </si>
  <si>
    <t>Meantime London Pale Ale</t>
  </si>
  <si>
    <t>Razer</t>
  </si>
  <si>
    <t>Cack</t>
  </si>
  <si>
    <t>Atlantic Red Rum</t>
  </si>
  <si>
    <t>Can't</t>
  </si>
  <si>
    <t>Numb</t>
  </si>
  <si>
    <t>Petrol</t>
  </si>
  <si>
    <t>Blooming</t>
  </si>
  <si>
    <t>Boringness</t>
  </si>
  <si>
    <t>Woo</t>
  </si>
  <si>
    <t>Won't</t>
  </si>
  <si>
    <t>Toxic</t>
  </si>
  <si>
    <t>Plastic</t>
  </si>
  <si>
    <t>Recycled</t>
  </si>
  <si>
    <t>Flats</t>
  </si>
  <si>
    <t>Tropical Redbull</t>
  </si>
  <si>
    <t>Game</t>
  </si>
  <si>
    <t>Changer</t>
  </si>
  <si>
    <t>Show</t>
  </si>
  <si>
    <t>Spunky</t>
  </si>
  <si>
    <t>Gaggy</t>
  </si>
  <si>
    <t>Newburgh Brown Ale</t>
  </si>
  <si>
    <t>Ash</t>
  </si>
  <si>
    <t>Wild Beer Co. Pogo</t>
  </si>
  <si>
    <t>Juiciness</t>
  </si>
  <si>
    <t>Northern Monk Guava Have Faith</t>
  </si>
  <si>
    <t>Jack Daniel's Tennessee Apple Whisky</t>
  </si>
  <si>
    <t>Effort-full</t>
  </si>
  <si>
    <t>Captain Lawrence Brewing Company Effort Grapefruit IPA</t>
  </si>
  <si>
    <t>Foam</t>
  </si>
  <si>
    <t>Drink Name: Passionfruit Martini</t>
  </si>
  <si>
    <t>North Brewing</t>
  </si>
  <si>
    <t>One Through Three Collaboration IPA</t>
  </si>
  <si>
    <t>Ginny</t>
  </si>
  <si>
    <t>Mexicans</t>
  </si>
  <si>
    <t>Mashito Prosecco</t>
  </si>
  <si>
    <t>Pulpt Flare Cider</t>
  </si>
  <si>
    <t>Kopparburg Cherry</t>
  </si>
  <si>
    <t>Candy</t>
  </si>
  <si>
    <t>Cherry-Shot</t>
  </si>
  <si>
    <t>Very-Strong</t>
  </si>
  <si>
    <t>Drink Name: Vodka Martini</t>
  </si>
  <si>
    <t>Vanilliary</t>
  </si>
  <si>
    <t>Tiki</t>
  </si>
  <si>
    <t>Well-Needed</t>
  </si>
  <si>
    <t>Refreshment</t>
  </si>
  <si>
    <t>Big Boi Bowen's Vanilla Vodka</t>
  </si>
  <si>
    <t>Ice-Cream</t>
  </si>
  <si>
    <t>Fell Cider</t>
  </si>
  <si>
    <t>The Cumbrian Cider Co.</t>
  </si>
  <si>
    <t>Carlsberg</t>
  </si>
  <si>
    <t>Brooklyn</t>
  </si>
  <si>
    <t>Thistly Cross</t>
  </si>
  <si>
    <t>Gambrinus Original 10</t>
  </si>
  <si>
    <t>Czech Lager</t>
  </si>
  <si>
    <t>Guinness Original Extra Stout Original Recipe</t>
  </si>
  <si>
    <t>Gambrinus</t>
  </si>
  <si>
    <t>Plzeňský Prazdroj</t>
  </si>
  <si>
    <t>Queer Brewing Project X Marble Beers</t>
  </si>
  <si>
    <t>Vocation Brewery X Marble Beers</t>
  </si>
  <si>
    <t xml:space="preserve">Tesco Traditional Method Cava </t>
  </si>
  <si>
    <t>Kopparburg Gin and Lemonade Strawberry and Lime Can</t>
  </si>
  <si>
    <t>Stone Broke Vintage Cider</t>
  </si>
  <si>
    <t>Hewletts Mill Cider</t>
  </si>
  <si>
    <t>Leduc-Piedimonte Cidre de Glace</t>
  </si>
  <si>
    <t>Leduc-Piedimonte</t>
  </si>
  <si>
    <t>Cornish Cream</t>
  </si>
  <si>
    <t>Drink Name: Irish Carbomb.</t>
  </si>
  <si>
    <t>Jameson Whiskey</t>
  </si>
  <si>
    <t>Ableforth's Rumbullion! Spiced Rum</t>
  </si>
  <si>
    <t>Ableforth's</t>
  </si>
  <si>
    <t>Hortus Rhubarb &amp; Ginger Gin Liqueur</t>
  </si>
  <si>
    <t>Sunrise Cocktails Woo Woo</t>
  </si>
  <si>
    <t>Sunrise Cocktails</t>
  </si>
  <si>
    <t>Rooster’s Brewing Co.</t>
  </si>
  <si>
    <t>Evil Twin Brewing James Beer</t>
  </si>
  <si>
    <t>Evil Twin Brewing</t>
  </si>
  <si>
    <t>Newburgh Brewing Company</t>
  </si>
  <si>
    <t>Overtone Brewing Co. X Salt Beer Factory</t>
  </si>
  <si>
    <t>Luke's Cider</t>
  </si>
  <si>
    <t>Captain Lawrence Brewing Company</t>
  </si>
  <si>
    <t>Captain Lawrence Brewing Company Classic Lager Beer</t>
  </si>
  <si>
    <t>Meantime Brewing</t>
  </si>
  <si>
    <t>Meantime Brewing Company</t>
  </si>
  <si>
    <t>Ringwood Brewery Razor Back</t>
  </si>
  <si>
    <t>Baileys Chocolat Luxe</t>
  </si>
  <si>
    <t>Baileys Almande Liqueur</t>
  </si>
  <si>
    <t>Great South Bay Brewery Massive IPA</t>
  </si>
  <si>
    <t>Atlantic</t>
  </si>
  <si>
    <t>Sinhron Invest</t>
  </si>
  <si>
    <t>Abelha</t>
  </si>
  <si>
    <t>Abelha Silver Cachaca</t>
  </si>
  <si>
    <t>Bushel + Peck Rich + Mellow</t>
  </si>
  <si>
    <t>The Cotswold Fruit Company</t>
  </si>
  <si>
    <t>Bushel + Peck</t>
  </si>
  <si>
    <t>Captain Morgan Tiki Pineapple and Mango</t>
  </si>
  <si>
    <t>Kamenitza</t>
  </si>
  <si>
    <t>Kirk &amp; Sweeney</t>
  </si>
  <si>
    <t xml:space="preserve">Ross: Anthony later between 1am - 1:30am realised that the Coffee liqueur that he took from my house was not what he put in this drink. He accidentally put in The Infusionist Mango. Affected score. Drink Name: B52 (Modified). </t>
  </si>
  <si>
    <t>Bellfield Brewery Session Ale</t>
  </si>
  <si>
    <t>Bellfield</t>
  </si>
  <si>
    <t>Bellfield Brewery</t>
  </si>
  <si>
    <t>Country Manor</t>
  </si>
  <si>
    <t>Morgan</t>
  </si>
  <si>
    <t>Volare</t>
  </si>
  <si>
    <t>Mount Gay Eclipse</t>
  </si>
  <si>
    <t>Big Boi Bowens Vanilla Vodka</t>
  </si>
  <si>
    <t>Passoa, Lime Juice</t>
  </si>
  <si>
    <t>Country Manor Medium Dry Finest Perry</t>
  </si>
  <si>
    <t>Absolut Raspberri Vodka</t>
  </si>
  <si>
    <t xml:space="preserve">Siren Craft Brew X Salt Beer Factory X North Brewing Company </t>
  </si>
  <si>
    <t>Jose Cuervo Especial Blue Agave Tequila</t>
  </si>
  <si>
    <t>Gwynt Y Ddraig Welsh Scrumpy</t>
  </si>
  <si>
    <t>Baileys Original</t>
  </si>
  <si>
    <t>Maschio Prosecco</t>
  </si>
  <si>
    <t>Maschio</t>
  </si>
  <si>
    <t>Pulpt</t>
  </si>
  <si>
    <t>Captain Morgan Original Spiced Gold</t>
  </si>
  <si>
    <t>Captain Morgan Spiced Rum</t>
  </si>
  <si>
    <t>Captain Morgan Mojito</t>
  </si>
  <si>
    <t>Ross note: "Chocolate - Hazelnut - Vanilla" on front</t>
  </si>
  <si>
    <t xml:space="preserve">Twisted Cider Desert Dry </t>
  </si>
  <si>
    <t>Twisted Cider Wild Orchard</t>
  </si>
  <si>
    <t>Sandford Orchards Devon Red</t>
  </si>
  <si>
    <t>Boyant</t>
  </si>
  <si>
    <t>Puckeringly</t>
  </si>
  <si>
    <t>The Hop Foundry Shake The Tree Orange Orange Infused IPA</t>
  </si>
  <si>
    <t>Sipsmith Gin and Tonic Can</t>
  </si>
  <si>
    <t>Schofferhofer Wheat Beer Mix Grapefruit</t>
  </si>
  <si>
    <t>Forgetable</t>
  </si>
  <si>
    <t>Prodotto in Italia Prosecco Spumante Extra Dry</t>
  </si>
  <si>
    <t>Pungent</t>
  </si>
  <si>
    <t>Foragers</t>
  </si>
  <si>
    <t>Disappointment</t>
  </si>
  <si>
    <t>Caffeination</t>
  </si>
  <si>
    <t>Mochalicious</t>
  </si>
  <si>
    <t>Pessimistic</t>
  </si>
  <si>
    <t>Disappointing</t>
  </si>
  <si>
    <t>Egregious</t>
  </si>
  <si>
    <t>Facehugger</t>
  </si>
  <si>
    <t>Conceding</t>
  </si>
  <si>
    <t>Broadway Press Original Ice Cider</t>
  </si>
  <si>
    <t>Ross: Weird freezing process to make it piss coloured</t>
  </si>
  <si>
    <t>Ross: Orange Juice store Sainsburys</t>
  </si>
  <si>
    <t>Ross: Orange Juice store Sainsburys "That’s actually really nice"</t>
  </si>
  <si>
    <t>Ross: Pineapple Juice Store Sainsburys</t>
  </si>
  <si>
    <t>Ross: "Dark and Lively" on cover of Guinness</t>
  </si>
  <si>
    <t>Thistly Cross Scottish Fruits Scottish Cider</t>
  </si>
  <si>
    <t>Brooklyn Bel Air Sour</t>
  </si>
  <si>
    <t>Ross: "Dry Hopped Sour Ale"</t>
  </si>
  <si>
    <t>Quality</t>
  </si>
  <si>
    <t>Distillation</t>
  </si>
  <si>
    <t>Better</t>
  </si>
  <si>
    <t>Mixed</t>
  </si>
  <si>
    <t>Aftershock</t>
  </si>
  <si>
    <t>Dudda's Tun Cherry Cider</t>
  </si>
  <si>
    <t>Tasty-Apple</t>
  </si>
  <si>
    <t>Gloriously</t>
  </si>
  <si>
    <t>Stillness</t>
  </si>
  <si>
    <t>Instant Coffee</t>
  </si>
  <si>
    <t>Nespresso Azura</t>
  </si>
  <si>
    <t>Intriguing</t>
  </si>
  <si>
    <t>Douglas Laing's Scallywag</t>
  </si>
  <si>
    <t>Douglas Laing</t>
  </si>
  <si>
    <t>Pastore Passion Fruit Waterbeach Weisse</t>
  </si>
  <si>
    <t>Pastore Brewing and Blending</t>
  </si>
  <si>
    <t>Pastore</t>
  </si>
  <si>
    <t>Redd's Mango i Cytryna</t>
  </si>
  <si>
    <t>Redd's</t>
  </si>
  <si>
    <t>Kompania Piwowarska</t>
  </si>
  <si>
    <t>Harbour Beach Break Pale Ale</t>
  </si>
  <si>
    <t>Shake Baby Shake Vodka</t>
  </si>
  <si>
    <t>The Hop Foundry</t>
  </si>
  <si>
    <t>Binding Brauerei</t>
  </si>
  <si>
    <t>Ross: "Milange ala beer Debluuu." "Could have that on your cornflakes" (weak beer)</t>
  </si>
  <si>
    <t>Schofferhofer</t>
  </si>
  <si>
    <t>Broadway Press</t>
  </si>
  <si>
    <t>Ross Note: Sainsburys Tonic Water</t>
  </si>
  <si>
    <t>Overtone X SALT Going Out West IPA</t>
  </si>
  <si>
    <t>SALT</t>
  </si>
  <si>
    <t>Skim Milk</t>
  </si>
  <si>
    <t>Disappointingly</t>
  </si>
  <si>
    <t>Dismaying</t>
  </si>
  <si>
    <t>Dispiriting</t>
  </si>
  <si>
    <t>Bittersweet</t>
  </si>
  <si>
    <t>Velvety</t>
  </si>
  <si>
    <t>Children's</t>
  </si>
  <si>
    <t>Confectioneryish</t>
  </si>
  <si>
    <t>Tequilary</t>
  </si>
  <si>
    <t>Arboreal</t>
  </si>
  <si>
    <t>Tyrannical</t>
  </si>
  <si>
    <t>Exuberant</t>
  </si>
  <si>
    <t>Fruity AF</t>
  </si>
  <si>
    <t>Deceitful</t>
  </si>
  <si>
    <t>Artisanal</t>
  </si>
  <si>
    <t>Deceiving</t>
  </si>
  <si>
    <t>Fuckin</t>
  </si>
  <si>
    <t>Nesquikesque</t>
  </si>
  <si>
    <t>Caribbean</t>
  </si>
  <si>
    <t>Irreversible</t>
  </si>
  <si>
    <t>Potpourri</t>
  </si>
  <si>
    <t>Esternocleidomastoideo</t>
  </si>
  <si>
    <t xml:space="preserve">Liquorice </t>
  </si>
  <si>
    <t>Cacophonous</t>
  </si>
  <si>
    <t>Insurmountable</t>
  </si>
  <si>
    <t>Soft-Palate</t>
  </si>
  <si>
    <t>Scintillating</t>
  </si>
  <si>
    <t>Coriander</t>
  </si>
  <si>
    <t>Ol</t>
  </si>
  <si>
    <t>Magaluf</t>
  </si>
  <si>
    <t>Caramac</t>
  </si>
  <si>
    <t>Cigarette</t>
  </si>
  <si>
    <t>Fart-Like</t>
  </si>
  <si>
    <t>Mediterraneany</t>
  </si>
  <si>
    <t>Voluptuous</t>
  </si>
  <si>
    <t>Optimism</t>
  </si>
  <si>
    <t>Luminescence</t>
  </si>
  <si>
    <t>Magnifique</t>
  </si>
  <si>
    <t>Jamboree</t>
  </si>
  <si>
    <t>Frijj</t>
  </si>
  <si>
    <t>Gaseous</t>
  </si>
  <si>
    <t>Loveliness</t>
  </si>
  <si>
    <t>Titillacion</t>
  </si>
  <si>
    <t>Symphony</t>
  </si>
  <si>
    <t>Succotash</t>
  </si>
  <si>
    <t>Horderves</t>
  </si>
  <si>
    <t>Yellow Tail Cabernet Savignon 2019</t>
  </si>
  <si>
    <t>Cantails Berry Mule</t>
  </si>
  <si>
    <t>Mildly-Alcoholic</t>
  </si>
  <si>
    <t>`</t>
  </si>
  <si>
    <t>Mozart White Chocolate Liqueur</t>
  </si>
  <si>
    <t>Over-Hyped</t>
  </si>
  <si>
    <t>Ross: 50/50</t>
  </si>
  <si>
    <t>Cantails Hawaiian Spritz</t>
  </si>
  <si>
    <t>Well-Mixed</t>
  </si>
  <si>
    <t>Erdinger</t>
  </si>
  <si>
    <t>Orgasm</t>
  </si>
  <si>
    <t>Christmasy</t>
  </si>
  <si>
    <t>Erdinger Weissbier</t>
  </si>
  <si>
    <t>Cantails Gin Paloma</t>
  </si>
  <si>
    <t>Ferocious</t>
  </si>
  <si>
    <t>Lion Lager</t>
  </si>
  <si>
    <t>Lion Brewery</t>
  </si>
  <si>
    <t>Mighty</t>
  </si>
  <si>
    <t>Ballycastle Original</t>
  </si>
  <si>
    <t>Engrossing</t>
  </si>
  <si>
    <t>Ambivalent</t>
  </si>
  <si>
    <t>Gut</t>
  </si>
  <si>
    <t>Syruppy</t>
  </si>
  <si>
    <t>Unnecessary</t>
  </si>
  <si>
    <t>Lagar-Beer</t>
  </si>
  <si>
    <t>Wishing</t>
  </si>
  <si>
    <t>Suspicious</t>
  </si>
  <si>
    <t>Relaxing</t>
  </si>
  <si>
    <t>Mothering</t>
  </si>
  <si>
    <t>Arcade Beerworks</t>
  </si>
  <si>
    <t>Arcade Beerworks 4 New England Sesssion IPA</t>
  </si>
  <si>
    <t>Greenall's Wild Berry Pink Gin</t>
  </si>
  <si>
    <t>Cantails</t>
  </si>
  <si>
    <t xml:space="preserve">Diet Lemonade from Aldi Half and Half </t>
  </si>
  <si>
    <t>Haysmith's</t>
  </si>
  <si>
    <t>Haysmith's Spiced Plum and Clementine Gin and Tonic</t>
  </si>
  <si>
    <t>Ross: Apple Juice from Aldi</t>
  </si>
  <si>
    <t>Privatbrauerei Erdinger Weißbräu Werner Brombach</t>
  </si>
  <si>
    <t>Ballycastle</t>
  </si>
  <si>
    <t>Ross: Sainsbury's Cranberry Juice</t>
  </si>
  <si>
    <t>Amundsen Dessert In A Can - Raspberry Salted Caramel Cheesecake</t>
  </si>
  <si>
    <t>Pimms Lemonade In A Can</t>
  </si>
  <si>
    <t>Amundsen Dessert In A Can - Mango Chocolate Creamsicle</t>
  </si>
  <si>
    <t>Amundsen Barrel Aged Rocky Road In A Can Rocky Road Ice Cream</t>
  </si>
  <si>
    <t>Overload</t>
  </si>
  <si>
    <t>Redilant</t>
  </si>
  <si>
    <t>Is-Good</t>
  </si>
  <si>
    <t>Confectionary</t>
  </si>
  <si>
    <t>Not-So-Delight</t>
  </si>
  <si>
    <t>Trailer Made Elderflower Gin</t>
  </si>
  <si>
    <t>Sanitising</t>
  </si>
  <si>
    <t>Not-Floral</t>
  </si>
  <si>
    <t>Intoxicating</t>
  </si>
  <si>
    <t>Avian</t>
  </si>
  <si>
    <t>Sacchariferous</t>
  </si>
  <si>
    <t>Startling</t>
  </si>
  <si>
    <t>Vegetation</t>
  </si>
  <si>
    <t>Schweppes Slimline Tonic</t>
  </si>
  <si>
    <t>Warsteiner</t>
  </si>
  <si>
    <t>Wonder</t>
  </si>
  <si>
    <t>Hydrating</t>
  </si>
  <si>
    <t>Atrocity</t>
  </si>
  <si>
    <t>Vaguely</t>
  </si>
  <si>
    <t>White Claw Hard Seltzer Raspberry</t>
  </si>
  <si>
    <t>Absolut Lime Vodka</t>
  </si>
  <si>
    <t>Rather</t>
  </si>
  <si>
    <t>Sanded</t>
  </si>
  <si>
    <t>Tantalising</t>
  </si>
  <si>
    <t>Samuel Adams</t>
  </si>
  <si>
    <t>Wheatfield</t>
  </si>
  <si>
    <t>Newburgh Brewing Company PURRfect Wheat</t>
  </si>
  <si>
    <t>Horribly</t>
  </si>
  <si>
    <t xml:space="preserve">Ross: Not great for paradise but just deal with it </t>
  </si>
  <si>
    <t>Decent-Because</t>
  </si>
  <si>
    <t>I'm-Drunk</t>
  </si>
  <si>
    <t>Casillero Del Diablo Merlot</t>
  </si>
  <si>
    <t>Annings Fruit Cider Pink Crushed Mixed Berries</t>
  </si>
  <si>
    <t>Crushed</t>
  </si>
  <si>
    <t>Absolut Citron</t>
  </si>
  <si>
    <t>Supernova</t>
  </si>
  <si>
    <t>Combo</t>
  </si>
  <si>
    <t>Cif</t>
  </si>
  <si>
    <t>Problem</t>
  </si>
  <si>
    <t>Gipsy Hill Ranger Pale Ale</t>
  </si>
  <si>
    <t>Cantancerous</t>
  </si>
  <si>
    <t>Desperation</t>
  </si>
  <si>
    <t>Lushness</t>
  </si>
  <si>
    <t>Buddy</t>
  </si>
  <si>
    <t>Marvelous</t>
  </si>
  <si>
    <t>Limeness</t>
  </si>
  <si>
    <t>Why</t>
  </si>
  <si>
    <t>Ross heard: "Beautiful Days Morning"</t>
  </si>
  <si>
    <t>Pretentious</t>
  </si>
  <si>
    <t>Kozel Světlý</t>
  </si>
  <si>
    <t>Mawkish</t>
  </si>
  <si>
    <t>Bohemia</t>
  </si>
  <si>
    <t>Northern Monk OFS010 Carribbean Cocktail Style Sour</t>
  </si>
  <si>
    <t>Northern Monk OFS006 British Summer Fruit Punch Sour</t>
  </si>
  <si>
    <t>Northern Monk OFS013 Dark Fruit Tonka Sour</t>
  </si>
  <si>
    <t>Cinnamony-Vibe</t>
  </si>
  <si>
    <t>London Beer Factory Sour Solstice Blood Orange &amp; Cranberry Sour</t>
  </si>
  <si>
    <t>Roche Lacour Crémant de Limoux 2018 Brut</t>
  </si>
  <si>
    <t>O'Donnell Bitter Rose Moonshine</t>
  </si>
  <si>
    <t>Ross: From the bottle: "A sharp and fruity moonshine liqueur"</t>
  </si>
  <si>
    <t>Ross - Sean: "Im sure redilance is a word"</t>
  </si>
  <si>
    <t>Ross: Coffee - Espresso Azure. "If you had a bad time In your life, it would sort you right out"</t>
  </si>
  <si>
    <t>O'Donnell Moonshine</t>
  </si>
  <si>
    <t>Trailer Made</t>
  </si>
  <si>
    <t>The Little Gin Company</t>
  </si>
  <si>
    <t>Samuel Adams Boston Brewery</t>
  </si>
  <si>
    <t>Magic Rock Murk-Life Balance Hazy Pale Ale</t>
  </si>
  <si>
    <t>Magic Rock Inhaler Hoppy Pale Ale</t>
  </si>
  <si>
    <t>Magic Rock High Wire Grapefruit Pale Ale</t>
  </si>
  <si>
    <t>Magic Rock Dark Arts Hazelnut Surreal Stout</t>
  </si>
  <si>
    <t>Magic Rock Make Alphonso Great Again Mango IPA</t>
  </si>
  <si>
    <t>Magic Rock Surreal Stout</t>
  </si>
  <si>
    <t>Marcelo Papa</t>
  </si>
  <si>
    <t>Casillero del Diablo</t>
  </si>
  <si>
    <t>Viviane Gianesini at Sieur d’Arques</t>
  </si>
  <si>
    <t>Roche Lacour</t>
  </si>
  <si>
    <t>Wearied</t>
  </si>
  <si>
    <t>Wilko's</t>
  </si>
  <si>
    <t>Asphyxiation</t>
  </si>
  <si>
    <t>Ross: Jason suggests it tastes better for him as it's been in the freezer.</t>
  </si>
  <si>
    <t>Pivovar Velké Popovice</t>
  </si>
  <si>
    <t>Kozel</t>
  </si>
  <si>
    <t>London Beer Factory</t>
  </si>
  <si>
    <t>Ross: Sainsbury's Orange Juice</t>
  </si>
  <si>
    <t>Ross: Morrisons Cranberry Juice</t>
  </si>
  <si>
    <t>Ross: Dan - "Catchphrase: Same But Different"</t>
  </si>
  <si>
    <t>Ross: Ant - "Very nice beer"</t>
  </si>
  <si>
    <t xml:space="preserve">Ross: Flavour fine but you shouldn't have to chew a shot (curdled while we were talking) </t>
  </si>
  <si>
    <t>Ross: Bitter Lemon Brand: Lidl</t>
  </si>
  <si>
    <t>Ross: Box Wine,  "Crisp and Refreshing" on box.</t>
  </si>
  <si>
    <t>Ross: Dawn - "Aftertaste is nice so take with that what you will"</t>
  </si>
  <si>
    <t>Ross: "Bulgarian Lager Beer"</t>
  </si>
  <si>
    <t>Ross: Ed - 'Bulgarian drink, found after 14 years during a clearout to sell the house'</t>
  </si>
  <si>
    <t>Ross: Ant - "Would say not even the same beer"</t>
  </si>
  <si>
    <t>Ross: Sicilian Tonic Water</t>
  </si>
  <si>
    <t>Ross: Lidl's Soy Milk</t>
  </si>
  <si>
    <t>Ross: Produce of Spain, Producer La Vuelta Wines</t>
  </si>
  <si>
    <t>Ross: Bitter Lemon brand: Lidl</t>
  </si>
  <si>
    <t>Ross: Jason - "A Generous 5"</t>
  </si>
  <si>
    <t>Bulmers Red Crushed Berries and Lime</t>
  </si>
  <si>
    <t>Kentish Pip Katy Apple and Rhubarb Cider</t>
  </si>
  <si>
    <t>Sem Sendyona</t>
  </si>
  <si>
    <t>name</t>
  </si>
  <si>
    <t>date</t>
  </si>
  <si>
    <t>drinkMain</t>
  </si>
  <si>
    <t>drinkType</t>
  </si>
  <si>
    <t>abv</t>
  </si>
  <si>
    <t>mixerOne</t>
  </si>
  <si>
    <t>mixerTwo</t>
  </si>
  <si>
    <t>ratingWordOne</t>
  </si>
  <si>
    <t>ratingWordTwo</t>
  </si>
  <si>
    <t>brand</t>
  </si>
  <si>
    <t>collabOne</t>
  </si>
  <si>
    <t>collabTwo</t>
  </si>
  <si>
    <t>company</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</si>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</sst>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yyyy"/>
    <numFmt numFmtId="165" formatCode="0.0"/>
    <numFmt numFmtId="166" formatCode="d/mm/yyyy;@"/>
    <numFmt numFmtId="167" formatCode="0.0000"/>
    <numFmt numFmtId="168" formatCode="0.0%"/>
    <numFmt numFmtId="172" formatCode="yyyy\-mm\-dd;@"/>
  </numFmts>
  <fonts count="24" x14ac:knownFonts="1">
    <font>
      <sz val="11"/>
      <color theme="1"/>
      <name val="Arial"/>
    </font>
    <font>
      <sz val="11"/>
      <color theme="1"/>
      <name val="Arial"/>
      <family val="2"/>
    </font>
    <font>
      <sz val="11"/>
      <color theme="1"/>
      <name val="Calibri"/>
      <family val="2"/>
    </font>
    <font>
      <sz val="11"/>
      <color theme="1"/>
      <name val="Calibri"/>
      <family val="2"/>
    </font>
    <font>
      <sz val="11"/>
      <color rgb="FF000000"/>
      <name val="Arial"/>
      <family val="2"/>
    </font>
    <font>
      <sz val="11"/>
      <color theme="1"/>
      <name val="Arial"/>
      <family val="2"/>
    </font>
    <font>
      <sz val="11"/>
      <name val="Arial"/>
      <family val="2"/>
    </font>
    <font>
      <b/>
      <sz val="11"/>
      <color theme="1"/>
      <name val="Arial"/>
      <family val="2"/>
    </font>
    <font>
      <sz val="22"/>
      <color theme="1"/>
      <name val="Arial"/>
      <family val="2"/>
    </font>
    <font>
      <sz val="14"/>
      <color rgb="FF000000"/>
      <name val="Arial"/>
      <family val="2"/>
    </font>
    <font>
      <b/>
      <sz val="18"/>
      <color theme="1"/>
      <name val="Calibri"/>
      <family val="2"/>
    </font>
    <font>
      <b/>
      <sz val="18"/>
      <color theme="1"/>
      <name val="Arial"/>
      <family val="2"/>
    </font>
    <font>
      <b/>
      <sz val="16"/>
      <color theme="1"/>
      <name val="Calibri"/>
      <family val="2"/>
    </font>
    <font>
      <sz val="12"/>
      <name val="Arial"/>
      <family val="2"/>
    </font>
    <font>
      <b/>
      <sz val="14"/>
      <color theme="1"/>
      <name val="Arial"/>
      <family val="2"/>
    </font>
    <font>
      <sz val="16"/>
      <color theme="1"/>
      <name val="Arial"/>
      <family val="2"/>
    </font>
    <font>
      <b/>
      <sz val="16"/>
      <color theme="1"/>
      <name val="Arial"/>
      <family val="2"/>
    </font>
    <font>
      <sz val="14"/>
      <color theme="1"/>
      <name val="Arial"/>
      <family val="2"/>
    </font>
    <font>
      <b/>
      <sz val="11"/>
      <color theme="1"/>
      <name val="Calibri"/>
      <family val="2"/>
    </font>
    <font>
      <sz val="12"/>
      <color theme="1"/>
      <name val="Arial"/>
      <family val="2"/>
    </font>
    <font>
      <b/>
      <sz val="12"/>
      <color theme="1"/>
      <name val="Arial"/>
      <family val="2"/>
    </font>
    <font>
      <sz val="8"/>
      <name val="Arial"/>
      <family val="2"/>
    </font>
    <font>
      <sz val="10"/>
      <color rgb="FF000000"/>
      <name val="Helvetica Neue"/>
      <family val="2"/>
    </font>
    <font>
      <b/>
      <sz val="10"/>
      <color rgb="FF000000"/>
      <name val="Helvetica Neue"/>
      <family val="2"/>
    </font>
  </fonts>
  <fills count="6">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485"/>
        <bgColor indexed="64"/>
      </patternFill>
    </fill>
    <fill>
      <patternFill patternType="solid">
        <fgColor theme="0" tint="-0.34998626667073579"/>
        <bgColor indexed="64"/>
      </patternFill>
    </fill>
  </fills>
  <borders count="4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medium">
        <color rgb="FF000000"/>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rgb="FF000000"/>
      </left>
      <right/>
      <top/>
      <bottom style="medium">
        <color rgb="FF000000"/>
      </bottom>
      <diagonal/>
    </border>
    <border>
      <left style="medium">
        <color indexed="64"/>
      </left>
      <right style="medium">
        <color indexed="64"/>
      </right>
      <top/>
      <bottom style="medium">
        <color rgb="FF000000"/>
      </bottom>
      <diagonal/>
    </border>
    <border>
      <left style="thin">
        <color indexed="64"/>
      </left>
      <right style="thin">
        <color indexed="64"/>
      </right>
      <top/>
      <bottom style="thin">
        <color indexed="64"/>
      </bottom>
      <diagonal/>
    </border>
    <border>
      <left style="thin">
        <color auto="1"/>
      </left>
      <right/>
      <top style="thin">
        <color auto="1"/>
      </top>
      <bottom/>
      <diagonal/>
    </border>
    <border>
      <left style="medium">
        <color indexed="64"/>
      </left>
      <right/>
      <top style="thin">
        <color auto="1"/>
      </top>
      <bottom/>
      <diagonal/>
    </border>
    <border>
      <left style="medium">
        <color indexed="64"/>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267">
    <xf numFmtId="0" fontId="0" fillId="0" borderId="0" xfId="0" applyFont="1" applyAlignment="1"/>
    <xf numFmtId="4" fontId="1" fillId="0" borderId="0" xfId="0" applyNumberFormat="1" applyFont="1"/>
    <xf numFmtId="0" fontId="3" fillId="0" borderId="0" xfId="0" applyFont="1" applyAlignment="1">
      <alignment wrapText="1"/>
    </xf>
    <xf numFmtId="164" fontId="3" fillId="0" borderId="0" xfId="0" applyNumberFormat="1" applyFont="1"/>
    <xf numFmtId="0" fontId="3" fillId="0" borderId="0" xfId="0" applyFont="1"/>
    <xf numFmtId="0" fontId="3" fillId="0" borderId="6" xfId="0" applyFont="1" applyBorder="1"/>
    <xf numFmtId="0" fontId="4" fillId="0" borderId="5" xfId="0" applyFont="1" applyBorder="1" applyAlignment="1"/>
    <xf numFmtId="0" fontId="3" fillId="0" borderId="1" xfId="0" applyFont="1" applyBorder="1"/>
    <xf numFmtId="0" fontId="3" fillId="0" borderId="4" xfId="0" applyFont="1" applyBorder="1"/>
    <xf numFmtId="0" fontId="3" fillId="0" borderId="2" xfId="0" applyFont="1" applyBorder="1"/>
    <xf numFmtId="0" fontId="3" fillId="0" borderId="5" xfId="0" applyFont="1" applyBorder="1" applyAlignment="1">
      <alignment wrapText="1"/>
    </xf>
    <xf numFmtId="0" fontId="3" fillId="0" borderId="6"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4" fontId="4" fillId="0" borderId="1" xfId="0" applyNumberFormat="1" applyFont="1" applyBorder="1" applyAlignment="1"/>
    <xf numFmtId="0" fontId="2" fillId="0" borderId="2" xfId="0" applyFont="1" applyBorder="1"/>
    <xf numFmtId="0" fontId="0" fillId="0" borderId="0" xfId="0" applyFont="1" applyAlignment="1">
      <alignment wrapText="1"/>
    </xf>
    <xf numFmtId="0" fontId="5" fillId="0" borderId="0" xfId="0" applyFont="1" applyAlignment="1"/>
    <xf numFmtId="0" fontId="0" fillId="0" borderId="0" xfId="0" applyNumberFormat="1" applyFont="1" applyAlignment="1"/>
    <xf numFmtId="0" fontId="2" fillId="0" borderId="0" xfId="0" applyFont="1" applyAlignment="1">
      <alignment wrapText="1"/>
    </xf>
    <xf numFmtId="0" fontId="4" fillId="0" borderId="12" xfId="0" applyFont="1" applyBorder="1" applyAlignment="1"/>
    <xf numFmtId="0" fontId="0" fillId="0" borderId="0" xfId="0" applyFont="1" applyFill="1" applyAlignment="1"/>
    <xf numFmtId="0" fontId="1" fillId="0" borderId="0" xfId="0" applyFont="1" applyFill="1" applyAlignment="1"/>
    <xf numFmtId="0" fontId="2" fillId="0" borderId="0" xfId="0" applyFont="1" applyFill="1" applyBorder="1" applyAlignment="1">
      <alignment wrapText="1"/>
    </xf>
    <xf numFmtId="0" fontId="3" fillId="0" borderId="0" xfId="0" applyFont="1" applyBorder="1"/>
    <xf numFmtId="4" fontId="4" fillId="0" borderId="0" xfId="0" applyNumberFormat="1" applyFont="1" applyBorder="1" applyAlignment="1"/>
    <xf numFmtId="0" fontId="0" fillId="0" borderId="0" xfId="0" applyFont="1" applyAlignment="1">
      <alignment horizontal="right"/>
    </xf>
    <xf numFmtId="0" fontId="0" fillId="0" borderId="0" xfId="0" applyFont="1" applyAlignment="1">
      <alignment horizontal="right" wrapText="1"/>
    </xf>
    <xf numFmtId="0" fontId="1" fillId="0" borderId="0" xfId="0" applyFont="1" applyAlignment="1"/>
    <xf numFmtId="0" fontId="9" fillId="0" borderId="12" xfId="0" applyFont="1" applyBorder="1" applyAlignment="1"/>
    <xf numFmtId="0" fontId="9" fillId="0" borderId="13" xfId="0" applyFont="1" applyBorder="1" applyAlignment="1"/>
    <xf numFmtId="0" fontId="8" fillId="0" borderId="0" xfId="0" applyFont="1" applyFill="1" applyAlignment="1"/>
    <xf numFmtId="0" fontId="0" fillId="0" borderId="0" xfId="0" applyFont="1" applyFill="1" applyAlignment="1">
      <alignment wrapText="1"/>
    </xf>
    <xf numFmtId="0" fontId="0" fillId="0" borderId="0" xfId="0" pivotButton="1" applyFont="1" applyAlignment="1"/>
    <xf numFmtId="0" fontId="0" fillId="0" borderId="0" xfId="0" applyFont="1" applyAlignment="1">
      <alignment horizontal="left"/>
    </xf>
    <xf numFmtId="0" fontId="1" fillId="0" borderId="27" xfId="0" applyFont="1" applyBorder="1" applyAlignment="1">
      <alignment horizontal="center"/>
    </xf>
    <xf numFmtId="0" fontId="1" fillId="0" borderId="11" xfId="0" applyFont="1" applyBorder="1" applyAlignment="1">
      <alignment horizontal="center"/>
    </xf>
    <xf numFmtId="0" fontId="0" fillId="0" borderId="0" xfId="0" applyFont="1" applyBorder="1" applyAlignment="1">
      <alignment horizontal="center"/>
    </xf>
    <xf numFmtId="0" fontId="3" fillId="0" borderId="0" xfId="0" applyFont="1" applyFill="1" applyBorder="1"/>
    <xf numFmtId="0" fontId="2" fillId="0" borderId="0" xfId="0" applyFont="1" applyBorder="1"/>
    <xf numFmtId="0" fontId="2" fillId="0" borderId="0" xfId="0" applyFont="1" applyFill="1" applyBorder="1"/>
    <xf numFmtId="10" fontId="2" fillId="0" borderId="0" xfId="0" applyNumberFormat="1" applyFont="1" applyFill="1" applyBorder="1"/>
    <xf numFmtId="0" fontId="1" fillId="0" borderId="28" xfId="0" applyFont="1" applyBorder="1" applyAlignment="1">
      <alignment horizontal="center"/>
    </xf>
    <xf numFmtId="0" fontId="1" fillId="0" borderId="0" xfId="0" applyFont="1" applyBorder="1" applyAlignment="1">
      <alignment horizontal="center"/>
    </xf>
    <xf numFmtId="0" fontId="0" fillId="0" borderId="0" xfId="0" applyFont="1" applyBorder="1" applyAlignment="1"/>
    <xf numFmtId="164" fontId="3" fillId="0" borderId="11" xfId="0" applyNumberFormat="1" applyFont="1" applyBorder="1" applyAlignment="1">
      <alignment horizontal="center" vertical="center" wrapText="1"/>
    </xf>
    <xf numFmtId="0" fontId="2" fillId="0" borderId="1" xfId="0" applyFont="1" applyBorder="1" applyAlignment="1">
      <alignment horizontal="center" vertical="center"/>
    </xf>
    <xf numFmtId="0" fontId="3" fillId="0" borderId="12" xfId="0" applyFont="1" applyFill="1" applyBorder="1" applyAlignment="1">
      <alignment horizontal="center" vertical="center" wrapText="1"/>
    </xf>
    <xf numFmtId="0" fontId="2" fillId="0" borderId="0" xfId="0" applyFont="1" applyBorder="1" applyAlignment="1">
      <alignment wrapText="1"/>
    </xf>
    <xf numFmtId="0" fontId="0" fillId="0" borderId="0" xfId="0" applyFont="1" applyFill="1" applyBorder="1" applyAlignment="1"/>
    <xf numFmtId="166" fontId="0" fillId="0" borderId="0" xfId="0" applyNumberFormat="1" applyFont="1" applyBorder="1" applyAlignment="1">
      <alignment horizontal="center"/>
    </xf>
    <xf numFmtId="0" fontId="1" fillId="0" borderId="12" xfId="0" applyFont="1" applyBorder="1"/>
    <xf numFmtId="0" fontId="1" fillId="0" borderId="0" xfId="0" applyFont="1"/>
    <xf numFmtId="167" fontId="1" fillId="0" borderId="0" xfId="0" applyNumberFormat="1" applyFont="1"/>
    <xf numFmtId="0" fontId="1" fillId="0" borderId="17" xfId="0" applyFont="1" applyBorder="1"/>
    <xf numFmtId="0" fontId="13" fillId="0" borderId="0" xfId="0" applyFont="1" applyAlignment="1">
      <alignment vertical="center"/>
    </xf>
    <xf numFmtId="0" fontId="1" fillId="0" borderId="6" xfId="0" applyFont="1" applyBorder="1"/>
    <xf numFmtId="10" fontId="1" fillId="0" borderId="18" xfId="0" applyNumberFormat="1" applyFont="1" applyFill="1" applyBorder="1" applyAlignment="1">
      <alignment wrapText="1"/>
    </xf>
    <xf numFmtId="0" fontId="1" fillId="0" borderId="0" xfId="0" applyFont="1" applyBorder="1"/>
    <xf numFmtId="0" fontId="1" fillId="0" borderId="5" xfId="0" applyFont="1" applyFill="1" applyBorder="1" applyAlignment="1">
      <alignment wrapText="1"/>
    </xf>
    <xf numFmtId="10" fontId="1" fillId="0" borderId="5" xfId="0" applyNumberFormat="1" applyFont="1" applyFill="1" applyBorder="1"/>
    <xf numFmtId="167" fontId="1" fillId="0" borderId="0" xfId="0" applyNumberFormat="1" applyFont="1" applyBorder="1"/>
    <xf numFmtId="0" fontId="1" fillId="0" borderId="15" xfId="0" applyFont="1" applyBorder="1"/>
    <xf numFmtId="0" fontId="1" fillId="0" borderId="4" xfId="0" applyFont="1" applyFill="1" applyBorder="1"/>
    <xf numFmtId="0" fontId="1" fillId="0" borderId="2" xfId="0" applyFont="1" applyBorder="1"/>
    <xf numFmtId="0" fontId="1" fillId="3" borderId="2" xfId="0" applyFont="1" applyFill="1" applyBorder="1"/>
    <xf numFmtId="0" fontId="1" fillId="0" borderId="4" xfId="0" applyFont="1" applyBorder="1"/>
    <xf numFmtId="0" fontId="1" fillId="0" borderId="3" xfId="0" applyFont="1" applyBorder="1"/>
    <xf numFmtId="0" fontId="14" fillId="0" borderId="0" xfId="0" applyFont="1" applyFill="1" applyBorder="1" applyAlignment="1"/>
    <xf numFmtId="14" fontId="1" fillId="0" borderId="11" xfId="0" applyNumberFormat="1" applyFont="1" applyBorder="1" applyAlignment="1">
      <alignment horizontal="center"/>
    </xf>
    <xf numFmtId="0" fontId="1" fillId="0" borderId="5" xfId="0" applyFont="1" applyBorder="1"/>
    <xf numFmtId="4" fontId="1" fillId="0" borderId="7" xfId="0" applyNumberFormat="1" applyFont="1" applyBorder="1"/>
    <xf numFmtId="0" fontId="1" fillId="0" borderId="7" xfId="0" applyFont="1" applyBorder="1"/>
    <xf numFmtId="0" fontId="1" fillId="0" borderId="8" xfId="0" applyFont="1" applyBorder="1"/>
    <xf numFmtId="0" fontId="1" fillId="0" borderId="1" xfId="0" applyFont="1" applyBorder="1"/>
    <xf numFmtId="0" fontId="14" fillId="0" borderId="1" xfId="0" applyFont="1" applyBorder="1" applyAlignment="1">
      <alignment wrapText="1"/>
    </xf>
    <xf numFmtId="0" fontId="1" fillId="0" borderId="18" xfId="0" applyFont="1" applyBorder="1"/>
    <xf numFmtId="0" fontId="1" fillId="2" borderId="5" xfId="0" applyFont="1" applyFill="1" applyBorder="1"/>
    <xf numFmtId="0" fontId="1" fillId="2" borderId="0" xfId="0" applyFont="1" applyFill="1"/>
    <xf numFmtId="0" fontId="1" fillId="2" borderId="7" xfId="0" applyFont="1" applyFill="1" applyBorder="1"/>
    <xf numFmtId="0" fontId="1" fillId="2" borderId="16" xfId="0" applyFont="1" applyFill="1" applyBorder="1"/>
    <xf numFmtId="0" fontId="10" fillId="4" borderId="26" xfId="0" applyFont="1" applyFill="1" applyBorder="1" applyAlignment="1">
      <alignment wrapText="1"/>
    </xf>
    <xf numFmtId="0" fontId="10" fillId="4" borderId="26" xfId="0" applyFont="1" applyFill="1" applyBorder="1" applyAlignment="1">
      <alignment horizontal="center" wrapText="1"/>
    </xf>
    <xf numFmtId="0" fontId="3" fillId="4" borderId="12" xfId="0" applyFont="1" applyFill="1" applyBorder="1" applyAlignment="1">
      <alignment wrapText="1"/>
    </xf>
    <xf numFmtId="0" fontId="0" fillId="4" borderId="12" xfId="0" applyFont="1" applyFill="1" applyBorder="1" applyAlignment="1">
      <alignment wrapText="1"/>
    </xf>
    <xf numFmtId="0" fontId="0" fillId="4" borderId="13" xfId="0" applyFont="1" applyFill="1" applyBorder="1" applyAlignment="1">
      <alignment wrapText="1"/>
    </xf>
    <xf numFmtId="0" fontId="10" fillId="4" borderId="0" xfId="0" applyFont="1" applyFill="1" applyAlignment="1">
      <alignment wrapText="1"/>
    </xf>
    <xf numFmtId="0" fontId="0" fillId="4" borderId="0" xfId="0" applyFont="1" applyFill="1" applyAlignment="1"/>
    <xf numFmtId="0" fontId="0" fillId="4" borderId="0" xfId="0" applyFont="1" applyFill="1" applyAlignment="1">
      <alignment wrapText="1"/>
    </xf>
    <xf numFmtId="0" fontId="0" fillId="4" borderId="29" xfId="0" applyFont="1" applyFill="1" applyBorder="1" applyAlignment="1"/>
    <xf numFmtId="0" fontId="1" fillId="0" borderId="29" xfId="0" applyFont="1" applyBorder="1" applyAlignment="1"/>
    <xf numFmtId="0" fontId="7" fillId="0" borderId="29" xfId="0" applyFont="1" applyBorder="1" applyAlignment="1">
      <alignment horizontal="center"/>
    </xf>
    <xf numFmtId="166" fontId="12" fillId="0" borderId="20" xfId="0" applyNumberFormat="1" applyFont="1" applyBorder="1" applyAlignment="1">
      <alignment horizontal="center" wrapText="1"/>
    </xf>
    <xf numFmtId="0" fontId="12" fillId="0" borderId="20" xfId="0" applyFont="1" applyBorder="1" applyAlignment="1">
      <alignment horizontal="center" wrapText="1"/>
    </xf>
    <xf numFmtId="0" fontId="16" fillId="0" borderId="0" xfId="0" applyFont="1" applyAlignment="1">
      <alignment horizontal="right"/>
    </xf>
    <xf numFmtId="0" fontId="10" fillId="4" borderId="0" xfId="0" applyFont="1" applyFill="1" applyBorder="1" applyAlignment="1">
      <alignment horizontal="center" wrapText="1"/>
    </xf>
    <xf numFmtId="0" fontId="17" fillId="0" borderId="22" xfId="0" applyFont="1" applyBorder="1"/>
    <xf numFmtId="0" fontId="14" fillId="0" borderId="0" xfId="0" applyFont="1" applyBorder="1"/>
    <xf numFmtId="0" fontId="14" fillId="0" borderId="23" xfId="0" applyFont="1" applyBorder="1"/>
    <xf numFmtId="0" fontId="17" fillId="0" borderId="12" xfId="0" applyFont="1" applyBorder="1"/>
    <xf numFmtId="0" fontId="14" fillId="0" borderId="19" xfId="0" applyFont="1" applyBorder="1"/>
    <xf numFmtId="0" fontId="14" fillId="0" borderId="24" xfId="0" applyFont="1" applyBorder="1"/>
    <xf numFmtId="0" fontId="14" fillId="0" borderId="25" xfId="0" applyFont="1" applyBorder="1"/>
    <xf numFmtId="0" fontId="16" fillId="0" borderId="1" xfId="0" applyFont="1" applyBorder="1" applyAlignment="1">
      <alignment wrapText="1"/>
    </xf>
    <xf numFmtId="0" fontId="1" fillId="0" borderId="0" xfId="0" applyNumberFormat="1" applyFont="1" applyAlignment="1"/>
    <xf numFmtId="166" fontId="16" fillId="0" borderId="1" xfId="0" applyNumberFormat="1" applyFont="1" applyBorder="1" applyAlignment="1">
      <alignment horizontal="center" vertical="center" wrapText="1"/>
    </xf>
    <xf numFmtId="0" fontId="10" fillId="4" borderId="0" xfId="0" applyFont="1" applyFill="1" applyBorder="1" applyAlignment="1">
      <alignment wrapText="1"/>
    </xf>
    <xf numFmtId="0" fontId="0" fillId="4" borderId="0" xfId="0" applyFont="1" applyFill="1" applyBorder="1" applyAlignment="1"/>
    <xf numFmtId="14" fontId="0" fillId="0" borderId="13" xfId="0" applyNumberFormat="1" applyFont="1" applyBorder="1" applyAlignment="1">
      <alignment horizontal="center"/>
    </xf>
    <xf numFmtId="3" fontId="4" fillId="0" borderId="0" xfId="0" applyNumberFormat="1" applyFont="1" applyAlignment="1"/>
    <xf numFmtId="0" fontId="1" fillId="0" borderId="0" xfId="0" applyFont="1" applyAlignment="1">
      <alignment horizontal="center" vertical="center"/>
    </xf>
    <xf numFmtId="166" fontId="1" fillId="0" borderId="0" xfId="0" applyNumberFormat="1" applyFont="1" applyFill="1" applyBorder="1" applyAlignment="1">
      <alignment horizontal="center" vertical="center"/>
    </xf>
    <xf numFmtId="0" fontId="1" fillId="0" borderId="0" xfId="0" applyFont="1" applyAlignment="1">
      <alignment wrapText="1"/>
    </xf>
    <xf numFmtId="0" fontId="1" fillId="0" borderId="0" xfId="0" applyNumberFormat="1" applyFont="1" applyAlignment="1">
      <alignment wrapText="1"/>
    </xf>
    <xf numFmtId="165" fontId="1" fillId="0" borderId="0" xfId="0" applyNumberFormat="1" applyFont="1"/>
    <xf numFmtId="0" fontId="1" fillId="0" borderId="0" xfId="0" applyFont="1" applyFill="1" applyBorder="1" applyAlignment="1">
      <alignment horizontal="center" vertical="center"/>
    </xf>
    <xf numFmtId="165" fontId="1" fillId="0" borderId="0" xfId="0" applyNumberFormat="1" applyFont="1" applyBorder="1"/>
    <xf numFmtId="165" fontId="4" fillId="0" borderId="0" xfId="0" applyNumberFormat="1" applyFont="1" applyAlignment="1">
      <alignment horizontal="right"/>
    </xf>
    <xf numFmtId="165" fontId="1" fillId="0" borderId="0" xfId="0" applyNumberFormat="1" applyFont="1" applyAlignment="1"/>
    <xf numFmtId="0" fontId="1" fillId="0" borderId="0" xfId="0" applyFont="1" applyFill="1" applyBorder="1" applyAlignment="1">
      <alignment horizontal="center" vertical="center" wrapText="1"/>
    </xf>
    <xf numFmtId="0" fontId="15" fillId="0" borderId="1" xfId="0" applyFont="1" applyBorder="1" applyAlignment="1">
      <alignment horizontal="center" vertical="center" wrapText="1"/>
    </xf>
    <xf numFmtId="166" fontId="12" fillId="0" borderId="20" xfId="0" applyNumberFormat="1" applyFont="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center" vertical="center"/>
    </xf>
    <xf numFmtId="0" fontId="3" fillId="0" borderId="5" xfId="0" applyFont="1" applyFill="1" applyBorder="1" applyAlignment="1">
      <alignment horizontal="center" vertical="center" wrapText="1"/>
    </xf>
    <xf numFmtId="0" fontId="0"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4" borderId="12" xfId="0" applyFont="1" applyFill="1" applyBorder="1" applyAlignment="1">
      <alignment horizontal="center" vertical="center" wrapText="1"/>
    </xf>
    <xf numFmtId="0" fontId="1" fillId="0" borderId="0" xfId="0" applyFont="1" applyFill="1" applyAlignment="1">
      <alignment horizontal="center" vertical="center"/>
    </xf>
    <xf numFmtId="0" fontId="16" fillId="0" borderId="1" xfId="0" applyFont="1" applyBorder="1" applyAlignment="1">
      <alignment horizontal="center" vertical="center" wrapText="1"/>
    </xf>
    <xf numFmtId="0" fontId="14" fillId="0" borderId="30" xfId="0" applyFont="1" applyBorder="1"/>
    <xf numFmtId="164" fontId="18" fillId="0" borderId="18" xfId="0" applyNumberFormat="1"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Fill="1" applyBorder="1" applyAlignment="1">
      <alignment horizontal="center" vertical="center" wrapText="1"/>
    </xf>
    <xf numFmtId="0" fontId="18" fillId="0" borderId="8" xfId="0" applyFont="1" applyFill="1" applyBorder="1" applyAlignment="1">
      <alignment horizontal="center" vertical="center" wrapText="1"/>
    </xf>
    <xf numFmtId="0" fontId="1" fillId="0" borderId="0" xfId="0" applyFont="1" applyFill="1" applyBorder="1" applyAlignment="1"/>
    <xf numFmtId="0" fontId="1" fillId="0" borderId="0" xfId="0" applyFont="1" applyBorder="1" applyAlignment="1"/>
    <xf numFmtId="0" fontId="3" fillId="0" borderId="0" xfId="0" applyFont="1" applyFill="1" applyBorder="1" applyAlignment="1">
      <alignment wrapText="1"/>
    </xf>
    <xf numFmtId="0" fontId="4" fillId="0" borderId="0" xfId="0" applyFont="1" applyFill="1"/>
    <xf numFmtId="0" fontId="1" fillId="0" borderId="23" xfId="0" applyFont="1" applyBorder="1" applyAlignment="1"/>
    <xf numFmtId="0" fontId="1" fillId="0" borderId="19" xfId="0" applyFont="1" applyBorder="1" applyAlignment="1"/>
    <xf numFmtId="0" fontId="7" fillId="0" borderId="31" xfId="0" applyFont="1" applyBorder="1" applyAlignment="1">
      <alignment horizontal="center" vertical="center"/>
    </xf>
    <xf numFmtId="0" fontId="7" fillId="0" borderId="21" xfId="0" applyFont="1" applyBorder="1" applyAlignment="1">
      <alignment horizontal="center" vertical="center"/>
    </xf>
    <xf numFmtId="0" fontId="2"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7" fillId="0" borderId="0" xfId="0" applyFont="1" applyBorder="1" applyAlignment="1">
      <alignment horizontal="center" vertical="center"/>
    </xf>
    <xf numFmtId="168" fontId="1" fillId="0" borderId="0" xfId="0" applyNumberFormat="1" applyFont="1" applyAlignment="1">
      <alignment horizontal="center" vertical="center"/>
    </xf>
    <xf numFmtId="166" fontId="12" fillId="0" borderId="0" xfId="0" applyNumberFormat="1" applyFont="1" applyBorder="1" applyAlignment="1">
      <alignment horizontal="center" vertical="center" wrapText="1"/>
    </xf>
    <xf numFmtId="0" fontId="15" fillId="5" borderId="14"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1" fillId="0" borderId="32" xfId="0" applyFont="1" applyBorder="1" applyAlignment="1"/>
    <xf numFmtId="0" fontId="0" fillId="0" borderId="23" xfId="0" applyFont="1" applyBorder="1" applyAlignment="1"/>
    <xf numFmtId="0" fontId="0" fillId="0" borderId="19" xfId="0" applyFont="1" applyBorder="1" applyAlignment="1"/>
    <xf numFmtId="0" fontId="0" fillId="0" borderId="21" xfId="0" applyFont="1" applyBorder="1" applyAlignment="1"/>
    <xf numFmtId="0" fontId="0" fillId="0" borderId="30" xfId="0" applyFont="1" applyBorder="1" applyAlignment="1"/>
    <xf numFmtId="0" fontId="1" fillId="0" borderId="24" xfId="0" applyFont="1" applyBorder="1" applyAlignment="1"/>
    <xf numFmtId="0" fontId="0" fillId="0" borderId="25" xfId="0" applyFont="1" applyBorder="1" applyAlignment="1"/>
    <xf numFmtId="0" fontId="16" fillId="5" borderId="16" xfId="0" applyFont="1" applyFill="1" applyBorder="1" applyAlignment="1">
      <alignment horizontal="center" vertical="center" wrapText="1"/>
    </xf>
    <xf numFmtId="0" fontId="20" fillId="5" borderId="16" xfId="0" applyFont="1" applyFill="1" applyBorder="1" applyAlignment="1">
      <alignment horizontal="center" vertical="center" wrapText="1"/>
    </xf>
    <xf numFmtId="168" fontId="0" fillId="0" borderId="0" xfId="0" applyNumberFormat="1" applyFont="1" applyAlignment="1"/>
    <xf numFmtId="168" fontId="20" fillId="5" borderId="16" xfId="0" applyNumberFormat="1" applyFont="1" applyFill="1" applyBorder="1" applyAlignment="1">
      <alignment horizontal="center" vertical="center" wrapText="1"/>
    </xf>
    <xf numFmtId="168" fontId="1" fillId="0" borderId="32" xfId="0" applyNumberFormat="1" applyFont="1" applyBorder="1" applyAlignment="1"/>
    <xf numFmtId="168" fontId="1" fillId="0" borderId="0" xfId="0" applyNumberFormat="1" applyFont="1" applyBorder="1" applyAlignment="1"/>
    <xf numFmtId="168" fontId="1" fillId="0" borderId="24" xfId="0" applyNumberFormat="1" applyFont="1" applyBorder="1" applyAlignment="1"/>
    <xf numFmtId="0" fontId="1" fillId="0" borderId="1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31" xfId="0" applyFont="1" applyBorder="1" applyAlignment="1">
      <alignment horizontal="center"/>
    </xf>
    <xf numFmtId="0" fontId="1" fillId="0" borderId="3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6" fillId="0" borderId="0" xfId="0" applyFont="1" applyBorder="1" applyAlignment="1">
      <alignment wrapText="1"/>
    </xf>
    <xf numFmtId="0" fontId="1" fillId="0" borderId="0" xfId="0" applyFont="1" applyFill="1" applyAlignment="1">
      <alignment wrapText="1"/>
    </xf>
    <xf numFmtId="0" fontId="6" fillId="0" borderId="0" xfId="0" applyFont="1" applyFill="1" applyAlignment="1">
      <alignment wrapText="1"/>
    </xf>
    <xf numFmtId="0" fontId="7" fillId="0" borderId="0" xfId="0" applyFont="1" applyAlignment="1">
      <alignment horizontal="center" vertical="center"/>
    </xf>
    <xf numFmtId="2" fontId="0" fillId="0" borderId="0" xfId="0" applyNumberFormat="1" applyFont="1" applyAlignment="1"/>
    <xf numFmtId="2" fontId="7" fillId="0" borderId="0" xfId="0" applyNumberFormat="1" applyFont="1" applyAlignment="1">
      <alignment horizontal="center" vertical="center"/>
    </xf>
    <xf numFmtId="0" fontId="1" fillId="0" borderId="21" xfId="0" applyFont="1" applyBorder="1" applyAlignment="1"/>
    <xf numFmtId="2" fontId="0" fillId="0" borderId="19" xfId="0" applyNumberFormat="1" applyFont="1" applyBorder="1" applyAlignment="1"/>
    <xf numFmtId="0" fontId="1" fillId="0" borderId="30" xfId="0" applyFont="1" applyBorder="1" applyAlignment="1"/>
    <xf numFmtId="0" fontId="0" fillId="0" borderId="24" xfId="0" applyFont="1" applyBorder="1" applyAlignment="1"/>
    <xf numFmtId="2" fontId="0" fillId="0" borderId="25" xfId="0" applyNumberFormat="1" applyFont="1" applyBorder="1" applyAlignment="1"/>
    <xf numFmtId="0" fontId="7" fillId="0" borderId="27" xfId="0" applyFont="1" applyBorder="1" applyAlignment="1">
      <alignment horizontal="center"/>
    </xf>
    <xf numFmtId="0" fontId="7" fillId="0" borderId="33" xfId="0" applyFont="1" applyBorder="1" applyAlignment="1">
      <alignment horizontal="center" vertical="center"/>
    </xf>
    <xf numFmtId="2" fontId="7" fillId="0" borderId="28" xfId="0" applyNumberFormat="1" applyFont="1" applyBorder="1" applyAlignment="1">
      <alignment horizontal="center" vertical="center"/>
    </xf>
    <xf numFmtId="0" fontId="1" fillId="0" borderId="32" xfId="0" applyFont="1" applyBorder="1" applyAlignment="1">
      <alignment horizontal="center" vertical="center"/>
    </xf>
    <xf numFmtId="0" fontId="1" fillId="0" borderId="0"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11" xfId="0" applyFont="1" applyBorder="1" applyAlignment="1">
      <alignment horizontal="left" vertical="center"/>
    </xf>
    <xf numFmtId="0" fontId="1" fillId="0" borderId="31" xfId="0" applyFont="1" applyBorder="1" applyAlignment="1">
      <alignment horizontal="center" vertical="center"/>
    </xf>
    <xf numFmtId="0" fontId="1" fillId="0" borderId="21" xfId="0" applyFont="1" applyBorder="1" applyAlignment="1">
      <alignment horizontal="center" vertical="center"/>
    </xf>
    <xf numFmtId="0" fontId="7" fillId="0" borderId="11" xfId="0" applyFont="1" applyBorder="1" applyAlignment="1"/>
    <xf numFmtId="0" fontId="1" fillId="2" borderId="0" xfId="0" applyFont="1" applyFill="1" applyAlignment="1"/>
    <xf numFmtId="0" fontId="1" fillId="2" borderId="12" xfId="0" applyFont="1" applyFill="1" applyBorder="1"/>
    <xf numFmtId="0" fontId="1" fillId="0" borderId="31" xfId="0" applyFont="1" applyBorder="1"/>
    <xf numFmtId="0" fontId="1" fillId="0" borderId="32" xfId="0" applyFont="1" applyBorder="1"/>
    <xf numFmtId="0" fontId="1" fillId="0" borderId="24" xfId="0" applyFont="1" applyBorder="1"/>
    <xf numFmtId="0" fontId="1" fillId="0" borderId="23" xfId="0" applyFont="1" applyBorder="1"/>
    <xf numFmtId="0" fontId="1" fillId="0" borderId="19" xfId="0" applyFont="1" applyBorder="1"/>
    <xf numFmtId="0" fontId="1" fillId="0" borderId="25" xfId="0" applyFont="1" applyBorder="1"/>
    <xf numFmtId="10" fontId="1" fillId="0" borderId="32" xfId="0" applyNumberFormat="1" applyFont="1" applyBorder="1"/>
    <xf numFmtId="0" fontId="14" fillId="0" borderId="27" xfId="0" applyFont="1" applyBorder="1"/>
    <xf numFmtId="0" fontId="1" fillId="0" borderId="21" xfId="0" applyFont="1" applyBorder="1"/>
    <xf numFmtId="10" fontId="1" fillId="0" borderId="0" xfId="0" applyNumberFormat="1" applyFont="1" applyBorder="1"/>
    <xf numFmtId="0" fontId="1" fillId="0" borderId="30" xfId="0" applyFont="1" applyBorder="1"/>
    <xf numFmtId="10" fontId="1" fillId="0" borderId="24" xfId="0" applyNumberFormat="1" applyFont="1" applyBorder="1"/>
    <xf numFmtId="0" fontId="1" fillId="0" borderId="34" xfId="0" applyFont="1" applyBorder="1"/>
    <xf numFmtId="0" fontId="1" fillId="0" borderId="35" xfId="0" applyFont="1" applyBorder="1"/>
    <xf numFmtId="2" fontId="7" fillId="0" borderId="32" xfId="0" applyNumberFormat="1" applyFont="1" applyBorder="1" applyAlignment="1">
      <alignment horizontal="center" vertical="center"/>
    </xf>
    <xf numFmtId="2" fontId="7" fillId="0" borderId="0" xfId="0" applyNumberFormat="1" applyFont="1" applyBorder="1" applyAlignment="1">
      <alignment horizontal="center" vertical="center"/>
    </xf>
    <xf numFmtId="0" fontId="1" fillId="0" borderId="0" xfId="0" quotePrefix="1" applyFont="1" applyAlignment="1">
      <alignment wrapText="1"/>
    </xf>
    <xf numFmtId="0" fontId="7" fillId="0" borderId="11" xfId="0" applyFont="1" applyBorder="1" applyAlignment="1">
      <alignment horizontal="center"/>
    </xf>
    <xf numFmtId="0" fontId="7" fillId="0" borderId="0" xfId="0" applyFont="1" applyBorder="1" applyAlignment="1">
      <alignment horizontal="center"/>
    </xf>
    <xf numFmtId="0" fontId="1" fillId="0" borderId="12" xfId="0" applyFont="1" applyBorder="1" applyAlignment="1"/>
    <xf numFmtId="0" fontId="1" fillId="0" borderId="13" xfId="0" applyFont="1" applyBorder="1" applyAlignment="1"/>
    <xf numFmtId="0" fontId="1" fillId="0" borderId="16" xfId="0" applyFont="1" applyBorder="1" applyAlignment="1">
      <alignment wrapText="1"/>
    </xf>
    <xf numFmtId="0" fontId="1" fillId="0" borderId="12" xfId="0" applyFont="1" applyBorder="1" applyAlignment="1">
      <alignment wrapText="1"/>
    </xf>
    <xf numFmtId="0" fontId="1" fillId="0" borderId="16" xfId="0" applyFont="1" applyBorder="1" applyAlignment="1">
      <alignment horizontal="center" vertical="center"/>
    </xf>
    <xf numFmtId="0" fontId="1" fillId="0" borderId="12" xfId="0" applyFont="1" applyBorder="1" applyAlignment="1">
      <alignment horizontal="center" vertical="center"/>
    </xf>
    <xf numFmtId="2" fontId="7" fillId="0" borderId="16" xfId="0" applyNumberFormat="1" applyFont="1" applyBorder="1" applyAlignment="1">
      <alignment horizontal="center" vertical="center"/>
    </xf>
    <xf numFmtId="2" fontId="7" fillId="0" borderId="12" xfId="0" applyNumberFormat="1" applyFont="1" applyBorder="1" applyAlignment="1">
      <alignment horizontal="center" vertical="center"/>
    </xf>
    <xf numFmtId="0" fontId="1" fillId="0" borderId="21" xfId="0" applyFont="1" applyBorder="1" applyAlignment="1">
      <alignment wrapText="1"/>
    </xf>
    <xf numFmtId="168" fontId="1" fillId="0" borderId="0" xfId="0" applyNumberFormat="1" applyFont="1" applyFill="1" applyAlignment="1">
      <alignment horizontal="center" vertical="center"/>
    </xf>
    <xf numFmtId="0" fontId="7" fillId="0" borderId="30" xfId="0" applyFont="1" applyBorder="1" applyAlignment="1">
      <alignment horizontal="center" vertical="center"/>
    </xf>
    <xf numFmtId="0" fontId="1" fillId="0" borderId="25" xfId="0" applyFont="1" applyBorder="1" applyAlignment="1"/>
    <xf numFmtId="0" fontId="1" fillId="0" borderId="0" xfId="0" applyFont="1" applyAlignment="1">
      <alignment horizontal="center" vertical="center" wrapText="1"/>
    </xf>
    <xf numFmtId="0" fontId="1" fillId="0" borderId="0" xfId="0" applyNumberFormat="1" applyFont="1" applyAlignment="1">
      <alignment horizontal="left"/>
    </xf>
    <xf numFmtId="0" fontId="1" fillId="0" borderId="0" xfId="0" applyFont="1" applyFill="1"/>
    <xf numFmtId="168" fontId="6" fillId="0" borderId="0" xfId="0" applyNumberFormat="1" applyFont="1" applyFill="1" applyAlignment="1">
      <alignment horizontal="center" vertical="center"/>
    </xf>
    <xf numFmtId="0" fontId="7" fillId="0" borderId="36" xfId="0" applyFont="1" applyBorder="1" applyAlignment="1">
      <alignment horizontal="center"/>
    </xf>
    <xf numFmtId="167" fontId="1" fillId="0" borderId="2" xfId="0" applyNumberFormat="1" applyFont="1" applyBorder="1"/>
    <xf numFmtId="1" fontId="1" fillId="0" borderId="5" xfId="0" applyNumberFormat="1" applyFont="1" applyFill="1" applyBorder="1"/>
    <xf numFmtId="9" fontId="1" fillId="0" borderId="4" xfId="0" applyNumberFormat="1" applyFont="1" applyBorder="1"/>
    <xf numFmtId="0" fontId="16" fillId="0" borderId="0" xfId="0" applyFont="1" applyBorder="1" applyAlignment="1">
      <alignment horizontal="center" vertical="center" wrapText="1"/>
    </xf>
    <xf numFmtId="0" fontId="15" fillId="5" borderId="37" xfId="0" applyFont="1" applyFill="1" applyBorder="1" applyAlignment="1">
      <alignment horizontal="center" vertical="center" wrapText="1"/>
    </xf>
    <xf numFmtId="0" fontId="15" fillId="5" borderId="38" xfId="0" applyFont="1" applyFill="1" applyBorder="1" applyAlignment="1">
      <alignment horizontal="center" vertical="center" wrapText="1"/>
    </xf>
    <xf numFmtId="0" fontId="15" fillId="5" borderId="39" xfId="0" applyFont="1" applyFill="1" applyBorder="1" applyAlignment="1">
      <alignment horizontal="center" vertical="center" wrapText="1"/>
    </xf>
    <xf numFmtId="0" fontId="0" fillId="0" borderId="40" xfId="0" applyFont="1" applyBorder="1" applyAlignment="1"/>
    <xf numFmtId="9" fontId="0" fillId="0" borderId="0" xfId="0" applyNumberFormat="1" applyFont="1" applyBorder="1" applyAlignment="1"/>
    <xf numFmtId="0" fontId="0" fillId="0" borderId="29" xfId="0" applyFont="1" applyBorder="1" applyAlignment="1"/>
    <xf numFmtId="10" fontId="0" fillId="0" borderId="0" xfId="0" applyNumberFormat="1" applyFont="1" applyBorder="1" applyAlignment="1"/>
    <xf numFmtId="0" fontId="0" fillId="0" borderId="41" xfId="0" applyFont="1" applyBorder="1" applyAlignment="1"/>
    <xf numFmtId="10" fontId="0" fillId="0" borderId="26" xfId="0" applyNumberFormat="1" applyFont="1" applyBorder="1" applyAlignment="1"/>
    <xf numFmtId="0" fontId="0" fillId="0" borderId="42" xfId="0" applyFont="1" applyBorder="1" applyAlignment="1"/>
    <xf numFmtId="0" fontId="1" fillId="0" borderId="0" xfId="0" quotePrefix="1" applyFont="1" applyFill="1" applyAlignment="1"/>
    <xf numFmtId="0" fontId="1" fillId="0" borderId="0" xfId="0" applyFont="1" applyAlignment="1">
      <alignment horizontal="left" vertical="center"/>
    </xf>
    <xf numFmtId="0" fontId="11" fillId="4" borderId="21"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19" xfId="0" applyFont="1" applyFill="1" applyBorder="1" applyAlignment="1">
      <alignment horizontal="center" vertical="center"/>
    </xf>
    <xf numFmtId="1" fontId="1" fillId="0" borderId="6" xfId="0" applyNumberFormat="1" applyFont="1" applyFill="1" applyBorder="1"/>
    <xf numFmtId="0" fontId="1" fillId="0" borderId="6" xfId="0" applyFont="1" applyFill="1" applyBorder="1" applyAlignment="1">
      <alignment wrapText="1"/>
    </xf>
    <xf numFmtId="0" fontId="23" fillId="0" borderId="0" xfId="0" applyFont="1" applyAlignment="1"/>
    <xf numFmtId="0" fontId="22" fillId="0" borderId="0" xfId="0" applyFont="1" applyAlignment="1"/>
    <xf numFmtId="172" fontId="1" fillId="0" borderId="0" xfId="0" applyNumberFormat="1" applyFont="1"/>
    <xf numFmtId="172" fontId="22" fillId="0" borderId="0" xfId="0" applyNumberFormat="1" applyFont="1" applyAlignment="1"/>
    <xf numFmtId="172" fontId="1" fillId="0" borderId="0" xfId="0" applyNumberFormat="1" applyFont="1" applyBorder="1"/>
    <xf numFmtId="172" fontId="1" fillId="0" borderId="0" xfId="0" applyNumberFormat="1" applyFont="1" applyAlignment="1"/>
  </cellXfs>
  <cellStyles count="1">
    <cellStyle name="Normal" xfId="0" builtinId="0"/>
  </cellStyles>
  <dxfs count="2">
    <dxf>
      <font>
        <color theme="0"/>
      </font>
    </dxf>
    <dxf>
      <font>
        <color theme="0"/>
      </font>
    </dxf>
  </dxfs>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Number</a:t>
            </a:r>
            <a:r>
              <a:rPr lang="en-GB" baseline="0"/>
              <a:t> of Drinks per Week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1"/>
          <c:order val="0"/>
          <c:tx>
            <c:strRef>
              <c:f>People!$C$41</c:f>
              <c:strCache>
                <c:ptCount val="1"/>
                <c:pt idx="0">
                  <c:v>Ed Saunders</c:v>
                </c:pt>
              </c:strCache>
            </c:strRef>
          </c:tx>
          <c:spPr>
            <a:ln w="88900"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People!$B$42:$B$66</c:f>
              <c:numCache>
                <c:formatCode>m/d/yy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People!$C$42:$C$66</c:f>
              <c:numCache>
                <c:formatCode>General</c:formatCode>
                <c:ptCount val="25"/>
                <c:pt idx="0">
                  <c:v>0</c:v>
                </c:pt>
                <c:pt idx="1">
                  <c:v>0</c:v>
                </c:pt>
                <c:pt idx="2">
                  <c:v>0</c:v>
                </c:pt>
                <c:pt idx="3">
                  <c:v>0</c:v>
                </c:pt>
                <c:pt idx="4">
                  <c:v>0</c:v>
                </c:pt>
                <c:pt idx="5">
                  <c:v>5</c:v>
                </c:pt>
                <c:pt idx="6">
                  <c:v>0</c:v>
                </c:pt>
                <c:pt idx="7">
                  <c:v>9</c:v>
                </c:pt>
                <c:pt idx="8">
                  <c:v>0</c:v>
                </c:pt>
                <c:pt idx="9">
                  <c:v>10</c:v>
                </c:pt>
                <c:pt idx="10">
                  <c:v>0</c:v>
                </c:pt>
                <c:pt idx="11">
                  <c:v>8</c:v>
                </c:pt>
                <c:pt idx="12">
                  <c:v>0</c:v>
                </c:pt>
                <c:pt idx="13">
                  <c:v>14</c:v>
                </c:pt>
                <c:pt idx="14">
                  <c:v>0</c:v>
                </c:pt>
                <c:pt idx="15">
                  <c:v>0</c:v>
                </c:pt>
                <c:pt idx="16">
                  <c:v>0</c:v>
                </c:pt>
                <c:pt idx="17">
                  <c:v>0</c:v>
                </c:pt>
                <c:pt idx="18">
                  <c:v>0</c:v>
                </c:pt>
                <c:pt idx="19">
                  <c:v>0</c:v>
                </c:pt>
                <c:pt idx="20">
                  <c:v>0</c:v>
                </c:pt>
                <c:pt idx="21">
                  <c:v>2</c:v>
                </c:pt>
                <c:pt idx="22">
                  <c:v>0</c:v>
                </c:pt>
                <c:pt idx="23">
                  <c:v>0</c:v>
                </c:pt>
                <c:pt idx="24">
                  <c:v>0</c:v>
                </c:pt>
              </c:numCache>
            </c:numRef>
          </c:val>
          <c:smooth val="0"/>
          <c:extLst>
            <c:ext xmlns:c16="http://schemas.microsoft.com/office/drawing/2014/chart" uri="{C3380CC4-5D6E-409C-BE32-E72D297353CC}">
              <c16:uniqueId val="{00000001-1397-6541-872B-16820B8E1B9F}"/>
            </c:ext>
          </c:extLst>
        </c:ser>
        <c:ser>
          <c:idx val="2"/>
          <c:order val="1"/>
          <c:tx>
            <c:strRef>
              <c:f>People!$D$41</c:f>
              <c:strCache>
                <c:ptCount val="1"/>
                <c:pt idx="0">
                  <c:v>Dawn Jones</c:v>
                </c:pt>
              </c:strCache>
            </c:strRef>
          </c:tx>
          <c:spPr>
            <a:ln w="88900" cap="rnd">
              <a:solidFill>
                <a:schemeClr val="accent6">
                  <a:lumMod val="75000"/>
                </a:schemeClr>
              </a:solidFill>
            </a:ln>
            <a:effectLst>
              <a:glow rad="139700">
                <a:schemeClr val="accent3">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People!$B$42:$B$66</c:f>
              <c:numCache>
                <c:formatCode>m/d/yy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People!$D$42:$D$66</c:f>
              <c:numCache>
                <c:formatCode>General</c:formatCode>
                <c:ptCount val="25"/>
                <c:pt idx="0">
                  <c:v>0</c:v>
                </c:pt>
                <c:pt idx="1">
                  <c:v>2</c:v>
                </c:pt>
                <c:pt idx="2">
                  <c:v>3</c:v>
                </c:pt>
                <c:pt idx="3">
                  <c:v>0</c:v>
                </c:pt>
                <c:pt idx="4">
                  <c:v>2</c:v>
                </c:pt>
                <c:pt idx="5">
                  <c:v>0</c:v>
                </c:pt>
                <c:pt idx="6">
                  <c:v>0</c:v>
                </c:pt>
                <c:pt idx="7">
                  <c:v>0</c:v>
                </c:pt>
                <c:pt idx="8">
                  <c:v>6</c:v>
                </c:pt>
                <c:pt idx="9">
                  <c:v>0</c:v>
                </c:pt>
                <c:pt idx="10">
                  <c:v>0</c:v>
                </c:pt>
                <c:pt idx="11">
                  <c:v>9</c:v>
                </c:pt>
                <c:pt idx="12">
                  <c:v>0</c:v>
                </c:pt>
                <c:pt idx="13">
                  <c:v>1</c:v>
                </c:pt>
                <c:pt idx="14">
                  <c:v>0</c:v>
                </c:pt>
                <c:pt idx="15">
                  <c:v>0</c:v>
                </c:pt>
                <c:pt idx="16">
                  <c:v>2</c:v>
                </c:pt>
                <c:pt idx="17">
                  <c:v>1</c:v>
                </c:pt>
                <c:pt idx="18">
                  <c:v>4</c:v>
                </c:pt>
                <c:pt idx="19">
                  <c:v>0</c:v>
                </c:pt>
                <c:pt idx="20">
                  <c:v>3</c:v>
                </c:pt>
                <c:pt idx="21">
                  <c:v>2</c:v>
                </c:pt>
                <c:pt idx="22">
                  <c:v>1</c:v>
                </c:pt>
                <c:pt idx="23">
                  <c:v>2</c:v>
                </c:pt>
                <c:pt idx="24">
                  <c:v>4</c:v>
                </c:pt>
              </c:numCache>
            </c:numRef>
          </c:val>
          <c:smooth val="0"/>
          <c:extLst>
            <c:ext xmlns:c16="http://schemas.microsoft.com/office/drawing/2014/chart" uri="{C3380CC4-5D6E-409C-BE32-E72D297353CC}">
              <c16:uniqueId val="{00000002-1397-6541-872B-16820B8E1B9F}"/>
            </c:ext>
          </c:extLst>
        </c:ser>
        <c:ser>
          <c:idx val="3"/>
          <c:order val="2"/>
          <c:tx>
            <c:strRef>
              <c:f>People!$E$41</c:f>
              <c:strCache>
                <c:ptCount val="1"/>
                <c:pt idx="0">
                  <c:v>Caroline Draper</c:v>
                </c:pt>
              </c:strCache>
            </c:strRef>
          </c:tx>
          <c:spPr>
            <a:ln w="88900" cap="rnd">
              <a:solidFill>
                <a:schemeClr val="accent4"/>
              </a:solidFill>
            </a:ln>
            <a:effectLst>
              <a:glow rad="139700">
                <a:schemeClr val="accent4">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People!$B$42:$B$66</c:f>
              <c:numCache>
                <c:formatCode>m/d/yy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People!$E$42:$E$66</c:f>
              <c:numCache>
                <c:formatCode>General</c:formatCode>
                <c:ptCount val="25"/>
                <c:pt idx="0">
                  <c:v>0</c:v>
                </c:pt>
                <c:pt idx="1">
                  <c:v>0</c:v>
                </c:pt>
                <c:pt idx="2">
                  <c:v>6</c:v>
                </c:pt>
                <c:pt idx="3">
                  <c:v>6</c:v>
                </c:pt>
                <c:pt idx="4">
                  <c:v>7</c:v>
                </c:pt>
                <c:pt idx="5">
                  <c:v>5</c:v>
                </c:pt>
                <c:pt idx="6">
                  <c:v>7</c:v>
                </c:pt>
                <c:pt idx="7">
                  <c:v>6</c:v>
                </c:pt>
                <c:pt idx="8">
                  <c:v>7</c:v>
                </c:pt>
                <c:pt idx="9">
                  <c:v>6</c:v>
                </c:pt>
                <c:pt idx="10">
                  <c:v>7</c:v>
                </c:pt>
                <c:pt idx="11">
                  <c:v>8</c:v>
                </c:pt>
                <c:pt idx="12">
                  <c:v>6</c:v>
                </c:pt>
                <c:pt idx="13">
                  <c:v>8</c:v>
                </c:pt>
                <c:pt idx="14">
                  <c:v>7</c:v>
                </c:pt>
                <c:pt idx="15">
                  <c:v>3</c:v>
                </c:pt>
                <c:pt idx="16">
                  <c:v>2</c:v>
                </c:pt>
                <c:pt idx="17">
                  <c:v>0</c:v>
                </c:pt>
                <c:pt idx="18">
                  <c:v>4</c:v>
                </c:pt>
                <c:pt idx="19">
                  <c:v>6</c:v>
                </c:pt>
                <c:pt idx="20">
                  <c:v>3</c:v>
                </c:pt>
                <c:pt idx="21">
                  <c:v>0</c:v>
                </c:pt>
                <c:pt idx="22">
                  <c:v>4</c:v>
                </c:pt>
                <c:pt idx="23">
                  <c:v>0</c:v>
                </c:pt>
                <c:pt idx="24">
                  <c:v>0</c:v>
                </c:pt>
              </c:numCache>
            </c:numRef>
          </c:val>
          <c:smooth val="0"/>
          <c:extLst>
            <c:ext xmlns:c16="http://schemas.microsoft.com/office/drawing/2014/chart" uri="{C3380CC4-5D6E-409C-BE32-E72D297353CC}">
              <c16:uniqueId val="{00000003-1397-6541-872B-16820B8E1B9F}"/>
            </c:ext>
          </c:extLst>
        </c:ser>
        <c:ser>
          <c:idx val="4"/>
          <c:order val="3"/>
          <c:tx>
            <c:strRef>
              <c:f>People!$F$41</c:f>
              <c:strCache>
                <c:ptCount val="1"/>
                <c:pt idx="0">
                  <c:v>Nia Harman</c:v>
                </c:pt>
              </c:strCache>
            </c:strRef>
          </c:tx>
          <c:spPr>
            <a:ln w="88900" cap="rnd">
              <a:solidFill>
                <a:schemeClr val="accent5"/>
              </a:solidFill>
            </a:ln>
            <a:effectLst>
              <a:glow rad="139700">
                <a:schemeClr val="accent5">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People!$B$42:$B$66</c:f>
              <c:numCache>
                <c:formatCode>m/d/yy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People!$F$42:$F$66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6</c:v>
                </c:pt>
                <c:pt idx="13">
                  <c:v>7</c:v>
                </c:pt>
                <c:pt idx="14">
                  <c:v>0</c:v>
                </c:pt>
                <c:pt idx="15">
                  <c:v>3</c:v>
                </c:pt>
                <c:pt idx="16">
                  <c:v>2</c:v>
                </c:pt>
                <c:pt idx="17">
                  <c:v>0</c:v>
                </c:pt>
                <c:pt idx="18">
                  <c:v>0</c:v>
                </c:pt>
                <c:pt idx="19">
                  <c:v>0</c:v>
                </c:pt>
                <c:pt idx="20">
                  <c:v>3</c:v>
                </c:pt>
                <c:pt idx="21">
                  <c:v>0</c:v>
                </c:pt>
                <c:pt idx="22">
                  <c:v>0</c:v>
                </c:pt>
                <c:pt idx="23">
                  <c:v>0</c:v>
                </c:pt>
                <c:pt idx="24">
                  <c:v>0</c:v>
                </c:pt>
              </c:numCache>
            </c:numRef>
          </c:val>
          <c:smooth val="0"/>
          <c:extLst>
            <c:ext xmlns:c16="http://schemas.microsoft.com/office/drawing/2014/chart" uri="{C3380CC4-5D6E-409C-BE32-E72D297353CC}">
              <c16:uniqueId val="{00000004-1397-6541-872B-16820B8E1B9F}"/>
            </c:ext>
          </c:extLst>
        </c:ser>
        <c:dLbls>
          <c:showLegendKey val="0"/>
          <c:showVal val="1"/>
          <c:showCatName val="0"/>
          <c:showSerName val="0"/>
          <c:showPercent val="0"/>
          <c:showBubbleSize val="0"/>
        </c:dLbls>
        <c:smooth val="0"/>
        <c:axId val="1370624496"/>
        <c:axId val="1371514304"/>
      </c:lineChart>
      <c:dateAx>
        <c:axId val="1370624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m/d/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1514304"/>
        <c:crosses val="autoZero"/>
        <c:auto val="1"/>
        <c:lblOffset val="100"/>
        <c:baseTimeUnit val="days"/>
        <c:majorUnit val="7"/>
        <c:majorTimeUnit val="days"/>
        <c:minorUnit val="7"/>
        <c:minorTimeUnit val="days"/>
      </c:dateAx>
      <c:valAx>
        <c:axId val="13715143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0624496"/>
        <c:crosses val="autoZero"/>
        <c:crossBetween val="between"/>
      </c:valAx>
      <c:spPr>
        <a:noFill/>
        <a:ln>
          <a:noFill/>
        </a:ln>
        <a:effectLst/>
      </c:spPr>
    </c:plotArea>
    <c:legend>
      <c:legendPos val="t"/>
      <c:layout>
        <c:manualLayout>
          <c:xMode val="edge"/>
          <c:yMode val="edge"/>
          <c:x val="2.6689160627873239E-2"/>
          <c:y val="7.6295767950546836E-2"/>
          <c:w val="0.95555967657467755"/>
          <c:h val="4.0109929197509372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sz="2500" baseline="0"/>
              <a:t>Drink Types over the Weeks</a:t>
            </a:r>
          </a:p>
        </c:rich>
      </c:tx>
      <c:layout>
        <c:manualLayout>
          <c:xMode val="edge"/>
          <c:yMode val="edge"/>
          <c:x val="0.67725424682104662"/>
          <c:y val="5.820302478486019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1.9211615565346847E-2"/>
          <c:y val="7.003150031911716E-2"/>
          <c:w val="0.97352802276958328"/>
          <c:h val="0.88913080565233671"/>
        </c:manualLayout>
      </c:layout>
      <c:lineChart>
        <c:grouping val="standard"/>
        <c:varyColors val="0"/>
        <c:ser>
          <c:idx val="0"/>
          <c:order val="0"/>
          <c:tx>
            <c:strRef>
              <c:f>Drinks!$C$59</c:f>
              <c:strCache>
                <c:ptCount val="1"/>
                <c:pt idx="0">
                  <c:v>Beer</c:v>
                </c:pt>
              </c:strCache>
            </c:strRef>
          </c:tx>
          <c:spPr>
            <a:ln w="63500"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Drinks!$C$60:$C$84</c:f>
              <c:numCache>
                <c:formatCode>General</c:formatCode>
                <c:ptCount val="25"/>
                <c:pt idx="0">
                  <c:v>2</c:v>
                </c:pt>
                <c:pt idx="1">
                  <c:v>8</c:v>
                </c:pt>
                <c:pt idx="2">
                  <c:v>30</c:v>
                </c:pt>
                <c:pt idx="3">
                  <c:v>57</c:v>
                </c:pt>
                <c:pt idx="4">
                  <c:v>86</c:v>
                </c:pt>
                <c:pt idx="5">
                  <c:v>108</c:v>
                </c:pt>
                <c:pt idx="6">
                  <c:v>137</c:v>
                </c:pt>
                <c:pt idx="7">
                  <c:v>180</c:v>
                </c:pt>
                <c:pt idx="8">
                  <c:v>222</c:v>
                </c:pt>
                <c:pt idx="9">
                  <c:v>263</c:v>
                </c:pt>
                <c:pt idx="10">
                  <c:v>307</c:v>
                </c:pt>
                <c:pt idx="11">
                  <c:v>367</c:v>
                </c:pt>
                <c:pt idx="12">
                  <c:v>394</c:v>
                </c:pt>
                <c:pt idx="13">
                  <c:v>429</c:v>
                </c:pt>
                <c:pt idx="14">
                  <c:v>449</c:v>
                </c:pt>
                <c:pt idx="15">
                  <c:v>467</c:v>
                </c:pt>
                <c:pt idx="16">
                  <c:v>477</c:v>
                </c:pt>
                <c:pt idx="17">
                  <c:v>481</c:v>
                </c:pt>
                <c:pt idx="18">
                  <c:v>489</c:v>
                </c:pt>
                <c:pt idx="19">
                  <c:v>511</c:v>
                </c:pt>
                <c:pt idx="20">
                  <c:v>518</c:v>
                </c:pt>
                <c:pt idx="21">
                  <c:v>530</c:v>
                </c:pt>
                <c:pt idx="22">
                  <c:v>538</c:v>
                </c:pt>
                <c:pt idx="23">
                  <c:v>564</c:v>
                </c:pt>
                <c:pt idx="24">
                  <c:v>576</c:v>
                </c:pt>
              </c:numCache>
            </c:numRef>
          </c:val>
          <c:smooth val="0"/>
          <c:extLst>
            <c:ext xmlns:c16="http://schemas.microsoft.com/office/drawing/2014/chart" uri="{C3380CC4-5D6E-409C-BE32-E72D297353CC}">
              <c16:uniqueId val="{00000000-556C-564A-966A-BD10908C52F6}"/>
            </c:ext>
          </c:extLst>
        </c:ser>
        <c:ser>
          <c:idx val="1"/>
          <c:order val="1"/>
          <c:tx>
            <c:strRef>
              <c:f>Drinks!$D$59</c:f>
              <c:strCache>
                <c:ptCount val="1"/>
                <c:pt idx="0">
                  <c:v>Cider</c:v>
                </c:pt>
              </c:strCache>
            </c:strRef>
          </c:tx>
          <c:spPr>
            <a:ln w="63500"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Drinks!$D$60:$D$84</c:f>
              <c:numCache>
                <c:formatCode>General</c:formatCode>
                <c:ptCount val="25"/>
                <c:pt idx="0">
                  <c:v>0</c:v>
                </c:pt>
                <c:pt idx="1">
                  <c:v>0</c:v>
                </c:pt>
                <c:pt idx="2">
                  <c:v>8</c:v>
                </c:pt>
                <c:pt idx="3">
                  <c:v>13</c:v>
                </c:pt>
                <c:pt idx="4">
                  <c:v>25</c:v>
                </c:pt>
                <c:pt idx="5">
                  <c:v>40</c:v>
                </c:pt>
                <c:pt idx="6">
                  <c:v>42</c:v>
                </c:pt>
                <c:pt idx="7">
                  <c:v>54</c:v>
                </c:pt>
                <c:pt idx="8">
                  <c:v>59</c:v>
                </c:pt>
                <c:pt idx="9">
                  <c:v>67</c:v>
                </c:pt>
                <c:pt idx="10">
                  <c:v>76</c:v>
                </c:pt>
                <c:pt idx="11">
                  <c:v>80</c:v>
                </c:pt>
                <c:pt idx="12">
                  <c:v>90</c:v>
                </c:pt>
                <c:pt idx="13">
                  <c:v>105</c:v>
                </c:pt>
                <c:pt idx="14">
                  <c:v>120</c:v>
                </c:pt>
                <c:pt idx="15">
                  <c:v>128</c:v>
                </c:pt>
                <c:pt idx="16">
                  <c:v>143</c:v>
                </c:pt>
                <c:pt idx="17">
                  <c:v>146</c:v>
                </c:pt>
                <c:pt idx="18">
                  <c:v>152</c:v>
                </c:pt>
                <c:pt idx="19">
                  <c:v>154</c:v>
                </c:pt>
                <c:pt idx="20">
                  <c:v>163</c:v>
                </c:pt>
                <c:pt idx="21">
                  <c:v>165</c:v>
                </c:pt>
                <c:pt idx="22">
                  <c:v>171</c:v>
                </c:pt>
                <c:pt idx="23">
                  <c:v>180</c:v>
                </c:pt>
                <c:pt idx="24">
                  <c:v>186</c:v>
                </c:pt>
              </c:numCache>
            </c:numRef>
          </c:val>
          <c:smooth val="0"/>
          <c:extLst>
            <c:ext xmlns:c16="http://schemas.microsoft.com/office/drawing/2014/chart" uri="{C3380CC4-5D6E-409C-BE32-E72D297353CC}">
              <c16:uniqueId val="{00000001-556C-564A-966A-BD10908C52F6}"/>
            </c:ext>
          </c:extLst>
        </c:ser>
        <c:ser>
          <c:idx val="2"/>
          <c:order val="2"/>
          <c:tx>
            <c:strRef>
              <c:f>Drinks!$E$59</c:f>
              <c:strCache>
                <c:ptCount val="1"/>
                <c:pt idx="0">
                  <c:v>Wine</c:v>
                </c:pt>
              </c:strCache>
            </c:strRef>
          </c:tx>
          <c:spPr>
            <a:ln w="63500" cap="rnd">
              <a:solidFill>
                <a:schemeClr val="accent3"/>
              </a:solidFill>
            </a:ln>
            <a:effectLst>
              <a:glow rad="139700">
                <a:schemeClr val="accent3">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Drinks!$E$60:$E$84</c:f>
              <c:numCache>
                <c:formatCode>General</c:formatCode>
                <c:ptCount val="25"/>
                <c:pt idx="0">
                  <c:v>2</c:v>
                </c:pt>
                <c:pt idx="1">
                  <c:v>3</c:v>
                </c:pt>
                <c:pt idx="2">
                  <c:v>6</c:v>
                </c:pt>
                <c:pt idx="3">
                  <c:v>9</c:v>
                </c:pt>
                <c:pt idx="4">
                  <c:v>11</c:v>
                </c:pt>
                <c:pt idx="5">
                  <c:v>12</c:v>
                </c:pt>
                <c:pt idx="6">
                  <c:v>13</c:v>
                </c:pt>
                <c:pt idx="7">
                  <c:v>15</c:v>
                </c:pt>
                <c:pt idx="8">
                  <c:v>16</c:v>
                </c:pt>
                <c:pt idx="9">
                  <c:v>23</c:v>
                </c:pt>
                <c:pt idx="10">
                  <c:v>25</c:v>
                </c:pt>
                <c:pt idx="11">
                  <c:v>29</c:v>
                </c:pt>
                <c:pt idx="12">
                  <c:v>33</c:v>
                </c:pt>
                <c:pt idx="13">
                  <c:v>51</c:v>
                </c:pt>
                <c:pt idx="14">
                  <c:v>56</c:v>
                </c:pt>
                <c:pt idx="15">
                  <c:v>58</c:v>
                </c:pt>
                <c:pt idx="16">
                  <c:v>65</c:v>
                </c:pt>
                <c:pt idx="17">
                  <c:v>66</c:v>
                </c:pt>
                <c:pt idx="18">
                  <c:v>71</c:v>
                </c:pt>
                <c:pt idx="19">
                  <c:v>72</c:v>
                </c:pt>
                <c:pt idx="20">
                  <c:v>77</c:v>
                </c:pt>
                <c:pt idx="21">
                  <c:v>80</c:v>
                </c:pt>
                <c:pt idx="22">
                  <c:v>82</c:v>
                </c:pt>
                <c:pt idx="23">
                  <c:v>87</c:v>
                </c:pt>
                <c:pt idx="24">
                  <c:v>90</c:v>
                </c:pt>
              </c:numCache>
            </c:numRef>
          </c:val>
          <c:smooth val="0"/>
          <c:extLst>
            <c:ext xmlns:c16="http://schemas.microsoft.com/office/drawing/2014/chart" uri="{C3380CC4-5D6E-409C-BE32-E72D297353CC}">
              <c16:uniqueId val="{00000002-556C-564A-966A-BD10908C52F6}"/>
            </c:ext>
          </c:extLst>
        </c:ser>
        <c:ser>
          <c:idx val="3"/>
          <c:order val="3"/>
          <c:tx>
            <c:strRef>
              <c:f>Drinks!$F$59</c:f>
              <c:strCache>
                <c:ptCount val="1"/>
                <c:pt idx="0">
                  <c:v>Fortified Wine</c:v>
                </c:pt>
              </c:strCache>
            </c:strRef>
          </c:tx>
          <c:spPr>
            <a:ln w="63500" cap="rnd">
              <a:solidFill>
                <a:schemeClr val="accent4"/>
              </a:solidFill>
            </a:ln>
            <a:effectLst>
              <a:glow rad="139700">
                <a:schemeClr val="accent4">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Drinks!$F$60:$F$84</c:f>
              <c:numCache>
                <c:formatCode>General</c:formatCode>
                <c:ptCount val="25"/>
                <c:pt idx="0">
                  <c:v>0</c:v>
                </c:pt>
                <c:pt idx="1">
                  <c:v>0</c:v>
                </c:pt>
                <c:pt idx="2">
                  <c:v>2</c:v>
                </c:pt>
                <c:pt idx="3">
                  <c:v>3</c:v>
                </c:pt>
                <c:pt idx="4">
                  <c:v>3</c:v>
                </c:pt>
                <c:pt idx="5">
                  <c:v>5</c:v>
                </c:pt>
                <c:pt idx="6">
                  <c:v>5</c:v>
                </c:pt>
                <c:pt idx="7">
                  <c:v>7</c:v>
                </c:pt>
                <c:pt idx="8">
                  <c:v>7</c:v>
                </c:pt>
                <c:pt idx="9">
                  <c:v>11</c:v>
                </c:pt>
                <c:pt idx="10">
                  <c:v>11</c:v>
                </c:pt>
                <c:pt idx="11">
                  <c:v>11</c:v>
                </c:pt>
                <c:pt idx="12">
                  <c:v>12</c:v>
                </c:pt>
                <c:pt idx="13">
                  <c:v>12</c:v>
                </c:pt>
                <c:pt idx="14">
                  <c:v>13</c:v>
                </c:pt>
                <c:pt idx="15">
                  <c:v>13</c:v>
                </c:pt>
                <c:pt idx="16">
                  <c:v>14</c:v>
                </c:pt>
                <c:pt idx="17">
                  <c:v>14</c:v>
                </c:pt>
                <c:pt idx="18">
                  <c:v>14</c:v>
                </c:pt>
                <c:pt idx="19">
                  <c:v>15</c:v>
                </c:pt>
                <c:pt idx="20">
                  <c:v>17</c:v>
                </c:pt>
                <c:pt idx="21">
                  <c:v>23</c:v>
                </c:pt>
                <c:pt idx="22">
                  <c:v>23</c:v>
                </c:pt>
                <c:pt idx="23">
                  <c:v>23</c:v>
                </c:pt>
                <c:pt idx="24">
                  <c:v>23</c:v>
                </c:pt>
              </c:numCache>
            </c:numRef>
          </c:val>
          <c:smooth val="0"/>
          <c:extLst>
            <c:ext xmlns:c16="http://schemas.microsoft.com/office/drawing/2014/chart" uri="{C3380CC4-5D6E-409C-BE32-E72D297353CC}">
              <c16:uniqueId val="{00000003-556C-564A-966A-BD10908C52F6}"/>
            </c:ext>
          </c:extLst>
        </c:ser>
        <c:ser>
          <c:idx val="4"/>
          <c:order val="4"/>
          <c:tx>
            <c:strRef>
              <c:f>Drinks!$G$59</c:f>
              <c:strCache>
                <c:ptCount val="1"/>
                <c:pt idx="0">
                  <c:v>Gin</c:v>
                </c:pt>
              </c:strCache>
            </c:strRef>
          </c:tx>
          <c:spPr>
            <a:ln w="63500" cap="rnd">
              <a:solidFill>
                <a:schemeClr val="accent5"/>
              </a:solidFill>
            </a:ln>
            <a:effectLst>
              <a:glow rad="139700">
                <a:schemeClr val="accent5">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Drinks!$G$60:$G$84</c:f>
              <c:numCache>
                <c:formatCode>General</c:formatCode>
                <c:ptCount val="25"/>
                <c:pt idx="0">
                  <c:v>8</c:v>
                </c:pt>
                <c:pt idx="1">
                  <c:v>10</c:v>
                </c:pt>
                <c:pt idx="2">
                  <c:v>12</c:v>
                </c:pt>
                <c:pt idx="3">
                  <c:v>21</c:v>
                </c:pt>
                <c:pt idx="4">
                  <c:v>29</c:v>
                </c:pt>
                <c:pt idx="5">
                  <c:v>37</c:v>
                </c:pt>
                <c:pt idx="6">
                  <c:v>43</c:v>
                </c:pt>
                <c:pt idx="7">
                  <c:v>53</c:v>
                </c:pt>
                <c:pt idx="8">
                  <c:v>58</c:v>
                </c:pt>
                <c:pt idx="9">
                  <c:v>66</c:v>
                </c:pt>
                <c:pt idx="10">
                  <c:v>71</c:v>
                </c:pt>
                <c:pt idx="11">
                  <c:v>78</c:v>
                </c:pt>
                <c:pt idx="12">
                  <c:v>84</c:v>
                </c:pt>
                <c:pt idx="13">
                  <c:v>99</c:v>
                </c:pt>
                <c:pt idx="14">
                  <c:v>100</c:v>
                </c:pt>
                <c:pt idx="15">
                  <c:v>102</c:v>
                </c:pt>
                <c:pt idx="16">
                  <c:v>106</c:v>
                </c:pt>
                <c:pt idx="17">
                  <c:v>107</c:v>
                </c:pt>
                <c:pt idx="18">
                  <c:v>109</c:v>
                </c:pt>
                <c:pt idx="19">
                  <c:v>112</c:v>
                </c:pt>
                <c:pt idx="20">
                  <c:v>113</c:v>
                </c:pt>
                <c:pt idx="21">
                  <c:v>115</c:v>
                </c:pt>
                <c:pt idx="22">
                  <c:v>120</c:v>
                </c:pt>
                <c:pt idx="23">
                  <c:v>122</c:v>
                </c:pt>
                <c:pt idx="24">
                  <c:v>127</c:v>
                </c:pt>
              </c:numCache>
            </c:numRef>
          </c:val>
          <c:smooth val="0"/>
          <c:extLst>
            <c:ext xmlns:c16="http://schemas.microsoft.com/office/drawing/2014/chart" uri="{C3380CC4-5D6E-409C-BE32-E72D297353CC}">
              <c16:uniqueId val="{00000004-556C-564A-966A-BD10908C52F6}"/>
            </c:ext>
          </c:extLst>
        </c:ser>
        <c:ser>
          <c:idx val="5"/>
          <c:order val="5"/>
          <c:tx>
            <c:strRef>
              <c:f>Drinks!$H$59</c:f>
              <c:strCache>
                <c:ptCount val="1"/>
                <c:pt idx="0">
                  <c:v>Vodka</c:v>
                </c:pt>
              </c:strCache>
            </c:strRef>
          </c:tx>
          <c:spPr>
            <a:ln w="63500" cap="rnd">
              <a:solidFill>
                <a:schemeClr val="accent6"/>
              </a:solidFill>
            </a:ln>
            <a:effectLst>
              <a:glow rad="139700">
                <a:schemeClr val="accent6">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Drinks!$H$60:$H$84</c:f>
              <c:numCache>
                <c:formatCode>General</c:formatCode>
                <c:ptCount val="25"/>
                <c:pt idx="0">
                  <c:v>2</c:v>
                </c:pt>
                <c:pt idx="1">
                  <c:v>4</c:v>
                </c:pt>
                <c:pt idx="2">
                  <c:v>8</c:v>
                </c:pt>
                <c:pt idx="3">
                  <c:v>9</c:v>
                </c:pt>
                <c:pt idx="4">
                  <c:v>18</c:v>
                </c:pt>
                <c:pt idx="5">
                  <c:v>22</c:v>
                </c:pt>
                <c:pt idx="6">
                  <c:v>30</c:v>
                </c:pt>
                <c:pt idx="7">
                  <c:v>38</c:v>
                </c:pt>
                <c:pt idx="8">
                  <c:v>44</c:v>
                </c:pt>
                <c:pt idx="9">
                  <c:v>52</c:v>
                </c:pt>
                <c:pt idx="10">
                  <c:v>58</c:v>
                </c:pt>
                <c:pt idx="11">
                  <c:v>72</c:v>
                </c:pt>
                <c:pt idx="12">
                  <c:v>86</c:v>
                </c:pt>
                <c:pt idx="13">
                  <c:v>91</c:v>
                </c:pt>
                <c:pt idx="14">
                  <c:v>95</c:v>
                </c:pt>
                <c:pt idx="15">
                  <c:v>98</c:v>
                </c:pt>
                <c:pt idx="16">
                  <c:v>98</c:v>
                </c:pt>
                <c:pt idx="17">
                  <c:v>99</c:v>
                </c:pt>
                <c:pt idx="18">
                  <c:v>99</c:v>
                </c:pt>
                <c:pt idx="19">
                  <c:v>99</c:v>
                </c:pt>
                <c:pt idx="20">
                  <c:v>99</c:v>
                </c:pt>
                <c:pt idx="21">
                  <c:v>99</c:v>
                </c:pt>
                <c:pt idx="22">
                  <c:v>100</c:v>
                </c:pt>
                <c:pt idx="23">
                  <c:v>104</c:v>
                </c:pt>
                <c:pt idx="24">
                  <c:v>104</c:v>
                </c:pt>
              </c:numCache>
            </c:numRef>
          </c:val>
          <c:smooth val="0"/>
          <c:extLst>
            <c:ext xmlns:c16="http://schemas.microsoft.com/office/drawing/2014/chart" uri="{C3380CC4-5D6E-409C-BE32-E72D297353CC}">
              <c16:uniqueId val="{00000005-556C-564A-966A-BD10908C52F6}"/>
            </c:ext>
          </c:extLst>
        </c:ser>
        <c:ser>
          <c:idx val="6"/>
          <c:order val="6"/>
          <c:tx>
            <c:strRef>
              <c:f>Drinks!$I$59</c:f>
              <c:strCache>
                <c:ptCount val="1"/>
                <c:pt idx="0">
                  <c:v>Whiskey</c:v>
                </c:pt>
              </c:strCache>
            </c:strRef>
          </c:tx>
          <c:spPr>
            <a:ln w="63500" cap="rnd">
              <a:solidFill>
                <a:schemeClr val="accent1">
                  <a:lumMod val="60000"/>
                </a:schemeClr>
              </a:solidFill>
            </a:ln>
            <a:effectLst>
              <a:glow rad="139700">
                <a:schemeClr val="accent1">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Drinks!$I$60:$I$84</c:f>
              <c:numCache>
                <c:formatCode>General</c:formatCode>
                <c:ptCount val="25"/>
                <c:pt idx="0">
                  <c:v>4</c:v>
                </c:pt>
                <c:pt idx="1">
                  <c:v>5</c:v>
                </c:pt>
                <c:pt idx="2">
                  <c:v>8</c:v>
                </c:pt>
                <c:pt idx="3">
                  <c:v>12</c:v>
                </c:pt>
                <c:pt idx="4">
                  <c:v>12</c:v>
                </c:pt>
                <c:pt idx="5">
                  <c:v>18</c:v>
                </c:pt>
                <c:pt idx="6">
                  <c:v>23</c:v>
                </c:pt>
                <c:pt idx="7">
                  <c:v>29</c:v>
                </c:pt>
                <c:pt idx="8">
                  <c:v>34</c:v>
                </c:pt>
                <c:pt idx="9">
                  <c:v>37</c:v>
                </c:pt>
                <c:pt idx="10">
                  <c:v>40</c:v>
                </c:pt>
                <c:pt idx="11">
                  <c:v>46</c:v>
                </c:pt>
                <c:pt idx="12">
                  <c:v>50</c:v>
                </c:pt>
                <c:pt idx="13">
                  <c:v>55</c:v>
                </c:pt>
                <c:pt idx="14">
                  <c:v>56</c:v>
                </c:pt>
                <c:pt idx="15">
                  <c:v>57</c:v>
                </c:pt>
                <c:pt idx="16">
                  <c:v>57</c:v>
                </c:pt>
                <c:pt idx="17">
                  <c:v>57</c:v>
                </c:pt>
                <c:pt idx="18">
                  <c:v>59</c:v>
                </c:pt>
                <c:pt idx="19">
                  <c:v>62</c:v>
                </c:pt>
                <c:pt idx="20">
                  <c:v>63</c:v>
                </c:pt>
                <c:pt idx="21">
                  <c:v>64</c:v>
                </c:pt>
                <c:pt idx="22">
                  <c:v>67</c:v>
                </c:pt>
                <c:pt idx="23">
                  <c:v>67</c:v>
                </c:pt>
                <c:pt idx="24">
                  <c:v>68</c:v>
                </c:pt>
              </c:numCache>
            </c:numRef>
          </c:val>
          <c:smooth val="0"/>
          <c:extLst>
            <c:ext xmlns:c16="http://schemas.microsoft.com/office/drawing/2014/chart" uri="{C3380CC4-5D6E-409C-BE32-E72D297353CC}">
              <c16:uniqueId val="{00000006-556C-564A-966A-BD10908C52F6}"/>
            </c:ext>
          </c:extLst>
        </c:ser>
        <c:ser>
          <c:idx val="7"/>
          <c:order val="7"/>
          <c:tx>
            <c:strRef>
              <c:f>Drinks!$J$59</c:f>
              <c:strCache>
                <c:ptCount val="1"/>
                <c:pt idx="0">
                  <c:v>Rum</c:v>
                </c:pt>
              </c:strCache>
            </c:strRef>
          </c:tx>
          <c:spPr>
            <a:ln w="63500" cap="rnd">
              <a:solidFill>
                <a:schemeClr val="accent2">
                  <a:lumMod val="60000"/>
                </a:schemeClr>
              </a:solidFill>
            </a:ln>
            <a:effectLst>
              <a:glow rad="139700">
                <a:schemeClr val="accent2">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Drinks!$J$60:$J$84</c:f>
              <c:numCache>
                <c:formatCode>General</c:formatCode>
                <c:ptCount val="25"/>
                <c:pt idx="0">
                  <c:v>1</c:v>
                </c:pt>
                <c:pt idx="1">
                  <c:v>5</c:v>
                </c:pt>
                <c:pt idx="2">
                  <c:v>9</c:v>
                </c:pt>
                <c:pt idx="3">
                  <c:v>15</c:v>
                </c:pt>
                <c:pt idx="4">
                  <c:v>24</c:v>
                </c:pt>
                <c:pt idx="5">
                  <c:v>26</c:v>
                </c:pt>
                <c:pt idx="6">
                  <c:v>41</c:v>
                </c:pt>
                <c:pt idx="7">
                  <c:v>49</c:v>
                </c:pt>
                <c:pt idx="8">
                  <c:v>55</c:v>
                </c:pt>
                <c:pt idx="9">
                  <c:v>71</c:v>
                </c:pt>
                <c:pt idx="10">
                  <c:v>76</c:v>
                </c:pt>
                <c:pt idx="11">
                  <c:v>81</c:v>
                </c:pt>
                <c:pt idx="12">
                  <c:v>90</c:v>
                </c:pt>
                <c:pt idx="13">
                  <c:v>100</c:v>
                </c:pt>
                <c:pt idx="14">
                  <c:v>101</c:v>
                </c:pt>
                <c:pt idx="15">
                  <c:v>106</c:v>
                </c:pt>
                <c:pt idx="16">
                  <c:v>106</c:v>
                </c:pt>
                <c:pt idx="17">
                  <c:v>106</c:v>
                </c:pt>
                <c:pt idx="18">
                  <c:v>110</c:v>
                </c:pt>
                <c:pt idx="19">
                  <c:v>113</c:v>
                </c:pt>
                <c:pt idx="20">
                  <c:v>116</c:v>
                </c:pt>
                <c:pt idx="21">
                  <c:v>118</c:v>
                </c:pt>
                <c:pt idx="22">
                  <c:v>119</c:v>
                </c:pt>
                <c:pt idx="23">
                  <c:v>121</c:v>
                </c:pt>
                <c:pt idx="24">
                  <c:v>121</c:v>
                </c:pt>
              </c:numCache>
            </c:numRef>
          </c:val>
          <c:smooth val="0"/>
          <c:extLst>
            <c:ext xmlns:c16="http://schemas.microsoft.com/office/drawing/2014/chart" uri="{C3380CC4-5D6E-409C-BE32-E72D297353CC}">
              <c16:uniqueId val="{00000007-556C-564A-966A-BD10908C52F6}"/>
            </c:ext>
          </c:extLst>
        </c:ser>
        <c:ser>
          <c:idx val="8"/>
          <c:order val="8"/>
          <c:tx>
            <c:strRef>
              <c:f>Drinks!$K$59</c:f>
              <c:strCache>
                <c:ptCount val="1"/>
                <c:pt idx="0">
                  <c:v>Brandy</c:v>
                </c:pt>
              </c:strCache>
            </c:strRef>
          </c:tx>
          <c:spPr>
            <a:ln w="63500" cap="rnd">
              <a:solidFill>
                <a:schemeClr val="accent3">
                  <a:lumMod val="60000"/>
                </a:schemeClr>
              </a:solidFill>
            </a:ln>
            <a:effectLst>
              <a:glow rad="139700">
                <a:schemeClr val="accent3">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Drinks!$K$60:$K$84</c:f>
              <c:numCache>
                <c:formatCode>General</c:formatCode>
                <c:ptCount val="25"/>
                <c:pt idx="0">
                  <c:v>1</c:v>
                </c:pt>
                <c:pt idx="1">
                  <c:v>1</c:v>
                </c:pt>
                <c:pt idx="2">
                  <c:v>2</c:v>
                </c:pt>
                <c:pt idx="3">
                  <c:v>2</c:v>
                </c:pt>
                <c:pt idx="4">
                  <c:v>2</c:v>
                </c:pt>
                <c:pt idx="5">
                  <c:v>2</c:v>
                </c:pt>
                <c:pt idx="6">
                  <c:v>3</c:v>
                </c:pt>
                <c:pt idx="7">
                  <c:v>3</c:v>
                </c:pt>
                <c:pt idx="8">
                  <c:v>3</c:v>
                </c:pt>
                <c:pt idx="9">
                  <c:v>3</c:v>
                </c:pt>
                <c:pt idx="10">
                  <c:v>3</c:v>
                </c:pt>
                <c:pt idx="11">
                  <c:v>3</c:v>
                </c:pt>
                <c:pt idx="12">
                  <c:v>3</c:v>
                </c:pt>
                <c:pt idx="13">
                  <c:v>4</c:v>
                </c:pt>
                <c:pt idx="14">
                  <c:v>4</c:v>
                </c:pt>
                <c:pt idx="15">
                  <c:v>4</c:v>
                </c:pt>
                <c:pt idx="16">
                  <c:v>4</c:v>
                </c:pt>
                <c:pt idx="17">
                  <c:v>4</c:v>
                </c:pt>
                <c:pt idx="18">
                  <c:v>5</c:v>
                </c:pt>
                <c:pt idx="19">
                  <c:v>5</c:v>
                </c:pt>
                <c:pt idx="20">
                  <c:v>8</c:v>
                </c:pt>
                <c:pt idx="21">
                  <c:v>8</c:v>
                </c:pt>
                <c:pt idx="22">
                  <c:v>8</c:v>
                </c:pt>
                <c:pt idx="23">
                  <c:v>8</c:v>
                </c:pt>
                <c:pt idx="24">
                  <c:v>8</c:v>
                </c:pt>
              </c:numCache>
            </c:numRef>
          </c:val>
          <c:smooth val="0"/>
          <c:extLst>
            <c:ext xmlns:c16="http://schemas.microsoft.com/office/drawing/2014/chart" uri="{C3380CC4-5D6E-409C-BE32-E72D297353CC}">
              <c16:uniqueId val="{00000008-556C-564A-966A-BD10908C52F6}"/>
            </c:ext>
          </c:extLst>
        </c:ser>
        <c:ser>
          <c:idx val="9"/>
          <c:order val="9"/>
          <c:tx>
            <c:strRef>
              <c:f>Drinks!$L$59</c:f>
              <c:strCache>
                <c:ptCount val="1"/>
                <c:pt idx="0">
                  <c:v>Liqueur</c:v>
                </c:pt>
              </c:strCache>
            </c:strRef>
          </c:tx>
          <c:spPr>
            <a:ln w="63500" cap="rnd">
              <a:solidFill>
                <a:schemeClr val="accent4">
                  <a:lumMod val="60000"/>
                </a:schemeClr>
              </a:solidFill>
            </a:ln>
            <a:effectLst>
              <a:glow rad="139700">
                <a:schemeClr val="accent4">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Drinks!$L$60:$L$84</c:f>
              <c:numCache>
                <c:formatCode>General</c:formatCode>
                <c:ptCount val="25"/>
                <c:pt idx="0">
                  <c:v>8</c:v>
                </c:pt>
                <c:pt idx="1">
                  <c:v>11</c:v>
                </c:pt>
                <c:pt idx="2">
                  <c:v>16</c:v>
                </c:pt>
                <c:pt idx="3">
                  <c:v>18</c:v>
                </c:pt>
                <c:pt idx="4">
                  <c:v>18</c:v>
                </c:pt>
                <c:pt idx="5">
                  <c:v>19</c:v>
                </c:pt>
                <c:pt idx="6">
                  <c:v>26</c:v>
                </c:pt>
                <c:pt idx="7">
                  <c:v>34</c:v>
                </c:pt>
                <c:pt idx="8">
                  <c:v>42</c:v>
                </c:pt>
                <c:pt idx="9">
                  <c:v>48</c:v>
                </c:pt>
                <c:pt idx="10">
                  <c:v>55</c:v>
                </c:pt>
                <c:pt idx="11">
                  <c:v>62</c:v>
                </c:pt>
                <c:pt idx="12">
                  <c:v>66</c:v>
                </c:pt>
                <c:pt idx="13">
                  <c:v>72</c:v>
                </c:pt>
                <c:pt idx="14">
                  <c:v>73</c:v>
                </c:pt>
                <c:pt idx="15">
                  <c:v>74</c:v>
                </c:pt>
                <c:pt idx="16">
                  <c:v>75</c:v>
                </c:pt>
                <c:pt idx="17">
                  <c:v>77</c:v>
                </c:pt>
                <c:pt idx="18">
                  <c:v>79</c:v>
                </c:pt>
                <c:pt idx="19">
                  <c:v>81</c:v>
                </c:pt>
                <c:pt idx="20">
                  <c:v>84</c:v>
                </c:pt>
                <c:pt idx="21">
                  <c:v>85</c:v>
                </c:pt>
                <c:pt idx="22">
                  <c:v>91</c:v>
                </c:pt>
                <c:pt idx="23">
                  <c:v>94</c:v>
                </c:pt>
                <c:pt idx="24">
                  <c:v>96</c:v>
                </c:pt>
              </c:numCache>
            </c:numRef>
          </c:val>
          <c:smooth val="0"/>
          <c:extLst>
            <c:ext xmlns:c16="http://schemas.microsoft.com/office/drawing/2014/chart" uri="{C3380CC4-5D6E-409C-BE32-E72D297353CC}">
              <c16:uniqueId val="{00000009-556C-564A-966A-BD10908C52F6}"/>
            </c:ext>
          </c:extLst>
        </c:ser>
        <c:ser>
          <c:idx val="10"/>
          <c:order val="10"/>
          <c:tx>
            <c:strRef>
              <c:f>Drinks!$M$59</c:f>
              <c:strCache>
                <c:ptCount val="1"/>
                <c:pt idx="0">
                  <c:v>Soft Drink</c:v>
                </c:pt>
              </c:strCache>
            </c:strRef>
          </c:tx>
          <c:spPr>
            <a:ln w="63500" cap="rnd">
              <a:solidFill>
                <a:schemeClr val="accent5">
                  <a:lumMod val="60000"/>
                </a:schemeClr>
              </a:solidFill>
            </a:ln>
            <a:effectLst>
              <a:glow rad="139700">
                <a:schemeClr val="accent5">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Drinks!$M$60:$M$84</c:f>
              <c:numCache>
                <c:formatCode>General</c:formatCode>
                <c:ptCount val="25"/>
                <c:pt idx="0">
                  <c:v>1</c:v>
                </c:pt>
                <c:pt idx="1">
                  <c:v>2</c:v>
                </c:pt>
                <c:pt idx="2">
                  <c:v>3</c:v>
                </c:pt>
                <c:pt idx="3">
                  <c:v>6</c:v>
                </c:pt>
                <c:pt idx="4">
                  <c:v>9</c:v>
                </c:pt>
                <c:pt idx="5">
                  <c:v>12</c:v>
                </c:pt>
                <c:pt idx="6">
                  <c:v>13</c:v>
                </c:pt>
                <c:pt idx="7">
                  <c:v>14</c:v>
                </c:pt>
                <c:pt idx="8">
                  <c:v>14</c:v>
                </c:pt>
                <c:pt idx="9">
                  <c:v>14</c:v>
                </c:pt>
                <c:pt idx="10">
                  <c:v>15</c:v>
                </c:pt>
                <c:pt idx="11">
                  <c:v>15</c:v>
                </c:pt>
                <c:pt idx="12">
                  <c:v>15</c:v>
                </c:pt>
                <c:pt idx="13">
                  <c:v>15</c:v>
                </c:pt>
                <c:pt idx="14">
                  <c:v>23</c:v>
                </c:pt>
                <c:pt idx="15">
                  <c:v>23</c:v>
                </c:pt>
                <c:pt idx="16">
                  <c:v>24</c:v>
                </c:pt>
                <c:pt idx="17">
                  <c:v>24</c:v>
                </c:pt>
                <c:pt idx="18">
                  <c:v>24</c:v>
                </c:pt>
                <c:pt idx="19">
                  <c:v>24</c:v>
                </c:pt>
                <c:pt idx="20">
                  <c:v>24</c:v>
                </c:pt>
                <c:pt idx="21">
                  <c:v>24</c:v>
                </c:pt>
                <c:pt idx="22">
                  <c:v>24</c:v>
                </c:pt>
                <c:pt idx="23">
                  <c:v>24</c:v>
                </c:pt>
                <c:pt idx="24">
                  <c:v>24</c:v>
                </c:pt>
              </c:numCache>
            </c:numRef>
          </c:val>
          <c:smooth val="0"/>
          <c:extLst>
            <c:ext xmlns:c16="http://schemas.microsoft.com/office/drawing/2014/chart" uri="{C3380CC4-5D6E-409C-BE32-E72D297353CC}">
              <c16:uniqueId val="{0000000A-556C-564A-966A-BD10908C52F6}"/>
            </c:ext>
          </c:extLst>
        </c:ser>
        <c:ser>
          <c:idx val="11"/>
          <c:order val="11"/>
          <c:tx>
            <c:strRef>
              <c:f>Drinks!$N$59</c:f>
              <c:strCache>
                <c:ptCount val="1"/>
                <c:pt idx="0">
                  <c:v>Other</c:v>
                </c:pt>
              </c:strCache>
            </c:strRef>
          </c:tx>
          <c:spPr>
            <a:ln w="63500" cap="rnd">
              <a:solidFill>
                <a:schemeClr val="accent6">
                  <a:lumMod val="60000"/>
                </a:schemeClr>
              </a:solidFill>
            </a:ln>
            <a:effectLst>
              <a:glow rad="139700">
                <a:schemeClr val="accent6">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Drinks!$B$60:$B$84</c:f>
              <c:numCache>
                <c:formatCode>d/mm/yyyy;@</c:formatCode>
                <c:ptCount val="25"/>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pt idx="12">
                  <c:v>44001</c:v>
                </c:pt>
                <c:pt idx="13">
                  <c:v>44008</c:v>
                </c:pt>
                <c:pt idx="14">
                  <c:v>44015</c:v>
                </c:pt>
                <c:pt idx="15">
                  <c:v>44022</c:v>
                </c:pt>
                <c:pt idx="16">
                  <c:v>44029</c:v>
                </c:pt>
                <c:pt idx="17">
                  <c:v>44036</c:v>
                </c:pt>
                <c:pt idx="18">
                  <c:v>44043</c:v>
                </c:pt>
                <c:pt idx="19">
                  <c:v>44050</c:v>
                </c:pt>
                <c:pt idx="20">
                  <c:v>44057</c:v>
                </c:pt>
                <c:pt idx="21">
                  <c:v>44064</c:v>
                </c:pt>
                <c:pt idx="22">
                  <c:v>44071</c:v>
                </c:pt>
                <c:pt idx="23">
                  <c:v>44078</c:v>
                </c:pt>
                <c:pt idx="24">
                  <c:v>44085</c:v>
                </c:pt>
              </c:numCache>
            </c:numRef>
          </c:cat>
          <c:val>
            <c:numRef>
              <c:f>Drinks!$N$60:$N$84</c:f>
              <c:numCache>
                <c:formatCode>General</c:formatCode>
                <c:ptCount val="25"/>
                <c:pt idx="0">
                  <c:v>2</c:v>
                </c:pt>
                <c:pt idx="1">
                  <c:v>3</c:v>
                </c:pt>
                <c:pt idx="2">
                  <c:v>7</c:v>
                </c:pt>
                <c:pt idx="3">
                  <c:v>10</c:v>
                </c:pt>
                <c:pt idx="4">
                  <c:v>12</c:v>
                </c:pt>
                <c:pt idx="5">
                  <c:v>12</c:v>
                </c:pt>
                <c:pt idx="6">
                  <c:v>12</c:v>
                </c:pt>
                <c:pt idx="7">
                  <c:v>13</c:v>
                </c:pt>
                <c:pt idx="8">
                  <c:v>17</c:v>
                </c:pt>
                <c:pt idx="9">
                  <c:v>20</c:v>
                </c:pt>
                <c:pt idx="10">
                  <c:v>21</c:v>
                </c:pt>
                <c:pt idx="11">
                  <c:v>24</c:v>
                </c:pt>
                <c:pt idx="12">
                  <c:v>28</c:v>
                </c:pt>
                <c:pt idx="13">
                  <c:v>31</c:v>
                </c:pt>
                <c:pt idx="14">
                  <c:v>38</c:v>
                </c:pt>
                <c:pt idx="15">
                  <c:v>41</c:v>
                </c:pt>
                <c:pt idx="16">
                  <c:v>46</c:v>
                </c:pt>
                <c:pt idx="17">
                  <c:v>46</c:v>
                </c:pt>
                <c:pt idx="18">
                  <c:v>48</c:v>
                </c:pt>
                <c:pt idx="19">
                  <c:v>50</c:v>
                </c:pt>
                <c:pt idx="20">
                  <c:v>50</c:v>
                </c:pt>
                <c:pt idx="21">
                  <c:v>51</c:v>
                </c:pt>
                <c:pt idx="22">
                  <c:v>57</c:v>
                </c:pt>
                <c:pt idx="23">
                  <c:v>59</c:v>
                </c:pt>
                <c:pt idx="24">
                  <c:v>59</c:v>
                </c:pt>
              </c:numCache>
            </c:numRef>
          </c:val>
          <c:smooth val="0"/>
          <c:extLst>
            <c:ext xmlns:c16="http://schemas.microsoft.com/office/drawing/2014/chart" uri="{C3380CC4-5D6E-409C-BE32-E72D297353CC}">
              <c16:uniqueId val="{0000000B-556C-564A-966A-BD10908C52F6}"/>
            </c:ext>
          </c:extLst>
        </c:ser>
        <c:dLbls>
          <c:showLegendKey val="0"/>
          <c:showVal val="1"/>
          <c:showCatName val="0"/>
          <c:showSerName val="0"/>
          <c:showPercent val="0"/>
          <c:showBubbleSize val="0"/>
        </c:dLbls>
        <c:smooth val="0"/>
        <c:axId val="1152461280"/>
        <c:axId val="1154852512"/>
      </c:lineChart>
      <c:dateAx>
        <c:axId val="1152461280"/>
        <c:scaling>
          <c:orientation val="minMax"/>
        </c:scaling>
        <c:delete val="0"/>
        <c:axPos val="b"/>
        <c:numFmt formatCode="d/mm/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852512"/>
        <c:crosses val="autoZero"/>
        <c:auto val="1"/>
        <c:lblOffset val="100"/>
        <c:baseTimeUnit val="days"/>
        <c:majorUnit val="7"/>
        <c:majorTimeUnit val="days"/>
        <c:minorUnit val="7"/>
        <c:minorTimeUnit val="days"/>
      </c:dateAx>
      <c:valAx>
        <c:axId val="1154852512"/>
        <c:scaling>
          <c:orientation val="minMax"/>
        </c:scaling>
        <c:delete val="1"/>
        <c:axPos val="l"/>
        <c:numFmt formatCode="General" sourceLinked="1"/>
        <c:majorTickMark val="none"/>
        <c:minorTickMark val="none"/>
        <c:tickLblPos val="nextTo"/>
        <c:crossAx val="1152461280"/>
        <c:crosses val="autoZero"/>
        <c:crossBetween val="between"/>
      </c:valAx>
      <c:spPr>
        <a:noFill/>
        <a:ln>
          <a:noFill/>
        </a:ln>
        <a:effectLst/>
      </c:spPr>
    </c:plotArea>
    <c:legend>
      <c:legendPos val="l"/>
      <c:layout>
        <c:manualLayout>
          <c:xMode val="edge"/>
          <c:yMode val="edge"/>
          <c:x val="5.4450122009003709E-3"/>
          <c:y val="4.7223201378471795E-2"/>
          <c:w val="0.53582128469560708"/>
          <c:h val="0.66293972603771334"/>
        </c:manualLayout>
      </c:layout>
      <c:overlay val="0"/>
      <c:spPr>
        <a:noFill/>
        <a:ln>
          <a:noFill/>
        </a:ln>
        <a:effectLst/>
      </c:spPr>
      <c:txPr>
        <a:bodyPr rot="0" spcFirstLastPara="1" vertOverflow="ellipsis" vert="horz" wrap="square" anchor="ctr" anchorCtr="1"/>
        <a:lstStyle/>
        <a:p>
          <a:pPr>
            <a:defRPr sz="25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Alcohol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00-4FD9-9D85-B352E07982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00-4FD9-9D85-B352E079824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00-4FD9-9D85-B352E079824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B00-4FD9-9D85-B352E079824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B00-4FD9-9D85-B352E079824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B00-4FD9-9D85-B352E079824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B00-4FD9-9D85-B352E079824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B00-4FD9-9D85-B352E079824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B00-4FD9-9D85-B352E079824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B00-4FD9-9D85-B352E079824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B00-4FD9-9D85-B352E079824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B00-4FD9-9D85-B352E0798242}"/>
              </c:ext>
            </c:extLst>
          </c:dPt>
          <c:cat>
            <c:strRef>
              <c:f>Drinks!$B$3:$B$14</c:f>
              <c:strCache>
                <c:ptCount val="12"/>
                <c:pt idx="0">
                  <c:v>Beer</c:v>
                </c:pt>
                <c:pt idx="1">
                  <c:v>Cider</c:v>
                </c:pt>
                <c:pt idx="2">
                  <c:v>Wine</c:v>
                </c:pt>
                <c:pt idx="3">
                  <c:v>Fortified Wine</c:v>
                </c:pt>
                <c:pt idx="4">
                  <c:v>Gin</c:v>
                </c:pt>
                <c:pt idx="5">
                  <c:v>Vodka</c:v>
                </c:pt>
                <c:pt idx="6">
                  <c:v>Whiskey</c:v>
                </c:pt>
                <c:pt idx="7">
                  <c:v>Rum</c:v>
                </c:pt>
                <c:pt idx="8">
                  <c:v>Brandy</c:v>
                </c:pt>
                <c:pt idx="9">
                  <c:v>Liqueur</c:v>
                </c:pt>
                <c:pt idx="10">
                  <c:v>Soft Drink</c:v>
                </c:pt>
                <c:pt idx="11">
                  <c:v>Other</c:v>
                </c:pt>
              </c:strCache>
            </c:strRef>
          </c:cat>
          <c:val>
            <c:numRef>
              <c:f>Drinks!$C$3:$C$14</c:f>
              <c:numCache>
                <c:formatCode>General</c:formatCode>
                <c:ptCount val="12"/>
                <c:pt idx="0">
                  <c:v>576</c:v>
                </c:pt>
                <c:pt idx="1">
                  <c:v>186</c:v>
                </c:pt>
                <c:pt idx="2">
                  <c:v>90</c:v>
                </c:pt>
                <c:pt idx="3">
                  <c:v>23</c:v>
                </c:pt>
                <c:pt idx="4">
                  <c:v>127</c:v>
                </c:pt>
                <c:pt idx="5">
                  <c:v>104</c:v>
                </c:pt>
                <c:pt idx="6">
                  <c:v>68</c:v>
                </c:pt>
                <c:pt idx="7">
                  <c:v>121</c:v>
                </c:pt>
                <c:pt idx="8">
                  <c:v>8</c:v>
                </c:pt>
                <c:pt idx="9">
                  <c:v>96</c:v>
                </c:pt>
                <c:pt idx="10">
                  <c:v>24</c:v>
                </c:pt>
                <c:pt idx="11">
                  <c:v>59</c:v>
                </c:pt>
              </c:numCache>
            </c:numRef>
          </c:val>
          <c:extLst>
            <c:ext xmlns:c16="http://schemas.microsoft.com/office/drawing/2014/chart" uri="{C3380CC4-5D6E-409C-BE32-E72D297353CC}">
              <c16:uniqueId val="{00000018-CB00-4FD9-9D85-B352E079824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Female Avg.</a:t>
            </a:r>
            <a:r>
              <a:rPr lang="en-GB" baseline="0"/>
              <a:t> Drinks + Weeks Participated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rgbClr val="FF66CC"/>
            </a:solidFill>
            <a:ln>
              <a:noFill/>
            </a:ln>
            <a:effectLst/>
            <a:sp3d/>
          </c:spPr>
          <c:invertIfNegative val="0"/>
          <c:cat>
            <c:strRef>
              <c:f>(People!$B$3,People!$B$10,People!$B$11,People!$B$12,People!$B$14,People!$B$16,People!$B$18,People!$B$21,People!$B$22)</c:f>
              <c:strCache>
                <c:ptCount val="9"/>
                <c:pt idx="0">
                  <c:v>Stephanie Hewlett</c:v>
                </c:pt>
                <c:pt idx="1">
                  <c:v>Libby Millier</c:v>
                </c:pt>
                <c:pt idx="2">
                  <c:v>Dawn Jones</c:v>
                </c:pt>
                <c:pt idx="3">
                  <c:v>Caroline Draper</c:v>
                </c:pt>
                <c:pt idx="4">
                  <c:v>Alex Arbuckle</c:v>
                </c:pt>
                <c:pt idx="5">
                  <c:v>Lucy Englefield</c:v>
                </c:pt>
                <c:pt idx="6">
                  <c:v>Lois Savill</c:v>
                </c:pt>
                <c:pt idx="7">
                  <c:v>Helen Miles</c:v>
                </c:pt>
                <c:pt idx="8">
                  <c:v>Antonia Amaning</c:v>
                </c:pt>
              </c:strCache>
            </c:strRef>
          </c:cat>
          <c:val>
            <c:numRef>
              <c:f>(People!$D$3,People!$D$10,People!$D$11,People!$D$12,People!$D$14,People!$D$16,People!$D$18,People!$D$21,People!$D$22)</c:f>
              <c:numCache>
                <c:formatCode>#,##0</c:formatCode>
                <c:ptCount val="9"/>
                <c:pt idx="0">
                  <c:v>9</c:v>
                </c:pt>
                <c:pt idx="1">
                  <c:v>6</c:v>
                </c:pt>
                <c:pt idx="2">
                  <c:v>14</c:v>
                </c:pt>
                <c:pt idx="3">
                  <c:v>19</c:v>
                </c:pt>
                <c:pt idx="4">
                  <c:v>4</c:v>
                </c:pt>
                <c:pt idx="5">
                  <c:v>6</c:v>
                </c:pt>
                <c:pt idx="6">
                  <c:v>1</c:v>
                </c:pt>
                <c:pt idx="7">
                  <c:v>4</c:v>
                </c:pt>
                <c:pt idx="8">
                  <c:v>2</c:v>
                </c:pt>
              </c:numCache>
            </c:numRef>
          </c:val>
          <c:extLst>
            <c:ext xmlns:c16="http://schemas.microsoft.com/office/drawing/2014/chart" uri="{C3380CC4-5D6E-409C-BE32-E72D297353CC}">
              <c16:uniqueId val="{00000000-259E-49DB-B6B7-8CA55BAA8B1B}"/>
            </c:ext>
          </c:extLst>
        </c:ser>
        <c:ser>
          <c:idx val="1"/>
          <c:order val="1"/>
          <c:spPr>
            <a:solidFill>
              <a:srgbClr val="7030A0"/>
            </a:solidFill>
            <a:ln>
              <a:noFill/>
            </a:ln>
            <a:effectLst/>
            <a:sp3d/>
          </c:spPr>
          <c:invertIfNegative val="0"/>
          <c:cat>
            <c:strRef>
              <c:f>(People!$B$3,People!$B$10,People!$B$11,People!$B$12,People!$B$14,People!$B$16,People!$B$18,People!$B$21,People!$B$22)</c:f>
              <c:strCache>
                <c:ptCount val="9"/>
                <c:pt idx="0">
                  <c:v>Stephanie Hewlett</c:v>
                </c:pt>
                <c:pt idx="1">
                  <c:v>Libby Millier</c:v>
                </c:pt>
                <c:pt idx="2">
                  <c:v>Dawn Jones</c:v>
                </c:pt>
                <c:pt idx="3">
                  <c:v>Caroline Draper</c:v>
                </c:pt>
                <c:pt idx="4">
                  <c:v>Alex Arbuckle</c:v>
                </c:pt>
                <c:pt idx="5">
                  <c:v>Lucy Englefield</c:v>
                </c:pt>
                <c:pt idx="6">
                  <c:v>Lois Savill</c:v>
                </c:pt>
                <c:pt idx="7">
                  <c:v>Helen Miles</c:v>
                </c:pt>
                <c:pt idx="8">
                  <c:v>Antonia Amaning</c:v>
                </c:pt>
              </c:strCache>
            </c:strRef>
          </c:cat>
          <c:val>
            <c:numRef>
              <c:f>(People!$E$3,People!$E$10,People!$E$11,People!$E$12,People!$E$14,People!$E$16,People!$E$18,People!$E$21,People!$E$22)</c:f>
              <c:numCache>
                <c:formatCode>0.0000</c:formatCode>
                <c:ptCount val="9"/>
                <c:pt idx="0">
                  <c:v>2</c:v>
                </c:pt>
                <c:pt idx="1">
                  <c:v>1.8333333333333333</c:v>
                </c:pt>
                <c:pt idx="2">
                  <c:v>3</c:v>
                </c:pt>
                <c:pt idx="3">
                  <c:v>5.6842105263157894</c:v>
                </c:pt>
                <c:pt idx="4">
                  <c:v>2.25</c:v>
                </c:pt>
                <c:pt idx="5">
                  <c:v>3.1666666666666665</c:v>
                </c:pt>
                <c:pt idx="6">
                  <c:v>1</c:v>
                </c:pt>
                <c:pt idx="7">
                  <c:v>3</c:v>
                </c:pt>
                <c:pt idx="8">
                  <c:v>3.5</c:v>
                </c:pt>
              </c:numCache>
            </c:numRef>
          </c:val>
          <c:extLst>
            <c:ext xmlns:c16="http://schemas.microsoft.com/office/drawing/2014/chart" uri="{C3380CC4-5D6E-409C-BE32-E72D297353CC}">
              <c16:uniqueId val="{00000001-259E-49DB-B6B7-8CA55BAA8B1B}"/>
            </c:ext>
          </c:extLst>
        </c:ser>
        <c:dLbls>
          <c:showLegendKey val="0"/>
          <c:showVal val="0"/>
          <c:showCatName val="0"/>
          <c:showSerName val="0"/>
          <c:showPercent val="0"/>
          <c:showBubbleSize val="0"/>
        </c:dLbls>
        <c:gapWidth val="150"/>
        <c:shape val="box"/>
        <c:axId val="401046624"/>
        <c:axId val="401046952"/>
        <c:axId val="0"/>
      </c:bar3DChart>
      <c:catAx>
        <c:axId val="401046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046952"/>
        <c:crosses val="autoZero"/>
        <c:auto val="1"/>
        <c:lblAlgn val="ctr"/>
        <c:lblOffset val="100"/>
        <c:noMultiLvlLbl val="0"/>
      </c:catAx>
      <c:valAx>
        <c:axId val="4010469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046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Male Drinks Per Week + Total Weeks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cat>
            <c:strRef>
              <c:f>(People!$B$4,People!$B$5,People!$B$6,People!$B$7,People!$B$8,People!$B$9,People!$B$13,People!$B$15,People!$B$17,People!$B$19,People!$B$20,People!$B$23,People!$B$27)</c:f>
              <c:strCache>
                <c:ptCount val="13"/>
                <c:pt idx="0">
                  <c:v>Daniel Hewlett</c:v>
                </c:pt>
                <c:pt idx="1">
                  <c:v>Ross Savill</c:v>
                </c:pt>
                <c:pt idx="2">
                  <c:v>Anthony Draper</c:v>
                </c:pt>
                <c:pt idx="3">
                  <c:v>Shaun Munro</c:v>
                </c:pt>
                <c:pt idx="4">
                  <c:v>Jason Bowen</c:v>
                </c:pt>
                <c:pt idx="5">
                  <c:v>Ben Millier</c:v>
                </c:pt>
                <c:pt idx="6">
                  <c:v>Steven Ireland</c:v>
                </c:pt>
                <c:pt idx="7">
                  <c:v>Joe Cuthbert</c:v>
                </c:pt>
                <c:pt idx="8">
                  <c:v>Michael Smidman</c:v>
                </c:pt>
                <c:pt idx="9">
                  <c:v>Rossen Roussanov</c:v>
                </c:pt>
                <c:pt idx="10">
                  <c:v>Ed Saunders</c:v>
                </c:pt>
                <c:pt idx="11">
                  <c:v>George McLachlan</c:v>
                </c:pt>
                <c:pt idx="12">
                  <c:v>Sean Carey</c:v>
                </c:pt>
              </c:strCache>
            </c:strRef>
          </c:cat>
          <c:val>
            <c:numRef>
              <c:f>(People!$D$4,People!$D$5,People!$D$6,People!$D$7,People!$D$8,People!$D$9,People!$D$13,People!$D$15,People!$D$17,People!$D$19,People!$D$20,People!$D$23,People!$D$27)</c:f>
              <c:numCache>
                <c:formatCode>#,##0</c:formatCode>
                <c:ptCount val="13"/>
                <c:pt idx="0">
                  <c:v>21</c:v>
                </c:pt>
                <c:pt idx="1">
                  <c:v>24</c:v>
                </c:pt>
                <c:pt idx="2">
                  <c:v>21</c:v>
                </c:pt>
                <c:pt idx="3">
                  <c:v>25</c:v>
                </c:pt>
                <c:pt idx="4">
                  <c:v>25</c:v>
                </c:pt>
                <c:pt idx="5">
                  <c:v>18</c:v>
                </c:pt>
                <c:pt idx="6">
                  <c:v>9</c:v>
                </c:pt>
                <c:pt idx="7">
                  <c:v>17</c:v>
                </c:pt>
                <c:pt idx="8">
                  <c:v>1</c:v>
                </c:pt>
                <c:pt idx="9">
                  <c:v>1</c:v>
                </c:pt>
                <c:pt idx="10">
                  <c:v>6</c:v>
                </c:pt>
                <c:pt idx="11">
                  <c:v>2</c:v>
                </c:pt>
                <c:pt idx="12">
                  <c:v>16</c:v>
                </c:pt>
              </c:numCache>
            </c:numRef>
          </c:val>
          <c:extLst>
            <c:ext xmlns:c16="http://schemas.microsoft.com/office/drawing/2014/chart" uri="{C3380CC4-5D6E-409C-BE32-E72D297353CC}">
              <c16:uniqueId val="{00000000-F376-4528-929D-F58A6A27AC15}"/>
            </c:ext>
          </c:extLst>
        </c:ser>
        <c:ser>
          <c:idx val="1"/>
          <c:order val="1"/>
          <c:spPr>
            <a:solidFill>
              <a:schemeClr val="accent2"/>
            </a:solidFill>
            <a:ln>
              <a:noFill/>
            </a:ln>
            <a:effectLst/>
            <a:sp3d/>
          </c:spPr>
          <c:invertIfNegative val="0"/>
          <c:cat>
            <c:strRef>
              <c:f>(People!$B$4,People!$B$5,People!$B$6,People!$B$7,People!$B$8,People!$B$9,People!$B$13,People!$B$15,People!$B$17,People!$B$19,People!$B$20,People!$B$23,People!$B$27)</c:f>
              <c:strCache>
                <c:ptCount val="13"/>
                <c:pt idx="0">
                  <c:v>Daniel Hewlett</c:v>
                </c:pt>
                <c:pt idx="1">
                  <c:v>Ross Savill</c:v>
                </c:pt>
                <c:pt idx="2">
                  <c:v>Anthony Draper</c:v>
                </c:pt>
                <c:pt idx="3">
                  <c:v>Shaun Munro</c:v>
                </c:pt>
                <c:pt idx="4">
                  <c:v>Jason Bowen</c:v>
                </c:pt>
                <c:pt idx="5">
                  <c:v>Ben Millier</c:v>
                </c:pt>
                <c:pt idx="6">
                  <c:v>Steven Ireland</c:v>
                </c:pt>
                <c:pt idx="7">
                  <c:v>Joe Cuthbert</c:v>
                </c:pt>
                <c:pt idx="8">
                  <c:v>Michael Smidman</c:v>
                </c:pt>
                <c:pt idx="9">
                  <c:v>Rossen Roussanov</c:v>
                </c:pt>
                <c:pt idx="10">
                  <c:v>Ed Saunders</c:v>
                </c:pt>
                <c:pt idx="11">
                  <c:v>George McLachlan</c:v>
                </c:pt>
                <c:pt idx="12">
                  <c:v>Sean Carey</c:v>
                </c:pt>
              </c:strCache>
            </c:strRef>
          </c:cat>
          <c:val>
            <c:numRef>
              <c:f>(People!$E$4,People!$E$5,People!$E$6,People!$E$7,People!$E$8,People!$E$9,People!$E$13,People!$E$15,People!$E$17,People!$E$19,People!$E$20,People!$E$23,People!$E$27)</c:f>
              <c:numCache>
                <c:formatCode>0.0000</c:formatCode>
                <c:ptCount val="13"/>
                <c:pt idx="0">
                  <c:v>7.1428571428571432</c:v>
                </c:pt>
                <c:pt idx="1">
                  <c:v>7.833333333333333</c:v>
                </c:pt>
                <c:pt idx="2">
                  <c:v>8.0476190476190474</c:v>
                </c:pt>
                <c:pt idx="3">
                  <c:v>5.4</c:v>
                </c:pt>
                <c:pt idx="4">
                  <c:v>4.84</c:v>
                </c:pt>
                <c:pt idx="5">
                  <c:v>7.666666666666667</c:v>
                </c:pt>
                <c:pt idx="6">
                  <c:v>4</c:v>
                </c:pt>
                <c:pt idx="7">
                  <c:v>6.4117647058823533</c:v>
                </c:pt>
                <c:pt idx="8">
                  <c:v>2</c:v>
                </c:pt>
                <c:pt idx="9">
                  <c:v>1</c:v>
                </c:pt>
                <c:pt idx="10">
                  <c:v>8</c:v>
                </c:pt>
                <c:pt idx="11">
                  <c:v>4.5</c:v>
                </c:pt>
                <c:pt idx="12">
                  <c:v>6.9375</c:v>
                </c:pt>
              </c:numCache>
            </c:numRef>
          </c:val>
          <c:extLst>
            <c:ext xmlns:c16="http://schemas.microsoft.com/office/drawing/2014/chart" uri="{C3380CC4-5D6E-409C-BE32-E72D297353CC}">
              <c16:uniqueId val="{00000001-F376-4528-929D-F58A6A27AC15}"/>
            </c:ext>
          </c:extLst>
        </c:ser>
        <c:dLbls>
          <c:showLegendKey val="0"/>
          <c:showVal val="0"/>
          <c:showCatName val="0"/>
          <c:showSerName val="0"/>
          <c:showPercent val="0"/>
          <c:showBubbleSize val="0"/>
        </c:dLbls>
        <c:gapWidth val="150"/>
        <c:shape val="box"/>
        <c:axId val="394379080"/>
        <c:axId val="394379408"/>
        <c:axId val="0"/>
      </c:bar3DChart>
      <c:catAx>
        <c:axId val="394379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79408"/>
        <c:crosses val="autoZero"/>
        <c:auto val="1"/>
        <c:lblAlgn val="ctr"/>
        <c:lblOffset val="100"/>
        <c:noMultiLvlLbl val="0"/>
      </c:catAx>
      <c:valAx>
        <c:axId val="3943794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79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'By Week'!$B$4</c:f>
              <c:strCache>
                <c:ptCount val="1"/>
                <c:pt idx="0">
                  <c:v>Total Drinks</c:v>
                </c:pt>
              </c:strCache>
            </c:strRef>
          </c:tx>
          <c:spPr>
            <a:ln w="28575" cap="rnd">
              <a:solidFill>
                <a:schemeClr val="accent1"/>
              </a:solidFill>
              <a:round/>
            </a:ln>
            <a:effectLst/>
          </c:spPr>
          <c:marker>
            <c:symbol val="none"/>
          </c:marker>
          <c:cat>
            <c:numRef>
              <c:f>'By Week'!$C$3:$N$3</c:f>
              <c:numCache>
                <c:formatCode>d/mm/yyyy;@</c:formatCode>
                <c:ptCount val="12"/>
                <c:pt idx="0">
                  <c:v>43917</c:v>
                </c:pt>
                <c:pt idx="1">
                  <c:v>43924</c:v>
                </c:pt>
                <c:pt idx="2">
                  <c:v>43931</c:v>
                </c:pt>
                <c:pt idx="3">
                  <c:v>43938</c:v>
                </c:pt>
                <c:pt idx="4">
                  <c:v>43945</c:v>
                </c:pt>
                <c:pt idx="5">
                  <c:v>43952</c:v>
                </c:pt>
                <c:pt idx="6">
                  <c:v>43959</c:v>
                </c:pt>
                <c:pt idx="7">
                  <c:v>43966</c:v>
                </c:pt>
                <c:pt idx="8">
                  <c:v>43973</c:v>
                </c:pt>
                <c:pt idx="9">
                  <c:v>43980</c:v>
                </c:pt>
                <c:pt idx="10">
                  <c:v>43987</c:v>
                </c:pt>
                <c:pt idx="11">
                  <c:v>43994</c:v>
                </c:pt>
              </c:numCache>
            </c:numRef>
          </c:cat>
          <c:val>
            <c:numRef>
              <c:f>'By Week'!$C$4:$N$4</c:f>
              <c:numCache>
                <c:formatCode>General</c:formatCode>
                <c:ptCount val="12"/>
                <c:pt idx="0">
                  <c:v>31</c:v>
                </c:pt>
                <c:pt idx="1">
                  <c:v>21</c:v>
                </c:pt>
                <c:pt idx="2">
                  <c:v>59</c:v>
                </c:pt>
                <c:pt idx="3">
                  <c:v>64</c:v>
                </c:pt>
                <c:pt idx="4">
                  <c:v>74</c:v>
                </c:pt>
                <c:pt idx="5">
                  <c:v>64</c:v>
                </c:pt>
                <c:pt idx="6">
                  <c:v>75</c:v>
                </c:pt>
                <c:pt idx="7">
                  <c:v>101</c:v>
                </c:pt>
                <c:pt idx="8">
                  <c:v>82</c:v>
                </c:pt>
                <c:pt idx="9">
                  <c:v>104</c:v>
                </c:pt>
                <c:pt idx="10">
                  <c:v>83</c:v>
                </c:pt>
                <c:pt idx="11">
                  <c:v>110</c:v>
                </c:pt>
              </c:numCache>
            </c:numRef>
          </c:val>
          <c:smooth val="0"/>
          <c:extLst>
            <c:ext xmlns:c16="http://schemas.microsoft.com/office/drawing/2014/chart" uri="{C3380CC4-5D6E-409C-BE32-E72D297353CC}">
              <c16:uniqueId val="{00000000-DAB3-48C3-8BC9-752889E51E1C}"/>
            </c:ext>
          </c:extLst>
        </c:ser>
        <c:dLbls>
          <c:showLegendKey val="0"/>
          <c:showVal val="0"/>
          <c:showCatName val="0"/>
          <c:showSerName val="0"/>
          <c:showPercent val="0"/>
          <c:showBubbleSize val="0"/>
        </c:dLbls>
        <c:smooth val="0"/>
        <c:axId val="317391648"/>
        <c:axId val="317391976"/>
      </c:lineChart>
      <c:dateAx>
        <c:axId val="317391648"/>
        <c:scaling>
          <c:orientation val="minMax"/>
        </c:scaling>
        <c:delete val="0"/>
        <c:axPos val="b"/>
        <c:numFmt formatCode="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391976"/>
        <c:crosses val="autoZero"/>
        <c:auto val="1"/>
        <c:lblOffset val="100"/>
        <c:baseTimeUnit val="days"/>
      </c:dateAx>
      <c:valAx>
        <c:axId val="317391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39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[Friday Spreadsheet MAIN CSV for 16-10-20.xlsx]Graphs &amp; Charts!PivotTable1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4940959446456679E-2"/>
          <c:y val="4.745394125266128E-2"/>
          <c:w val="0.81694261434610527"/>
          <c:h val="0.88411069632653649"/>
        </c:manualLayout>
      </c:layout>
      <c:lineChart>
        <c:grouping val="standard"/>
        <c:varyColors val="0"/>
        <c:ser>
          <c:idx val="0"/>
          <c:order val="0"/>
          <c:tx>
            <c:strRef>
              <c:f>'Graphs &amp; Charts'!$C$91:$C$92</c:f>
              <c:strCache>
                <c:ptCount val="1"/>
                <c:pt idx="0">
                  <c:v>Anthony Draper</c:v>
                </c:pt>
              </c:strCache>
            </c:strRef>
          </c:tx>
          <c:spPr>
            <a:ln w="28575" cap="rnd">
              <a:solidFill>
                <a:schemeClr val="accent1"/>
              </a:solidFill>
              <a:round/>
            </a:ln>
            <a:effectLst/>
          </c:spPr>
          <c:marker>
            <c:symbol val="none"/>
          </c:marker>
          <c:cat>
            <c:strRef>
              <c:f>'Graphs &amp; Charts'!$B$93:$B$107</c:f>
              <c:strCache>
                <c:ptCount val="14"/>
                <c:pt idx="0">
                  <c:v>27-Mar</c:v>
                </c:pt>
                <c:pt idx="1">
                  <c:v>3-Apr</c:v>
                </c:pt>
                <c:pt idx="2">
                  <c:v>10-Apr</c:v>
                </c:pt>
                <c:pt idx="3">
                  <c:v>17-Apr</c:v>
                </c:pt>
                <c:pt idx="4">
                  <c:v>24-Apr</c:v>
                </c:pt>
                <c:pt idx="5">
                  <c:v>1-May</c:v>
                </c:pt>
                <c:pt idx="6">
                  <c:v>8-May</c:v>
                </c:pt>
                <c:pt idx="7">
                  <c:v>15-May</c:v>
                </c:pt>
                <c:pt idx="8">
                  <c:v>22-May</c:v>
                </c:pt>
                <c:pt idx="9">
                  <c:v>29-May</c:v>
                </c:pt>
                <c:pt idx="10">
                  <c:v>5-Jun</c:v>
                </c:pt>
                <c:pt idx="11">
                  <c:v>12-Jun</c:v>
                </c:pt>
                <c:pt idx="12">
                  <c:v>19-Jun</c:v>
                </c:pt>
                <c:pt idx="13">
                  <c:v>26-Jun</c:v>
                </c:pt>
              </c:strCache>
            </c:strRef>
          </c:cat>
          <c:val>
            <c:numRef>
              <c:f>'Graphs &amp; Charts'!$C$93:$C$107</c:f>
              <c:numCache>
                <c:formatCode>General</c:formatCode>
                <c:ptCount val="14"/>
                <c:pt idx="0">
                  <c:v>52.5</c:v>
                </c:pt>
                <c:pt idx="1">
                  <c:v>30.5</c:v>
                </c:pt>
                <c:pt idx="2">
                  <c:v>68</c:v>
                </c:pt>
                <c:pt idx="3">
                  <c:v>46</c:v>
                </c:pt>
                <c:pt idx="4">
                  <c:v>34</c:v>
                </c:pt>
                <c:pt idx="5">
                  <c:v>38</c:v>
                </c:pt>
                <c:pt idx="6">
                  <c:v>82.5</c:v>
                </c:pt>
                <c:pt idx="7">
                  <c:v>62</c:v>
                </c:pt>
                <c:pt idx="8">
                  <c:v>52.5</c:v>
                </c:pt>
                <c:pt idx="9">
                  <c:v>86</c:v>
                </c:pt>
                <c:pt idx="10">
                  <c:v>59.5</c:v>
                </c:pt>
                <c:pt idx="11">
                  <c:v>66</c:v>
                </c:pt>
                <c:pt idx="12">
                  <c:v>50.5</c:v>
                </c:pt>
                <c:pt idx="13">
                  <c:v>74</c:v>
                </c:pt>
              </c:numCache>
            </c:numRef>
          </c:val>
          <c:smooth val="0"/>
          <c:extLst>
            <c:ext xmlns:c16="http://schemas.microsoft.com/office/drawing/2014/chart" uri="{C3380CC4-5D6E-409C-BE32-E72D297353CC}">
              <c16:uniqueId val="{00000000-9DE9-7B49-BBED-2E7CF5726332}"/>
            </c:ext>
          </c:extLst>
        </c:ser>
        <c:ser>
          <c:idx val="1"/>
          <c:order val="1"/>
          <c:tx>
            <c:strRef>
              <c:f>'Graphs &amp; Charts'!$D$91:$D$92</c:f>
              <c:strCache>
                <c:ptCount val="1"/>
                <c:pt idx="0">
                  <c:v>Caroline Draper</c:v>
                </c:pt>
              </c:strCache>
            </c:strRef>
          </c:tx>
          <c:spPr>
            <a:ln w="28575" cap="rnd">
              <a:solidFill>
                <a:schemeClr val="accent2"/>
              </a:solidFill>
              <a:round/>
            </a:ln>
            <a:effectLst/>
          </c:spPr>
          <c:marker>
            <c:symbol val="none"/>
          </c:marker>
          <c:cat>
            <c:strRef>
              <c:f>'Graphs &amp; Charts'!$B$93:$B$107</c:f>
              <c:strCache>
                <c:ptCount val="14"/>
                <c:pt idx="0">
                  <c:v>27-Mar</c:v>
                </c:pt>
                <c:pt idx="1">
                  <c:v>3-Apr</c:v>
                </c:pt>
                <c:pt idx="2">
                  <c:v>10-Apr</c:v>
                </c:pt>
                <c:pt idx="3">
                  <c:v>17-Apr</c:v>
                </c:pt>
                <c:pt idx="4">
                  <c:v>24-Apr</c:v>
                </c:pt>
                <c:pt idx="5">
                  <c:v>1-May</c:v>
                </c:pt>
                <c:pt idx="6">
                  <c:v>8-May</c:v>
                </c:pt>
                <c:pt idx="7">
                  <c:v>15-May</c:v>
                </c:pt>
                <c:pt idx="8">
                  <c:v>22-May</c:v>
                </c:pt>
                <c:pt idx="9">
                  <c:v>29-May</c:v>
                </c:pt>
                <c:pt idx="10">
                  <c:v>5-Jun</c:v>
                </c:pt>
                <c:pt idx="11">
                  <c:v>12-Jun</c:v>
                </c:pt>
                <c:pt idx="12">
                  <c:v>19-Jun</c:v>
                </c:pt>
                <c:pt idx="13">
                  <c:v>26-Jun</c:v>
                </c:pt>
              </c:strCache>
            </c:strRef>
          </c:cat>
          <c:val>
            <c:numRef>
              <c:f>'Graphs &amp; Charts'!$D$93:$D$107</c:f>
              <c:numCache>
                <c:formatCode>General</c:formatCode>
                <c:ptCount val="14"/>
                <c:pt idx="2">
                  <c:v>32.5</c:v>
                </c:pt>
                <c:pt idx="3">
                  <c:v>38</c:v>
                </c:pt>
                <c:pt idx="4">
                  <c:v>40.5</c:v>
                </c:pt>
                <c:pt idx="5">
                  <c:v>28.5</c:v>
                </c:pt>
                <c:pt idx="6">
                  <c:v>51</c:v>
                </c:pt>
                <c:pt idx="7">
                  <c:v>35</c:v>
                </c:pt>
                <c:pt idx="8">
                  <c:v>35.5</c:v>
                </c:pt>
                <c:pt idx="9">
                  <c:v>40.5</c:v>
                </c:pt>
                <c:pt idx="10">
                  <c:v>40</c:v>
                </c:pt>
                <c:pt idx="11">
                  <c:v>43.5</c:v>
                </c:pt>
                <c:pt idx="12">
                  <c:v>32.5</c:v>
                </c:pt>
                <c:pt idx="13">
                  <c:v>44</c:v>
                </c:pt>
              </c:numCache>
            </c:numRef>
          </c:val>
          <c:smooth val="0"/>
          <c:extLst>
            <c:ext xmlns:c16="http://schemas.microsoft.com/office/drawing/2014/chart" uri="{C3380CC4-5D6E-409C-BE32-E72D297353CC}">
              <c16:uniqueId val="{00000001-9DE9-7B49-BBED-2E7CF5726332}"/>
            </c:ext>
          </c:extLst>
        </c:ser>
        <c:dLbls>
          <c:showLegendKey val="0"/>
          <c:showVal val="0"/>
          <c:showCatName val="0"/>
          <c:showSerName val="0"/>
          <c:showPercent val="0"/>
          <c:showBubbleSize val="0"/>
        </c:dLbls>
        <c:smooth val="0"/>
        <c:axId val="685664736"/>
        <c:axId val="739126320"/>
      </c:lineChart>
      <c:catAx>
        <c:axId val="68566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126320"/>
        <c:crosses val="autoZero"/>
        <c:auto val="1"/>
        <c:lblAlgn val="ctr"/>
        <c:lblOffset val="100"/>
        <c:noMultiLvlLbl val="0"/>
      </c:catAx>
      <c:valAx>
        <c:axId val="7391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6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Brewery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rPr>
            <a:t>Brewery</a:t>
          </a:r>
        </a:p>
      </cx:txPr>
    </cx:title>
    <cx:plotArea>
      <cx:plotAreaRegion>
        <cx:series layoutId="clusteredColumn" uniqueId="{99677C66-907C-4832-B596-5A980BC48DE7}">
          <cx:tx>
            <cx:txData>
              <cx:f>_xlchart.v1.1</cx:f>
              <cx:v/>
            </cx:txData>
          </cx:tx>
          <cx:dataId val="0"/>
          <cx:layoutPr>
            <cx:aggregation/>
          </cx:layoutPr>
          <cx:axisId val="1"/>
        </cx:series>
        <cx:series layoutId="paretoLine" ownerIdx="0" uniqueId="{98B491F2-68B8-4E7F-95CA-EBB7009874C5}">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7.xml"/><Relationship Id="rId5" Type="http://schemas.openxmlformats.org/officeDocument/2006/relationships/chart" Target="../charts/chart6.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482606</xdr:colOff>
      <xdr:row>35</xdr:row>
      <xdr:rowOff>114300</xdr:rowOff>
    </xdr:from>
    <xdr:to>
      <xdr:col>18</xdr:col>
      <xdr:colOff>490925</xdr:colOff>
      <xdr:row>63</xdr:row>
      <xdr:rowOff>50800</xdr:rowOff>
    </xdr:to>
    <xdr:graphicFrame macro="">
      <xdr:nvGraphicFramePr>
        <xdr:cNvPr id="3" name="Chart 2">
          <a:extLst>
            <a:ext uri="{FF2B5EF4-FFF2-40B4-BE49-F238E27FC236}">
              <a16:creationId xmlns:a16="http://schemas.microsoft.com/office/drawing/2014/main" id="{44C7D147-1114-E84F-8DE2-E34267984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481789</xdr:colOff>
      <xdr:row>16</xdr:row>
      <xdr:rowOff>148135</xdr:rowOff>
    </xdr:from>
    <xdr:to>
      <xdr:col>10</xdr:col>
      <xdr:colOff>851629</xdr:colOff>
      <xdr:row>52</xdr:row>
      <xdr:rowOff>80873</xdr:rowOff>
    </xdr:to>
    <xdr:graphicFrame macro="">
      <xdr:nvGraphicFramePr>
        <xdr:cNvPr id="2" name="Chart 1">
          <a:extLst>
            <a:ext uri="{FF2B5EF4-FFF2-40B4-BE49-F238E27FC236}">
              <a16:creationId xmlns:a16="http://schemas.microsoft.com/office/drawing/2014/main" id="{02B243B3-9013-BD43-95ED-B75063ED00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3</xdr:row>
      <xdr:rowOff>0</xdr:rowOff>
    </xdr:from>
    <xdr:to>
      <xdr:col>14</xdr:col>
      <xdr:colOff>457200</xdr:colOff>
      <xdr:row>18</xdr:row>
      <xdr:rowOff>28575</xdr:rowOff>
    </xdr:to>
    <xdr:graphicFrame macro="">
      <xdr:nvGraphicFramePr>
        <xdr:cNvPr id="8" name="Chart 7">
          <a:extLst>
            <a:ext uri="{FF2B5EF4-FFF2-40B4-BE49-F238E27FC236}">
              <a16:creationId xmlns:a16="http://schemas.microsoft.com/office/drawing/2014/main" id="{E669B8B7-7D0D-421F-ACD0-2CEDE9696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209550</xdr:colOff>
      <xdr:row>41</xdr:row>
      <xdr:rowOff>142875</xdr:rowOff>
    </xdr:from>
    <xdr:to>
      <xdr:col>6</xdr:col>
      <xdr:colOff>666750</xdr:colOff>
      <xdr:row>56</xdr:row>
      <xdr:rowOff>171450</xdr:rowOff>
    </xdr:to>
    <xdr:graphicFrame macro="">
      <xdr:nvGraphicFramePr>
        <xdr:cNvPr id="10" name="Chart 9">
          <a:extLst>
            <a:ext uri="{FF2B5EF4-FFF2-40B4-BE49-F238E27FC236}">
              <a16:creationId xmlns:a16="http://schemas.microsoft.com/office/drawing/2014/main" id="{C1B8AC7A-B0EB-4754-A3B0-CAF05949D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676275</xdr:colOff>
      <xdr:row>41</xdr:row>
      <xdr:rowOff>142875</xdr:rowOff>
    </xdr:from>
    <xdr:to>
      <xdr:col>14</xdr:col>
      <xdr:colOff>589818</xdr:colOff>
      <xdr:row>61</xdr:row>
      <xdr:rowOff>67774</xdr:rowOff>
    </xdr:to>
    <xdr:graphicFrame macro="">
      <xdr:nvGraphicFramePr>
        <xdr:cNvPr id="11" name="Chart 10">
          <a:extLst>
            <a:ext uri="{FF2B5EF4-FFF2-40B4-BE49-F238E27FC236}">
              <a16:creationId xmlns:a16="http://schemas.microsoft.com/office/drawing/2014/main" id="{ECFBAA85-22F3-4CDD-A817-3588A2567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20</xdr:row>
      <xdr:rowOff>0</xdr:rowOff>
    </xdr:from>
    <xdr:to>
      <xdr:col>17</xdr:col>
      <xdr:colOff>0</xdr:colOff>
      <xdr:row>41</xdr:row>
      <xdr:rowOff>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341E94D3-2BF0-419F-ABF0-4B93FFEA78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73100" y="3556000"/>
              <a:ext cx="18059400" cy="37338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238125</xdr:colOff>
      <xdr:row>2</xdr:row>
      <xdr:rowOff>142874</xdr:rowOff>
    </xdr:from>
    <xdr:to>
      <xdr:col>7</xdr:col>
      <xdr:colOff>485775</xdr:colOff>
      <xdr:row>18</xdr:row>
      <xdr:rowOff>114299</xdr:rowOff>
    </xdr:to>
    <xdr:graphicFrame macro="">
      <xdr:nvGraphicFramePr>
        <xdr:cNvPr id="13" name="Chart 12">
          <a:extLst>
            <a:ext uri="{FF2B5EF4-FFF2-40B4-BE49-F238E27FC236}">
              <a16:creationId xmlns:a16="http://schemas.microsoft.com/office/drawing/2014/main" id="{B93D2F5E-13CB-4B51-9110-DB355FE83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253999</xdr:colOff>
      <xdr:row>87</xdr:row>
      <xdr:rowOff>63208</xdr:rowOff>
    </xdr:from>
    <xdr:to>
      <xdr:col>14</xdr:col>
      <xdr:colOff>259817</xdr:colOff>
      <xdr:row>108</xdr:row>
      <xdr:rowOff>145419</xdr:rowOff>
    </xdr:to>
    <xdr:graphicFrame macro="">
      <xdr:nvGraphicFramePr>
        <xdr:cNvPr id="2" name="Chart 1">
          <a:extLst>
            <a:ext uri="{FF2B5EF4-FFF2-40B4-BE49-F238E27FC236}">
              <a16:creationId xmlns:a16="http://schemas.microsoft.com/office/drawing/2014/main" id="{C41CC5EF-339D-C142-A2C0-8D97C9C17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Friday%20Spreadsheet%20CSV.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s Savill" refreshedDate="44015.005709375" createdVersion="6" refreshedVersion="6" minRefreshableVersion="3" recordCount="1067" xr:uid="{E3A5D31C-35D0-A448-BD53-77EDB8DE3413}">
  <cacheSource type="worksheet">
    <worksheetSource ref="B2:K2981" sheet="Friday Spreadsheet CSV" r:id="rId2"/>
  </cacheSource>
  <cacheFields count="11">
    <cacheField name="Name" numFmtId="0">
      <sharedItems containsBlank="1" count="27">
        <s v="Stephanie Hewlett"/>
        <s v="Daniel Hewlett"/>
        <s v="Ross Savill"/>
        <s v="Anthony Draper"/>
        <s v="Shaun Munro"/>
        <s v="Jason Bowen"/>
        <s v="Ben Millier"/>
        <s v="Libby Millier"/>
        <s v="Dawn Jones"/>
        <s v="Caroline Draper"/>
        <s v="Steven Ireland"/>
        <s v="Alex Arbuckle"/>
        <s v="Joe Cuthbert"/>
        <s v="Lucy Englefield"/>
        <s v="Michael Smidman"/>
        <s v="Sean Carey"/>
        <s v="Lois Savill"/>
        <s v="Rossen Roussanov"/>
        <s v="Ed Saunders"/>
        <s v="Helen Miles"/>
        <s v="Antonia Amaning"/>
        <s v="George McLachlan"/>
        <s v="Catherine Allen"/>
        <s v="Nicholas Draper"/>
        <s v="Karol Blanco"/>
        <s v="Nia Harman"/>
        <m/>
      </sharedItems>
    </cacheField>
    <cacheField name="Date" numFmtId="166">
      <sharedItems containsNonDate="0" containsDate="1" containsString="0" containsBlank="1" minDate="2020-03-27T00:00:00" maxDate="2020-06-27T00:00:00" count="15">
        <d v="2020-03-27T00:00:00"/>
        <d v="2020-04-03T00:00:00"/>
        <d v="2020-04-10T00:00:00"/>
        <d v="2020-04-17T00:00:00"/>
        <d v="2020-04-24T00:00:00"/>
        <d v="2020-05-01T00:00:00"/>
        <d v="2020-05-08T00:00:00"/>
        <d v="2020-05-15T00:00:00"/>
        <d v="2020-05-22T00:00:00"/>
        <d v="2020-05-29T00:00:00"/>
        <d v="2020-06-05T00:00:00"/>
        <d v="2020-06-12T00:00:00"/>
        <d v="2020-06-19T00:00:00"/>
        <d v="2020-06-26T00:00:00"/>
        <m/>
      </sharedItems>
      <fieldGroup par="10" base="1">
        <rangePr groupBy="days" startDate="2020-03-27T00:00:00" endDate="2020-06-27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7/6/20"/>
        </groupItems>
      </fieldGroup>
    </cacheField>
    <cacheField name="Drink                        (Main component)" numFmtId="0">
      <sharedItems containsBlank="1" count="690">
        <s v="Sipsmiths"/>
        <s v="Suffolk Distillery Strawberry and Cucumber gin"/>
        <s v="Leffe Blond"/>
        <s v="Topaz Blue Gin"/>
        <s v="Anglesey Distillery Black Cherry Liquer"/>
        <s v="Tipsy Wight Pear Spiced Vodka"/>
        <s v="Glenn Morray Elgin Classic"/>
        <s v="Sibling Gin"/>
        <s v="Hendricks Gin"/>
        <s v="Koppaberg Mixed Fruit Gin"/>
        <s v="Kalkar Coffee Liquer"/>
        <s v="Black Mountain Apple &amp; Blackcurrant Brandy Liquer"/>
        <s v="Curio Gin"/>
        <s v="Tiny Rebel Clwb Tropicana Passion Fruit IPA"/>
        <s v="Tamova Premium Vodka"/>
        <s v="Apple Sourz"/>
        <s v="Bacardi White Rum"/>
        <s v="Barvaria lo-alcohol Beer"/>
        <s v="Disaronno Amaretto"/>
        <s v="Smirnoff Vodka"/>
        <s v="McGuigan Estate Chiraz"/>
        <s v="Carmenere Red Wine"/>
        <s v="Grand Marnier"/>
        <s v="Sierra Tequila"/>
        <s v="Galliano Vanilla Liquer"/>
        <s v="Angiolotti Cider"/>
        <s v="Sxollie Granny Smith Cider"/>
        <s v="Koppaberg Pear Cider"/>
        <s v="Rattler Cider"/>
        <s v="Thatcher's Rascal Cider"/>
        <s v="Thatcher's Katy"/>
        <s v="Radical Road Pale Ale"/>
        <s v="Gunga Gin"/>
        <s v="Monkey Shoulder Whiskey"/>
        <s v="Hills Absinth"/>
        <s v="Queen Margot Scotch Whiskey"/>
        <s v="Melini Chianti"/>
        <s v="Liqore Al Limone Limoncello"/>
        <s v="Soplica Jagodowa Blueberry Vodka"/>
        <s v="Arbelour 12yr Scotch Malt Whiskey"/>
        <s v="Zubrowka Bison Grass Vodka"/>
        <s v="Holsten Pills"/>
        <s v="Blue Curacao Orange Liquer"/>
        <s v="Bombay Sapphire Gin"/>
        <s v="Yeastie Boys Digital IPA"/>
        <s v="North Brewing Sputnik Pale Ale"/>
        <s v="Wild Beer co.. Bibble"/>
        <s v="Smirnoff Ice"/>
        <s v="Beavertown Lupuloid IPA"/>
        <s v="Gabriel Boudier Dijon Crème de Casis"/>
        <s v="Aigaion Oyzo"/>
        <s v="Nick's Cider"/>
        <s v="Sainsbury's Vodka"/>
        <s v="Himbere Raspberry Liqueur"/>
        <s v="Vecchia Romagna Brandy"/>
        <s v="Jack Daniels Fire Whiskey"/>
        <s v="Sunset Reef Coconut Rum"/>
        <s v="Jagermeister"/>
        <s v="Heinekken"/>
        <s v="Oscars Peach Schnappes"/>
        <s v="Loch Lomond Brewery Different Class Pale Ale"/>
        <s v="First Chop West Coast Session IPA"/>
        <s v="Wild Beer co.. I love Uzi"/>
        <s v="Waitrose Cream Sherry"/>
        <s v="Sainsbury's Apple Squash"/>
        <s v="Sortilege's Maple Syrup Liqueur"/>
        <s v="Sainsbury's Cherries and Berries Squash"/>
        <s v="Strongbow Rose cider"/>
        <s v="Wild Beer co.. Pogo Pale Ale"/>
        <s v="Beavertown Bloody L Blood Orange IPA"/>
        <s v="Tiny Rebel Shakedown Mango IPA"/>
        <s v="Big Boi Bowen's 2017 Vintage Sloe Gin"/>
        <s v="Brewdog Punk IPA"/>
        <s v="Dead Man's Finger Pineapple Spiced Rum"/>
        <s v="Siren Calypso dry hopped sour"/>
        <s v="Electric Bear Weeerd APA"/>
        <s v="Dead Man's Finger Spiced Rum"/>
        <s v="Four PureJuicebox Citrus IPA"/>
        <s v="Four Pure Deucebox double IPA"/>
        <s v="Siren Pompel mocello grapefruit sour IPA"/>
        <s v="Magic Rock Brewing Inhaler hoppy pale ale"/>
        <s v="Wax Sealed O'Reizinho Medeira Rum"/>
        <s v="Absolut Vanilla Vodka"/>
        <s v="Gordon's Gin"/>
        <s v="Barefoot Malbec"/>
        <s v="Dawn JonesStar Sauvignon Blanc"/>
        <s v="prospero grand selizon Prosecco"/>
        <s v="Hop Back Summer Lightning"/>
        <s v="Estrella"/>
        <s v="Old Sea Dog black spiced rum"/>
        <s v="Metaxa"/>
        <s v="Hortus Pommegranate and rose gin liqueur"/>
        <s v="tap water"/>
        <s v="Four Roses Bourbon"/>
        <s v="Avalanche Amber Ale"/>
        <s v="Budweiser"/>
        <s v="Four Pure Shapeshifter IPA"/>
        <s v="Koppaberg Rhubarb"/>
        <s v="Jack Daniels"/>
        <s v="Northern monk Jam Rollie Polie"/>
        <s v="Jack Daniel's"/>
        <s v="Tiny Rebel Stay Puft Coconut"/>
        <s v="Corona Extra"/>
        <s v="Brewdog Dead Pony Club"/>
        <s v="Lonewolf gin"/>
        <s v="rhubarb and ginger edinburgh gin"/>
        <s v="Northern monk Aunt Bessies Sunday Dinner"/>
        <s v="Old Mout Berries and cherries"/>
        <s v="Scalini Prosecco"/>
        <s v="Diebells"/>
        <s v="Brewdog Tsar Struck"/>
        <s v="Four Pure Basecamp pills"/>
        <s v="Desperados"/>
        <s v="Camden Off Menu IPA"/>
        <s v="Whitley Neal raspberry gin"/>
        <s v="North Brewing x Still water Kveik"/>
        <s v="Hotwood Gin"/>
        <s v="Shake baby Shake white run"/>
        <s v="Blue Moon"/>
        <s v="Water"/>
        <s v="Guinness Golden Ale"/>
        <s v="Captain Morgan's spiced rum"/>
        <s v="Brewdog Paradox Grain"/>
        <s v="Vilanova de gaya Ruby Port"/>
        <s v="Shake baby Shake vodka"/>
        <s v="Sxollie Golden Delicious Cider"/>
        <s v="St. Peter's Cream Stout"/>
        <s v="Bay Berry Wine"/>
        <s v="triple sec"/>
        <s v="Buxton Axe edge IPA"/>
        <s v="Two Tribes Metroland Session IPA"/>
        <s v="Chivas Regal 12 Year"/>
        <s v="Koppaberg Mixed fruit cider"/>
        <s v="Prost Pilsner"/>
        <s v="Whole Foods Sparkling Mineral Water"/>
        <s v="White Hag Farmhouse Saisson"/>
        <s v="Cointreau Blood Orange"/>
        <s v="Innis &amp; Gunn Drop it like its hot passion fruit IPA"/>
        <s v="Balans Madarin Aqua Spritz"/>
        <s v="Minuty rose"/>
        <s v="LB7 Lisboa red"/>
        <s v="Westerns Pear Cider"/>
        <s v="Beavertown Neck oil session IPA"/>
        <s v="Jameson's"/>
        <s v="Corte Molino Prosecco"/>
        <s v="Hogan's 2014 Vintage cider"/>
        <s v="Aspall's Cider"/>
        <s v="Portobello Brewing Tropical Crush Passion IPA"/>
        <s v="Tiny Rebel Holy Hand grenade IPA"/>
        <s v="Red Stripe"/>
        <s v="Crabbies Ginger Beer"/>
        <s v="Sierra Nevada IPA"/>
        <s v="Guinness Foreign Extra"/>
        <s v="J.J. Whitley Watermelon &amp; Lime Vodka"/>
        <s v="Dunkerton Premium Reserve"/>
        <s v="Northern Monk Doomsday Disco"/>
        <s v="Brewed by numbers No.5 IPA"/>
        <s v="Asda White Rum"/>
        <s v="Lemon Gin"/>
        <s v="Cornish Gold"/>
        <s v="Gin"/>
        <s v="Bombadier"/>
        <s v="Blue Shack Beers Radio Wave Session IPA"/>
        <s v="AsdaPassion fruit &amp; Pineapple Cider"/>
        <s v="Aspall's Imperial Cyder"/>
        <s v="Cuervo Tequila"/>
        <s v="Tiny Rebel Cali Pale"/>
        <s v="Four Pure Session IPA"/>
        <s v="Calvours Session IPA"/>
        <s v="Hogan's Golden Medium Cider"/>
        <s v="Pedigree"/>
        <s v="Poertabllo Brewing West Way Pale"/>
        <s v="Hackney &amp; Mr B Banchee"/>
        <s v="Mount Gay Black Barrel"/>
        <s v="Hogan's Keeved Cider"/>
        <s v="Hot Wood Gin"/>
        <s v="chateau saint miguel reisling"/>
        <s v="Bulmer's Cider"/>
        <s v="Hogan's Vintage Perry"/>
        <s v="Ringwood Razor Back"/>
        <s v="Tequilla"/>
        <s v="Lervig tasty juice IPA"/>
        <s v="Drygate Brewing Disco Forklift truck Mango Pale ale"/>
        <s v="Four Pure Peach Sour"/>
        <s v="red leg spiced rum"/>
        <s v="vibrant forest Pupa juicy pale ale"/>
        <s v="Belgian Mountain Time"/>
        <s v="GWYNT Y DDRAIG Welsh Scrumpy"/>
        <s v="Hot Milk"/>
        <s v="HobGoblin"/>
        <s v="duration turtle's all the way down"/>
        <s v="Coors Light"/>
        <s v="Kirk &amp; Sweeney Dominican 12 year"/>
        <s v="Malibu Rum"/>
        <s v="Somerset Traditional Cider"/>
        <s v="Modelo Cerveza"/>
        <s v="Garden Brewery Imperial Stout Toffee and Hazelnut"/>
        <s v="Magic Rock Brewery Highwire"/>
        <s v="Whitley Neal Blood Orange Gin"/>
        <s v="Sxollie Pink Apple"/>
        <s v="Northern Monk Tidal"/>
        <s v="Little Creatures Pale Ale"/>
        <s v="Brewdog Clockwork Tangerine"/>
        <s v="Dunkerton Dry Organic"/>
        <s v="Magic Rock Brewery Dark Arts Hazelnut Stout"/>
        <s v="Northern Monk Eternal Session IPA"/>
        <s v="Northern Monk Raspberry Passion FruitIPA 1007"/>
        <s v="Old Tom Strong Ale"/>
        <s v="White Wine"/>
        <s v="Absolut Vaniila Vodka"/>
        <s v="The Pogues Single Malt Irish Whiskey"/>
        <s v="Suffolk Blonde"/>
        <s v="Dunkerton Craft"/>
        <s v="Northern Monk Gluten Free IPA"/>
        <s v="Taylor's Port"/>
        <s v="Northern Monk Shower Head IPA"/>
        <s v="Trbute Ale"/>
        <s v="Toad Vodka"/>
        <s v="Aspal'ls Imperial Cyder"/>
        <s v="Eden Mill"/>
        <s v="Wild Wood Organic Cider"/>
        <s v="Jura - The Sound"/>
        <s v="Northern Monk Sofa Arms"/>
        <s v="Old Peculiar"/>
        <s v="Mad Goose"/>
        <s v="Colossal Gold"/>
        <s v="Henry Westons Cider"/>
        <s v="Plymouth Gin"/>
        <s v="Koppaberg Rose"/>
        <s v="Craine Pommegranate &amp; Raspberry"/>
        <s v="Shipyard Pale Ale"/>
        <s v="Southern Comfort"/>
        <s v="Aardmore Legend"/>
        <s v="Northern Monk Tuck inn Imperial Stout"/>
        <s v="Cranes Cider"/>
        <s v="Northern Monk Travellers Rest Bedroom"/>
        <s v="Somerset Matured Vintage Cider"/>
        <s v="Bells Whisky"/>
        <s v="Gem Amber Bath Ale"/>
        <s v="Asda Biere de Luxe"/>
        <s v="Four Pure Rift Valley Micro Pale Ale"/>
        <s v="Veuve Clicquot Champagne"/>
        <s v="Hawks Head dry stoned Stout"/>
        <s v="Koppaberg Sweet Apple"/>
        <s v="Brewdog coco Psycho"/>
        <s v="ABC Juice Springsteen Tropical IPA"/>
        <s v="Northen Monk Doomsday Disco"/>
        <s v="Goose Island IPA"/>
        <s v="Black Isle Brewery Spider Monkey"/>
        <s v="Camden Helles"/>
        <s v="ABC Tangerine Sour"/>
        <s v="Brew York Juice Forsyth"/>
        <s v="Black Isle Brewery Red Kite"/>
        <s v="Fallen Angel Black Spiced Rum"/>
        <s v="ABC Juice Lee Dragonfruit &amp; Lychee IPA"/>
        <s v="Ringwood Brewery forty niner"/>
        <s v="Black Isle Brewery Blonde"/>
        <s v="Orijin Herbal Gin"/>
        <s v="Verdant Brewing Headband"/>
        <s v="City Lights Keller Helles"/>
        <s v="Glen Moray Whiskey"/>
        <s v="Black Isle Brewery Gold Finch"/>
        <s v="Savanna Dry"/>
        <s v="Tesco Value Vodka"/>
        <s v="Pernod"/>
        <s v="Raspberry Vodka"/>
        <s v="Oban 14yr"/>
        <s v="Blue Topaz"/>
        <s v="Angels Peach Schnapps"/>
        <s v="Chambord"/>
        <s v="Black Isle Brewery 21 Pale Ale"/>
        <s v="Howling Hops Fruity Bastard Passion Fruit Gose"/>
        <s v="Three Barrels"/>
        <s v="Gordon's Sicilian Lemon Gin"/>
        <s v="Sainsbury's White Rum"/>
        <s v="Duvel"/>
        <s v="Adeleto Prosecco"/>
        <s v="ABC Hook, Lime and Sinker Lime &amp; Chilli Gose"/>
        <s v="Hooch Lemon"/>
        <s v="Williams Bro Brewing Company Chokka Blokka Mocha Stout"/>
        <s v="Moor Beer Co Revival"/>
        <s v="Anspach &amp; Hobday The Pale Ale"/>
        <s v="Asda Xtra Special Rhubarb and Ginger Gin Liqueur"/>
        <s v="Gordon's Scicillian Lemon"/>
        <s v="Brooklyn Lager"/>
        <s v="Frontal Stratification DIPA"/>
        <s v="Black Sheep Ale"/>
        <s v="North Brewing Triple Fruited Gose"/>
        <s v="Monument Valley Tangerine Pale"/>
        <s v="Koppaberg Cherry"/>
        <s v="Sainsbury's English Vintage Cider"/>
        <s v="HobGoblin Ruby"/>
        <s v="Bad Co West Coast Pale Ale"/>
        <s v="JJ Whitley Artisanal Vodka"/>
        <s v="Christmas Spirit Gin Liqueur"/>
        <s v="Sailor Jerry's Rum"/>
        <s v="Malfy Gin Rosa"/>
        <s v="Spitfire"/>
        <s v="Gordon's Sicillian Lemon"/>
        <s v="Northern Monk Heathern IPA"/>
        <s v="Four Pure Easy Peeler Citrus Session IPA"/>
        <s v="Moor Beer Co Return of the Empire"/>
        <s v="Scicillian Lemon Gordon's"/>
        <s v="Aspall's Draft Cyder"/>
        <s v="Northen Monk Great Northern Lager"/>
        <s v="Squawk Muta DIPA"/>
        <s v="Espresso Martini"/>
        <s v="Wilde Child Brewing Opaque Reality"/>
        <s v="Bad Co American IPA"/>
        <s v="Koppaberg Raspberry"/>
        <s v="Cameron's Brewery Surf Bohemian Lager"/>
        <s v="Dunkerton Black Fox Organic Cider"/>
        <s v="Maison Rouge Claret Bourdeaux"/>
        <s v="Sipsmith Gin"/>
        <s v="Brewdog Elvis Juice"/>
        <s v="Four Pure Jet Lager"/>
        <s v="Kraken Rum"/>
        <s v="Martini Bianco"/>
        <s v="Signature Grants 12 Yr"/>
        <s v="Glenfiiddich 12 yr Cherry Cask"/>
        <s v="Sheep Dip Malted Scotch Whiskry"/>
        <s v="Romanetti Vermouth"/>
        <s v="Golden Wainrights"/>
        <s v="Otter Ale"/>
        <s v="Thatcher's Gold"/>
        <s v="Brewdog Hazy Jane"/>
        <s v="Sainsbury's Taste The Difference Kentish Ale"/>
        <s v="Robinsons Apple and Blackcurrant"/>
        <s v="Thatcher's Rattler"/>
        <s v="Henneys Dry"/>
        <s v="Kahlua"/>
        <s v="ABC Charlie Don't Surf"/>
        <s v="Old Mout Lime &amp; Kiwi"/>
        <s v="Northern Monk Striding Edge Light IPA"/>
        <s v="Williams Bro Brewing Company Otis Blood Orange IPA"/>
        <s v="Vodka"/>
        <s v="Glenkinchie 12 yr"/>
        <s v="Four Pure Hemisphere Session IPA"/>
        <s v="Hilden Brewing Company Czech Please"/>
        <s v="Northern Monk Rapscallion Orange Zest IPA"/>
        <s v="Tyskie"/>
        <s v="Brewdog Duopolis Oat Cream DDH IPA"/>
        <s v="Home Bargain Cherry Sourz"/>
        <s v="Hogan's Peaty Dry Cider"/>
        <s v="Willam Bro Brewing Company Elderflower and Lime Pale Ale"/>
        <s v="Glenmorangie Original"/>
        <s v="Hilden Brewing Company King Midas"/>
        <s v="Pipeline Brewing All Eyes On You IPA"/>
        <s v="Tia Maria"/>
        <s v="Opihr"/>
        <s v="Stolichnaya Vodka"/>
        <s v="Rainbow Iced Sourz"/>
        <s v="Home Bargain Strawberry Cream"/>
        <s v="Sherbett Gin Raspberry"/>
        <s v="Ron Jeremy Hardcore Rum"/>
        <s v="Magic Rock Brewing Make Alphonso Great Again Mango IPA"/>
        <s v="Fuller's Bengal Lancer"/>
        <s v="Dudda's Tun"/>
        <s v="Glenfiddich 12 yr Cherry Cask"/>
        <s v="Asda Extra Special Rhubarb Gin"/>
        <s v="Vasilikon White Wine"/>
        <s v="Wiper And True Kaleidoscop Pale Ale"/>
        <s v="SALT Overtone Going out West IPA"/>
        <s v="Thornbridge Florida Weisse Hazy Raspberry"/>
        <s v="Craftwork Inception West Coast IPA"/>
        <s v="Tempest Brewing Void Vision Mango Chilli Gose"/>
        <s v="Crate Brewery Lager"/>
        <s v="Hilden Brewing Golden Gate"/>
        <s v="Magic Rock Brewing High Wire"/>
        <s v="Brew York Goose Willis"/>
        <s v="ABC A to K American Pale Ale"/>
        <s v="Ghost Dance Chinook Pale Ale"/>
        <s v="Atlas Brewing Nimbus Blonde"/>
        <s v="Brew York Katy Berry"/>
        <s v="Vanilla Vodka"/>
        <s v="Vivir Tequilla"/>
        <s v="Hilden Brewery Foxtale"/>
        <s v="Beardo IPA"/>
        <s v="Rockstar Pineapple Grenade Rum"/>
        <s v="Atlas Brewing Latitude Pale Ale"/>
        <s v="SALT Hex Lager"/>
        <s v="SALT Calico Session Pale Ale"/>
        <s v="Crate Brewery Pale"/>
        <s v="Grapevine Merlot"/>
        <s v="Funkin Rum"/>
        <s v="Kentish Pip Braeburn Apple and Cherry Cider"/>
        <s v="Beer 52 Take up space Raspberry and Vanilla spring stout"/>
        <s v="Urbanaut Blood Orange Kveik IPA"/>
        <s v="Urbanaut mosaic mango sour"/>
        <s v="Urbanaut Beer Blender Mosaic Mango Sour and Blood Orange Kveik IPA"/>
        <s v="Electric Bear Drifting American Pale Ale"/>
        <s v="Amundsen Dessert in a can - Rocky Road"/>
        <s v="Time Keeper Red"/>
        <s v="City of London Distillery Rhubarb and Rum Gin"/>
        <s v="Kentish Pip Katy Apple and Rhubarb Cide"/>
        <s v="Gwynt Y Ddraig Celtic Warrior"/>
        <s v="Amundsen Lorita Passion Fruit Pale"/>
        <s v="The Kernal IPA Citra"/>
        <s v="Whitstable Bay Organic Ale"/>
        <s v="Fleur de prairie rose"/>
        <s v="Rooster's Brewing Roots Rock Reggae"/>
        <s v="Sanford Orchard Elderflower Farmhouse Cider"/>
        <s v="Tsingtao Lager"/>
        <s v="Moor Beer Co Union Hop"/>
        <s v="Peroni"/>
        <s v="Pheasant Gully Chiraz"/>
        <s v="Edinburgh Gin Elderflower Liqueur"/>
        <s v="Dead Man's Finger Spice Rum"/>
        <s v="Pineapple Grenade"/>
        <s v="Home Bargain Blueberry"/>
        <s v="Sainsbury's Limoncello"/>
        <s v="Amundsen Apocalyptic Thunder Juice"/>
        <s v="Brew York Rhubarbara Streisand"/>
        <s v="Magic Rock Goosebery Gose"/>
        <s v="Radeberger Pilsner"/>
        <s v="Campari"/>
        <s v="Leffe Lagre"/>
        <s v="Weird Beard Brewery Reformatory DDH Hazy Pale"/>
        <s v="Old Mout Pineapple &amp; Raspberry"/>
        <s v="Koppaberg Gin"/>
        <s v="Bacardi"/>
        <s v="Koppaberg Mixed Fruits"/>
        <s v="Smirnoff Apple Vodka"/>
        <s v="Hooper's Alcoholic Dandelion and Burdock"/>
        <s v="St. Peter's Pale Ale"/>
        <s v="Moor Beer Co Hoppyness"/>
        <s v="Drygate brewery Disco Forklift Truck Mango Pale Ale"/>
        <s v="Sanford Orchard Farmhouse Cider"/>
        <s v="Cargo Cult Spiced Rum"/>
        <s v="Smirnoff Rasberry Vodka"/>
        <s v="Lervig Passion Tang Sour Ale"/>
        <s v="Gipsy Hill Hep Cat"/>
        <s v="Wilde Child Rite of Passage Hoppy Fourth Birthday"/>
        <s v="Bella Veroni Amaretto"/>
        <s v="Bellucci Amaretto"/>
        <s v="iHeart Pinot Grigio"/>
        <s v="Gallo Family Spritz"/>
        <s v="Sunrise Fortified Apple Wine"/>
        <s v="Sainsbury's Czech Lager"/>
        <s v="Moor Beer Co. Raw"/>
        <s v="Atom Framework APA"/>
        <s v="St. Peter's Lukas Helles Lager"/>
        <s v="Brewing Company Rivet Red American Red Ale"/>
        <s v="Harvieston Brewery Old Engine Oil"/>
        <s v="Arctic Sky Cold IPA"/>
        <s v="Sainsbury's Pale Dry Fino Sherry"/>
        <s v="Dow's Port"/>
        <s v="Glenlivet"/>
        <s v="Gipsy Hill Bandit Gluten Free Pale Ale"/>
        <s v="Coop Crisp &amp; Dry Classic Apple Cider"/>
        <s v="Amundsen Endless Feedback No coast IPA"/>
        <s v="Wimbledon Pale New World Pale Ale"/>
        <s v="Williams Bro Caesar Augustus Lager IPA"/>
        <s v="Rekorderlig Pear with Peach and Basil"/>
        <s v="Koppaberg Mixed Fruit Light"/>
        <s v="Absolut Mixt Blueberry &amp; Lime"/>
        <s v="Kahlua Espresso Martini"/>
        <s v="Amundsen Dessert in a can - Raspberry Salted Caramel Cheesecake"/>
        <s v="Vocation Life &amp; Death IPA"/>
        <s v="Amstel"/>
        <s v="Funkin Espresso Martini"/>
        <s v="Magic Rock Radiant Fog Lychee Session IPA"/>
        <s v="Drygate Chimera IPA"/>
        <s v="Amundsen Pimp Dust Blueberry Muffin Pastry Sour"/>
        <s v="Northern Monk OFS001 Mango &amp; Cacao Sour"/>
        <s v="Blue Raspberry Dragon Soop"/>
        <s v="Tequila Rose"/>
        <s v="Marks &amp; Spencer Dark Rum"/>
        <s v="Hardy's Rose"/>
        <s v="Greenalls Wild Berry Gin"/>
        <s v="Sidekick Cola"/>
        <s v="Earth Station DDH Sabro Pale"/>
        <s v="Oakham Citra"/>
        <s v="Robinson's Brewery Triple Hop IPA"/>
        <s v="Northern Monk Faith Hazy Pale Ale"/>
        <s v="Lervig Spiked Seltzer Grapefruit"/>
        <s v="Koppaberg Strawbery &amp; Lime"/>
        <s v="First Chop Win Vienna Lager"/>
        <s v="Flare Cocktails Mojito"/>
        <s v="That Boutique-y Gin Company Yuzu Gin Collins"/>
        <s v="People Like us Tea Party Cream Ale"/>
        <s v="Bad Co Flavourly The Shy Retirer Micro Pale"/>
        <s v="Harvieston Brewery Old Engine Oil Engineer's reserve"/>
        <s v="Four Pure Monument Valley"/>
        <s v="Franziskaner Weissbier"/>
        <s v="Trim Tab Brewing Peach Rings Sour"/>
        <s v="Drygate Seven Peaks"/>
        <s v="Marks &amp; Spencer Cider"/>
        <s v="Pimms"/>
        <s v="Brlo Happy Pills"/>
        <s v="Black Isle Brewery Porter"/>
        <s v="Beavertown Nanobot IPA"/>
        <s v="Tequila Rose Pink Russian"/>
        <s v="Sidekick Strawberry &amp; cream"/>
        <s v="Sainsbury Tonic Water"/>
        <s v="Bucks Fizz"/>
        <s v="Samuel Joe's Bourbon"/>
        <s v="Blue WKD"/>
        <s v="Passoa"/>
        <s v="Sheppy Cider Farm Somerset Dabinett Apple Cider"/>
        <s v="Belhaven Black Scotish Stout"/>
        <s v="Four Pure Ridge Line Pale Ale"/>
        <s v="Amundsen Everyday Hero New World IPA"/>
        <s v="Mortimer's Orchard English Berry Cider"/>
        <s v="Old Mout Kiwi &amp; Lime"/>
        <s v="Wimbledon Gold English Craft Lager"/>
        <s v="Cranes Bluberries and Apples"/>
        <s v="By The Horns Squeezer Juicy IPA"/>
        <s v="Frangelico"/>
        <s v="Funkin Amaretto Sour"/>
        <s v="BrewDog Evil Twin Roaster Coaster Coffee Stout"/>
        <s v="Thornbridge North Brewing North Bridge Mountain IPA"/>
        <s v="Courage Best Bitter"/>
        <s v="By The Horns Drifter Transatlantic Pale Ale"/>
        <s v="Four pure Ridgeline Pale Ale"/>
        <s v="Wild Card Brewery Pale Ale"/>
        <s v="Kirk Stall Brewery Providence New England Pale"/>
        <s v="Space craft Beer Storm Trooper Pale Ale"/>
        <s v="Brewdog Barnard Castle eye test"/>
        <s v="Pistonhead Kustom Lager"/>
        <s v="Hog's Back Hog star"/>
        <s v="Wild Beer co.. Millionaire Salted caramel stout"/>
        <s v="adroit brewery future you hates you Russian Imperial Stout"/>
        <s v="Shake Baby Shake Tropical Daquiri"/>
        <s v="Ozeki Sake Dry"/>
        <s v="Italian Plaza Centro Prosecco"/>
        <s v="Sangster's Rum and Raisin Cream"/>
        <s v="Cool Shot Blue Lemon"/>
        <s v="Cool Shot Tropical"/>
        <s v="Nice Sauvignon Blanc"/>
        <s v="Lervig Raspberry &amp; Lime Spiked Seltzer"/>
        <s v="Brewing Company 71 Lager"/>
        <s v="Brewdog Pale Ale"/>
        <s v="Bulmer's Orchard Pioneer Cider"/>
        <s v="Hog's Back RIP Snorter"/>
        <s v="Captain Morgan's Mohito"/>
        <s v="Pistonhead Flat Tire Lager"/>
        <s v="Hoegarden"/>
        <s v="Cosecha El Meson Tequila"/>
        <s v="Vocation Pride &amp; Joy"/>
        <s v="By The Horns Citrus Paradisi Grapefruit Session IPA"/>
        <s v="Singha"/>
        <s v="Whitstable Bay Pale Ale"/>
        <s v="Hog's Back OTT"/>
        <s v="By The Horns Lambeth Walk Porter"/>
        <s v="That Boutique-y Gin Company Cherry Gin Cola"/>
        <s v="JP Chenet Merlot"/>
        <s v="Wild Beer co. Bibble"/>
        <s v="Asda Gin Bramble"/>
        <s v="Archer's Peach Schnapps"/>
        <s v="Saint Germont Vodka"/>
        <s v="Firebox Unicorn Tears Gin"/>
        <s v="Cool Shot Berry Burst"/>
        <s v="Bloom London Dry Gin"/>
        <s v="Woodford Reserve"/>
        <s v="Adnam's New England IPA"/>
        <s v="Tiger"/>
        <s v="Gun Brewery Scaramanga Extra Pale"/>
        <s v="Wild Beer co.. Quantic"/>
        <s v="Mortimer's Orchard English Apple Cider"/>
        <s v="Thatcher's Haze"/>
        <s v="Pistonhead Full Amber"/>
        <s v="Club Colombia"/>
        <s v="By The Horns Hopadelic Session IPA"/>
        <s v="Flare Cocktails On the Beach"/>
        <s v="Cool Shots Apple"/>
        <s v="Cool Shots Tropical"/>
        <s v="Bevog Haze out of space Hazy IPA"/>
        <s v="Adnam's Crystal Rye IPA"/>
        <s v="By The Horns Cosmic Warrior Pale Ale"/>
        <s v="Pohjala Orange Gose"/>
        <s v="Woodgate Apple &amp; Elderflower"/>
        <s v="By The Horns Heatwave British Pale Ale"/>
        <s v="Beavertown Gamma Ray American Pale Ale"/>
        <s v="Strongbow Cloudy Apple"/>
        <s v="Budvar"/>
        <s v="Oh Schnapp Peach and Berries"/>
        <s v="Disarono Amaretto"/>
        <s v="Black Iris Brewery Endless Summer Session IPA"/>
        <s v="Asda Woo Woo"/>
        <s v="Shake Baby Shake Passion Fruit Martini"/>
        <s v="Buxton King Slayer Double IPA"/>
        <s v="North Brewing Pinata Mango + Guava Pale Ale"/>
        <s v="Gordon's Pink Gin"/>
        <s v="Stella Cidre Raspberry"/>
        <s v="Twisted Cider Sunset"/>
        <s v="That Boutique-y Gin Mule"/>
        <s v="Siren Yu Lu Session Pale Ale"/>
        <s v="Volt City Apricot Mosaic Sour"/>
        <s v="The Lakes Rhubarb &amp; Rosehip Gin Liquer"/>
        <s v="Tanquerray Gin"/>
        <s v="Wild Beer Co. Fresh Extra Pale"/>
        <s v="White Hag Hopstravaganza Hazy IPA"/>
        <s v="Rekorderlig Strawberry &amp; Lime"/>
        <s v="Vina Almo Sauvignon Blanc"/>
        <s v="Northen Monk Tropical World Smoothie IPA"/>
        <s v="Twisted Cider No.5 Slightly Sparkling"/>
        <s v="Wild Beer Co. I love Yuzu"/>
        <s v="Pilsner Urquell"/>
        <s v="WKD Dark Fruit"/>
        <s v="Strawberry Sidekick"/>
        <s v="Bailey's"/>
        <s v="Cola Sidekick"/>
        <s v="GoldenSpiced Brewery Spiced Rum"/>
        <s v="Cockburn's Fine Tawny"/>
        <s v="WKD Cheeky V"/>
        <s v="Pipeworks Brewing Infinite City IPA"/>
        <s v="Cotes de Rhone Villages Red"/>
        <s v="Brother's Marshmallow"/>
        <s v="Jason's Vanila Vodka"/>
        <s v="Buxton Lupulous X IPA"/>
        <s v="Wild Beer Co. Sleeping Limes"/>
        <s v="Volt City Yuzu Galaxy"/>
        <s v="Shake Baby Shake Raspberry Mojito"/>
        <s v="Sipsmiths Lemon Drizzle Gin"/>
        <s v="Wild Beer Co. Comet"/>
        <s v="Wild Card India Pale Ale"/>
        <s v="Dead Man's Pineapple Rum"/>
        <s v="Brother's Toffee Apple"/>
        <s v="Famous Grouse"/>
        <s v="Garden Brewery Micro NEIPA"/>
        <s v="Wild Beer Co. Nebula"/>
        <s v="Bordeaux Rose"/>
        <s v="WKD Pink Gin"/>
        <s v="Bullet Borbon"/>
        <s v="Wild Beer Co. Pogo"/>
        <s v="Northern Monk It's Great Up North Pale Ale"/>
        <s v="It's A Rum Ting"/>
        <s v="Magner's Pear"/>
        <s v="Siren Lumina Session IPA"/>
        <s v="Wild Beer Co. Eagle Hunter"/>
        <s v="Twisted Cider Bubblegum Burst"/>
        <s v="Four Pure Juicebox Citrus IPA"/>
        <s v="Lilley's Gladiator"/>
        <s v="Greenells Pink Gin"/>
        <s v="Adnam's Mosaic Pale Ale"/>
        <s v="Taurus Pear Cider"/>
        <s v="Magic Rock Highwire West Coast Pale Ale"/>
        <s v="Andrew Peace Chiraz "/>
        <s v="Calvet Rose"/>
        <s v="Lilley's Mango"/>
        <s v="Saint-Chinian Red"/>
        <s v="Doombar"/>
        <s v="Lilley's Rhubarb"/>
        <s v="Angioletti Cider"/>
        <s v="SALT Jute Session IPA"/>
        <s v="Lilley's Fire Dancer"/>
        <s v="Limoncello"/>
        <s v="Mobbley Big Idea Otameal Stout"/>
        <s v="Nikka Whiskey"/>
        <s v="Sainsbury's 3 Year Brandy"/>
        <s v="Big Pezzer Rhubarb Gin"/>
        <s v="Cococariba Rum"/>
        <s v="Captain Morgan's Dark Rum"/>
        <s v="Tanquerray Sevilla"/>
        <s v="Cool Shots Blue Lemon"/>
        <s v="Shockz Strawberry &amp; Cream"/>
        <s v="Freixenet"/>
        <s v="Vino Spumante Prosecco"/>
        <s v="Canti Prosecco"/>
        <s v="Bortolomiol Prosecco"/>
        <s v="Italia Prosecco Spumante"/>
        <s v="Super Bock"/>
        <s v="Four Pure Geyser Session IPA"/>
        <s v="Asda extra Special Passion Fruit &amp; Pineapple Cider"/>
        <s v="Siren Soundwave IPA"/>
        <s v="Two Swallows Cherry &amp; Salted Caramel Rum"/>
        <s v="White Claw Hard Seltzer Black Cherry"/>
        <s v="Volt City Mandarina Mandarin"/>
        <s v="Perry's Cidermills Barn Owl"/>
        <s v="Café Patron Tequila"/>
        <s v="Edinburgh Gin"/>
        <s v="Edinburgh Gin Plum &amp; Vanilla"/>
        <s v="Khalua"/>
        <s v="By The Horns Spark Dust"/>
        <s v="Brewdog O-G Hazy"/>
        <s v="Garden Brewery Flat Whtie Coffee Porter"/>
        <s v="Duvel "/>
        <s v="Scrumpy Jack"/>
        <s v="It’s a Rum Ting"/>
        <s v="Nice Rose"/>
        <s v="Kernel Mosaic  IPA"/>
        <s v="Williams Bro Rubus Grapefruit IPA"/>
        <s v="Wild Card Pale Ale"/>
        <s v="Hog's Back TEA"/>
        <s v="By The Horns Old Smoke English Bitter"/>
        <s v="To Oi House of Pale"/>
        <s v="Siren Broken Dreams Breakfast Stout"/>
        <s v="Lilley's Strawberry Cider"/>
        <m/>
      </sharedItems>
    </cacheField>
    <cacheField name="Drink Type" numFmtId="0">
      <sharedItems containsBlank="1" count="13">
        <s v="Gin"/>
        <s v="Beer"/>
        <s v="Liqueur"/>
        <s v="Vodka"/>
        <s v="Whiskey"/>
        <s v="Brandy"/>
        <s v="Other"/>
        <s v="Rum"/>
        <s v="Wine"/>
        <s v="Cider"/>
        <s v="Fortified wine"/>
        <s v="Soft Drink"/>
        <m/>
      </sharedItems>
    </cacheField>
    <cacheField name="Mixer 1" numFmtId="0">
      <sharedItems containsBlank="1"/>
    </cacheField>
    <cacheField name="Mixer 2" numFmtId="0">
      <sharedItems containsBlank="1"/>
    </cacheField>
    <cacheField name="Garnish" numFmtId="0">
      <sharedItems containsBlank="1"/>
    </cacheField>
    <cacheField name="Rating word 1" numFmtId="0">
      <sharedItems containsBlank="1"/>
    </cacheField>
    <cacheField name="Rating word 2" numFmtId="0">
      <sharedItems containsBlank="1"/>
    </cacheField>
    <cacheField name="score" numFmtId="165">
      <sharedItems containsString="0" containsBlank="1" containsNumber="1" minValue="0" maxValue="10" count="22">
        <n v="8"/>
        <n v="9"/>
        <n v="7"/>
        <n v="6"/>
        <n v="5.5"/>
        <n v="3"/>
        <n v="3.5"/>
        <n v="7.5"/>
        <n v="8.5"/>
        <n v="9.5"/>
        <n v="5"/>
        <n v="4"/>
        <n v="6.5"/>
        <n v="2"/>
        <n v="1.5"/>
        <n v="4.5"/>
        <n v="0.5"/>
        <n v="10"/>
        <n v="1"/>
        <n v="2.5"/>
        <n v="0"/>
        <m/>
      </sharedItems>
    </cacheField>
    <cacheField name="Months" numFmtId="0" databaseField="0">
      <fieldGroup base="1">
        <rangePr groupBy="months" startDate="2020-03-27T00:00:00" endDate="2020-06-27T00:00:00"/>
        <groupItems count="14">
          <s v="&lt;27/3/20"/>
          <s v="Jan"/>
          <s v="Feb"/>
          <s v="Mar"/>
          <s v="Apr"/>
          <s v="May"/>
          <s v="Jun"/>
          <s v="Jul"/>
          <s v="Aug"/>
          <s v="Sep"/>
          <s v="Oct"/>
          <s v="Nov"/>
          <s v="Dec"/>
          <s v="&gt;27/6/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7">
  <r>
    <x v="0"/>
    <x v="0"/>
    <x v="0"/>
    <x v="0"/>
    <s v="Fever Tree Mediteranian"/>
    <s v=""/>
    <s v="Lime"/>
    <s v="Fresh"/>
    <s v="Fruity"/>
    <x v="0"/>
  </r>
  <r>
    <x v="0"/>
    <x v="0"/>
    <x v="1"/>
    <x v="0"/>
    <s v="Fever Tree Mediteranian"/>
    <s v=""/>
    <s v=""/>
    <s v="Sweet"/>
    <s v="Scenty"/>
    <x v="1"/>
  </r>
  <r>
    <x v="1"/>
    <x v="0"/>
    <x v="2"/>
    <x v="1"/>
    <s v=""/>
    <s v=""/>
    <s v=""/>
    <s v="Honey"/>
    <s v="Chewy"/>
    <x v="2"/>
  </r>
  <r>
    <x v="1"/>
    <x v="0"/>
    <x v="3"/>
    <x v="0"/>
    <s v="Tonic"/>
    <s v=""/>
    <s v=""/>
    <s v="Punchy"/>
    <s v="Bitter"/>
    <x v="3"/>
  </r>
  <r>
    <x v="1"/>
    <x v="0"/>
    <x v="4"/>
    <x v="2"/>
    <s v="Diet Coke"/>
    <s v=""/>
    <s v=""/>
    <s v="Cookies"/>
    <s v="Vanilla"/>
    <x v="4"/>
  </r>
  <r>
    <x v="1"/>
    <x v="0"/>
    <x v="5"/>
    <x v="3"/>
    <s v=""/>
    <s v=""/>
    <s v=""/>
    <s v="Fucking"/>
    <s v="Awful"/>
    <x v="5"/>
  </r>
  <r>
    <x v="1"/>
    <x v="0"/>
    <x v="6"/>
    <x v="4"/>
    <s v=""/>
    <s v=""/>
    <s v=""/>
    <s v="Smooth"/>
    <s v="Sweet"/>
    <x v="0"/>
  </r>
  <r>
    <x v="1"/>
    <x v="0"/>
    <x v="7"/>
    <x v="0"/>
    <s v="Schweppes Streamline Tonic"/>
    <s v=""/>
    <s v=""/>
    <s v="Clean"/>
    <s v="Crisp"/>
    <x v="0"/>
  </r>
  <r>
    <x v="1"/>
    <x v="0"/>
    <x v="8"/>
    <x v="0"/>
    <s v="Schweppes Streamline Tonic"/>
    <s v=""/>
    <s v=""/>
    <s v="Dissapointing"/>
    <s v="Boring"/>
    <x v="4"/>
  </r>
  <r>
    <x v="1"/>
    <x v="0"/>
    <x v="9"/>
    <x v="0"/>
    <s v="Schweppes Streamline Tonic"/>
    <s v=""/>
    <s v=""/>
    <s v="Sweet"/>
    <s v="Passive"/>
    <x v="6"/>
  </r>
  <r>
    <x v="1"/>
    <x v="0"/>
    <x v="10"/>
    <x v="2"/>
    <s v=""/>
    <s v=""/>
    <s v=""/>
    <s v="Aggressive"/>
    <s v="Lively"/>
    <x v="7"/>
  </r>
  <r>
    <x v="1"/>
    <x v="0"/>
    <x v="11"/>
    <x v="5"/>
    <s v=""/>
    <s v=""/>
    <s v=""/>
    <s v="Fruity"/>
    <s v="Exciting"/>
    <x v="0"/>
  </r>
  <r>
    <x v="1"/>
    <x v="0"/>
    <x v="12"/>
    <x v="0"/>
    <s v="Tesco lo-cal tonic"/>
    <s v=""/>
    <s v=""/>
    <s v="Powerful"/>
    <s v="Playful"/>
    <x v="8"/>
  </r>
  <r>
    <x v="1"/>
    <x v="1"/>
    <x v="13"/>
    <x v="1"/>
    <s v=""/>
    <s v=""/>
    <s v=""/>
    <s v="Clean"/>
    <s v="Bitterlyful"/>
    <x v="9"/>
  </r>
  <r>
    <x v="1"/>
    <x v="1"/>
    <x v="14"/>
    <x v="3"/>
    <s v="Diet Coke"/>
    <s v=""/>
    <s v=""/>
    <s v="Bland"/>
    <s v="Cool"/>
    <x v="10"/>
  </r>
  <r>
    <x v="1"/>
    <x v="1"/>
    <x v="15"/>
    <x v="6"/>
    <s v="Lemon &amp; Lime Soda"/>
    <s v=""/>
    <s v=""/>
    <s v="Feisty"/>
    <s v="Sweetier"/>
    <x v="3"/>
  </r>
  <r>
    <x v="1"/>
    <x v="1"/>
    <x v="16"/>
    <x v="7"/>
    <s v="Diet Coke"/>
    <s v=""/>
    <s v=""/>
    <s v="Unnerving"/>
    <s v="Sickly"/>
    <x v="11"/>
  </r>
  <r>
    <x v="1"/>
    <x v="2"/>
    <x v="17"/>
    <x v="1"/>
    <s v=""/>
    <s v=""/>
    <s v=""/>
    <s v="Artificial"/>
    <s v="Honey"/>
    <x v="5"/>
  </r>
  <r>
    <x v="1"/>
    <x v="2"/>
    <x v="18"/>
    <x v="6"/>
    <s v="Lemon &amp; Lime Soda"/>
    <s v=""/>
    <s v=""/>
    <s v="Almondy"/>
    <s v="Sweet"/>
    <x v="12"/>
  </r>
  <r>
    <x v="1"/>
    <x v="2"/>
    <x v="19"/>
    <x v="3"/>
    <s v="Orange Juice"/>
    <s v=""/>
    <s v=""/>
    <s v="Sharp"/>
    <s v="Moreish"/>
    <x v="0"/>
  </r>
  <r>
    <x v="1"/>
    <x v="2"/>
    <x v="20"/>
    <x v="8"/>
    <s v=""/>
    <s v=""/>
    <s v=""/>
    <s v="Deep"/>
    <s v="Provocative"/>
    <x v="0"/>
  </r>
  <r>
    <x v="1"/>
    <x v="2"/>
    <x v="13"/>
    <x v="1"/>
    <s v="Smirnoff Vodka"/>
    <s v=""/>
    <s v=""/>
    <s v="Violent"/>
    <s v="Upsetting"/>
    <x v="13"/>
  </r>
  <r>
    <x v="1"/>
    <x v="2"/>
    <x v="13"/>
    <x v="1"/>
    <s v="Kalkar Coffee Liquer"/>
    <s v=""/>
    <s v=""/>
    <s v="Sparkly"/>
    <s v="Dissapointing"/>
    <x v="6"/>
  </r>
  <r>
    <x v="1"/>
    <x v="2"/>
    <x v="10"/>
    <x v="2"/>
    <s v="Aero Hot Chocolate"/>
    <s v=""/>
    <s v=""/>
    <s v="Velvetty"/>
    <s v="Arcadian"/>
    <x v="8"/>
  </r>
  <r>
    <x v="1"/>
    <x v="2"/>
    <x v="6"/>
    <x v="4"/>
    <s v="Kalkar Coffee Liquer"/>
    <s v="Aero Hot Chocolate"/>
    <s v=""/>
    <s v="Boarish"/>
    <s v="Sclerotic"/>
    <x v="2"/>
  </r>
  <r>
    <x v="2"/>
    <x v="0"/>
    <x v="21"/>
    <x v="8"/>
    <s v=""/>
    <s v=""/>
    <s v=""/>
    <s v="Bold"/>
    <s v="Fruity"/>
    <x v="0"/>
  </r>
  <r>
    <x v="2"/>
    <x v="0"/>
    <x v="18"/>
    <x v="6"/>
    <s v=""/>
    <s v=""/>
    <s v=""/>
    <s v="Sweet"/>
    <s v="Heavenly"/>
    <x v="1"/>
  </r>
  <r>
    <x v="2"/>
    <x v="0"/>
    <x v="22"/>
    <x v="2"/>
    <s v=""/>
    <s v=""/>
    <s v=""/>
    <s v="Spicy"/>
    <s v="Caramel"/>
    <x v="2"/>
  </r>
  <r>
    <x v="2"/>
    <x v="0"/>
    <x v="23"/>
    <x v="6"/>
    <s v=""/>
    <s v=""/>
    <s v=""/>
    <s v="Bitter"/>
    <s v="Shit"/>
    <x v="14"/>
  </r>
  <r>
    <x v="2"/>
    <x v="0"/>
    <x v="24"/>
    <x v="2"/>
    <s v=""/>
    <s v=""/>
    <s v=""/>
    <s v="Fragrant"/>
    <s v="Rish"/>
    <x v="0"/>
  </r>
  <r>
    <x v="2"/>
    <x v="2"/>
    <x v="25"/>
    <x v="9"/>
    <s v=""/>
    <s v=""/>
    <s v=""/>
    <s v="Champagney"/>
    <s v="Breezy"/>
    <x v="2"/>
  </r>
  <r>
    <x v="2"/>
    <x v="2"/>
    <x v="26"/>
    <x v="9"/>
    <s v=""/>
    <s v=""/>
    <s v=""/>
    <s v="Tinny"/>
    <s v="Raw"/>
    <x v="12"/>
  </r>
  <r>
    <x v="2"/>
    <x v="2"/>
    <x v="27"/>
    <x v="9"/>
    <s v=""/>
    <s v=""/>
    <s v=""/>
    <s v="Juicy"/>
    <s v="Festive"/>
    <x v="1"/>
  </r>
  <r>
    <x v="2"/>
    <x v="2"/>
    <x v="28"/>
    <x v="9"/>
    <s v=""/>
    <s v=""/>
    <s v=""/>
    <s v="Tangy"/>
    <s v="Piquant"/>
    <x v="12"/>
  </r>
  <r>
    <x v="2"/>
    <x v="2"/>
    <x v="29"/>
    <x v="9"/>
    <s v=""/>
    <s v=""/>
    <s v=""/>
    <s v="Bold"/>
    <s v="Swashbuckling"/>
    <x v="3"/>
  </r>
  <r>
    <x v="2"/>
    <x v="2"/>
    <x v="30"/>
    <x v="9"/>
    <s v=""/>
    <s v=""/>
    <s v=""/>
    <s v="Dissapointing"/>
    <s v="Plod"/>
    <x v="4"/>
  </r>
  <r>
    <x v="3"/>
    <x v="0"/>
    <x v="31"/>
    <x v="1"/>
    <s v=""/>
    <s v=""/>
    <s v=""/>
    <s v="Basic"/>
    <s v="Enjoyable"/>
    <x v="2"/>
  </r>
  <r>
    <x v="3"/>
    <x v="0"/>
    <x v="32"/>
    <x v="0"/>
    <s v="Sainsbury's Tonic"/>
    <s v=""/>
    <s v=""/>
    <s v="Tart"/>
    <s v="Aromatic"/>
    <x v="0"/>
  </r>
  <r>
    <x v="3"/>
    <x v="0"/>
    <x v="33"/>
    <x v="4"/>
    <s v=""/>
    <s v=""/>
    <s v=""/>
    <s v="Mild"/>
    <s v="Breathy"/>
    <x v="2"/>
  </r>
  <r>
    <x v="3"/>
    <x v="0"/>
    <x v="34"/>
    <x v="6"/>
    <s v=""/>
    <s v=""/>
    <s v=""/>
    <s v="Strong"/>
    <s v="Surprising"/>
    <x v="2"/>
  </r>
  <r>
    <x v="3"/>
    <x v="0"/>
    <x v="35"/>
    <x v="4"/>
    <s v=""/>
    <s v=""/>
    <s v=""/>
    <s v="Unpleasant"/>
    <s v="Lingering"/>
    <x v="13"/>
  </r>
  <r>
    <x v="3"/>
    <x v="0"/>
    <x v="36"/>
    <x v="8"/>
    <s v=""/>
    <s v=""/>
    <s v=""/>
    <s v="Well-rounded"/>
    <s v="Dark"/>
    <x v="2"/>
  </r>
  <r>
    <x v="3"/>
    <x v="0"/>
    <x v="37"/>
    <x v="2"/>
    <s v=""/>
    <s v=""/>
    <s v=""/>
    <s v="Sweet"/>
    <s v="Delightful"/>
    <x v="8"/>
  </r>
  <r>
    <x v="3"/>
    <x v="0"/>
    <x v="38"/>
    <x v="3"/>
    <s v=""/>
    <s v=""/>
    <s v=""/>
    <s v="Sweet"/>
    <s v="Clawing"/>
    <x v="3"/>
  </r>
  <r>
    <x v="3"/>
    <x v="1"/>
    <x v="39"/>
    <x v="4"/>
    <s v=""/>
    <s v=""/>
    <s v=""/>
    <s v="Easy"/>
    <s v="Malty"/>
    <x v="7"/>
  </r>
  <r>
    <x v="3"/>
    <x v="1"/>
    <x v="40"/>
    <x v="3"/>
    <s v=""/>
    <s v=""/>
    <s v=""/>
    <s v="Herbal"/>
    <s v="Refreshing"/>
    <x v="2"/>
  </r>
  <r>
    <x v="3"/>
    <x v="1"/>
    <x v="41"/>
    <x v="1"/>
    <s v=""/>
    <s v=""/>
    <s v=""/>
    <s v="Reliable"/>
    <s v="Boring"/>
    <x v="4"/>
  </r>
  <r>
    <x v="3"/>
    <x v="1"/>
    <x v="42"/>
    <x v="2"/>
    <s v=""/>
    <s v=""/>
    <s v=""/>
    <s v="Sweet"/>
    <s v="Sickly"/>
    <x v="11"/>
  </r>
  <r>
    <x v="3"/>
    <x v="1"/>
    <x v="43"/>
    <x v="0"/>
    <s v="Sainsbury's Tonic"/>
    <s v=""/>
    <s v=""/>
    <s v="Tangy"/>
    <s v="Dull"/>
    <x v="12"/>
  </r>
  <r>
    <x v="3"/>
    <x v="2"/>
    <x v="44"/>
    <x v="1"/>
    <s v=""/>
    <s v=""/>
    <s v=""/>
    <s v="Lingering"/>
    <s v="Average"/>
    <x v="3"/>
  </r>
  <r>
    <x v="3"/>
    <x v="2"/>
    <x v="45"/>
    <x v="1"/>
    <s v=""/>
    <s v=""/>
    <s v=""/>
    <s v="Mild"/>
    <s v="Airy"/>
    <x v="7"/>
  </r>
  <r>
    <x v="3"/>
    <x v="2"/>
    <x v="46"/>
    <x v="1"/>
    <s v=""/>
    <s v=""/>
    <s v=""/>
    <s v="Basic"/>
    <s v="Generic"/>
    <x v="3"/>
  </r>
  <r>
    <x v="3"/>
    <x v="2"/>
    <x v="47"/>
    <x v="3"/>
    <s v="Apple Sourz"/>
    <s v=""/>
    <s v=""/>
    <s v="Sweet"/>
    <s v="Delicious"/>
    <x v="1"/>
  </r>
  <r>
    <x v="3"/>
    <x v="2"/>
    <x v="48"/>
    <x v="1"/>
    <s v=""/>
    <s v=""/>
    <s v=""/>
    <s v="Gentle"/>
    <s v="Nice"/>
    <x v="7"/>
  </r>
  <r>
    <x v="3"/>
    <x v="2"/>
    <x v="49"/>
    <x v="2"/>
    <s v="Diet Coke"/>
    <s v=""/>
    <s v=""/>
    <s v="Berrylike"/>
    <s v="Vibrant"/>
    <x v="0"/>
  </r>
  <r>
    <x v="3"/>
    <x v="2"/>
    <x v="50"/>
    <x v="6"/>
    <s v=""/>
    <s v=""/>
    <s v=""/>
    <s v="Bracing"/>
    <s v="Full"/>
    <x v="6"/>
  </r>
  <r>
    <x v="3"/>
    <x v="2"/>
    <x v="51"/>
    <x v="9"/>
    <s v=""/>
    <s v=""/>
    <s v=""/>
    <s v="Surprising"/>
    <s v="Decent"/>
    <x v="12"/>
  </r>
  <r>
    <x v="3"/>
    <x v="2"/>
    <x v="52"/>
    <x v="3"/>
    <s v="Diet Coke"/>
    <s v=""/>
    <s v=""/>
    <s v="Subpar"/>
    <s v="Ok"/>
    <x v="15"/>
  </r>
  <r>
    <x v="3"/>
    <x v="2"/>
    <x v="53"/>
    <x v="2"/>
    <s v="Diet Coke"/>
    <s v=""/>
    <s v=""/>
    <s v="Sweet"/>
    <s v="Uninspiring"/>
    <x v="11"/>
  </r>
  <r>
    <x v="3"/>
    <x v="2"/>
    <x v="54"/>
    <x v="5"/>
    <s v="Diet Coke"/>
    <s v=""/>
    <s v=""/>
    <s v="Bland"/>
    <s v="Drinkable"/>
    <x v="4"/>
  </r>
  <r>
    <x v="4"/>
    <x v="0"/>
    <x v="55"/>
    <x v="4"/>
    <s v="Cherry Coke"/>
    <s v=""/>
    <s v=""/>
    <s v="Pungeant"/>
    <s v="Oaky"/>
    <x v="2"/>
  </r>
  <r>
    <x v="4"/>
    <x v="0"/>
    <x v="56"/>
    <x v="7"/>
    <s v="Cherry Coke"/>
    <s v=""/>
    <s v=""/>
    <s v="Nutty"/>
    <s v="Rank"/>
    <x v="5"/>
  </r>
  <r>
    <x v="4"/>
    <x v="0"/>
    <x v="57"/>
    <x v="6"/>
    <s v="Cherry Coke"/>
    <s v=""/>
    <s v=""/>
    <s v="Crisp"/>
    <s v="Fruity"/>
    <x v="3"/>
  </r>
  <r>
    <x v="4"/>
    <x v="1"/>
    <x v="58"/>
    <x v="1"/>
    <s v=""/>
    <s v=""/>
    <s v=""/>
    <s v="Drinkable"/>
    <s v="Disgust"/>
    <x v="11"/>
  </r>
  <r>
    <x v="4"/>
    <x v="1"/>
    <x v="59"/>
    <x v="6"/>
    <s v=""/>
    <s v=""/>
    <s v=""/>
    <s v="Disgusting"/>
    <s v="Dog-shit"/>
    <x v="13"/>
  </r>
  <r>
    <x v="4"/>
    <x v="2"/>
    <x v="60"/>
    <x v="1"/>
    <s v=""/>
    <s v=""/>
    <s v=""/>
    <s v="Bitter"/>
    <s v="Mangoey"/>
    <x v="3"/>
  </r>
  <r>
    <x v="4"/>
    <x v="2"/>
    <x v="61"/>
    <x v="1"/>
    <s v=""/>
    <s v=""/>
    <s v=""/>
    <s v="Piney"/>
    <s v="Revivifying"/>
    <x v="7"/>
  </r>
  <r>
    <x v="4"/>
    <x v="2"/>
    <x v="62"/>
    <x v="1"/>
    <s v=""/>
    <s v=""/>
    <s v=""/>
    <s v="Zesty"/>
    <s v="Aromatic"/>
    <x v="0"/>
  </r>
  <r>
    <x v="4"/>
    <x v="2"/>
    <x v="55"/>
    <x v="4"/>
    <s v="Pepsi Max"/>
    <s v=""/>
    <s v=""/>
    <s v="Spicy"/>
    <s v="Sacarin"/>
    <x v="2"/>
  </r>
  <r>
    <x v="4"/>
    <x v="2"/>
    <x v="63"/>
    <x v="10"/>
    <s v=""/>
    <s v=""/>
    <s v=""/>
    <s v="Odious"/>
    <s v="Repelent"/>
    <x v="6"/>
  </r>
  <r>
    <x v="5"/>
    <x v="0"/>
    <x v="64"/>
    <x v="11"/>
    <s v=""/>
    <s v=""/>
    <s v=""/>
    <s v="Appley"/>
    <s v="Dry"/>
    <x v="0"/>
  </r>
  <r>
    <x v="5"/>
    <x v="0"/>
    <x v="65"/>
    <x v="2"/>
    <s v=""/>
    <s v=""/>
    <s v=""/>
    <s v="Sweet"/>
    <s v="Salty"/>
    <x v="9"/>
  </r>
  <r>
    <x v="5"/>
    <x v="1"/>
    <x v="66"/>
    <x v="11"/>
    <s v=""/>
    <s v=""/>
    <s v=""/>
    <s v="Cherryie"/>
    <s v="Berryie"/>
    <x v="0"/>
  </r>
  <r>
    <x v="5"/>
    <x v="2"/>
    <x v="67"/>
    <x v="9"/>
    <s v=""/>
    <s v=""/>
    <s v=""/>
    <s v="Mediocre"/>
    <s v="Predictable"/>
    <x v="11"/>
  </r>
  <r>
    <x v="5"/>
    <x v="2"/>
    <x v="68"/>
    <x v="1"/>
    <s v=""/>
    <s v=""/>
    <s v=""/>
    <s v="Bitter"/>
    <s v="Undrinkable"/>
    <x v="13"/>
  </r>
  <r>
    <x v="5"/>
    <x v="2"/>
    <x v="69"/>
    <x v="1"/>
    <s v=""/>
    <s v=""/>
    <s v=""/>
    <s v="Accrid"/>
    <s v="Pleasant"/>
    <x v="10"/>
  </r>
  <r>
    <x v="5"/>
    <x v="2"/>
    <x v="70"/>
    <x v="1"/>
    <s v=""/>
    <s v=""/>
    <s v=""/>
    <s v="Fruity"/>
    <s v="Bitter"/>
    <x v="12"/>
  </r>
  <r>
    <x v="5"/>
    <x v="2"/>
    <x v="71"/>
    <x v="0"/>
    <s v=""/>
    <s v=""/>
    <s v=""/>
    <s v="Fruity"/>
    <s v="Almondy"/>
    <x v="0"/>
  </r>
  <r>
    <x v="6"/>
    <x v="1"/>
    <x v="72"/>
    <x v="1"/>
    <s v=""/>
    <s v=""/>
    <s v=""/>
    <s v="Familiar"/>
    <s v="Lovely"/>
    <x v="3"/>
  </r>
  <r>
    <x v="6"/>
    <x v="1"/>
    <x v="73"/>
    <x v="7"/>
    <s v=""/>
    <s v=""/>
    <s v=""/>
    <s v="Tropical"/>
    <s v="Smooth"/>
    <x v="8"/>
  </r>
  <r>
    <x v="6"/>
    <x v="1"/>
    <x v="74"/>
    <x v="1"/>
    <s v=""/>
    <s v=""/>
    <s v=""/>
    <s v="Dry"/>
    <s v="Sour"/>
    <x v="2"/>
  </r>
  <r>
    <x v="6"/>
    <x v="1"/>
    <x v="75"/>
    <x v="1"/>
    <s v=""/>
    <s v=""/>
    <s v=""/>
    <s v="Optimistic"/>
    <s v="Dissapointing"/>
    <x v="3"/>
  </r>
  <r>
    <x v="6"/>
    <x v="1"/>
    <x v="76"/>
    <x v="7"/>
    <s v="Diet Coke"/>
    <s v=""/>
    <s v=""/>
    <s v="Mmmmm"/>
    <s v="Delicious"/>
    <x v="8"/>
  </r>
  <r>
    <x v="6"/>
    <x v="2"/>
    <x v="77"/>
    <x v="1"/>
    <s v=""/>
    <s v=""/>
    <s v=""/>
    <s v="Orangey"/>
    <s v="Satisfying"/>
    <x v="2"/>
  </r>
  <r>
    <x v="6"/>
    <x v="2"/>
    <x v="78"/>
    <x v="1"/>
    <s v=""/>
    <s v=""/>
    <s v=""/>
    <s v="Strong"/>
    <s v="Deucy"/>
    <x v="1"/>
  </r>
  <r>
    <x v="6"/>
    <x v="2"/>
    <x v="79"/>
    <x v="1"/>
    <s v=""/>
    <s v=""/>
    <s v=""/>
    <s v="Invigorating"/>
    <s v="Puckering"/>
    <x v="7"/>
  </r>
  <r>
    <x v="6"/>
    <x v="2"/>
    <x v="80"/>
    <x v="1"/>
    <s v=""/>
    <s v=""/>
    <s v=""/>
    <s v="Hoppy"/>
    <s v="Astringent"/>
    <x v="0"/>
  </r>
  <r>
    <x v="6"/>
    <x v="2"/>
    <x v="81"/>
    <x v="7"/>
    <s v=""/>
    <s v=""/>
    <s v=""/>
    <s v="Progressive"/>
    <s v="Unforgiving"/>
    <x v="10"/>
  </r>
  <r>
    <x v="6"/>
    <x v="2"/>
    <x v="82"/>
    <x v="3"/>
    <s v="lemonade"/>
    <s v=""/>
    <s v=""/>
    <s v="Unplanned"/>
    <s v="Accidental"/>
    <x v="13"/>
  </r>
  <r>
    <x v="6"/>
    <x v="2"/>
    <x v="76"/>
    <x v="7"/>
    <s v="lemonade"/>
    <s v=""/>
    <s v=""/>
    <s v="Lacking"/>
    <s v="Suboptimal"/>
    <x v="12"/>
  </r>
  <r>
    <x v="6"/>
    <x v="2"/>
    <x v="73"/>
    <x v="7"/>
    <s v="lemonade"/>
    <s v=""/>
    <s v=""/>
    <s v="Pineapply"/>
    <s v="Extra"/>
    <x v="2"/>
  </r>
  <r>
    <x v="7"/>
    <x v="1"/>
    <x v="83"/>
    <x v="0"/>
    <s v="lemonade"/>
    <s v=""/>
    <s v="orange slice"/>
    <s v="Fruity"/>
    <s v="Flavourful"/>
    <x v="1"/>
  </r>
  <r>
    <x v="7"/>
    <x v="1"/>
    <x v="73"/>
    <x v="7"/>
    <s v=""/>
    <s v=""/>
    <s v=""/>
    <s v="Fucking"/>
    <s v="Fantastic"/>
    <x v="7"/>
  </r>
  <r>
    <x v="7"/>
    <x v="2"/>
    <x v="79"/>
    <x v="1"/>
    <s v=""/>
    <s v=""/>
    <s v=""/>
    <s v="Sour"/>
    <s v="Nightmare"/>
    <x v="5"/>
  </r>
  <r>
    <x v="8"/>
    <x v="1"/>
    <x v="84"/>
    <x v="8"/>
    <s v=""/>
    <s v=""/>
    <s v=""/>
    <s v="Dry"/>
    <s v="Tasty"/>
    <x v="2"/>
  </r>
  <r>
    <x v="8"/>
    <x v="1"/>
    <x v="57"/>
    <x v="6"/>
    <s v=""/>
    <s v=""/>
    <s v=""/>
    <s v="Strong"/>
    <s v="Liquorice"/>
    <x v="1"/>
  </r>
  <r>
    <x v="8"/>
    <x v="2"/>
    <x v="85"/>
    <x v="8"/>
    <s v=""/>
    <s v=""/>
    <s v=""/>
    <s v="Crisp"/>
    <s v="Tart"/>
    <x v="2"/>
  </r>
  <r>
    <x v="8"/>
    <x v="2"/>
    <x v="86"/>
    <x v="8"/>
    <s v=""/>
    <s v=""/>
    <s v=""/>
    <s v="Acid"/>
    <s v="Accrid"/>
    <x v="15"/>
  </r>
  <r>
    <x v="8"/>
    <x v="2"/>
    <x v="63"/>
    <x v="10"/>
    <s v=""/>
    <s v=""/>
    <s v=""/>
    <s v="Potent"/>
    <s v="Unpredictable"/>
    <x v="11"/>
  </r>
  <r>
    <x v="9"/>
    <x v="2"/>
    <x v="87"/>
    <x v="1"/>
    <s v=""/>
    <s v=""/>
    <s v=""/>
    <s v="Metallic"/>
    <s v="Bready"/>
    <x v="10"/>
  </r>
  <r>
    <x v="9"/>
    <x v="2"/>
    <x v="88"/>
    <x v="1"/>
    <s v=""/>
    <s v=""/>
    <s v=""/>
    <s v="Aromatic"/>
    <s v="Poncey"/>
    <x v="4"/>
  </r>
  <r>
    <x v="9"/>
    <x v="2"/>
    <x v="89"/>
    <x v="7"/>
    <s v="Diet Coke"/>
    <s v=""/>
    <s v=""/>
    <s v="Nostalgic"/>
    <s v="Cloying"/>
    <x v="4"/>
  </r>
  <r>
    <x v="9"/>
    <x v="2"/>
    <x v="83"/>
    <x v="0"/>
    <s v="slim line tonic"/>
    <s v=""/>
    <s v=""/>
    <s v="Delicate"/>
    <s v="Reliable"/>
    <x v="2"/>
  </r>
  <r>
    <x v="9"/>
    <x v="2"/>
    <x v="90"/>
    <x v="6"/>
    <s v=""/>
    <s v=""/>
    <s v=""/>
    <s v="Upsetting"/>
    <s v="Odious"/>
    <x v="14"/>
  </r>
  <r>
    <x v="9"/>
    <x v="2"/>
    <x v="91"/>
    <x v="0"/>
    <s v="lemon tonic"/>
    <s v=""/>
    <s v=""/>
    <s v="Bright"/>
    <s v="Delectable"/>
    <x v="0"/>
  </r>
  <r>
    <x v="10"/>
    <x v="2"/>
    <x v="87"/>
    <x v="1"/>
    <s v=""/>
    <s v=""/>
    <s v=""/>
    <s v="Standard"/>
    <s v="Beer"/>
    <x v="3"/>
  </r>
  <r>
    <x v="10"/>
    <x v="2"/>
    <x v="90"/>
    <x v="6"/>
    <s v=""/>
    <s v=""/>
    <s v=""/>
    <s v="Upsetting"/>
    <s v="Aggressive"/>
    <x v="11"/>
  </r>
  <r>
    <x v="10"/>
    <x v="2"/>
    <x v="90"/>
    <x v="6"/>
    <s v="Diet Coke"/>
    <s v=""/>
    <s v=""/>
    <s v="Decieving"/>
    <s v="Rounded"/>
    <x v="10"/>
  </r>
  <r>
    <x v="11"/>
    <x v="2"/>
    <x v="92"/>
    <x v="11"/>
    <s v=""/>
    <s v=""/>
    <s v=""/>
    <s v="Tepid"/>
    <s v="Clear"/>
    <x v="2"/>
  </r>
  <r>
    <x v="11"/>
    <x v="2"/>
    <x v="93"/>
    <x v="4"/>
    <s v=""/>
    <s v=""/>
    <s v=""/>
    <s v="Soothing"/>
    <s v="Placid"/>
    <x v="12"/>
  </r>
  <r>
    <x v="11"/>
    <x v="2"/>
    <x v="94"/>
    <x v="1"/>
    <s v=""/>
    <s v=""/>
    <s v=""/>
    <s v="Gratifying"/>
    <s v="Effervescent"/>
    <x v="7"/>
  </r>
  <r>
    <x v="3"/>
    <x v="3"/>
    <x v="95"/>
    <x v="1"/>
    <s v=""/>
    <s v=""/>
    <s v=""/>
    <s v="Boring"/>
    <s v="Starter"/>
    <x v="10"/>
  </r>
  <r>
    <x v="6"/>
    <x v="3"/>
    <x v="96"/>
    <x v="1"/>
    <s v=""/>
    <s v=""/>
    <s v=""/>
    <s v="Hoptastic"/>
    <s v="Aromatic"/>
    <x v="2"/>
  </r>
  <r>
    <x v="2"/>
    <x v="3"/>
    <x v="97"/>
    <x v="9"/>
    <s v=""/>
    <s v=""/>
    <s v=""/>
    <s v="Tart"/>
    <s v="Orphic"/>
    <x v="0"/>
  </r>
  <r>
    <x v="1"/>
    <x v="3"/>
    <x v="98"/>
    <x v="4"/>
    <s v="Coke"/>
    <s v=""/>
    <s v=""/>
    <s v="Greatful"/>
    <s v="Herbal"/>
    <x v="2"/>
  </r>
  <r>
    <x v="5"/>
    <x v="3"/>
    <x v="99"/>
    <x v="1"/>
    <s v=""/>
    <s v=""/>
    <s v=""/>
    <s v="Fruity"/>
    <s v="Reminiscent"/>
    <x v="0"/>
  </r>
  <r>
    <x v="0"/>
    <x v="3"/>
    <x v="100"/>
    <x v="4"/>
    <s v="Coke"/>
    <s v=""/>
    <s v=""/>
    <s v="Firey"/>
    <s v="Warm"/>
    <x v="10"/>
  </r>
  <r>
    <x v="12"/>
    <x v="3"/>
    <x v="101"/>
    <x v="1"/>
    <s v=""/>
    <s v=""/>
    <s v=""/>
    <s v="Too"/>
    <s v="Coconutty"/>
    <x v="6"/>
  </r>
  <r>
    <x v="13"/>
    <x v="3"/>
    <x v="102"/>
    <x v="1"/>
    <s v=""/>
    <s v=""/>
    <s v=""/>
    <s v="Self-isolating"/>
    <s v="Epidemic"/>
    <x v="16"/>
  </r>
  <r>
    <x v="9"/>
    <x v="3"/>
    <x v="103"/>
    <x v="1"/>
    <s v=""/>
    <s v=""/>
    <s v=""/>
    <s v="Subtle"/>
    <s v="Hipster"/>
    <x v="10"/>
  </r>
  <r>
    <x v="1"/>
    <x v="3"/>
    <x v="104"/>
    <x v="0"/>
    <s v="Tonic"/>
    <s v=""/>
    <s v=""/>
    <s v="Perfumed"/>
    <s v="Sweet"/>
    <x v="7"/>
  </r>
  <r>
    <x v="0"/>
    <x v="3"/>
    <x v="104"/>
    <x v="0"/>
    <s v="Tonic"/>
    <s v=""/>
    <s v=""/>
    <s v="Calming"/>
    <s v="Herbacious"/>
    <x v="8"/>
  </r>
  <r>
    <x v="0"/>
    <x v="3"/>
    <x v="105"/>
    <x v="0"/>
    <s v="ginger ale"/>
    <s v=""/>
    <s v=""/>
    <s v="Sweet"/>
    <s v="Sickly"/>
    <x v="10"/>
  </r>
  <r>
    <x v="5"/>
    <x v="3"/>
    <x v="106"/>
    <x v="1"/>
    <s v=""/>
    <s v=""/>
    <s v=""/>
    <s v="Creamy"/>
    <s v="Smooth"/>
    <x v="12"/>
  </r>
  <r>
    <x v="2"/>
    <x v="3"/>
    <x v="107"/>
    <x v="9"/>
    <s v=""/>
    <s v=""/>
    <s v=""/>
    <s v="Juicy"/>
    <s v="Succulent"/>
    <x v="8"/>
  </r>
  <r>
    <x v="7"/>
    <x v="3"/>
    <x v="108"/>
    <x v="8"/>
    <s v=""/>
    <s v=""/>
    <s v=""/>
    <s v="Fizzy"/>
    <s v="Exciting"/>
    <x v="0"/>
  </r>
  <r>
    <x v="1"/>
    <x v="3"/>
    <x v="109"/>
    <x v="1"/>
    <s v=""/>
    <s v=""/>
    <s v=""/>
    <s v="Charcoaly"/>
    <s v="Nutty"/>
    <x v="12"/>
  </r>
  <r>
    <x v="12"/>
    <x v="3"/>
    <x v="110"/>
    <x v="1"/>
    <s v=""/>
    <s v=""/>
    <s v=""/>
    <s v="Heavy"/>
    <s v="Deceptive"/>
    <x v="7"/>
  </r>
  <r>
    <x v="6"/>
    <x v="3"/>
    <x v="111"/>
    <x v="1"/>
    <s v=""/>
    <s v=""/>
    <s v=""/>
    <s v="Plain"/>
    <s v="Traumatic"/>
    <x v="11"/>
  </r>
  <r>
    <x v="13"/>
    <x v="3"/>
    <x v="112"/>
    <x v="1"/>
    <s v=""/>
    <s v=""/>
    <s v=""/>
    <s v="Beery"/>
    <s v="Tequlary"/>
    <x v="1"/>
  </r>
  <r>
    <x v="3"/>
    <x v="3"/>
    <x v="113"/>
    <x v="1"/>
    <s v=""/>
    <s v=""/>
    <s v=""/>
    <s v="Fruity"/>
    <s v="Yummy"/>
    <x v="2"/>
  </r>
  <r>
    <x v="13"/>
    <x v="3"/>
    <x v="114"/>
    <x v="0"/>
    <s v="rubicon lychee"/>
    <s v=""/>
    <s v=""/>
    <s v="Tropical"/>
    <s v="Stampedey"/>
    <x v="3"/>
  </r>
  <r>
    <x v="6"/>
    <x v="3"/>
    <x v="115"/>
    <x v="1"/>
    <s v=""/>
    <s v=""/>
    <s v=""/>
    <s v="Hefty"/>
    <s v="Yeah"/>
    <x v="8"/>
  </r>
  <r>
    <x v="4"/>
    <x v="3"/>
    <x v="116"/>
    <x v="0"/>
    <s v="Tonic"/>
    <s v=""/>
    <s v=""/>
    <s v="Airy"/>
    <s v="Potent"/>
    <x v="8"/>
  </r>
  <r>
    <x v="9"/>
    <x v="3"/>
    <x v="117"/>
    <x v="7"/>
    <s v="Raspberry and mint"/>
    <s v=""/>
    <s v="pommegranate"/>
    <s v="Light"/>
    <s v="Chemical"/>
    <x v="12"/>
  </r>
  <r>
    <x v="1"/>
    <x v="3"/>
    <x v="118"/>
    <x v="1"/>
    <s v=""/>
    <s v=""/>
    <s v=""/>
    <s v="Citrus"/>
    <s v="Crisp"/>
    <x v="7"/>
  </r>
  <r>
    <x v="14"/>
    <x v="3"/>
    <x v="119"/>
    <x v="11"/>
    <s v=""/>
    <s v=""/>
    <s v=""/>
    <s v="Warm"/>
    <s v="Plain"/>
    <x v="1"/>
  </r>
  <r>
    <x v="3"/>
    <x v="3"/>
    <x v="120"/>
    <x v="1"/>
    <s v=""/>
    <s v=""/>
    <s v=""/>
    <s v="Smooth"/>
    <s v="Lasting"/>
    <x v="3"/>
  </r>
  <r>
    <x v="5"/>
    <x v="3"/>
    <x v="121"/>
    <x v="7"/>
    <s v="ginger ale"/>
    <s v=""/>
    <s v=""/>
    <s v="Crisp"/>
    <s v="Refreshing"/>
    <x v="0"/>
  </r>
  <r>
    <x v="12"/>
    <x v="3"/>
    <x v="122"/>
    <x v="1"/>
    <s v=""/>
    <s v=""/>
    <s v=""/>
    <s v="Strong"/>
    <s v="Horrendous"/>
    <x v="5"/>
  </r>
  <r>
    <x v="1"/>
    <x v="3"/>
    <x v="123"/>
    <x v="10"/>
    <s v=""/>
    <s v=""/>
    <s v="corriander"/>
    <s v="Passionate"/>
    <s v="Deep"/>
    <x v="0"/>
  </r>
  <r>
    <x v="13"/>
    <x v="3"/>
    <x v="114"/>
    <x v="0"/>
    <s v="rubicon passion fruit"/>
    <s v=""/>
    <s v=""/>
    <s v="Exotic"/>
    <s v="Orange"/>
    <x v="11"/>
  </r>
  <r>
    <x v="9"/>
    <x v="3"/>
    <x v="124"/>
    <x v="3"/>
    <s v=""/>
    <s v=""/>
    <s v="grape"/>
    <s v="Sweet"/>
    <s v="Synthetic"/>
    <x v="15"/>
  </r>
  <r>
    <x v="2"/>
    <x v="3"/>
    <x v="125"/>
    <x v="9"/>
    <s v=""/>
    <s v=""/>
    <s v=""/>
    <s v="Briny"/>
    <s v="Zesty"/>
    <x v="7"/>
  </r>
  <r>
    <x v="12"/>
    <x v="3"/>
    <x v="76"/>
    <x v="7"/>
    <s v="Cherry Coke"/>
    <s v=""/>
    <s v=""/>
    <s v="Wonderful"/>
    <s v="Magnificent"/>
    <x v="1"/>
  </r>
  <r>
    <x v="1"/>
    <x v="3"/>
    <x v="126"/>
    <x v="1"/>
    <s v=""/>
    <s v=""/>
    <s v=""/>
    <s v="Strangely"/>
    <s v="Sour"/>
    <x v="12"/>
  </r>
  <r>
    <x v="3"/>
    <x v="3"/>
    <x v="95"/>
    <x v="1"/>
    <s v="smirnoff ice"/>
    <s v=""/>
    <s v=""/>
    <s v="Reminiscent"/>
    <s v="Yummy"/>
    <x v="0"/>
  </r>
  <r>
    <x v="14"/>
    <x v="3"/>
    <x v="127"/>
    <x v="6"/>
    <s v=""/>
    <s v=""/>
    <s v="bay berry"/>
    <s v="Strong"/>
    <s v="Tart"/>
    <x v="1"/>
  </r>
  <r>
    <x v="12"/>
    <x v="3"/>
    <x v="114"/>
    <x v="0"/>
    <s v=""/>
    <s v=""/>
    <s v=""/>
    <s v="Fruity"/>
    <s v="Delicious"/>
    <x v="1"/>
  </r>
  <r>
    <x v="9"/>
    <x v="3"/>
    <x v="91"/>
    <x v="0"/>
    <s v="Diet Coke"/>
    <s v=""/>
    <s v=""/>
    <s v="Soapy"/>
    <s v="Sacarin"/>
    <x v="4"/>
  </r>
  <r>
    <x v="4"/>
    <x v="3"/>
    <x v="128"/>
    <x v="6"/>
    <s v="Coke"/>
    <s v=""/>
    <s v=""/>
    <s v="Shockingly"/>
    <s v="Delicious"/>
    <x v="0"/>
  </r>
  <r>
    <x v="6"/>
    <x v="3"/>
    <x v="129"/>
    <x v="1"/>
    <s v=""/>
    <s v=""/>
    <s v=""/>
    <s v="Bitter"/>
    <s v="Forceful"/>
    <x v="7"/>
  </r>
  <r>
    <x v="3"/>
    <x v="3"/>
    <x v="130"/>
    <x v="1"/>
    <s v=""/>
    <s v=""/>
    <s v=""/>
    <s v="Reluctant"/>
    <s v="Gentle"/>
    <x v="2"/>
  </r>
  <r>
    <x v="12"/>
    <x v="3"/>
    <x v="73"/>
    <x v="7"/>
    <s v="Cherry Coke"/>
    <s v=""/>
    <s v=""/>
    <s v="Confectionaryish"/>
    <s v="Artificial"/>
    <x v="9"/>
  </r>
  <r>
    <x v="10"/>
    <x v="3"/>
    <x v="131"/>
    <x v="4"/>
    <s v="Diet Coke"/>
    <s v=""/>
    <s v=""/>
    <s v="Unexciting"/>
    <s v="Predictable"/>
    <x v="15"/>
  </r>
  <r>
    <x v="2"/>
    <x v="3"/>
    <x v="132"/>
    <x v="9"/>
    <s v=""/>
    <s v=""/>
    <s v=""/>
    <s v="Honey"/>
    <s v="Opulent"/>
    <x v="8"/>
  </r>
  <r>
    <x v="11"/>
    <x v="3"/>
    <x v="133"/>
    <x v="1"/>
    <s v=""/>
    <s v=""/>
    <s v=""/>
    <s v="Hoppy"/>
    <s v="Malty"/>
    <x v="3"/>
  </r>
  <r>
    <x v="11"/>
    <x v="3"/>
    <x v="134"/>
    <x v="11"/>
    <s v=""/>
    <s v=""/>
    <s v=""/>
    <s v="Fizzy"/>
    <s v="Delightful"/>
    <x v="2"/>
  </r>
  <r>
    <x v="3"/>
    <x v="3"/>
    <x v="72"/>
    <x v="1"/>
    <s v=""/>
    <s v=""/>
    <s v=""/>
    <s v="Fine"/>
    <s v="Acceptable"/>
    <x v="3"/>
  </r>
  <r>
    <x v="6"/>
    <x v="3"/>
    <x v="135"/>
    <x v="1"/>
    <s v=""/>
    <s v=""/>
    <s v=""/>
    <s v="Fugly"/>
    <s v="Slut"/>
    <x v="14"/>
  </r>
  <r>
    <x v="12"/>
    <x v="3"/>
    <x v="135"/>
    <x v="1"/>
    <s v=""/>
    <s v=""/>
    <s v=""/>
    <s v="Undrinkable"/>
    <s v="Putrid"/>
    <x v="16"/>
  </r>
  <r>
    <x v="12"/>
    <x v="3"/>
    <x v="136"/>
    <x v="1"/>
    <s v="Cherry Coke"/>
    <s v=""/>
    <s v=""/>
    <s v="Lively"/>
    <s v="Surprising"/>
    <x v="2"/>
  </r>
  <r>
    <x v="10"/>
    <x v="3"/>
    <x v="43"/>
    <x v="0"/>
    <s v="Tonic"/>
    <s v=""/>
    <s v="lemon"/>
    <s v="Tasty"/>
    <s v="Uneventful"/>
    <x v="2"/>
  </r>
  <r>
    <x v="1"/>
    <x v="3"/>
    <x v="137"/>
    <x v="1"/>
    <s v=""/>
    <s v=""/>
    <s v=""/>
    <s v="Delectable"/>
    <s v="Charming"/>
    <x v="0"/>
  </r>
  <r>
    <x v="6"/>
    <x v="3"/>
    <x v="73"/>
    <x v="7"/>
    <s v="Diet Coke"/>
    <s v=""/>
    <s v=""/>
    <s v="Sickly"/>
    <s v="Cumbersome"/>
    <x v="3"/>
  </r>
  <r>
    <x v="9"/>
    <x v="3"/>
    <x v="43"/>
    <x v="0"/>
    <s v="Tonic"/>
    <s v=""/>
    <s v="pommeganate"/>
    <s v="Reliable"/>
    <s v="Quininy"/>
    <x v="7"/>
  </r>
  <r>
    <x v="1"/>
    <x v="3"/>
    <x v="138"/>
    <x v="0"/>
    <s v=""/>
    <s v=""/>
    <s v=""/>
    <s v="Prickly"/>
    <s v="Vague"/>
    <x v="11"/>
  </r>
  <r>
    <x v="9"/>
    <x v="3"/>
    <x v="119"/>
    <x v="11"/>
    <s v=""/>
    <s v=""/>
    <s v=""/>
    <s v="Wet"/>
    <s v="Hydrogeny"/>
    <x v="1"/>
  </r>
  <r>
    <x v="10"/>
    <x v="3"/>
    <x v="88"/>
    <x v="1"/>
    <s v=""/>
    <s v=""/>
    <s v=""/>
    <s v="Tinny"/>
    <s v="Stalwart"/>
    <x v="3"/>
  </r>
  <r>
    <x v="11"/>
    <x v="3"/>
    <x v="139"/>
    <x v="8"/>
    <s v=""/>
    <s v=""/>
    <s v="frozen strawberries"/>
    <s v="Sacariferous"/>
    <s v="Pleasant"/>
    <x v="7"/>
  </r>
  <r>
    <x v="4"/>
    <x v="3"/>
    <x v="140"/>
    <x v="8"/>
    <s v=""/>
    <s v=""/>
    <s v=""/>
    <s v="Bold"/>
    <s v="Bodacious"/>
    <x v="8"/>
  </r>
  <r>
    <x v="2"/>
    <x v="3"/>
    <x v="141"/>
    <x v="9"/>
    <s v=""/>
    <s v=""/>
    <s v=""/>
    <s v="Plucky"/>
    <s v="Mordant"/>
    <x v="7"/>
  </r>
  <r>
    <x v="3"/>
    <x v="3"/>
    <x v="142"/>
    <x v="1"/>
    <s v=""/>
    <s v=""/>
    <s v=""/>
    <s v="Decent"/>
    <s v="Tasty"/>
    <x v="2"/>
  </r>
  <r>
    <x v="10"/>
    <x v="3"/>
    <x v="143"/>
    <x v="4"/>
    <s v="Diet Coke"/>
    <s v=""/>
    <s v=""/>
    <s v="Broad"/>
    <s v="Lazy"/>
    <x v="3"/>
  </r>
  <r>
    <x v="12"/>
    <x v="3"/>
    <x v="73"/>
    <x v="7"/>
    <s v="Rubicon Pineapple"/>
    <s v=""/>
    <s v=""/>
    <s v="Tasty"/>
    <s v="Satisfying"/>
    <x v="17"/>
  </r>
  <r>
    <x v="13"/>
    <x v="4"/>
    <x v="144"/>
    <x v="8"/>
    <s v=""/>
    <s v=""/>
    <s v=""/>
    <s v="sparkly"/>
    <s v="fresh"/>
    <x v="3"/>
  </r>
  <r>
    <x v="2"/>
    <x v="4"/>
    <x v="145"/>
    <x v="9"/>
    <s v=""/>
    <s v=""/>
    <s v=""/>
    <s v="grimey"/>
    <s v="flush"/>
    <x v="7"/>
  </r>
  <r>
    <x v="15"/>
    <x v="4"/>
    <x v="146"/>
    <x v="9"/>
    <s v=""/>
    <s v=""/>
    <s v=""/>
    <s v="reviving"/>
    <s v="floral"/>
    <x v="2"/>
  </r>
  <r>
    <x v="6"/>
    <x v="4"/>
    <x v="147"/>
    <x v="1"/>
    <s v=""/>
    <s v=""/>
    <s v=""/>
    <s v="perfumed"/>
    <s v="dissapointing"/>
    <x v="15"/>
  </r>
  <r>
    <x v="12"/>
    <x v="4"/>
    <x v="148"/>
    <x v="1"/>
    <s v=""/>
    <s v=""/>
    <s v=""/>
    <s v="Big"/>
    <s v="Tasty"/>
    <x v="7"/>
  </r>
  <r>
    <x v="3"/>
    <x v="4"/>
    <x v="149"/>
    <x v="1"/>
    <s v=""/>
    <s v=""/>
    <s v=""/>
    <s v="Staple"/>
    <s v="refreshing"/>
    <x v="2"/>
  </r>
  <r>
    <x v="13"/>
    <x v="4"/>
    <x v="114"/>
    <x v="0"/>
    <s v="Cointreau"/>
    <s v="Fruit Juices"/>
    <s v=""/>
    <s v="Jumanjiesque"/>
    <s v="Citruslike"/>
    <x v="11"/>
  </r>
  <r>
    <x v="1"/>
    <x v="4"/>
    <x v="150"/>
    <x v="1"/>
    <s v=""/>
    <s v=""/>
    <s v=""/>
    <s v="Flirtatious"/>
    <s v="Energising"/>
    <x v="1"/>
  </r>
  <r>
    <x v="1"/>
    <x v="4"/>
    <x v="151"/>
    <x v="1"/>
    <s v=""/>
    <s v=""/>
    <s v=""/>
    <s v="inoffensive"/>
    <s v="sherbetty"/>
    <x v="12"/>
  </r>
  <r>
    <x v="3"/>
    <x v="4"/>
    <x v="152"/>
    <x v="1"/>
    <s v=""/>
    <s v=""/>
    <s v=""/>
    <s v="Thick"/>
    <s v="dark"/>
    <x v="3"/>
  </r>
  <r>
    <x v="9"/>
    <x v="4"/>
    <x v="153"/>
    <x v="3"/>
    <s v="lemonade"/>
    <s v=""/>
    <s v=""/>
    <s v="syrupy"/>
    <s v="artificial"/>
    <x v="10"/>
  </r>
  <r>
    <x v="2"/>
    <x v="4"/>
    <x v="154"/>
    <x v="9"/>
    <s v=""/>
    <s v=""/>
    <s v=""/>
    <s v="scrumptious"/>
    <s v="delectable"/>
    <x v="9"/>
  </r>
  <r>
    <x v="15"/>
    <x v="4"/>
    <x v="29"/>
    <x v="9"/>
    <s v=""/>
    <s v=""/>
    <s v=""/>
    <s v="vapid"/>
    <s v="dissmaying"/>
    <x v="5"/>
  </r>
  <r>
    <x v="5"/>
    <x v="4"/>
    <x v="155"/>
    <x v="1"/>
    <s v=""/>
    <s v=""/>
    <s v=""/>
    <s v="dry"/>
    <s v="fruity"/>
    <x v="12"/>
  </r>
  <r>
    <x v="6"/>
    <x v="4"/>
    <x v="156"/>
    <x v="1"/>
    <s v=""/>
    <s v=""/>
    <s v=""/>
    <s v="bitter"/>
    <s v="moreish"/>
    <x v="7"/>
  </r>
  <r>
    <x v="12"/>
    <x v="4"/>
    <x v="156"/>
    <x v="1"/>
    <s v=""/>
    <s v=""/>
    <s v=""/>
    <s v="crisp"/>
    <s v="clean"/>
    <x v="3"/>
  </r>
  <r>
    <x v="1"/>
    <x v="4"/>
    <x v="157"/>
    <x v="7"/>
    <s v="lemonade"/>
    <s v="Strawberry Juice"/>
    <s v=""/>
    <s v="zingy"/>
    <s v="ball-tingly"/>
    <x v="3"/>
  </r>
  <r>
    <x v="9"/>
    <x v="4"/>
    <x v="19"/>
    <x v="3"/>
    <s v="Cranberry Juice"/>
    <s v=""/>
    <s v=""/>
    <s v="bitter-sweet"/>
    <s v="pedestrian"/>
    <x v="12"/>
  </r>
  <r>
    <x v="13"/>
    <x v="4"/>
    <x v="158"/>
    <x v="0"/>
    <s v="Cranberry Juice"/>
    <s v="Lemonade"/>
    <s v=""/>
    <s v="allbaronedrinkesque"/>
    <s v="overpriced"/>
    <x v="2"/>
  </r>
  <r>
    <x v="5"/>
    <x v="4"/>
    <x v="121"/>
    <x v="7"/>
    <s v="Tropical Juice"/>
    <s v=""/>
    <s v=""/>
    <s v="Entry-level"/>
    <s v="watery"/>
    <x v="10"/>
  </r>
  <r>
    <x v="2"/>
    <x v="4"/>
    <x v="159"/>
    <x v="9"/>
    <s v=""/>
    <s v=""/>
    <s v=""/>
    <s v="juicy"/>
    <s v="hearty"/>
    <x v="7"/>
  </r>
  <r>
    <x v="13"/>
    <x v="4"/>
    <x v="160"/>
    <x v="0"/>
    <s v="Tequila"/>
    <s v="Orange Juice"/>
    <s v="Blueberries"/>
    <s v="Hawaiiany"/>
    <s v="fruity"/>
    <x v="0"/>
  </r>
  <r>
    <x v="15"/>
    <x v="4"/>
    <x v="19"/>
    <x v="3"/>
    <s v="Kalua"/>
    <s v="Milk"/>
    <s v=""/>
    <s v="Sapid"/>
    <s v="Transcndental"/>
    <x v="1"/>
  </r>
  <r>
    <x v="7"/>
    <x v="4"/>
    <x v="119"/>
    <x v="11"/>
    <s v=""/>
    <s v=""/>
    <s v=""/>
    <s v="thirst-quenching"/>
    <s v="life-giving"/>
    <x v="0"/>
  </r>
  <r>
    <x v="12"/>
    <x v="4"/>
    <x v="76"/>
    <x v="7"/>
    <s v="Orange Juice"/>
    <s v=""/>
    <s v="Lime"/>
    <s v="uplifting"/>
    <s v="palateable"/>
    <x v="2"/>
  </r>
  <r>
    <x v="4"/>
    <x v="4"/>
    <x v="161"/>
    <x v="1"/>
    <s v=""/>
    <s v=""/>
    <s v=""/>
    <s v="hoppy"/>
    <s v="refreshing"/>
    <x v="7"/>
  </r>
  <r>
    <x v="6"/>
    <x v="4"/>
    <x v="162"/>
    <x v="1"/>
    <s v=""/>
    <s v=""/>
    <s v=""/>
    <s v="malty"/>
    <s v="heavy"/>
    <x v="11"/>
  </r>
  <r>
    <x v="1"/>
    <x v="4"/>
    <x v="163"/>
    <x v="9"/>
    <s v=""/>
    <s v=""/>
    <s v=""/>
    <s v="tart"/>
    <s v="clenchy"/>
    <x v="2"/>
  </r>
  <r>
    <x v="15"/>
    <x v="4"/>
    <x v="164"/>
    <x v="9"/>
    <s v=""/>
    <s v=""/>
    <s v=""/>
    <s v="enthralling"/>
    <s v="sovereign"/>
    <x v="0"/>
  </r>
  <r>
    <x v="6"/>
    <x v="4"/>
    <x v="165"/>
    <x v="6"/>
    <s v=""/>
    <s v=""/>
    <s v=""/>
    <s v="tequilaery"/>
    <s v="regret"/>
    <x v="0"/>
  </r>
  <r>
    <x v="5"/>
    <x v="4"/>
    <x v="71"/>
    <x v="0"/>
    <s v="Hibiscus Tonic Water"/>
    <s v=""/>
    <s v=""/>
    <s v="cleansing"/>
    <s v="refreshing"/>
    <x v="7"/>
  </r>
  <r>
    <x v="9"/>
    <x v="4"/>
    <x v="166"/>
    <x v="1"/>
    <s v=""/>
    <s v=""/>
    <s v=""/>
    <s v="woody"/>
    <s v="honest"/>
    <x v="2"/>
  </r>
  <r>
    <x v="3"/>
    <x v="4"/>
    <x v="167"/>
    <x v="1"/>
    <s v=""/>
    <s v=""/>
    <s v=""/>
    <s v="Barron"/>
    <s v="generic"/>
    <x v="15"/>
  </r>
  <r>
    <x v="6"/>
    <x v="4"/>
    <x v="168"/>
    <x v="1"/>
    <s v=""/>
    <s v=""/>
    <s v=""/>
    <s v="ok"/>
    <s v="fine"/>
    <x v="11"/>
  </r>
  <r>
    <x v="2"/>
    <x v="4"/>
    <x v="169"/>
    <x v="9"/>
    <s v=""/>
    <s v=""/>
    <s v=""/>
    <s v="standard"/>
    <s v="cider"/>
    <x v="3"/>
  </r>
  <r>
    <x v="4"/>
    <x v="4"/>
    <x v="170"/>
    <x v="1"/>
    <s v=""/>
    <s v=""/>
    <s v=""/>
    <s v="decent"/>
    <s v="drinkable"/>
    <x v="12"/>
  </r>
  <r>
    <x v="6"/>
    <x v="4"/>
    <x v="171"/>
    <x v="1"/>
    <s v=""/>
    <s v=""/>
    <s v=""/>
    <s v="very"/>
    <s v="average"/>
    <x v="15"/>
  </r>
  <r>
    <x v="10"/>
    <x v="4"/>
    <x v="172"/>
    <x v="1"/>
    <s v=""/>
    <s v=""/>
    <s v=""/>
    <s v="fruity"/>
    <s v="refreshing"/>
    <x v="2"/>
  </r>
  <r>
    <x v="12"/>
    <x v="4"/>
    <x v="173"/>
    <x v="7"/>
    <s v="Cranberry Juice"/>
    <s v=""/>
    <s v=""/>
    <s v="Disarming"/>
    <s v="quaffable"/>
    <x v="0"/>
  </r>
  <r>
    <x v="2"/>
    <x v="4"/>
    <x v="174"/>
    <x v="9"/>
    <s v=""/>
    <s v=""/>
    <s v=""/>
    <s v="vinegar"/>
    <s v="punchy"/>
    <x v="11"/>
  </r>
  <r>
    <x v="3"/>
    <x v="4"/>
    <x v="149"/>
    <x v="1"/>
    <s v="Bulmer's cider"/>
    <s v="Ribena"/>
    <s v=""/>
    <s v="sweet"/>
    <s v="memorable"/>
    <x v="3"/>
  </r>
  <r>
    <x v="9"/>
    <x v="4"/>
    <x v="52"/>
    <x v="3"/>
    <s v="Lime soda"/>
    <s v=""/>
    <s v=""/>
    <s v="sharp"/>
    <s v="airy"/>
    <x v="12"/>
  </r>
  <r>
    <x v="8"/>
    <x v="4"/>
    <x v="175"/>
    <x v="0"/>
    <s v="tonic"/>
    <s v=""/>
    <s v="Lime"/>
    <s v="Slight"/>
    <s v="Fragrant"/>
    <x v="0"/>
  </r>
  <r>
    <x v="11"/>
    <x v="4"/>
    <x v="176"/>
    <x v="8"/>
    <s v=""/>
    <s v=""/>
    <s v=""/>
    <s v="terrible"/>
    <s v="sweet"/>
    <x v="5"/>
  </r>
  <r>
    <x v="3"/>
    <x v="4"/>
    <x v="177"/>
    <x v="9"/>
    <s v=""/>
    <s v=""/>
    <s v=""/>
    <s v="Dry"/>
    <s v="Dull"/>
    <x v="6"/>
  </r>
  <r>
    <x v="2"/>
    <x v="4"/>
    <x v="178"/>
    <x v="9"/>
    <s v=""/>
    <s v=""/>
    <s v=""/>
    <s v="old"/>
    <s v="Delinquent"/>
    <x v="2"/>
  </r>
  <r>
    <x v="8"/>
    <x v="4"/>
    <x v="114"/>
    <x v="0"/>
    <s v="Tonic Water"/>
    <s v=""/>
    <s v="Lime"/>
    <s v="sickly"/>
    <s v="pungeant"/>
    <x v="11"/>
  </r>
  <r>
    <x v="15"/>
    <x v="4"/>
    <x v="19"/>
    <x v="3"/>
    <s v="Kalua"/>
    <s v="Chi-Spiced Milk"/>
    <s v=""/>
    <s v="prosaic"/>
    <s v="sickly"/>
    <x v="12"/>
  </r>
  <r>
    <x v="4"/>
    <x v="4"/>
    <x v="179"/>
    <x v="1"/>
    <s v=""/>
    <s v=""/>
    <s v=""/>
    <s v="Its"/>
    <s v="Alright"/>
    <x v="4"/>
  </r>
  <r>
    <x v="4"/>
    <x v="4"/>
    <x v="114"/>
    <x v="0"/>
    <s v="Tonic Water"/>
    <s v=""/>
    <s v="Lime"/>
    <s v="Surprising"/>
    <s v="syrupy"/>
    <x v="3"/>
  </r>
  <r>
    <x v="6"/>
    <x v="4"/>
    <x v="180"/>
    <x v="6"/>
    <s v="Margerita Mix"/>
    <s v=""/>
    <s v=""/>
    <s v="fucking"/>
    <s v="spectacular"/>
    <x v="9"/>
  </r>
  <r>
    <x v="10"/>
    <x v="4"/>
    <x v="181"/>
    <x v="1"/>
    <s v=""/>
    <s v=""/>
    <s v=""/>
    <s v="tasty"/>
    <s v="Norweigian"/>
    <x v="12"/>
  </r>
  <r>
    <x v="13"/>
    <x v="4"/>
    <x v="112"/>
    <x v="1"/>
    <s v="lemonade"/>
    <s v=""/>
    <s v=""/>
    <s v="fruity"/>
    <s v="desperadoey"/>
    <x v="15"/>
  </r>
  <r>
    <x v="9"/>
    <x v="4"/>
    <x v="182"/>
    <x v="1"/>
    <s v=""/>
    <s v=""/>
    <s v=""/>
    <s v="murky"/>
    <s v="sweet"/>
    <x v="15"/>
  </r>
  <r>
    <x v="15"/>
    <x v="4"/>
    <x v="19"/>
    <x v="3"/>
    <s v="Kalua"/>
    <s v="Diet Coke"/>
    <s v=""/>
    <s v="inviting"/>
    <s v="astonishing"/>
    <x v="0"/>
  </r>
  <r>
    <x v="9"/>
    <x v="4"/>
    <x v="183"/>
    <x v="1"/>
    <s v=""/>
    <s v=""/>
    <s v=""/>
    <s v="tart"/>
    <s v="irritating"/>
    <x v="11"/>
  </r>
  <r>
    <x v="13"/>
    <x v="4"/>
    <x v="158"/>
    <x v="0"/>
    <s v="Coke"/>
    <s v=""/>
    <s v=""/>
    <s v="shit"/>
    <s v="crack"/>
    <x v="14"/>
  </r>
  <r>
    <x v="12"/>
    <x v="4"/>
    <x v="184"/>
    <x v="7"/>
    <s v="Cranberry Juice"/>
    <s v="coke"/>
    <s v=""/>
    <s v="magnificently"/>
    <s v="downable"/>
    <x v="1"/>
  </r>
  <r>
    <x v="10"/>
    <x v="4"/>
    <x v="185"/>
    <x v="1"/>
    <s v=""/>
    <s v=""/>
    <s v=""/>
    <s v="resonant"/>
    <s v="deep"/>
    <x v="12"/>
  </r>
  <r>
    <x v="11"/>
    <x v="4"/>
    <x v="186"/>
    <x v="1"/>
    <s v=""/>
    <s v=""/>
    <s v=""/>
    <s v="chocolatey"/>
    <s v="opaque"/>
    <x v="3"/>
  </r>
  <r>
    <x v="2"/>
    <x v="4"/>
    <x v="187"/>
    <x v="9"/>
    <s v=""/>
    <s v=""/>
    <s v=""/>
    <s v="tedious"/>
    <s v="efervescent"/>
    <x v="12"/>
  </r>
  <r>
    <x v="16"/>
    <x v="4"/>
    <x v="188"/>
    <x v="11"/>
    <s v="honey"/>
    <s v=""/>
    <s v=""/>
    <s v="delightful"/>
    <s v="comforting"/>
    <x v="1"/>
  </r>
  <r>
    <x v="6"/>
    <x v="4"/>
    <x v="76"/>
    <x v="7"/>
    <s v="Cherry Coke"/>
    <s v=""/>
    <s v=""/>
    <s v="sweet"/>
    <s v="cuddly"/>
    <x v="2"/>
  </r>
  <r>
    <x v="3"/>
    <x v="4"/>
    <x v="52"/>
    <x v="3"/>
    <s v="Big Willie Ginger Beer"/>
    <s v=""/>
    <s v=""/>
    <s v="bilious"/>
    <s v="irksome"/>
    <x v="11"/>
  </r>
  <r>
    <x v="4"/>
    <x v="4"/>
    <x v="189"/>
    <x v="1"/>
    <s v=""/>
    <s v=""/>
    <s v=""/>
    <s v="magnificently"/>
    <s v="splendiferous"/>
    <x v="8"/>
  </r>
  <r>
    <x v="10"/>
    <x v="4"/>
    <x v="190"/>
    <x v="1"/>
    <s v=""/>
    <s v=""/>
    <s v=""/>
    <s v="uninspired"/>
    <s v="delicious"/>
    <x v="2"/>
  </r>
  <r>
    <x v="15"/>
    <x v="4"/>
    <x v="191"/>
    <x v="1"/>
    <s v=""/>
    <s v=""/>
    <s v=""/>
    <s v="pedestrian"/>
    <s v="wearysome"/>
    <x v="11"/>
  </r>
  <r>
    <x v="3"/>
    <x v="4"/>
    <x v="52"/>
    <x v="3"/>
    <s v="fentimas cherry coke"/>
    <s v=""/>
    <s v=""/>
    <s v="Accrid"/>
    <s v="niggling"/>
    <x v="5"/>
  </r>
  <r>
    <x v="15"/>
    <x v="4"/>
    <x v="19"/>
    <x v="3"/>
    <s v="Coke no.4"/>
    <s v=""/>
    <s v=""/>
    <s v="arborial"/>
    <s v="aromatic"/>
    <x v="8"/>
  </r>
  <r>
    <x v="9"/>
    <x v="4"/>
    <x v="185"/>
    <x v="1"/>
    <s v=""/>
    <s v=""/>
    <s v=""/>
    <s v="delicious"/>
    <s v="regrettable"/>
    <x v="2"/>
  </r>
  <r>
    <x v="12"/>
    <x v="4"/>
    <x v="184"/>
    <x v="7"/>
    <s v="lemonade"/>
    <s v=""/>
    <s v="Lime"/>
    <s v="easy"/>
    <s v="Sunday"/>
    <x v="7"/>
  </r>
  <r>
    <x v="6"/>
    <x v="4"/>
    <x v="76"/>
    <x v="7"/>
    <s v="rubicon Mango"/>
    <s v=""/>
    <s v=""/>
    <s v="sunshine"/>
    <s v="spooky"/>
    <x v="2"/>
  </r>
  <r>
    <x v="15"/>
    <x v="4"/>
    <x v="192"/>
    <x v="7"/>
    <s v=""/>
    <s v=""/>
    <s v=""/>
    <s v="tyranical"/>
    <s v="funky"/>
    <x v="8"/>
  </r>
  <r>
    <x v="15"/>
    <x v="4"/>
    <x v="119"/>
    <x v="11"/>
    <s v=""/>
    <s v=""/>
    <s v=""/>
    <s v="bland"/>
    <s v="satisfying"/>
    <x v="1"/>
  </r>
  <r>
    <x v="9"/>
    <x v="5"/>
    <x v="193"/>
    <x v="7"/>
    <s v="Pineapple"/>
    <s v=""/>
    <s v=""/>
    <s v="foul"/>
    <s v="vomitty"/>
    <x v="18"/>
  </r>
  <r>
    <x v="2"/>
    <x v="5"/>
    <x v="194"/>
    <x v="9"/>
    <s v=""/>
    <s v=""/>
    <s v=""/>
    <s v="crisp"/>
    <s v="Succulent"/>
    <x v="7"/>
  </r>
  <r>
    <x v="3"/>
    <x v="5"/>
    <x v="195"/>
    <x v="1"/>
    <s v=""/>
    <s v=""/>
    <s v=""/>
    <s v="crisp"/>
    <s v="fresh"/>
    <x v="7"/>
  </r>
  <r>
    <x v="6"/>
    <x v="5"/>
    <x v="196"/>
    <x v="1"/>
    <s v=""/>
    <s v=""/>
    <s v=""/>
    <s v="Sweet"/>
    <s v="Smooth"/>
    <x v="8"/>
  </r>
  <r>
    <x v="1"/>
    <x v="5"/>
    <x v="197"/>
    <x v="1"/>
    <s v=""/>
    <s v=""/>
    <s v=""/>
    <s v="tropical"/>
    <s v="smooth"/>
    <x v="9"/>
  </r>
  <r>
    <x v="0"/>
    <x v="5"/>
    <x v="198"/>
    <x v="0"/>
    <s v="Schweppes Streamline Tonic"/>
    <s v=""/>
    <s v=""/>
    <s v="Orangey"/>
    <s v="fragrant"/>
    <x v="8"/>
  </r>
  <r>
    <x v="15"/>
    <x v="5"/>
    <x v="199"/>
    <x v="1"/>
    <s v=""/>
    <s v=""/>
    <s v=""/>
    <s v="reliable"/>
    <s v="quaffable"/>
    <x v="7"/>
  </r>
  <r>
    <x v="17"/>
    <x v="5"/>
    <x v="119"/>
    <x v="11"/>
    <s v=""/>
    <s v=""/>
    <s v=""/>
    <s v="flavoursome"/>
    <s v="mouldy"/>
    <x v="5"/>
  </r>
  <r>
    <x v="5"/>
    <x v="5"/>
    <x v="200"/>
    <x v="1"/>
    <s v=""/>
    <s v=""/>
    <s v=""/>
    <s v="citrusy"/>
    <s v="light"/>
    <x v="0"/>
  </r>
  <r>
    <x v="3"/>
    <x v="5"/>
    <x v="201"/>
    <x v="1"/>
    <s v=""/>
    <s v=""/>
    <s v=""/>
    <s v="Heavy"/>
    <s v="drinkable"/>
    <x v="3"/>
  </r>
  <r>
    <x v="18"/>
    <x v="5"/>
    <x v="202"/>
    <x v="1"/>
    <s v=""/>
    <s v=""/>
    <s v=""/>
    <s v="standard"/>
    <s v="orange"/>
    <x v="12"/>
  </r>
  <r>
    <x v="2"/>
    <x v="5"/>
    <x v="203"/>
    <x v="9"/>
    <s v=""/>
    <s v=""/>
    <s v=""/>
    <s v="bitter"/>
    <s v="acidic"/>
    <x v="12"/>
  </r>
  <r>
    <x v="1"/>
    <x v="5"/>
    <x v="204"/>
    <x v="1"/>
    <s v=""/>
    <s v=""/>
    <s v=""/>
    <s v="nutty"/>
    <s v="smoky"/>
    <x v="2"/>
  </r>
  <r>
    <x v="19"/>
    <x v="5"/>
    <x v="43"/>
    <x v="0"/>
    <s v="Schweppes Streamline Tonic"/>
    <s v="Robinson's Pear and Elderflower"/>
    <s v=""/>
    <s v="Tart"/>
    <s v="fruity"/>
    <x v="0"/>
  </r>
  <r>
    <x v="6"/>
    <x v="5"/>
    <x v="205"/>
    <x v="1"/>
    <s v=""/>
    <s v=""/>
    <s v=""/>
    <s v="Generic"/>
    <s v="IPA"/>
    <x v="10"/>
  </r>
  <r>
    <x v="5"/>
    <x v="5"/>
    <x v="206"/>
    <x v="1"/>
    <s v=""/>
    <s v=""/>
    <s v=""/>
    <s v="creamy"/>
    <s v="summery"/>
    <x v="1"/>
  </r>
  <r>
    <x v="1"/>
    <x v="5"/>
    <x v="207"/>
    <x v="1"/>
    <s v=""/>
    <s v=""/>
    <s v=""/>
    <s v="marzipan"/>
    <s v="violent"/>
    <x v="6"/>
  </r>
  <r>
    <x v="15"/>
    <x v="5"/>
    <x v="26"/>
    <x v="9"/>
    <s v=""/>
    <s v=""/>
    <s v=""/>
    <s v="Piquant"/>
    <s v="hostile"/>
    <x v="11"/>
  </r>
  <r>
    <x v="9"/>
    <x v="5"/>
    <x v="208"/>
    <x v="8"/>
    <s v="Soda Water"/>
    <s v=""/>
    <s v=""/>
    <s v="Summery"/>
    <s v="Superficial"/>
    <x v="10"/>
  </r>
  <r>
    <x v="0"/>
    <x v="5"/>
    <x v="164"/>
    <x v="9"/>
    <s v=""/>
    <s v=""/>
    <s v=""/>
    <s v="Strong"/>
    <s v="Appley"/>
    <x v="7"/>
  </r>
  <r>
    <x v="18"/>
    <x v="5"/>
    <x v="209"/>
    <x v="3"/>
    <s v="Milk"/>
    <s v="Chocolate Nesquik"/>
    <s v=""/>
    <s v="chocolate"/>
    <s v="dude"/>
    <x v="1"/>
  </r>
  <r>
    <x v="3"/>
    <x v="5"/>
    <x v="210"/>
    <x v="4"/>
    <s v=""/>
    <s v=""/>
    <s v=""/>
    <s v="Nutty"/>
    <s v="Earthy"/>
    <x v="12"/>
  </r>
  <r>
    <x v="1"/>
    <x v="5"/>
    <x v="211"/>
    <x v="1"/>
    <s v=""/>
    <s v=""/>
    <s v=""/>
    <s v="honey"/>
    <s v="spikey"/>
    <x v="12"/>
  </r>
  <r>
    <x v="2"/>
    <x v="5"/>
    <x v="212"/>
    <x v="9"/>
    <s v=""/>
    <s v=""/>
    <s v=""/>
    <s v="organic"/>
    <s v="tangy"/>
    <x v="7"/>
  </r>
  <r>
    <x v="6"/>
    <x v="5"/>
    <x v="213"/>
    <x v="1"/>
    <s v=""/>
    <s v=""/>
    <s v=""/>
    <s v="Hoppy"/>
    <s v="Delicious"/>
    <x v="2"/>
  </r>
  <r>
    <x v="3"/>
    <x v="5"/>
    <x v="210"/>
    <x v="4"/>
    <s v="diet coke"/>
    <s v=""/>
    <s v=""/>
    <s v="foggy"/>
    <s v="envelpoing"/>
    <x v="11"/>
  </r>
  <r>
    <x v="18"/>
    <x v="5"/>
    <x v="214"/>
    <x v="10"/>
    <s v=""/>
    <s v=""/>
    <s v=""/>
    <s v="Fruity"/>
    <s v="Silk"/>
    <x v="0"/>
  </r>
  <r>
    <x v="19"/>
    <x v="5"/>
    <x v="42"/>
    <x v="2"/>
    <s v="Bombay Sapphire Gin"/>
    <s v="Tonic"/>
    <s v=""/>
    <s v="Insipid"/>
    <s v="Anti-freeze"/>
    <x v="6"/>
  </r>
  <r>
    <x v="6"/>
    <x v="5"/>
    <x v="215"/>
    <x v="1"/>
    <s v=""/>
    <s v=""/>
    <s v=""/>
    <s v="clean"/>
    <s v="substantial"/>
    <x v="2"/>
  </r>
  <r>
    <x v="5"/>
    <x v="5"/>
    <x v="19"/>
    <x v="0"/>
    <s v="Mercant Heart Hibiscus"/>
    <s v=""/>
    <s v=""/>
    <s v="crisp"/>
    <s v="sharp"/>
    <x v="7"/>
  </r>
  <r>
    <x v="4"/>
    <x v="5"/>
    <x v="216"/>
    <x v="1"/>
    <s v=""/>
    <s v=""/>
    <s v=""/>
    <s v="Tenciously"/>
    <s v="Reliable"/>
    <x v="2"/>
  </r>
  <r>
    <x v="9"/>
    <x v="5"/>
    <x v="217"/>
    <x v="3"/>
    <s v="Sparkling Rhubarb"/>
    <s v=""/>
    <s v=""/>
    <s v="Welcome"/>
    <s v="Succulent"/>
    <x v="0"/>
  </r>
  <r>
    <x v="15"/>
    <x v="5"/>
    <x v="125"/>
    <x v="9"/>
    <s v=""/>
    <s v=""/>
    <s v=""/>
    <s v="Wanting"/>
    <s v="Undistinguished"/>
    <x v="15"/>
  </r>
  <r>
    <x v="1"/>
    <x v="5"/>
    <x v="218"/>
    <x v="9"/>
    <s v=""/>
    <s v=""/>
    <s v=""/>
    <s v="Effervescent"/>
    <s v="Stringent"/>
    <x v="0"/>
  </r>
  <r>
    <x v="0"/>
    <x v="5"/>
    <x v="8"/>
    <x v="0"/>
    <s v="Schweppes Streamline Tonic"/>
    <s v=""/>
    <s v=""/>
    <s v="Delightful"/>
    <s v="Smooth"/>
    <x v="17"/>
  </r>
  <r>
    <x v="1"/>
    <x v="5"/>
    <x v="198"/>
    <x v="0"/>
    <s v="Pink Lemonade"/>
    <s v=""/>
    <s v=""/>
    <s v="Sour"/>
    <s v="Erotic"/>
    <x v="10"/>
  </r>
  <r>
    <x v="3"/>
    <x v="5"/>
    <x v="219"/>
    <x v="0"/>
    <s v="Sainsbury's Tonic"/>
    <s v=""/>
    <s v=""/>
    <s v="bitter"/>
    <s v="lingering"/>
    <x v="12"/>
  </r>
  <r>
    <x v="1"/>
    <x v="5"/>
    <x v="19"/>
    <x v="3"/>
    <s v="Pink Lemonade"/>
    <s v=""/>
    <s v=""/>
    <s v="chewy"/>
    <s v="lackadaisical"/>
    <x v="0"/>
  </r>
  <r>
    <x v="15"/>
    <x v="5"/>
    <x v="220"/>
    <x v="9"/>
    <s v=""/>
    <s v=""/>
    <s v=""/>
    <s v="caramelly"/>
    <s v="abominable"/>
    <x v="19"/>
  </r>
  <r>
    <x v="9"/>
    <x v="5"/>
    <x v="193"/>
    <x v="7"/>
    <s v="Pink Lemonade"/>
    <s v=""/>
    <s v=""/>
    <s v="sherbetty"/>
    <s v="joyful"/>
    <x v="2"/>
  </r>
  <r>
    <x v="18"/>
    <x v="5"/>
    <x v="221"/>
    <x v="4"/>
    <s v=""/>
    <s v=""/>
    <s v=""/>
    <s v="surprisingly"/>
    <s v="un-shit"/>
    <x v="10"/>
  </r>
  <r>
    <x v="5"/>
    <x v="5"/>
    <x v="119"/>
    <x v="11"/>
    <s v=""/>
    <s v=""/>
    <s v=""/>
    <s v="bland"/>
    <s v="standard"/>
    <x v="5"/>
  </r>
  <r>
    <x v="6"/>
    <x v="5"/>
    <x v="222"/>
    <x v="1"/>
    <s v=""/>
    <s v=""/>
    <s v=""/>
    <s v="stealthy"/>
    <s v="delicate"/>
    <x v="7"/>
  </r>
  <r>
    <x v="4"/>
    <x v="5"/>
    <x v="223"/>
    <x v="1"/>
    <s v=""/>
    <s v=""/>
    <s v=""/>
    <s v="Rich"/>
    <s v="Textural"/>
    <x v="7"/>
  </r>
  <r>
    <x v="4"/>
    <x v="5"/>
    <x v="224"/>
    <x v="1"/>
    <s v=""/>
    <s v=""/>
    <s v=""/>
    <s v="Turkish"/>
    <s v="Delight"/>
    <x v="3"/>
  </r>
  <r>
    <x v="2"/>
    <x v="5"/>
    <x v="225"/>
    <x v="9"/>
    <s v=""/>
    <s v=""/>
    <s v=""/>
    <s v="golden"/>
    <s v="shanty"/>
    <x v="12"/>
  </r>
  <r>
    <x v="15"/>
    <x v="5"/>
    <x v="226"/>
    <x v="9"/>
    <s v=""/>
    <s v=""/>
    <s v=""/>
    <s v="competent"/>
    <s v="persistent"/>
    <x v="12"/>
  </r>
  <r>
    <x v="9"/>
    <x v="5"/>
    <x v="227"/>
    <x v="0"/>
    <s v="Fever tree Tonic"/>
    <s v=""/>
    <s v=""/>
    <s v="savoury"/>
    <s v="wet"/>
    <x v="7"/>
  </r>
  <r>
    <x v="0"/>
    <x v="5"/>
    <x v="228"/>
    <x v="9"/>
    <s v=""/>
    <s v=""/>
    <s v=""/>
    <s v="Fizzy"/>
    <s v="Sweet"/>
    <x v="3"/>
  </r>
  <r>
    <x v="3"/>
    <x v="5"/>
    <x v="119"/>
    <x v="11"/>
    <s v=""/>
    <s v=""/>
    <s v=""/>
    <s v="fair"/>
    <s v="enlightening"/>
    <x v="7"/>
  </r>
  <r>
    <x v="1"/>
    <x v="5"/>
    <x v="229"/>
    <x v="9"/>
    <s v=""/>
    <s v=""/>
    <s v=""/>
    <s v="palma"/>
    <s v="violets"/>
    <x v="7"/>
  </r>
  <r>
    <x v="15"/>
    <x v="5"/>
    <x v="19"/>
    <x v="3"/>
    <s v="Milk"/>
    <s v="coke"/>
    <s v=""/>
    <s v="scandalous"/>
    <s v="pleasant"/>
    <x v="12"/>
  </r>
  <r>
    <x v="4"/>
    <x v="5"/>
    <x v="230"/>
    <x v="1"/>
    <s v=""/>
    <s v=""/>
    <s v=""/>
    <s v="Nutty"/>
    <s v="Refreshing"/>
    <x v="0"/>
  </r>
  <r>
    <x v="10"/>
    <x v="5"/>
    <x v="231"/>
    <x v="4"/>
    <s v="Lemonade"/>
    <s v=""/>
    <s v=""/>
    <s v="Happy"/>
    <s v="Miserable"/>
    <x v="3"/>
  </r>
  <r>
    <x v="18"/>
    <x v="5"/>
    <x v="232"/>
    <x v="4"/>
    <s v=""/>
    <s v=""/>
    <s v=""/>
    <s v="fucking"/>
    <s v="phenomenal"/>
    <x v="0"/>
  </r>
  <r>
    <x v="19"/>
    <x v="5"/>
    <x v="214"/>
    <x v="10"/>
    <s v=""/>
    <s v=""/>
    <s v=""/>
    <s v="Overly"/>
    <s v="Sweet"/>
    <x v="2"/>
  </r>
  <r>
    <x v="6"/>
    <x v="5"/>
    <x v="233"/>
    <x v="1"/>
    <s v=""/>
    <s v=""/>
    <s v=""/>
    <s v="Weighty"/>
    <s v="Substancial"/>
    <x v="12"/>
  </r>
  <r>
    <x v="1"/>
    <x v="5"/>
    <x v="234"/>
    <x v="9"/>
    <s v=""/>
    <s v=""/>
    <s v=""/>
    <s v="Exciting"/>
    <s v="Chewy"/>
    <x v="2"/>
  </r>
  <r>
    <x v="1"/>
    <x v="5"/>
    <x v="228"/>
    <x v="9"/>
    <s v=""/>
    <s v=""/>
    <s v=""/>
    <s v="Unnecessarily"/>
    <s v="Sickly"/>
    <x v="4"/>
  </r>
  <r>
    <x v="6"/>
    <x v="5"/>
    <x v="235"/>
    <x v="1"/>
    <s v=""/>
    <s v=""/>
    <s v=""/>
    <s v="Herbal"/>
    <s v="Big"/>
    <x v="0"/>
  </r>
  <r>
    <x v="1"/>
    <x v="5"/>
    <x v="8"/>
    <x v="0"/>
    <s v="Pink Lemonade"/>
    <s v=""/>
    <s v=""/>
    <s v="Opaque"/>
    <s v="Sickly"/>
    <x v="12"/>
  </r>
  <r>
    <x v="2"/>
    <x v="5"/>
    <x v="236"/>
    <x v="9"/>
    <s v=""/>
    <s v=""/>
    <s v=""/>
    <s v="Dissappointing"/>
    <s v="Dry"/>
    <x v="12"/>
  </r>
  <r>
    <x v="15"/>
    <x v="5"/>
    <x v="237"/>
    <x v="4"/>
    <s v="Ginger"/>
    <s v="Lime"/>
    <s v=""/>
    <s v="Bright"/>
    <s v="Floaty"/>
    <x v="8"/>
  </r>
  <r>
    <x v="4"/>
    <x v="5"/>
    <x v="238"/>
    <x v="1"/>
    <s v=""/>
    <s v=""/>
    <s v=""/>
    <s v="Oaky"/>
    <s v="Bitter"/>
    <x v="12"/>
  </r>
  <r>
    <x v="3"/>
    <x v="6"/>
    <x v="239"/>
    <x v="1"/>
    <s v=""/>
    <s v=""/>
    <s v=""/>
    <s v="basic"/>
    <s v="drinkable"/>
    <x v="3"/>
  </r>
  <r>
    <x v="2"/>
    <x v="6"/>
    <x v="19"/>
    <x v="3"/>
    <s v="Orange Juice"/>
    <s v=""/>
    <s v=""/>
    <s v="juicy"/>
    <s v="tangy"/>
    <x v="0"/>
  </r>
  <r>
    <x v="3"/>
    <x v="6"/>
    <x v="240"/>
    <x v="1"/>
    <s v=""/>
    <s v=""/>
    <s v=""/>
    <s v="musky"/>
    <s v="Gentle"/>
    <x v="4"/>
  </r>
  <r>
    <x v="1"/>
    <x v="6"/>
    <x v="198"/>
    <x v="0"/>
    <s v="slim line tonic"/>
    <s v=""/>
    <s v="Orange"/>
    <s v="Regal"/>
    <s v="Mediterraniany"/>
    <x v="0"/>
  </r>
  <r>
    <x v="6"/>
    <x v="6"/>
    <x v="241"/>
    <x v="8"/>
    <s v=""/>
    <s v=""/>
    <s v=""/>
    <s v="ok"/>
    <s v="scam"/>
    <x v="10"/>
  </r>
  <r>
    <x v="12"/>
    <x v="6"/>
    <x v="242"/>
    <x v="1"/>
    <s v=""/>
    <s v=""/>
    <s v=""/>
    <s v="Oaty"/>
    <s v="Full-Bodied"/>
    <x v="2"/>
  </r>
  <r>
    <x v="13"/>
    <x v="6"/>
    <x v="243"/>
    <x v="9"/>
    <s v=""/>
    <s v=""/>
    <s v=""/>
    <s v="Fucking"/>
    <s v="Sweet"/>
    <x v="10"/>
  </r>
  <r>
    <x v="12"/>
    <x v="6"/>
    <x v="244"/>
    <x v="1"/>
    <s v=""/>
    <s v=""/>
    <s v=""/>
    <s v="imperial"/>
    <s v="intense"/>
    <x v="0"/>
  </r>
  <r>
    <x v="2"/>
    <x v="6"/>
    <x v="19"/>
    <x v="3"/>
    <s v="Malibu"/>
    <s v="pineapple juice"/>
    <s v=""/>
    <s v="sugary"/>
    <s v="Equatorial"/>
    <x v="2"/>
  </r>
  <r>
    <x v="3"/>
    <x v="6"/>
    <x v="245"/>
    <x v="1"/>
    <s v=""/>
    <s v=""/>
    <s v=""/>
    <s v="Choice"/>
    <s v="Lush"/>
    <x v="2"/>
  </r>
  <r>
    <x v="6"/>
    <x v="6"/>
    <x v="246"/>
    <x v="1"/>
    <s v=""/>
    <s v=""/>
    <s v=""/>
    <s v="Acidic"/>
    <s v="Bold"/>
    <x v="0"/>
  </r>
  <r>
    <x v="1"/>
    <x v="6"/>
    <x v="247"/>
    <x v="1"/>
    <s v=""/>
    <s v=""/>
    <s v=""/>
    <s v="Chewy"/>
    <s v="Metalic"/>
    <x v="12"/>
  </r>
  <r>
    <x v="9"/>
    <x v="6"/>
    <x v="245"/>
    <x v="1"/>
    <s v=""/>
    <s v=""/>
    <s v=""/>
    <s v="Shallow"/>
    <s v="Sweet"/>
    <x v="12"/>
  </r>
  <r>
    <x v="10"/>
    <x v="6"/>
    <x v="245"/>
    <x v="1"/>
    <s v=""/>
    <s v=""/>
    <s v=""/>
    <s v="basicy"/>
    <s v="plain"/>
    <x v="3"/>
  </r>
  <r>
    <x v="2"/>
    <x v="6"/>
    <x v="245"/>
    <x v="1"/>
    <s v=""/>
    <s v=""/>
    <s v=""/>
    <s v="Sappy"/>
    <s v="Over-Simplified"/>
    <x v="2"/>
  </r>
  <r>
    <x v="4"/>
    <x v="6"/>
    <x v="248"/>
    <x v="1"/>
    <s v=""/>
    <s v=""/>
    <s v=""/>
    <s v="masterfly"/>
    <s v="refreshing"/>
    <x v="1"/>
  </r>
  <r>
    <x v="1"/>
    <x v="6"/>
    <x v="249"/>
    <x v="1"/>
    <s v=""/>
    <s v=""/>
    <s v=""/>
    <s v="run-of-the-mill"/>
    <s v="classic"/>
    <x v="12"/>
  </r>
  <r>
    <x v="9"/>
    <x v="6"/>
    <x v="250"/>
    <x v="1"/>
    <s v=""/>
    <s v=""/>
    <s v=""/>
    <s v="bracing"/>
    <s v="enjoyable"/>
    <x v="2"/>
  </r>
  <r>
    <x v="10"/>
    <x v="6"/>
    <x v="250"/>
    <x v="1"/>
    <s v=""/>
    <s v=""/>
    <s v=""/>
    <s v="pleasant"/>
    <s v="friendly"/>
    <x v="2"/>
  </r>
  <r>
    <x v="3"/>
    <x v="6"/>
    <x v="251"/>
    <x v="1"/>
    <s v=""/>
    <s v=""/>
    <s v=""/>
    <s v="red"/>
    <s v="potable"/>
    <x v="8"/>
  </r>
  <r>
    <x v="4"/>
    <x v="6"/>
    <x v="252"/>
    <x v="1"/>
    <s v=""/>
    <s v=""/>
    <s v=""/>
    <s v="nutty"/>
    <s v="brusque"/>
    <x v="7"/>
  </r>
  <r>
    <x v="12"/>
    <x v="6"/>
    <x v="253"/>
    <x v="7"/>
    <s v="Cherry Coke"/>
    <s v=""/>
    <s v=""/>
    <s v="Unfortunately"/>
    <s v="Flat"/>
    <x v="3"/>
  </r>
  <r>
    <x v="9"/>
    <x v="6"/>
    <x v="254"/>
    <x v="1"/>
    <s v=""/>
    <s v=""/>
    <s v=""/>
    <s v="robust"/>
    <s v="interesting"/>
    <x v="7"/>
  </r>
  <r>
    <x v="12"/>
    <x v="6"/>
    <x v="253"/>
    <x v="7"/>
    <s v="Orange Juice"/>
    <s v=""/>
    <s v=""/>
    <s v="Swampy"/>
    <s v="Magic"/>
    <x v="8"/>
  </r>
  <r>
    <x v="10"/>
    <x v="6"/>
    <x v="254"/>
    <x v="1"/>
    <s v=""/>
    <s v=""/>
    <s v=""/>
    <s v="fighty"/>
    <s v="seabound"/>
    <x v="2"/>
  </r>
  <r>
    <x v="2"/>
    <x v="6"/>
    <x v="254"/>
    <x v="1"/>
    <s v=""/>
    <s v=""/>
    <s v=""/>
    <s v="rusty"/>
    <s v="copper"/>
    <x v="3"/>
  </r>
  <r>
    <x v="3"/>
    <x v="6"/>
    <x v="254"/>
    <x v="1"/>
    <s v=""/>
    <s v=""/>
    <s v=""/>
    <s v="Exhuberant"/>
    <s v="exotic"/>
    <x v="1"/>
  </r>
  <r>
    <x v="1"/>
    <x v="6"/>
    <x v="255"/>
    <x v="1"/>
    <s v=""/>
    <s v=""/>
    <s v=""/>
    <s v="complex"/>
    <s v="charcoaled"/>
    <x v="2"/>
  </r>
  <r>
    <x v="4"/>
    <x v="6"/>
    <x v="256"/>
    <x v="1"/>
    <s v=""/>
    <s v=""/>
    <s v=""/>
    <s v="quaint"/>
    <s v="tight"/>
    <x v="2"/>
  </r>
  <r>
    <x v="5"/>
    <x v="6"/>
    <x v="143"/>
    <x v="4"/>
    <s v="ginger ale"/>
    <s v="Lime"/>
    <s v=""/>
    <s v="regrettable"/>
    <s v="ashy"/>
    <x v="5"/>
  </r>
  <r>
    <x v="2"/>
    <x v="6"/>
    <x v="19"/>
    <x v="3"/>
    <s v="Sprite"/>
    <s v="Grenadine"/>
    <s v="Raspberry"/>
    <s v="fruit"/>
    <s v="pastel"/>
    <x v="7"/>
  </r>
  <r>
    <x v="3"/>
    <x v="6"/>
    <x v="257"/>
    <x v="0"/>
    <s v="Tonic Water"/>
    <s v=""/>
    <s v=""/>
    <s v="Herbal"/>
    <s v="Uplifting"/>
    <x v="7"/>
  </r>
  <r>
    <x v="1"/>
    <x v="6"/>
    <x v="10"/>
    <x v="2"/>
    <s v="Smirnoff Vodka"/>
    <s v="Whitley Neal Blood Orange Gin"/>
    <s v="Chocolate Milk"/>
    <s v="velvetty"/>
    <s v="luxurious"/>
    <x v="8"/>
  </r>
  <r>
    <x v="12"/>
    <x v="6"/>
    <x v="253"/>
    <x v="7"/>
    <s v="Cloudy Lemonade"/>
    <s v=""/>
    <s v=""/>
    <s v="Darkly"/>
    <s v="Seductive"/>
    <x v="8"/>
  </r>
  <r>
    <x v="2"/>
    <x v="6"/>
    <x v="193"/>
    <x v="7"/>
    <s v="Whiskey"/>
    <s v="Peach Schnappes"/>
    <s v="Banana + Juices"/>
    <s v="sticky"/>
    <s v="tropic"/>
    <x v="7"/>
  </r>
  <r>
    <x v="10"/>
    <x v="6"/>
    <x v="143"/>
    <x v="4"/>
    <s v="Ginger Ale"/>
    <s v="Lime"/>
    <s v=""/>
    <s v="Progressive"/>
    <s v="Regretful"/>
    <x v="12"/>
  </r>
  <r>
    <x v="10"/>
    <x v="6"/>
    <x v="258"/>
    <x v="1"/>
    <s v=""/>
    <s v=""/>
    <s v=""/>
    <s v="barley"/>
    <s v="insular"/>
    <x v="2"/>
  </r>
  <r>
    <x v="9"/>
    <x v="6"/>
    <x v="258"/>
    <x v="1"/>
    <s v=""/>
    <s v=""/>
    <s v=""/>
    <s v="Punchy"/>
    <s v="Hard"/>
    <x v="0"/>
  </r>
  <r>
    <x v="4"/>
    <x v="6"/>
    <x v="259"/>
    <x v="1"/>
    <s v=""/>
    <s v=""/>
    <s v=""/>
    <s v="Bouyant"/>
    <s v="Illuminating"/>
    <x v="7"/>
  </r>
  <r>
    <x v="1"/>
    <x v="6"/>
    <x v="260"/>
    <x v="4"/>
    <s v="Whitley Neal Blood Orange Gin"/>
    <s v="San Pellegrino Lemon"/>
    <s v=""/>
    <s v="tart"/>
    <s v="zesty"/>
    <x v="12"/>
  </r>
  <r>
    <x v="4"/>
    <x v="6"/>
    <x v="261"/>
    <x v="1"/>
    <s v=""/>
    <s v=""/>
    <s v=""/>
    <s v="tart"/>
    <s v="creamy"/>
    <x v="7"/>
  </r>
  <r>
    <x v="2"/>
    <x v="6"/>
    <x v="262"/>
    <x v="9"/>
    <s v=""/>
    <s v=""/>
    <s v=""/>
    <s v="fine"/>
    <s v="crisp"/>
    <x v="7"/>
  </r>
  <r>
    <x v="4"/>
    <x v="6"/>
    <x v="263"/>
    <x v="3"/>
    <s v=""/>
    <s v=""/>
    <s v=""/>
    <s v="dog"/>
    <s v="shit"/>
    <x v="13"/>
  </r>
  <r>
    <x v="3"/>
    <x v="6"/>
    <x v="264"/>
    <x v="2"/>
    <s v=""/>
    <s v=""/>
    <s v=""/>
    <s v="Aniseed"/>
    <s v="airy"/>
    <x v="10"/>
  </r>
  <r>
    <x v="12"/>
    <x v="6"/>
    <x v="73"/>
    <x v="7"/>
    <s v=""/>
    <s v=""/>
    <s v=""/>
    <s v="lacking"/>
    <s v="pineapple"/>
    <x v="5"/>
  </r>
  <r>
    <x v="2"/>
    <x v="6"/>
    <x v="265"/>
    <x v="3"/>
    <s v=""/>
    <s v=""/>
    <s v=""/>
    <s v="surprisingly"/>
    <s v="sickening"/>
    <x v="5"/>
  </r>
  <r>
    <x v="9"/>
    <x v="6"/>
    <x v="15"/>
    <x v="6"/>
    <s v=""/>
    <s v=""/>
    <s v=""/>
    <s v="fucking"/>
    <s v="delicious"/>
    <x v="0"/>
  </r>
  <r>
    <x v="10"/>
    <x v="6"/>
    <x v="15"/>
    <x v="6"/>
    <s v=""/>
    <s v=""/>
    <s v=""/>
    <s v="accrid"/>
    <s v="luminous"/>
    <x v="11"/>
  </r>
  <r>
    <x v="1"/>
    <x v="6"/>
    <x v="19"/>
    <x v="3"/>
    <s v=""/>
    <s v=""/>
    <s v=""/>
    <s v="vomit"/>
    <s v="inducing"/>
    <x v="13"/>
  </r>
  <r>
    <x v="4"/>
    <x v="6"/>
    <x v="231"/>
    <x v="4"/>
    <s v=""/>
    <s v=""/>
    <s v=""/>
    <s v="comfortably"/>
    <s v="Sweet"/>
    <x v="0"/>
  </r>
  <r>
    <x v="3"/>
    <x v="6"/>
    <x v="121"/>
    <x v="7"/>
    <s v=""/>
    <s v=""/>
    <s v=""/>
    <s v="Warming"/>
    <s v="spicy"/>
    <x v="5"/>
  </r>
  <r>
    <x v="12"/>
    <x v="6"/>
    <x v="184"/>
    <x v="7"/>
    <s v=""/>
    <s v=""/>
    <s v=""/>
    <s v="brutal"/>
    <s v="redeemable"/>
    <x v="10"/>
  </r>
  <r>
    <x v="2"/>
    <x v="6"/>
    <x v="193"/>
    <x v="7"/>
    <s v=""/>
    <s v=""/>
    <s v=""/>
    <s v="honeyed"/>
    <s v="agreeable"/>
    <x v="0"/>
  </r>
  <r>
    <x v="10"/>
    <x v="6"/>
    <x v="266"/>
    <x v="4"/>
    <s v=""/>
    <s v=""/>
    <s v=""/>
    <s v="delicious"/>
    <s v="overly-agreeable"/>
    <x v="0"/>
  </r>
  <r>
    <x v="1"/>
    <x v="6"/>
    <x v="267"/>
    <x v="0"/>
    <s v=""/>
    <s v=""/>
    <s v=""/>
    <s v="rose"/>
    <s v="petals"/>
    <x v="5"/>
  </r>
  <r>
    <x v="3"/>
    <x v="6"/>
    <x v="257"/>
    <x v="0"/>
    <s v="Rubicon Guava"/>
    <s v=""/>
    <s v=""/>
    <s v="Overpowered"/>
    <s v="sickly"/>
    <x v="3"/>
  </r>
  <r>
    <x v="12"/>
    <x v="6"/>
    <x v="173"/>
    <x v="7"/>
    <s v="Red Leg Spiced, Dead Man's Finger Pineapple, Dead Man's Finger Spiced Rum, Captain Morgan's Spiced Rum, Fallen Angel Spiced Rum"/>
    <s v="Cloudy Lemonade"/>
    <s v=""/>
    <s v="Surprising"/>
    <s v="Cohesive"/>
    <x v="2"/>
  </r>
  <r>
    <x v="2"/>
    <x v="6"/>
    <x v="268"/>
    <x v="2"/>
    <s v=""/>
    <s v=""/>
    <s v=""/>
    <s v="caramel"/>
    <s v="pure"/>
    <x v="1"/>
  </r>
  <r>
    <x v="3"/>
    <x v="6"/>
    <x v="269"/>
    <x v="2"/>
    <s v=""/>
    <s v=""/>
    <s v=""/>
    <s v="rich"/>
    <s v="easy"/>
    <x v="0"/>
  </r>
  <r>
    <x v="9"/>
    <x v="6"/>
    <x v="153"/>
    <x v="3"/>
    <s v=""/>
    <s v=""/>
    <s v=""/>
    <s v="refreshing"/>
    <s v="light"/>
    <x v="3"/>
  </r>
  <r>
    <x v="12"/>
    <x v="6"/>
    <x v="253"/>
    <x v="7"/>
    <s v=""/>
    <s v=""/>
    <s v=""/>
    <s v="devlishly"/>
    <s v="hansome"/>
    <x v="12"/>
  </r>
  <r>
    <x v="4"/>
    <x v="6"/>
    <x v="119"/>
    <x v="11"/>
    <s v=""/>
    <s v=""/>
    <s v=""/>
    <s v="Life-giving"/>
    <s v="perfection"/>
    <x v="17"/>
  </r>
  <r>
    <x v="10"/>
    <x v="6"/>
    <x v="153"/>
    <x v="3"/>
    <s v=""/>
    <s v=""/>
    <s v=""/>
    <s v="background"/>
    <s v="soothing"/>
    <x v="10"/>
  </r>
  <r>
    <x v="4"/>
    <x v="6"/>
    <x v="270"/>
    <x v="1"/>
    <s v=""/>
    <s v=""/>
    <s v=""/>
    <s v="aggresively"/>
    <s v="solid"/>
    <x v="12"/>
  </r>
  <r>
    <x v="3"/>
    <x v="6"/>
    <x v="121"/>
    <x v="7"/>
    <s v="Chambord"/>
    <s v=""/>
    <s v=""/>
    <s v="acceptable"/>
    <s v="done"/>
    <x v="11"/>
  </r>
  <r>
    <x v="10"/>
    <x v="6"/>
    <x v="271"/>
    <x v="1"/>
    <s v=""/>
    <s v=""/>
    <s v=""/>
    <s v="Fruity AF"/>
    <s v="Surprising"/>
    <x v="0"/>
  </r>
  <r>
    <x v="12"/>
    <x v="6"/>
    <x v="173"/>
    <x v="7"/>
    <s v=""/>
    <s v=""/>
    <s v=""/>
    <s v="homosexual"/>
    <s v="bombastic"/>
    <x v="1"/>
  </r>
  <r>
    <x v="2"/>
    <x v="6"/>
    <x v="272"/>
    <x v="5"/>
    <s v=""/>
    <s v=""/>
    <s v=""/>
    <s v="bellicose"/>
    <s v="Burning"/>
    <x v="4"/>
  </r>
  <r>
    <x v="9"/>
    <x v="6"/>
    <x v="271"/>
    <x v="1"/>
    <s v=""/>
    <s v=""/>
    <s v=""/>
    <s v="tart"/>
    <s v="delicious"/>
    <x v="0"/>
  </r>
  <r>
    <x v="3"/>
    <x v="6"/>
    <x v="121"/>
    <x v="7"/>
    <s v="diet coke"/>
    <s v=""/>
    <s v=""/>
    <s v="flavourful"/>
    <s v="unexciting"/>
    <x v="12"/>
  </r>
  <r>
    <x v="12"/>
    <x v="6"/>
    <x v="76"/>
    <x v="7"/>
    <s v=""/>
    <s v=""/>
    <s v=""/>
    <s v="beautiful"/>
    <s v="deluxe"/>
    <x v="3"/>
  </r>
  <r>
    <x v="12"/>
    <x v="6"/>
    <x v="273"/>
    <x v="0"/>
    <s v=""/>
    <s v=""/>
    <s v=""/>
    <s v="lemonny"/>
    <s v="vomit"/>
    <x v="19"/>
  </r>
  <r>
    <x v="2"/>
    <x v="6"/>
    <x v="274"/>
    <x v="7"/>
    <s v="Coke"/>
    <s v=""/>
    <s v=""/>
    <s v="abrasive"/>
    <s v="stark"/>
    <x v="11"/>
  </r>
  <r>
    <x v="3"/>
    <x v="6"/>
    <x v="257"/>
    <x v="0"/>
    <s v="Bitter Lemon"/>
    <s v=""/>
    <s v=""/>
    <s v="decietful"/>
    <s v="unpopular"/>
    <x v="11"/>
  </r>
  <r>
    <x v="3"/>
    <x v="6"/>
    <x v="264"/>
    <x v="6"/>
    <s v="diet coke"/>
    <s v=""/>
    <s v=""/>
    <s v="Aniseed"/>
    <s v="unpleasant"/>
    <x v="19"/>
  </r>
  <r>
    <x v="1"/>
    <x v="7"/>
    <x v="275"/>
    <x v="1"/>
    <s v=""/>
    <s v=""/>
    <s v=""/>
    <s v="thick"/>
    <s v="sunshine"/>
    <x v="0"/>
  </r>
  <r>
    <x v="3"/>
    <x v="7"/>
    <x v="111"/>
    <x v="1"/>
    <s v=""/>
    <s v=""/>
    <s v=""/>
    <s v="beginner"/>
    <s v="light"/>
    <x v="2"/>
  </r>
  <r>
    <x v="13"/>
    <x v="7"/>
    <x v="276"/>
    <x v="8"/>
    <s v=""/>
    <s v=""/>
    <s v=""/>
    <s v="Italian"/>
    <s v="grapes"/>
    <x v="7"/>
  </r>
  <r>
    <x v="6"/>
    <x v="7"/>
    <x v="251"/>
    <x v="1"/>
    <s v=""/>
    <s v=""/>
    <s v=""/>
    <s v="passionfruity"/>
    <s v="substantial"/>
    <x v="0"/>
  </r>
  <r>
    <x v="2"/>
    <x v="7"/>
    <x v="277"/>
    <x v="1"/>
    <s v=""/>
    <s v=""/>
    <s v=""/>
    <s v="peppery"/>
    <s v="succulent"/>
    <x v="2"/>
  </r>
  <r>
    <x v="3"/>
    <x v="7"/>
    <x v="277"/>
    <x v="1"/>
    <s v=""/>
    <s v=""/>
    <s v=""/>
    <s v="warming"/>
    <s v="tingly"/>
    <x v="10"/>
  </r>
  <r>
    <x v="15"/>
    <x v="7"/>
    <x v="278"/>
    <x v="6"/>
    <s v=""/>
    <s v=""/>
    <s v=""/>
    <s v="zesty"/>
    <s v="keen"/>
    <x v="3"/>
  </r>
  <r>
    <x v="12"/>
    <x v="7"/>
    <x v="279"/>
    <x v="1"/>
    <s v=""/>
    <s v=""/>
    <s v=""/>
    <s v="chokka"/>
    <s v="blokka"/>
    <x v="2"/>
  </r>
  <r>
    <x v="4"/>
    <x v="7"/>
    <x v="280"/>
    <x v="1"/>
    <s v=""/>
    <s v=""/>
    <s v=""/>
    <s v="rock"/>
    <s v="solid"/>
    <x v="12"/>
  </r>
  <r>
    <x v="3"/>
    <x v="7"/>
    <x v="281"/>
    <x v="1"/>
    <s v=""/>
    <s v=""/>
    <s v=""/>
    <s v="Generic"/>
    <s v="Gentile"/>
    <x v="2"/>
  </r>
  <r>
    <x v="0"/>
    <x v="7"/>
    <x v="282"/>
    <x v="0"/>
    <s v="Tonic Water"/>
    <s v=""/>
    <s v="Orange Peel"/>
    <s v="Syrupy"/>
    <s v="Strong"/>
    <x v="0"/>
  </r>
  <r>
    <x v="13"/>
    <x v="7"/>
    <x v="283"/>
    <x v="0"/>
    <s v="Co-op Berry sparkling"/>
    <s v=""/>
    <s v=""/>
    <s v="Citrusy"/>
    <s v="Lemonic"/>
    <x v="0"/>
  </r>
  <r>
    <x v="5"/>
    <x v="7"/>
    <x v="97"/>
    <x v="9"/>
    <s v=""/>
    <s v=""/>
    <s v=""/>
    <s v="custardy"/>
    <s v="bastardised"/>
    <x v="11"/>
  </r>
  <r>
    <x v="9"/>
    <x v="7"/>
    <x v="284"/>
    <x v="1"/>
    <s v=""/>
    <s v=""/>
    <s v=""/>
    <s v="Toasty"/>
    <s v="Clear"/>
    <x v="2"/>
  </r>
  <r>
    <x v="10"/>
    <x v="7"/>
    <x v="284"/>
    <x v="1"/>
    <s v=""/>
    <s v=""/>
    <s v=""/>
    <s v="thoughtful"/>
    <s v="relaxed"/>
    <x v="12"/>
  </r>
  <r>
    <x v="6"/>
    <x v="7"/>
    <x v="285"/>
    <x v="1"/>
    <s v=""/>
    <s v=""/>
    <s v=""/>
    <s v="Hefty"/>
    <s v="Bitter"/>
    <x v="8"/>
  </r>
  <r>
    <x v="15"/>
    <x v="7"/>
    <x v="102"/>
    <x v="1"/>
    <s v=""/>
    <s v=""/>
    <s v=""/>
    <s v="Viral"/>
    <s v="Dependable"/>
    <x v="7"/>
  </r>
  <r>
    <x v="1"/>
    <x v="7"/>
    <x v="286"/>
    <x v="1"/>
    <s v=""/>
    <s v=""/>
    <s v=""/>
    <s v="Coffee"/>
    <s v="Caramel"/>
    <x v="0"/>
  </r>
  <r>
    <x v="12"/>
    <x v="7"/>
    <x v="287"/>
    <x v="1"/>
    <s v=""/>
    <s v=""/>
    <s v=""/>
    <s v="Thick"/>
    <s v="Veluptuous"/>
    <x v="1"/>
  </r>
  <r>
    <x v="4"/>
    <x v="7"/>
    <x v="288"/>
    <x v="1"/>
    <s v=""/>
    <s v=""/>
    <s v=""/>
    <s v="zesty"/>
    <s v="wonderment"/>
    <x v="0"/>
  </r>
  <r>
    <x v="5"/>
    <x v="7"/>
    <x v="289"/>
    <x v="9"/>
    <s v=""/>
    <s v=""/>
    <s v=""/>
    <s v="basic"/>
    <s v="childish"/>
    <x v="11"/>
  </r>
  <r>
    <x v="2"/>
    <x v="7"/>
    <x v="290"/>
    <x v="9"/>
    <s v=""/>
    <s v=""/>
    <s v=""/>
    <s v="rural"/>
    <s v="refined"/>
    <x v="0"/>
  </r>
  <r>
    <x v="1"/>
    <x v="7"/>
    <x v="291"/>
    <x v="1"/>
    <s v=""/>
    <s v=""/>
    <s v=""/>
    <s v="Confused"/>
    <s v="Multi-Palleted"/>
    <x v="3"/>
  </r>
  <r>
    <x v="3"/>
    <x v="7"/>
    <x v="292"/>
    <x v="1"/>
    <s v=""/>
    <s v=""/>
    <s v=""/>
    <s v="lacking"/>
    <s v="lingering"/>
    <x v="11"/>
  </r>
  <r>
    <x v="3"/>
    <x v="7"/>
    <x v="293"/>
    <x v="3"/>
    <s v=""/>
    <s v=""/>
    <s v=""/>
    <s v="Cleansing"/>
    <s v="Cold"/>
    <x v="3"/>
  </r>
  <r>
    <x v="12"/>
    <x v="7"/>
    <x v="294"/>
    <x v="0"/>
    <s v=""/>
    <s v=""/>
    <s v=""/>
    <s v="Christmassy"/>
    <s v="Magic"/>
    <x v="9"/>
  </r>
  <r>
    <x v="13"/>
    <x v="7"/>
    <x v="294"/>
    <x v="0"/>
    <s v=""/>
    <s v=""/>
    <s v=""/>
    <s v="Santas"/>
    <s v="Sleeve"/>
    <x v="1"/>
  </r>
  <r>
    <x v="18"/>
    <x v="7"/>
    <x v="269"/>
    <x v="2"/>
    <s v=""/>
    <s v=""/>
    <s v=""/>
    <s v="Childhood"/>
    <s v="Illness"/>
    <x v="11"/>
  </r>
  <r>
    <x v="6"/>
    <x v="7"/>
    <x v="295"/>
    <x v="7"/>
    <s v=""/>
    <s v=""/>
    <s v=""/>
    <s v="Lacking"/>
    <s v="Mixer"/>
    <x v="11"/>
  </r>
  <r>
    <x v="19"/>
    <x v="7"/>
    <x v="269"/>
    <x v="2"/>
    <s v=""/>
    <s v=""/>
    <s v=""/>
    <s v="Essentially"/>
    <s v="Calpol"/>
    <x v="2"/>
  </r>
  <r>
    <x v="1"/>
    <x v="7"/>
    <x v="10"/>
    <x v="2"/>
    <s v=""/>
    <s v=""/>
    <s v=""/>
    <s v="Very"/>
    <s v="Coffee"/>
    <x v="3"/>
  </r>
  <r>
    <x v="2"/>
    <x v="7"/>
    <x v="296"/>
    <x v="0"/>
    <s v=""/>
    <s v=""/>
    <s v=""/>
    <s v="Exquisite"/>
    <s v="Burning"/>
    <x v="2"/>
  </r>
  <r>
    <x v="4"/>
    <x v="7"/>
    <x v="128"/>
    <x v="2"/>
    <s v=""/>
    <s v=""/>
    <s v=""/>
    <s v="Aggressively"/>
    <s v="Repugnant"/>
    <x v="5"/>
  </r>
  <r>
    <x v="15"/>
    <x v="7"/>
    <x v="143"/>
    <x v="4"/>
    <s v=""/>
    <s v=""/>
    <s v=""/>
    <s v="Earthy"/>
    <s v="Burning"/>
    <x v="7"/>
  </r>
  <r>
    <x v="9"/>
    <x v="7"/>
    <x v="143"/>
    <x v="4"/>
    <s v="Aromatic Bitters"/>
    <s v=""/>
    <s v=""/>
    <s v="Perfumey"/>
    <s v="Depressing"/>
    <x v="5"/>
  </r>
  <r>
    <x v="10"/>
    <x v="7"/>
    <x v="143"/>
    <x v="4"/>
    <s v="Aromatic Bitters"/>
    <s v=""/>
    <s v=""/>
    <s v="Stoic"/>
    <s v="Aromatic"/>
    <x v="10"/>
  </r>
  <r>
    <x v="18"/>
    <x v="7"/>
    <x v="297"/>
    <x v="1"/>
    <s v=""/>
    <s v=""/>
    <s v=""/>
    <s v="Bland"/>
    <s v="Reliable"/>
    <x v="3"/>
  </r>
  <r>
    <x v="13"/>
    <x v="7"/>
    <x v="298"/>
    <x v="0"/>
    <s v="RobinsonsApple &amp; Blackcurrant"/>
    <s v=""/>
    <s v=""/>
    <s v="citrussy"/>
    <s v="fresh"/>
    <x v="2"/>
  </r>
  <r>
    <x v="6"/>
    <x v="7"/>
    <x v="299"/>
    <x v="1"/>
    <s v=""/>
    <s v=""/>
    <s v=""/>
    <s v="resonous"/>
    <s v="bold"/>
    <x v="2"/>
  </r>
  <r>
    <x v="15"/>
    <x v="7"/>
    <x v="102"/>
    <x v="1"/>
    <s v="HoochLemon"/>
    <s v=""/>
    <s v="Haribo"/>
    <s v="Flacid"/>
    <s v="Pissy"/>
    <x v="11"/>
  </r>
  <r>
    <x v="2"/>
    <x v="7"/>
    <x v="193"/>
    <x v="7"/>
    <s v="Pineapple Juice"/>
    <s v="Coconut Milk"/>
    <s v=""/>
    <s v="Candied"/>
    <s v="Lush"/>
    <x v="0"/>
  </r>
  <r>
    <x v="3"/>
    <x v="7"/>
    <x v="300"/>
    <x v="1"/>
    <s v=""/>
    <s v=""/>
    <s v=""/>
    <s v="claggy"/>
    <s v="there"/>
    <x v="4"/>
  </r>
  <r>
    <x v="9"/>
    <x v="7"/>
    <x v="69"/>
    <x v="1"/>
    <s v=""/>
    <s v=""/>
    <s v=""/>
    <s v="Airy"/>
    <s v="Sharp"/>
    <x v="2"/>
  </r>
  <r>
    <x v="4"/>
    <x v="7"/>
    <x v="301"/>
    <x v="1"/>
    <s v=""/>
    <s v=""/>
    <s v=""/>
    <s v="Appropriately"/>
    <s v="Dark"/>
    <x v="0"/>
  </r>
  <r>
    <x v="13"/>
    <x v="7"/>
    <x v="302"/>
    <x v="0"/>
    <s v="Coop Lemon and Lime sparkling"/>
    <s v=""/>
    <s v=""/>
    <s v="cucumbering"/>
    <s v="Refreshing"/>
    <x v="3"/>
  </r>
  <r>
    <x v="10"/>
    <x v="7"/>
    <x v="69"/>
    <x v="1"/>
    <s v=""/>
    <s v=""/>
    <s v=""/>
    <s v="chalky"/>
    <s v="Open-celled"/>
    <x v="3"/>
  </r>
  <r>
    <x v="15"/>
    <x v="7"/>
    <x v="303"/>
    <x v="9"/>
    <s v=""/>
    <s v=""/>
    <s v=""/>
    <s v="Substantial"/>
    <s v="Boundless"/>
    <x v="9"/>
  </r>
  <r>
    <x v="5"/>
    <x v="7"/>
    <x v="304"/>
    <x v="1"/>
    <s v=""/>
    <s v=""/>
    <s v=""/>
    <s v="refreshing"/>
    <s v="gassy"/>
    <x v="2"/>
  </r>
  <r>
    <x v="12"/>
    <x v="7"/>
    <x v="305"/>
    <x v="1"/>
    <s v=""/>
    <s v=""/>
    <s v=""/>
    <s v="viscous"/>
    <s v="satisfying"/>
    <x v="0"/>
  </r>
  <r>
    <x v="18"/>
    <x v="7"/>
    <x v="306"/>
    <x v="3"/>
    <s v=""/>
    <s v=""/>
    <s v=""/>
    <s v="Perky"/>
    <s v="syrupy"/>
    <x v="11"/>
  </r>
  <r>
    <x v="6"/>
    <x v="7"/>
    <x v="307"/>
    <x v="1"/>
    <s v=""/>
    <s v=""/>
    <s v=""/>
    <s v="Dissappointing"/>
    <s v="underwhelming"/>
    <x v="4"/>
  </r>
  <r>
    <x v="3"/>
    <x v="7"/>
    <x v="308"/>
    <x v="1"/>
    <s v=""/>
    <s v=""/>
    <s v=""/>
    <s v="palatable"/>
    <s v="typical"/>
    <x v="12"/>
  </r>
  <r>
    <x v="5"/>
    <x v="7"/>
    <x v="304"/>
    <x v="1"/>
    <s v="Schweppes Diet Lemonade"/>
    <s v=""/>
    <s v=""/>
    <s v="Sweet"/>
    <s v="Unpleasant"/>
    <x v="6"/>
  </r>
  <r>
    <x v="1"/>
    <x v="7"/>
    <x v="309"/>
    <x v="9"/>
    <s v=""/>
    <s v=""/>
    <s v=""/>
    <s v="Tantalisingly"/>
    <s v="Evocative"/>
    <x v="2"/>
  </r>
  <r>
    <x v="4"/>
    <x v="7"/>
    <x v="310"/>
    <x v="1"/>
    <s v=""/>
    <s v=""/>
    <s v=""/>
    <s v="Artsanal"/>
    <s v="Mediocrity"/>
    <x v="11"/>
  </r>
  <r>
    <x v="15"/>
    <x v="7"/>
    <x v="262"/>
    <x v="9"/>
    <s v=""/>
    <s v=""/>
    <s v=""/>
    <s v="gratifying"/>
    <s v="ambrosial"/>
    <x v="0"/>
  </r>
  <r>
    <x v="9"/>
    <x v="7"/>
    <x v="130"/>
    <x v="1"/>
    <s v=""/>
    <s v=""/>
    <s v=""/>
    <s v="sweet"/>
    <s v="there"/>
    <x v="3"/>
  </r>
  <r>
    <x v="10"/>
    <x v="7"/>
    <x v="130"/>
    <x v="1"/>
    <s v=""/>
    <s v=""/>
    <s v=""/>
    <s v="uneventful"/>
    <s v="classic"/>
    <x v="4"/>
  </r>
  <r>
    <x v="2"/>
    <x v="7"/>
    <x v="311"/>
    <x v="9"/>
    <s v=""/>
    <s v=""/>
    <s v=""/>
    <s v="primal"/>
    <s v="biological"/>
    <x v="2"/>
  </r>
  <r>
    <x v="3"/>
    <x v="7"/>
    <x v="312"/>
    <x v="8"/>
    <s v=""/>
    <s v=""/>
    <s v=""/>
    <s v="deep"/>
    <s v="ruminating"/>
    <x v="2"/>
  </r>
  <r>
    <x v="1"/>
    <x v="7"/>
    <x v="313"/>
    <x v="0"/>
    <s v="Asda Xtra Special Rhubarb and Ginger Gin Liqueur"/>
    <s v="Tonic Water"/>
    <s v=""/>
    <s v="playful"/>
    <s v="bouncy"/>
    <x v="7"/>
  </r>
  <r>
    <x v="18"/>
    <x v="7"/>
    <x v="314"/>
    <x v="1"/>
    <s v=""/>
    <s v=""/>
    <s v=""/>
    <s v="Juicy"/>
    <s v="Exciting"/>
    <x v="0"/>
  </r>
  <r>
    <x v="19"/>
    <x v="7"/>
    <x v="306"/>
    <x v="3"/>
    <s v=""/>
    <s v=""/>
    <s v=""/>
    <s v="Sticky"/>
    <s v="Dissapointment"/>
    <x v="11"/>
  </r>
  <r>
    <x v="19"/>
    <x v="7"/>
    <x v="306"/>
    <x v="3"/>
    <s v="cream"/>
    <s v=""/>
    <s v=""/>
    <s v="Creamy"/>
    <s v="Dissapointment"/>
    <x v="10"/>
  </r>
  <r>
    <x v="18"/>
    <x v="7"/>
    <x v="306"/>
    <x v="3"/>
    <s v="cream"/>
    <s v=""/>
    <s v=""/>
    <s v="Clotted"/>
    <s v="Failure"/>
    <x v="10"/>
  </r>
  <r>
    <x v="9"/>
    <x v="7"/>
    <x v="45"/>
    <x v="1"/>
    <s v=""/>
    <s v=""/>
    <s v=""/>
    <s v="Herby"/>
    <s v="Fragile"/>
    <x v="3"/>
  </r>
  <r>
    <x v="10"/>
    <x v="7"/>
    <x v="45"/>
    <x v="1"/>
    <s v=""/>
    <s v=""/>
    <s v=""/>
    <s v="Hoppy"/>
    <s v="classic"/>
    <x v="2"/>
  </r>
  <r>
    <x v="4"/>
    <x v="7"/>
    <x v="315"/>
    <x v="1"/>
    <s v=""/>
    <s v=""/>
    <s v=""/>
    <s v="Generic"/>
    <s v="Slop"/>
    <x v="15"/>
  </r>
  <r>
    <x v="2"/>
    <x v="7"/>
    <x v="316"/>
    <x v="7"/>
    <s v=""/>
    <s v=""/>
    <s v=""/>
    <s v="riotous"/>
    <s v="discordant"/>
    <x v="4"/>
  </r>
  <r>
    <x v="3"/>
    <x v="7"/>
    <x v="317"/>
    <x v="6"/>
    <s v=""/>
    <s v=""/>
    <s v=""/>
    <s v="Pure"/>
    <s v="Filth"/>
    <x v="13"/>
  </r>
  <r>
    <x v="1"/>
    <x v="7"/>
    <x v="318"/>
    <x v="4"/>
    <s v=""/>
    <s v=""/>
    <s v=""/>
    <s v="Salty"/>
    <s v="Aftertaste"/>
    <x v="3"/>
  </r>
  <r>
    <x v="12"/>
    <x v="7"/>
    <x v="319"/>
    <x v="4"/>
    <s v=""/>
    <s v=""/>
    <s v=""/>
    <s v="Sweet"/>
    <s v="Seductive"/>
    <x v="0"/>
  </r>
  <r>
    <x v="6"/>
    <x v="7"/>
    <x v="193"/>
    <x v="7"/>
    <s v=""/>
    <s v=""/>
    <s v=""/>
    <s v="Sugary"/>
    <s v="Paradise"/>
    <x v="12"/>
  </r>
  <r>
    <x v="15"/>
    <x v="7"/>
    <x v="320"/>
    <x v="4"/>
    <s v=""/>
    <s v=""/>
    <s v=""/>
    <s v="Vitriolic"/>
    <s v="Awful"/>
    <x v="13"/>
  </r>
  <r>
    <x v="9"/>
    <x v="7"/>
    <x v="15"/>
    <x v="6"/>
    <s v="JJ Whitley Watermelon &amp; ime Vodka"/>
    <s v=""/>
    <s v=""/>
    <s v="Brisk"/>
    <s v="Reality"/>
    <x v="3"/>
  </r>
  <r>
    <x v="10"/>
    <x v="7"/>
    <x v="15"/>
    <x v="6"/>
    <s v=""/>
    <s v=""/>
    <s v=""/>
    <s v="Harsh"/>
    <s v="Newness"/>
    <x v="2"/>
  </r>
  <r>
    <x v="4"/>
    <x v="7"/>
    <x v="321"/>
    <x v="6"/>
    <s v=""/>
    <s v=""/>
    <s v=""/>
    <s v="Endless"/>
    <s v="Trash"/>
    <x v="13"/>
  </r>
  <r>
    <x v="1"/>
    <x v="7"/>
    <x v="322"/>
    <x v="1"/>
    <s v=""/>
    <s v=""/>
    <s v=""/>
    <s v="Sweet"/>
    <s v="amber"/>
    <x v="12"/>
  </r>
  <r>
    <x v="6"/>
    <x v="7"/>
    <x v="295"/>
    <x v="7"/>
    <s v="diet coke"/>
    <s v=""/>
    <s v=""/>
    <s v="Standard"/>
    <s v="Sesh"/>
    <x v="12"/>
  </r>
  <r>
    <x v="18"/>
    <x v="7"/>
    <x v="323"/>
    <x v="1"/>
    <s v=""/>
    <s v=""/>
    <s v=""/>
    <s v="Beautiful"/>
    <s v="Days"/>
    <x v="17"/>
  </r>
  <r>
    <x v="12"/>
    <x v="7"/>
    <x v="121"/>
    <x v="7"/>
    <s v="Apple &amp; Raspberry"/>
    <s v=""/>
    <s v=""/>
    <s v="Nice"/>
    <s v="Pleasant"/>
    <x v="3"/>
  </r>
  <r>
    <x v="15"/>
    <x v="7"/>
    <x v="324"/>
    <x v="9"/>
    <s v=""/>
    <s v=""/>
    <s v=""/>
    <s v="Resolute"/>
    <s v="Appreciable"/>
    <x v="12"/>
  </r>
  <r>
    <x v="10"/>
    <x v="7"/>
    <x v="325"/>
    <x v="1"/>
    <s v=""/>
    <s v=""/>
    <s v=""/>
    <s v="Middling"/>
    <s v="Wholesome"/>
    <x v="2"/>
  </r>
  <r>
    <x v="12"/>
    <x v="7"/>
    <x v="121"/>
    <x v="7"/>
    <s v="Koppaberg Alcohol Free Berries"/>
    <s v=""/>
    <s v=""/>
    <s v="Saccarin"/>
    <s v="Corking"/>
    <x v="0"/>
  </r>
  <r>
    <x v="18"/>
    <x v="7"/>
    <x v="326"/>
    <x v="1"/>
    <s v=""/>
    <s v=""/>
    <s v=""/>
    <s v="comfortably"/>
    <s v="Foxy"/>
    <x v="2"/>
  </r>
  <r>
    <x v="2"/>
    <x v="7"/>
    <x v="67"/>
    <x v="9"/>
    <s v=""/>
    <s v=""/>
    <s v=""/>
    <s v="tender"/>
    <s v="Ubiquitous"/>
    <x v="12"/>
  </r>
  <r>
    <x v="6"/>
    <x v="7"/>
    <x v="295"/>
    <x v="7"/>
    <s v="slim line tonic"/>
    <s v=""/>
    <s v=""/>
    <s v="terrible"/>
    <s v="Mistake"/>
    <x v="15"/>
  </r>
  <r>
    <x v="3"/>
    <x v="7"/>
    <x v="293"/>
    <x v="3"/>
    <s v="Aldi Blood Orange Soda"/>
    <s v=""/>
    <s v=""/>
    <s v="Chemical"/>
    <s v="Easy"/>
    <x v="15"/>
  </r>
  <r>
    <x v="12"/>
    <x v="7"/>
    <x v="327"/>
    <x v="11"/>
    <s v=""/>
    <s v=""/>
    <s v=""/>
    <s v="sunripened"/>
    <s v="tasty"/>
    <x v="2"/>
  </r>
  <r>
    <x v="18"/>
    <x v="7"/>
    <x v="72"/>
    <x v="1"/>
    <s v=""/>
    <s v=""/>
    <s v=""/>
    <s v="spiky"/>
    <s v="bollocks"/>
    <x v="0"/>
  </r>
  <r>
    <x v="15"/>
    <x v="7"/>
    <x v="328"/>
    <x v="9"/>
    <s v=""/>
    <s v=""/>
    <s v=""/>
    <s v="funky"/>
    <s v="Burley"/>
    <x v="10"/>
  </r>
  <r>
    <x v="6"/>
    <x v="7"/>
    <x v="43"/>
    <x v="0"/>
    <s v=""/>
    <s v=""/>
    <s v=""/>
    <s v="No"/>
    <s v="Thankyou"/>
    <x v="13"/>
  </r>
  <r>
    <x v="2"/>
    <x v="7"/>
    <x v="329"/>
    <x v="9"/>
    <s v=""/>
    <s v=""/>
    <s v=""/>
    <s v="Stale"/>
    <s v="Baron"/>
    <x v="15"/>
  </r>
  <r>
    <x v="12"/>
    <x v="7"/>
    <x v="136"/>
    <x v="2"/>
    <s v=""/>
    <s v=""/>
    <s v=""/>
    <s v="surprising"/>
    <s v="comfort"/>
    <x v="2"/>
  </r>
  <r>
    <x v="10"/>
    <x v="7"/>
    <x v="325"/>
    <x v="1"/>
    <s v="JJ Whitley Watermelon &amp; ime Vodka"/>
    <s v=""/>
    <s v=""/>
    <s v="aggressive"/>
    <s v="dissapointing"/>
    <x v="5"/>
  </r>
  <r>
    <x v="6"/>
    <x v="7"/>
    <x v="325"/>
    <x v="1"/>
    <s v=""/>
    <s v=""/>
    <s v=""/>
    <s v="Economic"/>
    <s v="Delight"/>
    <x v="2"/>
  </r>
  <r>
    <x v="15"/>
    <x v="7"/>
    <x v="290"/>
    <x v="9"/>
    <s v=""/>
    <s v=""/>
    <s v=""/>
    <s v="Just"/>
    <s v="Bad"/>
    <x v="13"/>
  </r>
  <r>
    <x v="1"/>
    <x v="7"/>
    <x v="313"/>
    <x v="0"/>
    <s v=""/>
    <s v=""/>
    <s v=""/>
    <s v="Progressive"/>
    <s v="Unsettling"/>
    <x v="4"/>
  </r>
  <r>
    <x v="18"/>
    <x v="7"/>
    <x v="19"/>
    <x v="3"/>
    <s v="Kalua"/>
    <s v="Milk"/>
    <s v="Strawberry Nesquik"/>
    <s v="sweet"/>
    <s v="Alabama"/>
    <x v="7"/>
  </r>
  <r>
    <x v="3"/>
    <x v="7"/>
    <x v="293"/>
    <x v="3"/>
    <s v="Sainsbury's Tonic"/>
    <s v=""/>
    <s v=""/>
    <s v="pretty"/>
    <s v="decent"/>
    <x v="7"/>
  </r>
  <r>
    <x v="15"/>
    <x v="7"/>
    <x v="330"/>
    <x v="2"/>
    <s v=""/>
    <s v=""/>
    <s v=""/>
    <s v="Sweet"/>
    <s v="Bitter"/>
    <x v="3"/>
  </r>
  <r>
    <x v="3"/>
    <x v="8"/>
    <x v="331"/>
    <x v="1"/>
    <s v=""/>
    <s v=""/>
    <s v=""/>
    <s v="Easy"/>
    <s v="Going"/>
    <x v="12"/>
  </r>
  <r>
    <x v="2"/>
    <x v="8"/>
    <x v="332"/>
    <x v="9"/>
    <s v=""/>
    <s v=""/>
    <s v=""/>
    <s v="Affable"/>
    <s v="Hearty"/>
    <x v="8"/>
  </r>
  <r>
    <x v="6"/>
    <x v="8"/>
    <x v="333"/>
    <x v="1"/>
    <s v=""/>
    <s v=""/>
    <s v=""/>
    <s v="Light"/>
    <s v="sessionable"/>
    <x v="3"/>
  </r>
  <r>
    <x v="10"/>
    <x v="8"/>
    <x v="41"/>
    <x v="1"/>
    <s v=""/>
    <s v=""/>
    <s v=""/>
    <s v="cheerful"/>
    <s v="refreshing"/>
    <x v="3"/>
  </r>
  <r>
    <x v="9"/>
    <x v="8"/>
    <x v="334"/>
    <x v="1"/>
    <s v=""/>
    <s v=""/>
    <s v=""/>
    <s v="Bitter"/>
    <s v="Sickly"/>
    <x v="11"/>
  </r>
  <r>
    <x v="5"/>
    <x v="8"/>
    <x v="333"/>
    <x v="1"/>
    <s v=""/>
    <s v=""/>
    <s v=""/>
    <s v="crisp"/>
    <s v="light"/>
    <x v="2"/>
  </r>
  <r>
    <x v="20"/>
    <x v="8"/>
    <x v="335"/>
    <x v="3"/>
    <s v="Strawberry"/>
    <s v="Passion Fruit"/>
    <s v=""/>
    <s v="refreshing"/>
    <s v="filling"/>
    <x v="8"/>
  </r>
  <r>
    <x v="21"/>
    <x v="8"/>
    <x v="336"/>
    <x v="4"/>
    <s v=""/>
    <s v=""/>
    <s v=""/>
    <s v="clean"/>
    <s v="firey"/>
    <x v="1"/>
  </r>
  <r>
    <x v="1"/>
    <x v="8"/>
    <x v="68"/>
    <x v="1"/>
    <s v=""/>
    <s v=""/>
    <s v=""/>
    <s v="berrocca"/>
    <s v="plus"/>
    <x v="12"/>
  </r>
  <r>
    <x v="3"/>
    <x v="8"/>
    <x v="337"/>
    <x v="1"/>
    <s v=""/>
    <s v=""/>
    <s v=""/>
    <s v="Boring"/>
    <s v="Dependable"/>
    <x v="2"/>
  </r>
  <r>
    <x v="4"/>
    <x v="8"/>
    <x v="338"/>
    <x v="1"/>
    <s v=""/>
    <s v=""/>
    <s v=""/>
    <s v="malty"/>
    <s v="nuanced"/>
    <x v="1"/>
  </r>
  <r>
    <x v="6"/>
    <x v="8"/>
    <x v="339"/>
    <x v="1"/>
    <s v=""/>
    <s v=""/>
    <s v=""/>
    <s v="citrussy"/>
    <s v="dense"/>
    <x v="7"/>
  </r>
  <r>
    <x v="20"/>
    <x v="8"/>
    <x v="340"/>
    <x v="1"/>
    <s v=""/>
    <s v=""/>
    <s v=""/>
    <s v="bitter"/>
    <s v="homely"/>
    <x v="2"/>
  </r>
  <r>
    <x v="1"/>
    <x v="8"/>
    <x v="69"/>
    <x v="1"/>
    <s v=""/>
    <s v=""/>
    <s v=""/>
    <s v="subtle"/>
    <s v="citrus"/>
    <x v="2"/>
  </r>
  <r>
    <x v="3"/>
    <x v="8"/>
    <x v="341"/>
    <x v="1"/>
    <s v=""/>
    <s v=""/>
    <s v=""/>
    <s v="Haemotastic"/>
    <s v="Metalic"/>
    <x v="15"/>
  </r>
  <r>
    <x v="5"/>
    <x v="8"/>
    <x v="121"/>
    <x v="7"/>
    <s v="Cherry Pepsi Max"/>
    <s v=""/>
    <s v=""/>
    <s v="Sweet"/>
    <s v="Delicious"/>
    <x v="0"/>
  </r>
  <r>
    <x v="5"/>
    <x v="8"/>
    <x v="342"/>
    <x v="6"/>
    <s v=""/>
    <s v=""/>
    <s v=""/>
    <s v="weak"/>
    <s v="pathertic"/>
    <x v="5"/>
  </r>
  <r>
    <x v="21"/>
    <x v="8"/>
    <x v="340"/>
    <x v="1"/>
    <s v=""/>
    <s v=""/>
    <s v=""/>
    <s v="full-bodied"/>
    <s v="rich (for a lager)"/>
    <x v="2"/>
  </r>
  <r>
    <x v="2"/>
    <x v="8"/>
    <x v="343"/>
    <x v="9"/>
    <s v=""/>
    <s v=""/>
    <s v=""/>
    <s v="trendy"/>
    <s v="foggy"/>
    <x v="3"/>
  </r>
  <r>
    <x v="9"/>
    <x v="8"/>
    <x v="344"/>
    <x v="1"/>
    <s v=""/>
    <s v=""/>
    <s v=""/>
    <s v="Underwhelming"/>
    <s v="Dull"/>
    <x v="11"/>
  </r>
  <r>
    <x v="4"/>
    <x v="8"/>
    <x v="345"/>
    <x v="4"/>
    <s v=""/>
    <s v=""/>
    <s v=""/>
    <s v="Satisfyingly"/>
    <s v="burny"/>
    <x v="8"/>
  </r>
  <r>
    <x v="4"/>
    <x v="8"/>
    <x v="346"/>
    <x v="1"/>
    <s v=""/>
    <s v=""/>
    <s v=""/>
    <s v="Gorgeously"/>
    <s v="Golden"/>
    <x v="0"/>
  </r>
  <r>
    <x v="6"/>
    <x v="8"/>
    <x v="347"/>
    <x v="1"/>
    <s v=""/>
    <s v=""/>
    <s v=""/>
    <s v="Silky"/>
    <s v="Bitter"/>
    <x v="8"/>
  </r>
  <r>
    <x v="2"/>
    <x v="8"/>
    <x v="348"/>
    <x v="2"/>
    <s v=""/>
    <s v=""/>
    <s v=""/>
    <s v="absolutely"/>
    <s v="gorgeous"/>
    <x v="9"/>
  </r>
  <r>
    <x v="3"/>
    <x v="8"/>
    <x v="349"/>
    <x v="0"/>
    <s v=""/>
    <s v=""/>
    <s v=""/>
    <s v="herbal"/>
    <s v="perppery"/>
    <x v="3"/>
  </r>
  <r>
    <x v="6"/>
    <x v="8"/>
    <x v="65"/>
    <x v="2"/>
    <s v=""/>
    <s v=""/>
    <s v=""/>
    <s v="Taste"/>
    <s v="Sensation"/>
    <x v="8"/>
  </r>
  <r>
    <x v="10"/>
    <x v="8"/>
    <x v="350"/>
    <x v="3"/>
    <s v="Sprite"/>
    <s v=""/>
    <s v=""/>
    <s v="upsetting"/>
    <s v="excessive"/>
    <x v="10"/>
  </r>
  <r>
    <x v="9"/>
    <x v="8"/>
    <x v="350"/>
    <x v="3"/>
    <s v="Sprite"/>
    <s v=""/>
    <s v=""/>
    <s v="cleansing"/>
    <s v="sad"/>
    <x v="11"/>
  </r>
  <r>
    <x v="1"/>
    <x v="8"/>
    <x v="351"/>
    <x v="6"/>
    <s v=""/>
    <s v=""/>
    <s v=""/>
    <s v="minty"/>
    <s v="hell"/>
    <x v="19"/>
  </r>
  <r>
    <x v="5"/>
    <x v="8"/>
    <x v="352"/>
    <x v="6"/>
    <s v=""/>
    <s v=""/>
    <s v=""/>
    <s v="hideous"/>
    <s v="plasticinesque"/>
    <x v="13"/>
  </r>
  <r>
    <x v="20"/>
    <x v="8"/>
    <x v="19"/>
    <x v="3"/>
    <s v=""/>
    <s v=""/>
    <s v=""/>
    <s v="Grim"/>
    <s v="Firey"/>
    <x v="11"/>
  </r>
  <r>
    <x v="13"/>
    <x v="8"/>
    <x v="353"/>
    <x v="0"/>
    <s v=""/>
    <s v=""/>
    <s v=""/>
    <s v="decieving"/>
    <s v="acidic"/>
    <x v="0"/>
  </r>
  <r>
    <x v="12"/>
    <x v="8"/>
    <x v="354"/>
    <x v="7"/>
    <s v=""/>
    <s v=""/>
    <s v=""/>
    <s v="hardcore"/>
    <s v="punchy"/>
    <x v="12"/>
  </r>
  <r>
    <x v="5"/>
    <x v="8"/>
    <x v="355"/>
    <x v="1"/>
    <s v=""/>
    <s v=""/>
    <s v=""/>
    <s v="hoppy"/>
    <s v="spicy"/>
    <x v="10"/>
  </r>
  <r>
    <x v="10"/>
    <x v="8"/>
    <x v="356"/>
    <x v="1"/>
    <s v=""/>
    <s v=""/>
    <s v=""/>
    <s v="colonial"/>
    <s v="opressive"/>
    <x v="2"/>
  </r>
  <r>
    <x v="2"/>
    <x v="8"/>
    <x v="357"/>
    <x v="9"/>
    <s v=""/>
    <s v=""/>
    <s v=""/>
    <s v="lively"/>
    <s v="caper"/>
    <x v="7"/>
  </r>
  <r>
    <x v="1"/>
    <x v="8"/>
    <x v="358"/>
    <x v="4"/>
    <s v="Irn Bru"/>
    <s v=""/>
    <s v="Pickled Onion Monster Munch"/>
    <s v="unexpectedly"/>
    <s v="incredible"/>
    <x v="1"/>
  </r>
  <r>
    <x v="13"/>
    <x v="8"/>
    <x v="193"/>
    <x v="7"/>
    <s v="Pineapple Juice"/>
    <s v="Lemonade"/>
    <s v=""/>
    <s v="Sunshiney"/>
    <s v="Libbyesque"/>
    <x v="0"/>
  </r>
  <r>
    <x v="9"/>
    <x v="8"/>
    <x v="112"/>
    <x v="1"/>
    <s v=""/>
    <s v=""/>
    <s v=""/>
    <s v="Festivaly"/>
    <s v="Nourishing"/>
    <x v="0"/>
  </r>
  <r>
    <x v="1"/>
    <x v="8"/>
    <x v="359"/>
    <x v="0"/>
    <s v="Pepsi Max Ginger"/>
    <s v=""/>
    <s v="Cellery"/>
    <s v="rooty"/>
    <s v="heaven"/>
    <x v="0"/>
  </r>
  <r>
    <x v="4"/>
    <x v="8"/>
    <x v="360"/>
    <x v="8"/>
    <s v=""/>
    <s v=""/>
    <s v=""/>
    <s v="trash-tier"/>
    <s v="garbo"/>
    <x v="14"/>
  </r>
  <r>
    <x v="3"/>
    <x v="8"/>
    <x v="361"/>
    <x v="1"/>
    <s v=""/>
    <s v=""/>
    <s v=""/>
    <s v="throaty"/>
    <s v="dissapointing"/>
    <x v="6"/>
  </r>
  <r>
    <x v="12"/>
    <x v="8"/>
    <x v="362"/>
    <x v="1"/>
    <s v=""/>
    <s v=""/>
    <s v=""/>
    <s v="Bold"/>
    <s v="Unsurprising"/>
    <x v="2"/>
  </r>
  <r>
    <x v="5"/>
    <x v="8"/>
    <x v="363"/>
    <x v="1"/>
    <s v=""/>
    <s v=""/>
    <s v=""/>
    <s v="mouthwatering"/>
    <s v="tantilising"/>
    <x v="0"/>
  </r>
  <r>
    <x v="8"/>
    <x v="8"/>
    <x v="364"/>
    <x v="1"/>
    <s v=""/>
    <s v=""/>
    <s v=""/>
    <s v="acidic"/>
    <s v="nostalgic"/>
    <x v="7"/>
  </r>
  <r>
    <x v="12"/>
    <x v="8"/>
    <x v="365"/>
    <x v="1"/>
    <s v=""/>
    <s v=""/>
    <s v=""/>
    <s v="risably"/>
    <s v="nonsensicle"/>
    <x v="4"/>
  </r>
  <r>
    <x v="10"/>
    <x v="8"/>
    <x v="112"/>
    <x v="1"/>
    <s v=""/>
    <s v=""/>
    <s v=""/>
    <s v="Mildly-exotic"/>
    <s v="sunny"/>
    <x v="12"/>
  </r>
  <r>
    <x v="6"/>
    <x v="8"/>
    <x v="206"/>
    <x v="1"/>
    <s v=""/>
    <s v=""/>
    <s v=""/>
    <s v="Tangy"/>
    <s v="Genius"/>
    <x v="1"/>
  </r>
  <r>
    <x v="21"/>
    <x v="8"/>
    <x v="83"/>
    <x v="0"/>
    <s v="Hot Nandos Sauce"/>
    <s v=""/>
    <s v="Jalopeno"/>
    <s v="super"/>
    <s v="inspiring"/>
    <x v="2"/>
  </r>
  <r>
    <x v="4"/>
    <x v="8"/>
    <x v="366"/>
    <x v="1"/>
    <s v=""/>
    <s v=""/>
    <s v=""/>
    <s v="Confusingly"/>
    <s v="Liquoricy"/>
    <x v="11"/>
  </r>
  <r>
    <x v="1"/>
    <x v="8"/>
    <x v="319"/>
    <x v="4"/>
    <s v="Raspberry Lemonade"/>
    <s v=""/>
    <s v="Chocolate flakes"/>
    <s v="spring"/>
    <s v="joy"/>
    <x v="2"/>
  </r>
  <r>
    <x v="4"/>
    <x v="8"/>
    <x v="367"/>
    <x v="1"/>
    <s v=""/>
    <s v=""/>
    <s v=""/>
    <s v="Acceptably"/>
    <s v="Generic"/>
    <x v="12"/>
  </r>
  <r>
    <x v="1"/>
    <x v="8"/>
    <x v="368"/>
    <x v="1"/>
    <s v="Sipsmith's Gin"/>
    <s v=""/>
    <s v=""/>
    <s v="explosive"/>
    <s v="manageable"/>
    <x v="15"/>
  </r>
  <r>
    <x v="5"/>
    <x v="8"/>
    <x v="369"/>
    <x v="1"/>
    <s v=""/>
    <s v=""/>
    <s v=""/>
    <s v="Fruity"/>
    <s v="Soft"/>
    <x v="8"/>
  </r>
  <r>
    <x v="3"/>
    <x v="8"/>
    <x v="370"/>
    <x v="1"/>
    <s v=""/>
    <s v=""/>
    <s v=""/>
    <s v="wholesome"/>
    <s v="heavy"/>
    <x v="12"/>
  </r>
  <r>
    <x v="9"/>
    <x v="8"/>
    <x v="371"/>
    <x v="1"/>
    <s v=""/>
    <s v=""/>
    <s v=""/>
    <s v="Musty"/>
    <s v="Intreaguing"/>
    <x v="3"/>
  </r>
  <r>
    <x v="8"/>
    <x v="8"/>
    <x v="372"/>
    <x v="1"/>
    <s v=""/>
    <s v=""/>
    <s v=""/>
    <s v="Slick"/>
    <s v="smooth"/>
    <x v="0"/>
  </r>
  <r>
    <x v="12"/>
    <x v="8"/>
    <x v="373"/>
    <x v="1"/>
    <s v=""/>
    <s v=""/>
    <s v=""/>
    <s v="Berry"/>
    <s v="Delicious"/>
    <x v="1"/>
  </r>
  <r>
    <x v="2"/>
    <x v="8"/>
    <x v="107"/>
    <x v="9"/>
    <s v=""/>
    <s v=""/>
    <s v=""/>
    <s v="glorious"/>
    <s v="nice"/>
    <x v="8"/>
  </r>
  <r>
    <x v="2"/>
    <x v="8"/>
    <x v="199"/>
    <x v="9"/>
    <s v=""/>
    <s v=""/>
    <s v=""/>
    <s v="dark-web"/>
    <s v="pink"/>
    <x v="3"/>
  </r>
  <r>
    <x v="2"/>
    <x v="8"/>
    <x v="57"/>
    <x v="2"/>
    <s v=""/>
    <s v=""/>
    <s v=""/>
    <s v="depression"/>
    <s v="liquoricy"/>
    <x v="19"/>
  </r>
  <r>
    <x v="3"/>
    <x v="8"/>
    <x v="50"/>
    <x v="2"/>
    <s v="Opihr"/>
    <s v=""/>
    <s v=""/>
    <s v="Hell"/>
    <s v="Fire"/>
    <x v="14"/>
  </r>
  <r>
    <x v="9"/>
    <x v="8"/>
    <x v="143"/>
    <x v="4"/>
    <s v=""/>
    <s v=""/>
    <s v=""/>
    <s v="bad"/>
    <s v="vicious"/>
    <x v="5"/>
  </r>
  <r>
    <x v="6"/>
    <x v="8"/>
    <x v="374"/>
    <x v="3"/>
    <s v=""/>
    <s v=""/>
    <s v=""/>
    <s v="sweet"/>
    <s v="sad"/>
    <x v="5"/>
  </r>
  <r>
    <x v="1"/>
    <x v="8"/>
    <x v="8"/>
    <x v="0"/>
    <s v=""/>
    <s v=""/>
    <s v=""/>
    <s v="Needs"/>
    <s v="Mixer"/>
    <x v="5"/>
  </r>
  <r>
    <x v="8"/>
    <x v="8"/>
    <x v="57"/>
    <x v="2"/>
    <s v="Atlas Brewing Nimbus Blonde"/>
    <s v=""/>
    <s v=""/>
    <s v="Curdly"/>
    <s v="Liquorice"/>
    <x v="11"/>
  </r>
  <r>
    <x v="12"/>
    <x v="8"/>
    <x v="375"/>
    <x v="6"/>
    <s v=""/>
    <s v=""/>
    <s v=""/>
    <s v="best-ever"/>
    <s v="Hopegiving"/>
    <x v="10"/>
  </r>
  <r>
    <x v="3"/>
    <x v="8"/>
    <x v="96"/>
    <x v="1"/>
    <s v=""/>
    <s v=""/>
    <s v=""/>
    <s v="decent"/>
    <s v="gruel"/>
    <x v="10"/>
  </r>
  <r>
    <x v="1"/>
    <x v="8"/>
    <x v="166"/>
    <x v="1"/>
    <s v=""/>
    <s v=""/>
    <s v=""/>
    <s v="hazy"/>
    <s v="peppery"/>
    <x v="12"/>
  </r>
  <r>
    <x v="4"/>
    <x v="8"/>
    <x v="376"/>
    <x v="1"/>
    <s v=""/>
    <s v=""/>
    <s v=""/>
    <s v="acceptanly"/>
    <s v="piercing"/>
    <x v="12"/>
  </r>
  <r>
    <x v="12"/>
    <x v="8"/>
    <x v="354"/>
    <x v="7"/>
    <s v="Lemonade"/>
    <s v=""/>
    <s v=""/>
    <s v="comforting"/>
    <s v="warmth"/>
    <x v="2"/>
  </r>
  <r>
    <x v="6"/>
    <x v="8"/>
    <x v="295"/>
    <x v="7"/>
    <s v="Lemonade"/>
    <s v=""/>
    <s v=""/>
    <s v="Wrong"/>
    <s v="mixer"/>
    <x v="6"/>
  </r>
  <r>
    <x v="1"/>
    <x v="8"/>
    <x v="15"/>
    <x v="6"/>
    <s v=""/>
    <s v=""/>
    <s v=""/>
    <s v="Annoyingly"/>
    <s v="Sweet"/>
    <x v="10"/>
  </r>
  <r>
    <x v="9"/>
    <x v="8"/>
    <x v="377"/>
    <x v="1"/>
    <s v=""/>
    <s v=""/>
    <s v=""/>
    <s v="contemporary"/>
    <s v="theatre"/>
    <x v="12"/>
  </r>
  <r>
    <x v="12"/>
    <x v="8"/>
    <x v="378"/>
    <x v="7"/>
    <s v=""/>
    <s v="Lemonade"/>
    <s v=""/>
    <s v="Equatorial"/>
    <s v="beautification"/>
    <x v="0"/>
  </r>
  <r>
    <x v="8"/>
    <x v="8"/>
    <x v="379"/>
    <x v="1"/>
    <s v=""/>
    <s v=""/>
    <s v=""/>
    <s v="Creamy"/>
    <s v="citrussy"/>
    <x v="10"/>
  </r>
  <r>
    <x v="3"/>
    <x v="8"/>
    <x v="293"/>
    <x v="3"/>
    <s v="diet coke"/>
    <s v=""/>
    <s v=""/>
    <s v="so"/>
    <s v="basic"/>
    <x v="10"/>
  </r>
  <r>
    <x v="12"/>
    <x v="8"/>
    <x v="136"/>
    <x v="2"/>
    <s v="Chocolate Nesquik"/>
    <s v=""/>
    <s v=""/>
    <s v="fucking"/>
    <s v="magnificent"/>
    <x v="17"/>
  </r>
  <r>
    <x v="8"/>
    <x v="8"/>
    <x v="128"/>
    <x v="2"/>
    <s v=""/>
    <s v=""/>
    <s v=""/>
    <s v="dettol"/>
    <s v="orange"/>
    <x v="6"/>
  </r>
  <r>
    <x v="8"/>
    <x v="8"/>
    <x v="380"/>
    <x v="1"/>
    <s v=""/>
    <s v=""/>
    <s v=""/>
    <s v="straight"/>
    <s v="springy"/>
    <x v="2"/>
  </r>
  <r>
    <x v="3"/>
    <x v="8"/>
    <x v="381"/>
    <x v="1"/>
    <s v=""/>
    <s v=""/>
    <s v=""/>
    <s v="hoppy"/>
    <s v="decent"/>
    <x v="2"/>
  </r>
  <r>
    <x v="4"/>
    <x v="8"/>
    <x v="382"/>
    <x v="1"/>
    <s v=""/>
    <s v=""/>
    <s v=""/>
    <s v="reliable"/>
    <s v="deliciously"/>
    <x v="7"/>
  </r>
  <r>
    <x v="6"/>
    <x v="9"/>
    <x v="324"/>
    <x v="9"/>
    <s v=""/>
    <s v=""/>
    <s v=""/>
    <s v="Festival"/>
    <s v="classic"/>
    <x v="7"/>
  </r>
  <r>
    <x v="3"/>
    <x v="9"/>
    <x v="383"/>
    <x v="8"/>
    <s v=""/>
    <s v=""/>
    <s v=""/>
    <s v="warming"/>
    <s v="general"/>
    <x v="12"/>
  </r>
  <r>
    <x v="0"/>
    <x v="9"/>
    <x v="384"/>
    <x v="7"/>
    <s v="Pinacolada mix"/>
    <s v=""/>
    <s v=""/>
    <s v="beachy"/>
    <s v="creamy"/>
    <x v="2"/>
  </r>
  <r>
    <x v="1"/>
    <x v="9"/>
    <x v="384"/>
    <x v="7"/>
    <s v="Pinacolada mix"/>
    <s v=""/>
    <s v=""/>
    <s v="cloudesque"/>
    <s v="party"/>
    <x v="3"/>
  </r>
  <r>
    <x v="2"/>
    <x v="9"/>
    <x v="385"/>
    <x v="9"/>
    <s v=""/>
    <s v=""/>
    <s v=""/>
    <s v="bitter"/>
    <s v="acidic"/>
    <x v="15"/>
  </r>
  <r>
    <x v="12"/>
    <x v="9"/>
    <x v="386"/>
    <x v="1"/>
    <s v=""/>
    <s v=""/>
    <s v=""/>
    <s v="Watery"/>
    <s v="Bland"/>
    <x v="11"/>
  </r>
  <r>
    <x v="7"/>
    <x v="9"/>
    <x v="83"/>
    <x v="0"/>
    <s v="Pineapple Juice"/>
    <s v="Lemonade"/>
    <s v=""/>
    <s v="universityesque"/>
    <s v="youthful"/>
    <x v="2"/>
  </r>
  <r>
    <x v="12"/>
    <x v="9"/>
    <x v="387"/>
    <x v="1"/>
    <s v=""/>
    <s v=""/>
    <s v=""/>
    <s v="Zesty"/>
    <s v="Bitter"/>
    <x v="2"/>
  </r>
  <r>
    <x v="12"/>
    <x v="9"/>
    <x v="388"/>
    <x v="1"/>
    <s v=""/>
    <s v=""/>
    <s v=""/>
    <s v="Fresh"/>
    <s v="Tingly"/>
    <x v="0"/>
  </r>
  <r>
    <x v="12"/>
    <x v="9"/>
    <x v="389"/>
    <x v="1"/>
    <s v=""/>
    <s v=""/>
    <s v=""/>
    <s v="cohesive"/>
    <s v="complex"/>
    <x v="0"/>
  </r>
  <r>
    <x v="3"/>
    <x v="9"/>
    <x v="390"/>
    <x v="1"/>
    <s v=""/>
    <s v=""/>
    <s v=""/>
    <s v="open"/>
    <s v="easy"/>
    <x v="7"/>
  </r>
  <r>
    <x v="6"/>
    <x v="9"/>
    <x v="391"/>
    <x v="1"/>
    <s v=""/>
    <s v=""/>
    <s v=""/>
    <s v="Fucking"/>
    <s v="Sweet"/>
    <x v="3"/>
  </r>
  <r>
    <x v="1"/>
    <x v="9"/>
    <x v="392"/>
    <x v="8"/>
    <s v=""/>
    <s v=""/>
    <s v=""/>
    <s v="Corked"/>
    <s v="Piss"/>
    <x v="6"/>
  </r>
  <r>
    <x v="0"/>
    <x v="9"/>
    <x v="393"/>
    <x v="0"/>
    <s v="slim line tonic"/>
    <s v=""/>
    <s v="Lime"/>
    <s v="mediocre"/>
    <s v="bland"/>
    <x v="11"/>
  </r>
  <r>
    <x v="13"/>
    <x v="9"/>
    <x v="193"/>
    <x v="7"/>
    <s v="Lemonade"/>
    <s v="Innocent Mango &amp; passion fruit smoothie"/>
    <s v=""/>
    <s v="Tropical"/>
    <s v="sunshine"/>
    <x v="12"/>
  </r>
  <r>
    <x v="2"/>
    <x v="9"/>
    <x v="394"/>
    <x v="9"/>
    <s v=""/>
    <s v=""/>
    <s v=""/>
    <s v="Effervescent"/>
    <s v="Biting"/>
    <x v="11"/>
  </r>
  <r>
    <x v="5"/>
    <x v="9"/>
    <x v="395"/>
    <x v="9"/>
    <s v=""/>
    <s v=""/>
    <s v=""/>
    <s v="crisp"/>
    <s v="smooth"/>
    <x v="2"/>
  </r>
  <r>
    <x v="3"/>
    <x v="9"/>
    <x v="396"/>
    <x v="1"/>
    <s v=""/>
    <s v=""/>
    <s v=""/>
    <s v="crisp"/>
    <s v="flavourly"/>
    <x v="2"/>
  </r>
  <r>
    <x v="4"/>
    <x v="9"/>
    <x v="380"/>
    <x v="1"/>
    <s v=""/>
    <s v=""/>
    <s v=""/>
    <s v="Surprisingly"/>
    <s v="Dynamic"/>
    <x v="0"/>
  </r>
  <r>
    <x v="6"/>
    <x v="9"/>
    <x v="397"/>
    <x v="1"/>
    <s v=""/>
    <s v=""/>
    <s v=""/>
    <s v="Text"/>
    <s v="Book"/>
    <x v="0"/>
  </r>
  <r>
    <x v="1"/>
    <x v="9"/>
    <x v="398"/>
    <x v="1"/>
    <s v=""/>
    <s v=""/>
    <s v=""/>
    <s v="smooth"/>
    <s v="well-trodden"/>
    <x v="2"/>
  </r>
  <r>
    <x v="11"/>
    <x v="9"/>
    <x v="399"/>
    <x v="8"/>
    <s v=""/>
    <s v=""/>
    <s v=""/>
    <s v="lemony"/>
    <s v="strawberryie"/>
    <x v="2"/>
  </r>
  <r>
    <x v="5"/>
    <x v="9"/>
    <x v="400"/>
    <x v="1"/>
    <s v=""/>
    <s v=""/>
    <s v=""/>
    <s v="pithy"/>
    <s v="bitter"/>
    <x v="15"/>
  </r>
  <r>
    <x v="2"/>
    <x v="9"/>
    <x v="401"/>
    <x v="9"/>
    <s v=""/>
    <s v=""/>
    <s v=""/>
    <s v="floral"/>
    <s v="dull"/>
    <x v="10"/>
  </r>
  <r>
    <x v="9"/>
    <x v="9"/>
    <x v="402"/>
    <x v="1"/>
    <s v=""/>
    <s v=""/>
    <s v=""/>
    <s v="Grainy"/>
    <s v="Full-Bodied"/>
    <x v="0"/>
  </r>
  <r>
    <x v="4"/>
    <x v="9"/>
    <x v="403"/>
    <x v="1"/>
    <s v=""/>
    <s v=""/>
    <s v=""/>
    <s v="Terrifically"/>
    <s v="Hoppy"/>
    <x v="0"/>
  </r>
  <r>
    <x v="1"/>
    <x v="9"/>
    <x v="404"/>
    <x v="1"/>
    <s v=""/>
    <s v=""/>
    <s v=""/>
    <s v="Italian"/>
    <s v="Sweet"/>
    <x v="10"/>
  </r>
  <r>
    <x v="2"/>
    <x v="9"/>
    <x v="405"/>
    <x v="8"/>
    <s v=""/>
    <s v=""/>
    <s v=""/>
    <s v="juicy"/>
    <s v="slippery"/>
    <x v="7"/>
  </r>
  <r>
    <x v="3"/>
    <x v="9"/>
    <x v="406"/>
    <x v="0"/>
    <s v=""/>
    <s v=""/>
    <s v=""/>
    <s v="Sweet"/>
    <s v="Bad-Afters"/>
    <x v="3"/>
  </r>
  <r>
    <x v="6"/>
    <x v="9"/>
    <x v="407"/>
    <x v="7"/>
    <s v=""/>
    <s v=""/>
    <s v=""/>
    <s v="oh"/>
    <s v="lawdy"/>
    <x v="2"/>
  </r>
  <r>
    <x v="1"/>
    <x v="9"/>
    <x v="358"/>
    <x v="4"/>
    <s v=""/>
    <s v=""/>
    <s v=""/>
    <s v="deep"/>
    <s v="penetrating"/>
    <x v="7"/>
  </r>
  <r>
    <x v="12"/>
    <x v="9"/>
    <x v="408"/>
    <x v="7"/>
    <s v=""/>
    <s v=""/>
    <s v=""/>
    <s v="remarkably"/>
    <s v="explosive"/>
    <x v="0"/>
  </r>
  <r>
    <x v="5"/>
    <x v="9"/>
    <x v="409"/>
    <x v="6"/>
    <s v=""/>
    <s v=""/>
    <s v=""/>
    <s v="accrid"/>
    <s v="soul-destroying"/>
    <x v="13"/>
  </r>
  <r>
    <x v="9"/>
    <x v="9"/>
    <x v="410"/>
    <x v="2"/>
    <s v=""/>
    <s v=""/>
    <s v=""/>
    <s v="smooth"/>
    <s v="Italian"/>
    <x v="7"/>
  </r>
  <r>
    <x v="12"/>
    <x v="9"/>
    <x v="411"/>
    <x v="1"/>
    <s v=""/>
    <s v=""/>
    <s v=""/>
    <s v="Dependably"/>
    <s v="Delicious"/>
    <x v="0"/>
  </r>
  <r>
    <x v="5"/>
    <x v="9"/>
    <x v="412"/>
    <x v="1"/>
    <s v=""/>
    <s v=""/>
    <s v=""/>
    <s v="eggy"/>
    <s v="nightmare"/>
    <x v="20"/>
  </r>
  <r>
    <x v="3"/>
    <x v="9"/>
    <x v="413"/>
    <x v="1"/>
    <s v=""/>
    <s v=""/>
    <s v=""/>
    <s v="Sour"/>
    <s v="accrid"/>
    <x v="10"/>
  </r>
  <r>
    <x v="4"/>
    <x v="9"/>
    <x v="414"/>
    <x v="1"/>
    <s v=""/>
    <s v=""/>
    <s v=""/>
    <s v="Pedestrian"/>
    <s v="Decency"/>
    <x v="12"/>
  </r>
  <r>
    <x v="5"/>
    <x v="9"/>
    <x v="415"/>
    <x v="6"/>
    <s v="Negroni mix"/>
    <s v=""/>
    <s v="Orange Peel"/>
    <s v="bitter"/>
    <s v="palet-cleansing"/>
    <x v="2"/>
  </r>
  <r>
    <x v="1"/>
    <x v="9"/>
    <x v="416"/>
    <x v="1"/>
    <s v=""/>
    <s v=""/>
    <s v=""/>
    <s v="exciting"/>
    <s v="bouncy"/>
    <x v="0"/>
  </r>
  <r>
    <x v="6"/>
    <x v="9"/>
    <x v="417"/>
    <x v="1"/>
    <s v=""/>
    <s v=""/>
    <s v=""/>
    <s v="Another"/>
    <s v="one"/>
    <x v="2"/>
  </r>
  <r>
    <x v="2"/>
    <x v="9"/>
    <x v="418"/>
    <x v="9"/>
    <s v=""/>
    <s v=""/>
    <s v=""/>
    <s v="Restorative"/>
    <s v="filling"/>
    <x v="0"/>
  </r>
  <r>
    <x v="1"/>
    <x v="9"/>
    <x v="393"/>
    <x v="0"/>
    <s v=""/>
    <s v=""/>
    <s v=""/>
    <s v="Turkish"/>
    <s v="Deshite"/>
    <x v="19"/>
  </r>
  <r>
    <x v="1"/>
    <x v="9"/>
    <x v="419"/>
    <x v="0"/>
    <s v=""/>
    <s v=""/>
    <s v=""/>
    <s v="Bollocking"/>
    <s v="Berries"/>
    <x v="11"/>
  </r>
  <r>
    <x v="4"/>
    <x v="9"/>
    <x v="372"/>
    <x v="1"/>
    <s v=""/>
    <s v=""/>
    <s v=""/>
    <s v="Solidly"/>
    <s v="workmanlike"/>
    <x v="2"/>
  </r>
  <r>
    <x v="1"/>
    <x v="9"/>
    <x v="420"/>
    <x v="7"/>
    <s v=""/>
    <s v=""/>
    <s v=""/>
    <s v="shocking"/>
    <s v="exciting"/>
    <x v="3"/>
  </r>
  <r>
    <x v="2"/>
    <x v="9"/>
    <x v="421"/>
    <x v="9"/>
    <s v=""/>
    <s v=""/>
    <s v=""/>
    <s v="Nectary"/>
    <s v="Succulant"/>
    <x v="1"/>
  </r>
  <r>
    <x v="1"/>
    <x v="9"/>
    <x v="345"/>
    <x v="4"/>
    <s v=""/>
    <s v=""/>
    <s v=""/>
    <s v="too"/>
    <s v="hard"/>
    <x v="12"/>
  </r>
  <r>
    <x v="15"/>
    <x v="9"/>
    <x v="422"/>
    <x v="3"/>
    <s v="Coke Zero"/>
    <s v=""/>
    <s v=""/>
    <s v="Accrid"/>
    <s v="Tart"/>
    <x v="11"/>
  </r>
  <r>
    <x v="5"/>
    <x v="9"/>
    <x v="423"/>
    <x v="6"/>
    <s v=""/>
    <s v=""/>
    <s v=""/>
    <s v="Herbal"/>
    <s v="Shameful"/>
    <x v="13"/>
  </r>
  <r>
    <x v="22"/>
    <x v="9"/>
    <x v="422"/>
    <x v="3"/>
    <s v="Coke Zero"/>
    <s v=""/>
    <s v=""/>
    <s v="disgusting"/>
    <s v="cloying"/>
    <x v="19"/>
  </r>
  <r>
    <x v="18"/>
    <x v="9"/>
    <x v="424"/>
    <x v="1"/>
    <s v=""/>
    <s v=""/>
    <s v=""/>
    <s v="dissapointing"/>
    <s v="soap"/>
    <x v="11"/>
  </r>
  <r>
    <x v="9"/>
    <x v="9"/>
    <x v="48"/>
    <x v="1"/>
    <s v=""/>
    <s v=""/>
    <s v=""/>
    <s v="Light"/>
    <s v="enjoyable"/>
    <x v="7"/>
  </r>
  <r>
    <x v="4"/>
    <x v="9"/>
    <x v="425"/>
    <x v="1"/>
    <s v=""/>
    <s v=""/>
    <s v=""/>
    <s v="Hermetically"/>
    <s v="Acceptable"/>
    <x v="12"/>
  </r>
  <r>
    <x v="18"/>
    <x v="9"/>
    <x v="426"/>
    <x v="1"/>
    <s v=""/>
    <s v=""/>
    <s v=""/>
    <s v="Missing"/>
    <s v="Mango"/>
    <x v="10"/>
  </r>
  <r>
    <x v="2"/>
    <x v="9"/>
    <x v="427"/>
    <x v="9"/>
    <s v=""/>
    <s v=""/>
    <s v=""/>
    <s v="pedestrian"/>
    <s v="jake"/>
    <x v="10"/>
  </r>
  <r>
    <x v="1"/>
    <x v="9"/>
    <x v="130"/>
    <x v="1"/>
    <s v=""/>
    <s v=""/>
    <s v=""/>
    <s v="Mango"/>
    <s v="lime"/>
    <x v="2"/>
  </r>
  <r>
    <x v="15"/>
    <x v="9"/>
    <x v="428"/>
    <x v="7"/>
    <s v="Dr. Pepper"/>
    <s v=""/>
    <s v=""/>
    <s v="Vile"/>
    <s v="Naff"/>
    <x v="5"/>
  </r>
  <r>
    <x v="22"/>
    <x v="9"/>
    <x v="429"/>
    <x v="3"/>
    <s v="Strawberry Coke"/>
    <s v=""/>
    <s v=""/>
    <s v="summery"/>
    <s v="refreshing"/>
    <x v="0"/>
  </r>
  <r>
    <x v="15"/>
    <x v="9"/>
    <x v="429"/>
    <x v="3"/>
    <s v="Strawberrt Coke"/>
    <s v=""/>
    <s v=""/>
    <s v="Effervescent"/>
    <s v="fine"/>
    <x v="3"/>
  </r>
  <r>
    <x v="5"/>
    <x v="9"/>
    <x v="430"/>
    <x v="1"/>
    <s v=""/>
    <s v=""/>
    <s v=""/>
    <s v="sharp"/>
    <s v="succulant"/>
    <x v="12"/>
  </r>
  <r>
    <x v="3"/>
    <x v="9"/>
    <x v="431"/>
    <x v="1"/>
    <s v=""/>
    <s v=""/>
    <s v=""/>
    <s v="Predictable"/>
    <s v="IPA"/>
    <x v="3"/>
  </r>
  <r>
    <x v="6"/>
    <x v="9"/>
    <x v="432"/>
    <x v="1"/>
    <s v=""/>
    <s v=""/>
    <s v=""/>
    <s v="Basic"/>
    <s v="Beer"/>
    <x v="12"/>
  </r>
  <r>
    <x v="9"/>
    <x v="9"/>
    <x v="142"/>
    <x v="1"/>
    <s v=""/>
    <s v=""/>
    <s v=""/>
    <s v="There"/>
    <s v="enjoyable"/>
    <x v="2"/>
  </r>
  <r>
    <x v="18"/>
    <x v="9"/>
    <x v="68"/>
    <x v="1"/>
    <s v=""/>
    <s v=""/>
    <s v=""/>
    <s v="Dreamy"/>
    <s v="Creamy"/>
    <x v="1"/>
  </r>
  <r>
    <x v="4"/>
    <x v="9"/>
    <x v="379"/>
    <x v="1"/>
    <s v=""/>
    <s v=""/>
    <s v=""/>
    <s v="Servicable"/>
    <s v="Drinkability"/>
    <x v="3"/>
  </r>
  <r>
    <x v="3"/>
    <x v="9"/>
    <x v="214"/>
    <x v="10"/>
    <s v=""/>
    <s v=""/>
    <s v=""/>
    <s v="Odorous"/>
    <s v="sweetness"/>
    <x v="11"/>
  </r>
  <r>
    <x v="2"/>
    <x v="9"/>
    <x v="433"/>
    <x v="6"/>
    <s v=""/>
    <s v=""/>
    <s v=""/>
    <s v="Delicious"/>
    <s v="Lovely-aftertaste"/>
    <x v="8"/>
  </r>
  <r>
    <x v="3"/>
    <x v="9"/>
    <x v="434"/>
    <x v="6"/>
    <s v=""/>
    <s v=""/>
    <s v=""/>
    <s v="Fondant"/>
    <s v="Fancy"/>
    <x v="0"/>
  </r>
  <r>
    <x v="6"/>
    <x v="9"/>
    <x v="435"/>
    <x v="8"/>
    <s v=""/>
    <s v=""/>
    <s v=""/>
    <s v="Wedding"/>
    <s v="Table"/>
    <x v="10"/>
  </r>
  <r>
    <x v="4"/>
    <x v="9"/>
    <x v="436"/>
    <x v="8"/>
    <s v=""/>
    <s v=""/>
    <s v=""/>
    <s v="Aggresively"/>
    <s v="Fruity"/>
    <x v="15"/>
  </r>
  <r>
    <x v="22"/>
    <x v="9"/>
    <x v="193"/>
    <x v="7"/>
    <s v=""/>
    <s v=""/>
    <s v=""/>
    <s v="Carribeany"/>
    <s v="Smooth"/>
    <x v="17"/>
  </r>
  <r>
    <x v="15"/>
    <x v="9"/>
    <x v="193"/>
    <x v="7"/>
    <s v=""/>
    <s v=""/>
    <s v=""/>
    <s v="Tropical"/>
    <s v="Stupendous"/>
    <x v="0"/>
  </r>
  <r>
    <x v="18"/>
    <x v="9"/>
    <x v="82"/>
    <x v="3"/>
    <s v=""/>
    <s v=""/>
    <s v=""/>
    <s v="Dizzy"/>
    <s v="Vomit"/>
    <x v="13"/>
  </r>
  <r>
    <x v="9"/>
    <x v="9"/>
    <x v="406"/>
    <x v="0"/>
    <s v=""/>
    <s v=""/>
    <s v=""/>
    <s v="Fogey"/>
    <s v="Sad"/>
    <x v="5"/>
  </r>
  <r>
    <x v="5"/>
    <x v="9"/>
    <x v="121"/>
    <x v="7"/>
    <s v=""/>
    <s v=""/>
    <s v=""/>
    <s v="Overwhelming"/>
    <s v="Pungeant"/>
    <x v="2"/>
  </r>
  <r>
    <x v="5"/>
    <x v="9"/>
    <x v="437"/>
    <x v="10"/>
    <s v="Daqiri Mix"/>
    <s v=""/>
    <s v=""/>
    <s v="Tantilising"/>
    <s v="Exhuberant"/>
    <x v="1"/>
  </r>
  <r>
    <x v="18"/>
    <x v="9"/>
    <x v="142"/>
    <x v="1"/>
    <s v=""/>
    <s v=""/>
    <s v=""/>
    <s v="1"/>
    <s v="Pant"/>
    <x v="5"/>
  </r>
  <r>
    <x v="9"/>
    <x v="9"/>
    <x v="438"/>
    <x v="1"/>
    <s v=""/>
    <s v=""/>
    <s v=""/>
    <s v="Bohemian"/>
    <s v="Earthy"/>
    <x v="7"/>
  </r>
  <r>
    <x v="4"/>
    <x v="9"/>
    <x v="439"/>
    <x v="1"/>
    <s v=""/>
    <s v=""/>
    <s v=""/>
    <s v="Turkish"/>
    <s v="Delighty"/>
    <x v="3"/>
  </r>
  <r>
    <x v="15"/>
    <x v="9"/>
    <x v="193"/>
    <x v="7"/>
    <s v="Strawberry Coke"/>
    <s v=""/>
    <s v=""/>
    <s v="Saccarin"/>
    <s v="Lurid"/>
    <x v="10"/>
  </r>
  <r>
    <x v="3"/>
    <x v="9"/>
    <x v="121"/>
    <x v="7"/>
    <s v="Old Jamaica Ginger Beer"/>
    <s v=""/>
    <s v=""/>
    <s v="spicy"/>
    <s v="missing"/>
    <x v="15"/>
  </r>
  <r>
    <x v="2"/>
    <x v="9"/>
    <x v="274"/>
    <x v="7"/>
    <s v="Cranberry Juice"/>
    <s v=""/>
    <s v=""/>
    <s v="disagreeable"/>
    <s v="vexatcious"/>
    <x v="16"/>
  </r>
  <r>
    <x v="6"/>
    <x v="9"/>
    <x v="440"/>
    <x v="1"/>
    <s v=""/>
    <s v=""/>
    <s v=""/>
    <s v="Basic"/>
    <s v="Sufficient"/>
    <x v="10"/>
  </r>
  <r>
    <x v="18"/>
    <x v="9"/>
    <x v="441"/>
    <x v="1"/>
    <s v=""/>
    <s v=""/>
    <s v=""/>
    <s v="crisp"/>
    <s v="refreshing"/>
    <x v="7"/>
  </r>
  <r>
    <x v="3"/>
    <x v="9"/>
    <x v="121"/>
    <x v="7"/>
    <s v="Old Jamaica Grape Soda"/>
    <s v=""/>
    <s v=""/>
    <s v="medicinal"/>
    <s v="off-putting"/>
    <x v="13"/>
  </r>
  <r>
    <x v="22"/>
    <x v="9"/>
    <x v="429"/>
    <x v="3"/>
    <s v="Lucozade Wild Cherry"/>
    <s v=""/>
    <s v=""/>
    <s v="Cute"/>
    <s v="Captivating"/>
    <x v="1"/>
  </r>
  <r>
    <x v="6"/>
    <x v="9"/>
    <x v="435"/>
    <x v="8"/>
    <s v="Lemonade"/>
    <s v=""/>
    <s v=""/>
    <s v="Beautiful"/>
    <s v="enlightening"/>
    <x v="0"/>
  </r>
  <r>
    <x v="4"/>
    <x v="9"/>
    <x v="442"/>
    <x v="1"/>
    <s v=""/>
    <s v=""/>
    <s v=""/>
    <s v="refined"/>
    <s v="goodness"/>
    <x v="2"/>
  </r>
  <r>
    <x v="3"/>
    <x v="9"/>
    <x v="434"/>
    <x v="6"/>
    <s v="Old Jamaica Grape Soda"/>
    <s v=""/>
    <s v=""/>
    <s v="Fucking"/>
    <s v="Delicious"/>
    <x v="9"/>
  </r>
  <r>
    <x v="18"/>
    <x v="9"/>
    <x v="443"/>
    <x v="1"/>
    <s v=""/>
    <s v=""/>
    <s v=""/>
    <s v="Coffee"/>
    <s v="Water"/>
    <x v="4"/>
  </r>
  <r>
    <x v="2"/>
    <x v="9"/>
    <x v="19"/>
    <x v="3"/>
    <s v="Sainsbury's Mango"/>
    <s v=""/>
    <s v=""/>
    <s v="Equivocal"/>
    <s v="toothsome"/>
    <x v="0"/>
  </r>
  <r>
    <x v="3"/>
    <x v="9"/>
    <x v="434"/>
    <x v="6"/>
    <s v="Old Jamaica Ginger Beer"/>
    <s v=""/>
    <s v=""/>
    <s v="Unexpectedly"/>
    <s v="sweet"/>
    <x v="3"/>
  </r>
  <r>
    <x v="18"/>
    <x v="9"/>
    <x v="444"/>
    <x v="1"/>
    <s v=""/>
    <s v=""/>
    <s v=""/>
    <s v="cool"/>
    <s v="fine"/>
    <x v="11"/>
  </r>
  <r>
    <x v="6"/>
    <x v="9"/>
    <x v="83"/>
    <x v="0"/>
    <s v=""/>
    <s v=""/>
    <s v=""/>
    <s v="Idiot"/>
    <s v="Drink"/>
    <x v="18"/>
  </r>
  <r>
    <x v="6"/>
    <x v="9"/>
    <x v="83"/>
    <x v="0"/>
    <s v="Lemonade"/>
    <s v=""/>
    <s v=""/>
    <s v="good"/>
    <s v="?"/>
    <x v="3"/>
  </r>
  <r>
    <x v="6"/>
    <x v="9"/>
    <x v="193"/>
    <x v="7"/>
    <s v="Lemonade"/>
    <s v=""/>
    <s v=""/>
    <s v="summer"/>
    <s v="quencher"/>
    <x v="3"/>
  </r>
  <r>
    <x v="2"/>
    <x v="9"/>
    <x v="19"/>
    <x v="3"/>
    <s v=""/>
    <s v=""/>
    <s v=""/>
    <s v="Crunk"/>
    <s v="Repulsive"/>
    <x v="16"/>
  </r>
  <r>
    <x v="3"/>
    <x v="9"/>
    <x v="445"/>
    <x v="10"/>
    <s v=""/>
    <s v=""/>
    <s v=""/>
    <s v="Lingering"/>
    <s v="Abyss"/>
    <x v="18"/>
  </r>
  <r>
    <x v="3"/>
    <x v="9"/>
    <x v="434"/>
    <x v="6"/>
    <s v="diet coke"/>
    <s v=""/>
    <s v=""/>
    <s v="yeah"/>
    <s v="fine"/>
    <x v="3"/>
  </r>
  <r>
    <x v="18"/>
    <x v="9"/>
    <x v="446"/>
    <x v="10"/>
    <s v=""/>
    <s v=""/>
    <s v=""/>
    <s v="Cromulent"/>
    <s v="Grape"/>
    <x v="0"/>
  </r>
  <r>
    <x v="18"/>
    <x v="9"/>
    <x v="447"/>
    <x v="4"/>
    <s v=""/>
    <s v=""/>
    <s v=""/>
    <s v="dry"/>
    <s v="exquisite"/>
    <x v="0"/>
  </r>
  <r>
    <x v="2"/>
    <x v="9"/>
    <x v="193"/>
    <x v="7"/>
    <s v="Pineapple"/>
    <s v=""/>
    <s v=""/>
    <s v="Consumate"/>
    <s v="tropical"/>
    <x v="0"/>
  </r>
  <r>
    <x v="3"/>
    <x v="9"/>
    <x v="325"/>
    <x v="1"/>
    <s v=""/>
    <s v=""/>
    <s v=""/>
    <s v="fragrant"/>
    <s v="suppable"/>
    <x v="2"/>
  </r>
  <r>
    <x v="3"/>
    <x v="10"/>
    <x v="448"/>
    <x v="1"/>
    <s v=""/>
    <s v=""/>
    <s v=""/>
    <s v="Spiky"/>
    <s v="Sourish"/>
    <x v="2"/>
  </r>
  <r>
    <x v="4"/>
    <x v="10"/>
    <x v="150"/>
    <x v="1"/>
    <s v=""/>
    <s v=""/>
    <s v=""/>
    <s v="spicy"/>
    <s v="brilliance"/>
    <x v="1"/>
  </r>
  <r>
    <x v="2"/>
    <x v="10"/>
    <x v="449"/>
    <x v="9"/>
    <s v=""/>
    <s v=""/>
    <s v=""/>
    <s v="typical"/>
    <s v="fare"/>
    <x v="3"/>
  </r>
  <r>
    <x v="6"/>
    <x v="10"/>
    <x v="450"/>
    <x v="1"/>
    <s v=""/>
    <s v=""/>
    <s v=""/>
    <s v="hoppy"/>
    <s v="banger"/>
    <x v="0"/>
  </r>
  <r>
    <x v="3"/>
    <x v="10"/>
    <x v="451"/>
    <x v="1"/>
    <s v=""/>
    <s v=""/>
    <s v=""/>
    <s v="fragrant"/>
    <s v="Full-Bodied"/>
    <x v="7"/>
  </r>
  <r>
    <x v="4"/>
    <x v="10"/>
    <x v="452"/>
    <x v="1"/>
    <s v=""/>
    <s v=""/>
    <s v=""/>
    <s v="alright"/>
    <s v="yeah"/>
    <x v="12"/>
  </r>
  <r>
    <x v="1"/>
    <x v="10"/>
    <x v="416"/>
    <x v="1"/>
    <s v="Asda Double Concentrte apple &amp; Blackcurrant Squash"/>
    <s v=""/>
    <s v=""/>
    <s v="Sickly"/>
    <s v="Sophisticated"/>
    <x v="3"/>
  </r>
  <r>
    <x v="9"/>
    <x v="10"/>
    <x v="453"/>
    <x v="9"/>
    <s v=""/>
    <s v=""/>
    <s v=""/>
    <s v="pushy"/>
    <s v="artificial"/>
    <x v="15"/>
  </r>
  <r>
    <x v="2"/>
    <x v="10"/>
    <x v="454"/>
    <x v="9"/>
    <s v=""/>
    <s v=""/>
    <s v=""/>
    <s v="devine"/>
    <s v="juices"/>
    <x v="8"/>
  </r>
  <r>
    <x v="2"/>
    <x v="10"/>
    <x v="455"/>
    <x v="3"/>
    <s v=""/>
    <s v=""/>
    <s v=""/>
    <s v="Limealiciously"/>
    <s v="Fruity"/>
    <x v="2"/>
  </r>
  <r>
    <x v="5"/>
    <x v="10"/>
    <x v="456"/>
    <x v="2"/>
    <s v=""/>
    <s v=""/>
    <s v=""/>
    <s v="smooth"/>
    <s v="sickly-sweet"/>
    <x v="5"/>
  </r>
  <r>
    <x v="6"/>
    <x v="10"/>
    <x v="457"/>
    <x v="1"/>
    <s v=""/>
    <s v=""/>
    <s v=""/>
    <s v="lovely"/>
    <s v="pudding"/>
    <x v="2"/>
  </r>
  <r>
    <x v="12"/>
    <x v="10"/>
    <x v="458"/>
    <x v="1"/>
    <s v=""/>
    <s v=""/>
    <s v=""/>
    <s v="hoppy"/>
    <s v="underwhelming"/>
    <x v="10"/>
  </r>
  <r>
    <x v="15"/>
    <x v="10"/>
    <x v="459"/>
    <x v="1"/>
    <s v=""/>
    <s v=""/>
    <s v=""/>
    <s v="grungy"/>
    <s v="unsophisticated"/>
    <x v="11"/>
  </r>
  <r>
    <x v="2"/>
    <x v="10"/>
    <x v="460"/>
    <x v="3"/>
    <s v=""/>
    <s v=""/>
    <s v=""/>
    <s v="wank"/>
    <s v="tang"/>
    <x v="6"/>
  </r>
  <r>
    <x v="3"/>
    <x v="10"/>
    <x v="461"/>
    <x v="1"/>
    <s v=""/>
    <s v=""/>
    <s v=""/>
    <s v="vague"/>
    <s v="decent"/>
    <x v="3"/>
  </r>
  <r>
    <x v="4"/>
    <x v="10"/>
    <x v="462"/>
    <x v="1"/>
    <s v=""/>
    <s v=""/>
    <s v=""/>
    <s v="Exemplary"/>
    <s v="Hoppiness"/>
    <x v="0"/>
  </r>
  <r>
    <x v="1"/>
    <x v="10"/>
    <x v="45"/>
    <x v="1"/>
    <s v=""/>
    <s v=""/>
    <s v=""/>
    <s v="balanced"/>
    <s v="heavy"/>
    <x v="3"/>
  </r>
  <r>
    <x v="12"/>
    <x v="10"/>
    <x v="463"/>
    <x v="1"/>
    <s v=""/>
    <s v=""/>
    <s v=""/>
    <s v="Danish"/>
    <s v="Deliciousness"/>
    <x v="1"/>
  </r>
  <r>
    <x v="5"/>
    <x v="10"/>
    <x v="464"/>
    <x v="1"/>
    <s v=""/>
    <s v=""/>
    <s v=""/>
    <s v="delectable"/>
    <s v="complex"/>
    <x v="1"/>
  </r>
  <r>
    <x v="15"/>
    <x v="10"/>
    <x v="465"/>
    <x v="6"/>
    <s v=""/>
    <s v=""/>
    <s v=""/>
    <s v="obnoxious"/>
    <s v="disspiriting"/>
    <x v="6"/>
  </r>
  <r>
    <x v="9"/>
    <x v="10"/>
    <x v="118"/>
    <x v="1"/>
    <s v=""/>
    <s v=""/>
    <s v=""/>
    <s v="refreshing"/>
    <s v="peppery"/>
    <x v="7"/>
  </r>
  <r>
    <x v="2"/>
    <x v="10"/>
    <x v="466"/>
    <x v="2"/>
    <s v=""/>
    <s v=""/>
    <s v=""/>
    <s v="creamy"/>
    <s v="delights"/>
    <x v="1"/>
  </r>
  <r>
    <x v="3"/>
    <x v="10"/>
    <x v="467"/>
    <x v="7"/>
    <s v=""/>
    <s v=""/>
    <s v=""/>
    <s v="Starts-Bad"/>
    <s v="Gets-Worse"/>
    <x v="13"/>
  </r>
  <r>
    <x v="6"/>
    <x v="10"/>
    <x v="468"/>
    <x v="8"/>
    <s v=""/>
    <s v=""/>
    <s v=""/>
    <s v="its"/>
    <s v="wine"/>
    <x v="12"/>
  </r>
  <r>
    <x v="1"/>
    <x v="10"/>
    <x v="105"/>
    <x v="0"/>
    <s v=""/>
    <s v=""/>
    <s v=""/>
    <s v="Exquisitly"/>
    <s v="Sharp"/>
    <x v="0"/>
  </r>
  <r>
    <x v="9"/>
    <x v="10"/>
    <x v="42"/>
    <x v="2"/>
    <s v=""/>
    <s v=""/>
    <s v=""/>
    <s v="Cheap"/>
    <s v="plucky"/>
    <x v="10"/>
  </r>
  <r>
    <x v="15"/>
    <x v="10"/>
    <x v="469"/>
    <x v="0"/>
    <s v=""/>
    <s v=""/>
    <s v=""/>
    <s v="Raising"/>
    <s v="Shivery"/>
    <x v="13"/>
  </r>
  <r>
    <x v="5"/>
    <x v="10"/>
    <x v="470"/>
    <x v="6"/>
    <s v=""/>
    <s v=""/>
    <s v=""/>
    <s v="pre-pubescent"/>
    <s v="sweet"/>
    <x v="6"/>
  </r>
  <r>
    <x v="12"/>
    <x v="10"/>
    <x v="269"/>
    <x v="2"/>
    <s v=""/>
    <s v=""/>
    <s v=""/>
    <s v="Basically"/>
    <s v="Squash"/>
    <x v="3"/>
  </r>
  <r>
    <x v="6"/>
    <x v="10"/>
    <x v="452"/>
    <x v="1"/>
    <s v=""/>
    <s v=""/>
    <s v=""/>
    <s v="Shaun"/>
    <s v="Correct"/>
    <x v="10"/>
  </r>
  <r>
    <x v="12"/>
    <x v="10"/>
    <x v="471"/>
    <x v="1"/>
    <s v=""/>
    <s v=""/>
    <s v=""/>
    <s v="nice"/>
    <s v="enough"/>
    <x v="4"/>
  </r>
  <r>
    <x v="4"/>
    <x v="10"/>
    <x v="472"/>
    <x v="1"/>
    <s v=""/>
    <s v=""/>
    <s v=""/>
    <s v="fuckin'"/>
    <s v="dank"/>
    <x v="8"/>
  </r>
  <r>
    <x v="9"/>
    <x v="10"/>
    <x v="473"/>
    <x v="1"/>
    <s v=""/>
    <s v=""/>
    <s v=""/>
    <s v="hoppy"/>
    <s v="dull"/>
    <x v="10"/>
  </r>
  <r>
    <x v="3"/>
    <x v="10"/>
    <x v="474"/>
    <x v="1"/>
    <s v=""/>
    <s v=""/>
    <s v=""/>
    <s v="George"/>
    <s v="Michael"/>
    <x v="12"/>
  </r>
  <r>
    <x v="1"/>
    <x v="10"/>
    <x v="182"/>
    <x v="1"/>
    <s v=""/>
    <s v=""/>
    <s v=""/>
    <s v="exotic"/>
    <s v="sharp"/>
    <x v="12"/>
  </r>
  <r>
    <x v="5"/>
    <x v="10"/>
    <x v="475"/>
    <x v="1"/>
    <s v=""/>
    <s v=""/>
    <s v=""/>
    <s v="Dissapointing"/>
    <s v="buzz-killing"/>
    <x v="5"/>
  </r>
  <r>
    <x v="2"/>
    <x v="10"/>
    <x v="476"/>
    <x v="9"/>
    <s v=""/>
    <s v=""/>
    <s v=""/>
    <s v="sweet"/>
    <s v="delicious"/>
    <x v="1"/>
  </r>
  <r>
    <x v="6"/>
    <x v="10"/>
    <x v="477"/>
    <x v="1"/>
    <s v=""/>
    <s v=""/>
    <s v=""/>
    <s v="lager"/>
    <s v="boring"/>
    <x v="5"/>
  </r>
  <r>
    <x v="15"/>
    <x v="10"/>
    <x v="478"/>
    <x v="7"/>
    <s v=""/>
    <s v=""/>
    <s v=""/>
    <s v="Fradulent"/>
    <s v="shitwater"/>
    <x v="19"/>
  </r>
  <r>
    <x v="5"/>
    <x v="10"/>
    <x v="479"/>
    <x v="0"/>
    <s v=""/>
    <s v=""/>
    <s v=""/>
    <s v="refreshing"/>
    <s v="flavourless"/>
    <x v="11"/>
  </r>
  <r>
    <x v="12"/>
    <x v="10"/>
    <x v="480"/>
    <x v="1"/>
    <s v=""/>
    <s v=""/>
    <s v=""/>
    <s v="bad"/>
    <s v="idea"/>
    <x v="5"/>
  </r>
  <r>
    <x v="4"/>
    <x v="10"/>
    <x v="481"/>
    <x v="1"/>
    <s v=""/>
    <s v=""/>
    <s v=""/>
    <s v="deceptively"/>
    <s v="delicious"/>
    <x v="0"/>
  </r>
  <r>
    <x v="12"/>
    <x v="10"/>
    <x v="482"/>
    <x v="1"/>
    <s v=""/>
    <s v=""/>
    <s v=""/>
    <s v="weighty"/>
    <s v="radiant"/>
    <x v="0"/>
  </r>
  <r>
    <x v="6"/>
    <x v="10"/>
    <x v="483"/>
    <x v="1"/>
    <s v=""/>
    <s v=""/>
    <s v=""/>
    <s v="pleasing"/>
    <s v="lacking"/>
    <x v="3"/>
  </r>
  <r>
    <x v="9"/>
    <x v="10"/>
    <x v="484"/>
    <x v="1"/>
    <s v=""/>
    <s v=""/>
    <s v=""/>
    <s v="beans"/>
    <s v="heinz"/>
    <x v="13"/>
  </r>
  <r>
    <x v="6"/>
    <x v="10"/>
    <x v="482"/>
    <x v="1"/>
    <s v=""/>
    <s v=""/>
    <s v=""/>
    <s v="heavy"/>
    <s v="pleasureable"/>
    <x v="3"/>
  </r>
  <r>
    <x v="5"/>
    <x v="10"/>
    <x v="485"/>
    <x v="1"/>
    <s v=""/>
    <s v=""/>
    <s v=""/>
    <s v="growernotashower"/>
    <s v="fine"/>
    <x v="10"/>
  </r>
  <r>
    <x v="3"/>
    <x v="10"/>
    <x v="13"/>
    <x v="1"/>
    <s v=""/>
    <s v=""/>
    <s v=""/>
    <s v="tropilcal"/>
    <s v="gassy"/>
    <x v="3"/>
  </r>
  <r>
    <x v="4"/>
    <x v="10"/>
    <x v="486"/>
    <x v="1"/>
    <s v=""/>
    <s v=""/>
    <s v=""/>
    <s v="stikingly"/>
    <s v="evocative"/>
    <x v="0"/>
  </r>
  <r>
    <x v="2"/>
    <x v="10"/>
    <x v="487"/>
    <x v="9"/>
    <s v=""/>
    <s v=""/>
    <s v=""/>
    <s v="idol"/>
    <s v="flat"/>
    <x v="10"/>
  </r>
  <r>
    <x v="15"/>
    <x v="10"/>
    <x v="404"/>
    <x v="1"/>
    <s v=""/>
    <s v=""/>
    <s v=""/>
    <s v="stalwart"/>
    <s v="italiano-y"/>
    <x v="7"/>
  </r>
  <r>
    <x v="5"/>
    <x v="10"/>
    <x v="488"/>
    <x v="6"/>
    <s v=""/>
    <s v=""/>
    <s v=""/>
    <s v="summery"/>
    <s v="meh"/>
    <x v="10"/>
  </r>
  <r>
    <x v="12"/>
    <x v="10"/>
    <x v="489"/>
    <x v="1"/>
    <s v=""/>
    <s v=""/>
    <s v=""/>
    <s v="fuck"/>
    <s v="this"/>
    <x v="14"/>
  </r>
  <r>
    <x v="6"/>
    <x v="10"/>
    <x v="489"/>
    <x v="1"/>
    <s v=""/>
    <s v=""/>
    <s v=""/>
    <s v="no"/>
    <s v="thanks"/>
    <x v="5"/>
  </r>
  <r>
    <x v="12"/>
    <x v="10"/>
    <x v="354"/>
    <x v="7"/>
    <s v="Tesco Apple &amp; Mango"/>
    <s v=""/>
    <s v=""/>
    <s v="frity"/>
    <s v="complementary"/>
    <x v="0"/>
  </r>
  <r>
    <x v="4"/>
    <x v="10"/>
    <x v="490"/>
    <x v="1"/>
    <s v=""/>
    <s v=""/>
    <s v=""/>
    <s v="weighty"/>
    <s v="slogg"/>
    <x v="10"/>
  </r>
  <r>
    <x v="6"/>
    <x v="10"/>
    <x v="414"/>
    <x v="1"/>
    <s v=""/>
    <s v=""/>
    <s v=""/>
    <s v="poo"/>
    <s v="boring"/>
    <x v="13"/>
  </r>
  <r>
    <x v="9"/>
    <x v="10"/>
    <x v="491"/>
    <x v="1"/>
    <s v=""/>
    <s v=""/>
    <s v=""/>
    <s v="punchy"/>
    <s v="sweet"/>
    <x v="0"/>
  </r>
  <r>
    <x v="2"/>
    <x v="10"/>
    <x v="492"/>
    <x v="2"/>
    <s v="Vodka and Khalua"/>
    <s v="Milk"/>
    <s v=""/>
    <s v="seductive"/>
    <s v="deadly"/>
    <x v="1"/>
  </r>
  <r>
    <x v="5"/>
    <x v="10"/>
    <x v="493"/>
    <x v="6"/>
    <s v=""/>
    <s v=""/>
    <s v=""/>
    <s v="Thiccc"/>
    <s v="Nesquickesque"/>
    <x v="2"/>
  </r>
  <r>
    <x v="12"/>
    <x v="10"/>
    <x v="353"/>
    <x v="0"/>
    <s v=""/>
    <s v=""/>
    <s v=""/>
    <s v="surprisingly"/>
    <s v="intense"/>
    <x v="11"/>
  </r>
  <r>
    <x v="15"/>
    <x v="10"/>
    <x v="19"/>
    <x v="3"/>
    <s v=""/>
    <s v=""/>
    <s v=""/>
    <s v="Mordor"/>
    <s v="Fire"/>
    <x v="10"/>
  </r>
  <r>
    <x v="9"/>
    <x v="10"/>
    <x v="494"/>
    <x v="11"/>
    <s v=""/>
    <s v=""/>
    <s v=""/>
    <s v="Welcome"/>
    <s v="Life-Giving"/>
    <x v="0"/>
  </r>
  <r>
    <x v="6"/>
    <x v="10"/>
    <x v="495"/>
    <x v="8"/>
    <s v=""/>
    <s v=""/>
    <s v=""/>
    <s v="Christmas"/>
    <s v="Morning"/>
    <x v="17"/>
  </r>
  <r>
    <x v="3"/>
    <x v="10"/>
    <x v="496"/>
    <x v="4"/>
    <s v=""/>
    <s v=""/>
    <s v=""/>
    <s v="Clearing"/>
    <s v="not-nice"/>
    <x v="6"/>
  </r>
  <r>
    <x v="2"/>
    <x v="10"/>
    <x v="497"/>
    <x v="6"/>
    <s v=""/>
    <s v=""/>
    <s v=""/>
    <s v="enzymatic"/>
    <s v="ablution"/>
    <x v="7"/>
  </r>
  <r>
    <x v="12"/>
    <x v="10"/>
    <x v="498"/>
    <x v="6"/>
    <s v=""/>
    <s v=""/>
    <s v=""/>
    <s v="passion"/>
    <s v="delicious"/>
    <x v="1"/>
  </r>
  <r>
    <x v="3"/>
    <x v="10"/>
    <x v="496"/>
    <x v="4"/>
    <s v="Diet Coke"/>
    <s v=""/>
    <s v=""/>
    <s v="cheap"/>
    <s v="ingredients"/>
    <x v="11"/>
  </r>
  <r>
    <x v="2"/>
    <x v="10"/>
    <x v="499"/>
    <x v="9"/>
    <s v=""/>
    <s v=""/>
    <s v=""/>
    <s v="Dank"/>
    <s v="Unpleasant"/>
    <x v="14"/>
  </r>
  <r>
    <x v="12"/>
    <x v="10"/>
    <x v="354"/>
    <x v="7"/>
    <s v="Apple &amp; Raspberry"/>
    <s v=""/>
    <s v=""/>
    <s v="Beautiful"/>
    <s v="Rosacious"/>
    <x v="8"/>
  </r>
  <r>
    <x v="15"/>
    <x v="10"/>
    <x v="100"/>
    <x v="4"/>
    <s v="Coke Zero"/>
    <s v=""/>
    <s v=""/>
    <s v="sweaddy"/>
    <s v="ballz"/>
    <x v="10"/>
  </r>
  <r>
    <x v="10"/>
    <x v="10"/>
    <x v="500"/>
    <x v="1"/>
    <s v=""/>
    <s v=""/>
    <s v=""/>
    <s v="sadness"/>
    <s v="stout"/>
    <x v="11"/>
  </r>
  <r>
    <x v="6"/>
    <x v="10"/>
    <x v="501"/>
    <x v="1"/>
    <s v=""/>
    <s v=""/>
    <s v=""/>
    <s v="its"/>
    <s v="ok"/>
    <x v="10"/>
  </r>
  <r>
    <x v="3"/>
    <x v="10"/>
    <x v="502"/>
    <x v="1"/>
    <s v=""/>
    <s v=""/>
    <s v=""/>
    <s v="absolutely"/>
    <s v="fine"/>
    <x v="12"/>
  </r>
  <r>
    <x v="2"/>
    <x v="10"/>
    <x v="503"/>
    <x v="9"/>
    <s v=""/>
    <s v=""/>
    <s v=""/>
    <s v="Explosive"/>
    <s v="punchy"/>
    <x v="2"/>
  </r>
  <r>
    <x v="12"/>
    <x v="10"/>
    <x v="354"/>
    <x v="7"/>
    <s v="Apple"/>
    <s v=""/>
    <s v=""/>
    <s v="Perfectly"/>
    <s v="Balanced"/>
    <x v="1"/>
  </r>
  <r>
    <x v="15"/>
    <x v="10"/>
    <x v="504"/>
    <x v="9"/>
    <s v=""/>
    <s v=""/>
    <s v=""/>
    <s v="Funky"/>
    <s v="Fresh"/>
    <x v="12"/>
  </r>
  <r>
    <x v="3"/>
    <x v="10"/>
    <x v="505"/>
    <x v="1"/>
    <s v=""/>
    <s v=""/>
    <s v=""/>
    <s v="Fresh"/>
    <s v="wish-I-was-in-sunshine"/>
    <x v="12"/>
  </r>
  <r>
    <x v="6"/>
    <x v="10"/>
    <x v="481"/>
    <x v="1"/>
    <s v=""/>
    <s v=""/>
    <s v=""/>
    <s v="nice"/>
    <s v="beer"/>
    <x v="2"/>
  </r>
  <r>
    <x v="12"/>
    <x v="10"/>
    <x v="498"/>
    <x v="6"/>
    <s v="Apple Juice"/>
    <s v=""/>
    <s v=""/>
    <s v="Too"/>
    <s v="pissed"/>
    <x v="11"/>
  </r>
  <r>
    <x v="2"/>
    <x v="10"/>
    <x v="506"/>
    <x v="9"/>
    <s v=""/>
    <s v=""/>
    <s v=""/>
    <s v="truthful"/>
    <s v="raw"/>
    <x v="2"/>
  </r>
  <r>
    <x v="3"/>
    <x v="10"/>
    <x v="74"/>
    <x v="1"/>
    <s v=""/>
    <s v=""/>
    <s v=""/>
    <s v="tangfully"/>
    <s v="Unpleasant"/>
    <x v="11"/>
  </r>
  <r>
    <x v="3"/>
    <x v="11"/>
    <x v="507"/>
    <x v="1"/>
    <s v=""/>
    <s v=""/>
    <s v=""/>
    <s v="tender"/>
    <s v="mellow"/>
    <x v="0"/>
  </r>
  <r>
    <x v="2"/>
    <x v="11"/>
    <x v="507"/>
    <x v="1"/>
    <s v=""/>
    <s v=""/>
    <s v=""/>
    <s v="sublime"/>
    <s v="Ale"/>
    <x v="0"/>
  </r>
  <r>
    <x v="1"/>
    <x v="11"/>
    <x v="508"/>
    <x v="2"/>
    <s v="Milk"/>
    <s v="Chocolate Ice Cream"/>
    <s v="Marshmallow"/>
    <s v="divine"/>
    <s v="ball-tingly"/>
    <x v="9"/>
  </r>
  <r>
    <x v="0"/>
    <x v="11"/>
    <x v="509"/>
    <x v="2"/>
    <s v=""/>
    <s v=""/>
    <s v=""/>
    <s v="lemony"/>
    <s v="funky"/>
    <x v="2"/>
  </r>
  <r>
    <x v="4"/>
    <x v="11"/>
    <x v="510"/>
    <x v="1"/>
    <s v=""/>
    <s v=""/>
    <s v=""/>
    <s v="Thicc"/>
    <s v="Sickly"/>
    <x v="5"/>
  </r>
  <r>
    <x v="12"/>
    <x v="11"/>
    <x v="511"/>
    <x v="1"/>
    <s v=""/>
    <s v=""/>
    <s v=""/>
    <s v="piney"/>
    <s v="bleurghh"/>
    <x v="19"/>
  </r>
  <r>
    <x v="18"/>
    <x v="11"/>
    <x v="512"/>
    <x v="1"/>
    <s v=""/>
    <s v=""/>
    <s v=""/>
    <s v="shallow"/>
    <s v="pedantic"/>
    <x v="11"/>
  </r>
  <r>
    <x v="3"/>
    <x v="11"/>
    <x v="513"/>
    <x v="1"/>
    <s v=""/>
    <s v=""/>
    <s v=""/>
    <s v="boring"/>
    <s v="claggy"/>
    <x v="4"/>
  </r>
  <r>
    <x v="1"/>
    <x v="11"/>
    <x v="112"/>
    <x v="1"/>
    <s v=""/>
    <s v=""/>
    <s v=""/>
    <s v="pleasant"/>
    <s v="alcopop"/>
    <x v="12"/>
  </r>
  <r>
    <x v="8"/>
    <x v="11"/>
    <x v="514"/>
    <x v="1"/>
    <s v=""/>
    <s v=""/>
    <s v=""/>
    <s v="drinkable"/>
    <s v="thin"/>
    <x v="2"/>
  </r>
  <r>
    <x v="4"/>
    <x v="11"/>
    <x v="515"/>
    <x v="1"/>
    <s v=""/>
    <s v=""/>
    <s v=""/>
    <s v="reliable"/>
    <s v="journeyman"/>
    <x v="12"/>
  </r>
  <r>
    <x v="12"/>
    <x v="11"/>
    <x v="516"/>
    <x v="1"/>
    <s v=""/>
    <s v=""/>
    <s v=""/>
    <s v="middling"/>
    <s v="fine"/>
    <x v="4"/>
  </r>
  <r>
    <x v="15"/>
    <x v="11"/>
    <x v="470"/>
    <x v="6"/>
    <s v=""/>
    <s v=""/>
    <s v=""/>
    <s v="rancid"/>
    <s v="moist"/>
    <x v="13"/>
  </r>
  <r>
    <x v="15"/>
    <x v="11"/>
    <x v="493"/>
    <x v="6"/>
    <s v=""/>
    <s v=""/>
    <s v=""/>
    <s v="creamy"/>
    <s v="gross"/>
    <x v="5"/>
  </r>
  <r>
    <x v="8"/>
    <x v="11"/>
    <x v="483"/>
    <x v="1"/>
    <s v=""/>
    <s v=""/>
    <s v=""/>
    <s v="tasty"/>
    <s v="tangy"/>
    <x v="0"/>
  </r>
  <r>
    <x v="5"/>
    <x v="11"/>
    <x v="100"/>
    <x v="4"/>
    <s v="Coke"/>
    <s v=""/>
    <s v=""/>
    <s v="fine"/>
    <s v="Shame"/>
    <x v="10"/>
  </r>
  <r>
    <x v="1"/>
    <x v="11"/>
    <x v="517"/>
    <x v="1"/>
    <s v=""/>
    <s v=""/>
    <s v=""/>
    <s v="Gimmick"/>
    <s v="bland"/>
    <x v="10"/>
  </r>
  <r>
    <x v="15"/>
    <x v="11"/>
    <x v="452"/>
    <x v="1"/>
    <s v=""/>
    <s v=""/>
    <s v=""/>
    <s v="shitty"/>
    <s v="shit"/>
    <x v="5"/>
  </r>
  <r>
    <x v="9"/>
    <x v="11"/>
    <x v="518"/>
    <x v="1"/>
    <s v=""/>
    <s v=""/>
    <s v=""/>
    <s v="ironic"/>
    <s v="tasty"/>
    <x v="7"/>
  </r>
  <r>
    <x v="2"/>
    <x v="11"/>
    <x v="518"/>
    <x v="1"/>
    <s v=""/>
    <s v=""/>
    <s v=""/>
    <s v="jazzy"/>
    <s v="ernest"/>
    <x v="7"/>
  </r>
  <r>
    <x v="20"/>
    <x v="11"/>
    <x v="519"/>
    <x v="1"/>
    <s v=""/>
    <s v=""/>
    <s v=""/>
    <s v="malty"/>
    <s v="smooth"/>
    <x v="2"/>
  </r>
  <r>
    <x v="21"/>
    <x v="11"/>
    <x v="520"/>
    <x v="1"/>
    <s v=""/>
    <s v=""/>
    <s v=""/>
    <s v="floral"/>
    <s v="ale-wannabe"/>
    <x v="11"/>
  </r>
  <r>
    <x v="18"/>
    <x v="11"/>
    <x v="521"/>
    <x v="1"/>
    <s v=""/>
    <s v=""/>
    <s v=""/>
    <s v="delicious"/>
    <s v="syrup"/>
    <x v="7"/>
  </r>
  <r>
    <x v="12"/>
    <x v="11"/>
    <x v="522"/>
    <x v="1"/>
    <s v=""/>
    <s v=""/>
    <s v=""/>
    <s v="absolutely"/>
    <s v="Savage"/>
    <x v="3"/>
  </r>
  <r>
    <x v="3"/>
    <x v="11"/>
    <x v="518"/>
    <x v="1"/>
    <s v=""/>
    <s v=""/>
    <s v=""/>
    <s v="Vanillary"/>
    <s v="Potent"/>
    <x v="2"/>
  </r>
  <r>
    <x v="5"/>
    <x v="11"/>
    <x v="523"/>
    <x v="7"/>
    <s v=""/>
    <s v=""/>
    <s v=""/>
    <s v="tantilising"/>
    <s v="fruity"/>
    <x v="0"/>
  </r>
  <r>
    <x v="4"/>
    <x v="11"/>
    <x v="337"/>
    <x v="1"/>
    <s v=""/>
    <s v=""/>
    <s v=""/>
    <s v="Tropical"/>
    <s v="Hoppiness"/>
    <x v="2"/>
  </r>
  <r>
    <x v="23"/>
    <x v="11"/>
    <x v="524"/>
    <x v="2"/>
    <s v=""/>
    <s v=""/>
    <s v=""/>
    <s v="Japanese"/>
    <s v="Drink"/>
    <x v="10"/>
  </r>
  <r>
    <x v="3"/>
    <x v="11"/>
    <x v="524"/>
    <x v="2"/>
    <s v=""/>
    <s v=""/>
    <s v=""/>
    <s v="Tasteless"/>
    <s v="There"/>
    <x v="15"/>
  </r>
  <r>
    <x v="9"/>
    <x v="11"/>
    <x v="524"/>
    <x v="2"/>
    <s v=""/>
    <s v=""/>
    <s v=""/>
    <s v="Pungeant"/>
    <s v="There"/>
    <x v="10"/>
  </r>
  <r>
    <x v="4"/>
    <x v="11"/>
    <x v="525"/>
    <x v="8"/>
    <s v=""/>
    <s v=""/>
    <s v=""/>
    <s v="Never"/>
    <s v="Chug"/>
    <x v="13"/>
  </r>
  <r>
    <x v="8"/>
    <x v="11"/>
    <x v="525"/>
    <x v="8"/>
    <s v=""/>
    <s v=""/>
    <s v=""/>
    <s v="Vomitty"/>
    <s v="Fizz"/>
    <x v="13"/>
  </r>
  <r>
    <x v="2"/>
    <x v="11"/>
    <x v="22"/>
    <x v="2"/>
    <s v=""/>
    <s v=""/>
    <s v=""/>
    <s v="Cutting"/>
    <s v="Salient"/>
    <x v="2"/>
  </r>
  <r>
    <x v="18"/>
    <x v="11"/>
    <x v="358"/>
    <x v="4"/>
    <s v=""/>
    <s v=""/>
    <s v=""/>
    <s v="Light"/>
    <s v="Smooth"/>
    <x v="2"/>
  </r>
  <r>
    <x v="1"/>
    <x v="11"/>
    <x v="508"/>
    <x v="2"/>
    <s v=""/>
    <s v=""/>
    <s v=""/>
    <s v="Luxurious"/>
    <s v="Sophisticated"/>
    <x v="0"/>
  </r>
  <r>
    <x v="12"/>
    <x v="11"/>
    <x v="526"/>
    <x v="7"/>
    <s v=""/>
    <s v=""/>
    <s v=""/>
    <s v="Carribean"/>
    <s v="Monstrosity"/>
    <x v="14"/>
  </r>
  <r>
    <x v="15"/>
    <x v="11"/>
    <x v="527"/>
    <x v="3"/>
    <s v=""/>
    <s v=""/>
    <s v=""/>
    <s v="Irresponsibly"/>
    <s v="substandard"/>
    <x v="13"/>
  </r>
  <r>
    <x v="21"/>
    <x v="11"/>
    <x v="19"/>
    <x v="3"/>
    <s v=""/>
    <s v=""/>
    <s v=""/>
    <s v="clean"/>
    <s v="obtuse"/>
    <x v="5"/>
  </r>
  <r>
    <x v="5"/>
    <x v="11"/>
    <x v="528"/>
    <x v="3"/>
    <s v=""/>
    <s v=""/>
    <s v=""/>
    <s v="Ireversible"/>
    <s v="dishonesty"/>
    <x v="13"/>
  </r>
  <r>
    <x v="2"/>
    <x v="11"/>
    <x v="529"/>
    <x v="8"/>
    <s v=""/>
    <s v=""/>
    <s v=""/>
    <s v="bland"/>
    <s v="non-descript"/>
    <x v="10"/>
  </r>
  <r>
    <x v="5"/>
    <x v="11"/>
    <x v="530"/>
    <x v="6"/>
    <s v=""/>
    <s v=""/>
    <s v=""/>
    <s v="Subtle"/>
    <s v="palet-cleansing"/>
    <x v="10"/>
  </r>
  <r>
    <x v="8"/>
    <x v="11"/>
    <x v="531"/>
    <x v="1"/>
    <s v=""/>
    <s v=""/>
    <s v=""/>
    <s v="carbonated"/>
    <s v="lager"/>
    <x v="11"/>
  </r>
  <r>
    <x v="18"/>
    <x v="11"/>
    <x v="532"/>
    <x v="1"/>
    <s v=""/>
    <s v=""/>
    <s v=""/>
    <s v="Bitter"/>
    <s v="Shit"/>
    <x v="5"/>
  </r>
  <r>
    <x v="4"/>
    <x v="11"/>
    <x v="113"/>
    <x v="1"/>
    <s v=""/>
    <s v=""/>
    <s v=""/>
    <s v="delectably"/>
    <s v="wheaty"/>
    <x v="7"/>
  </r>
  <r>
    <x v="15"/>
    <x v="11"/>
    <x v="533"/>
    <x v="1"/>
    <s v=""/>
    <s v=""/>
    <s v=""/>
    <s v="regrettable"/>
    <s v="forgettable"/>
    <x v="11"/>
  </r>
  <r>
    <x v="21"/>
    <x v="11"/>
    <x v="534"/>
    <x v="1"/>
    <s v=""/>
    <s v=""/>
    <s v=""/>
    <s v="unessecary"/>
    <s v="crap"/>
    <x v="5"/>
  </r>
  <r>
    <x v="9"/>
    <x v="11"/>
    <x v="535"/>
    <x v="7"/>
    <s v=""/>
    <s v=""/>
    <s v=""/>
    <s v="grainy"/>
    <s v="irksome"/>
    <x v="15"/>
  </r>
  <r>
    <x v="20"/>
    <x v="11"/>
    <x v="536"/>
    <x v="1"/>
    <s v=""/>
    <s v=""/>
    <s v=""/>
    <s v="pot pouri"/>
    <s v="spring-like"/>
    <x v="3"/>
  </r>
  <r>
    <x v="1"/>
    <x v="11"/>
    <x v="537"/>
    <x v="1"/>
    <s v=""/>
    <s v=""/>
    <s v=""/>
    <s v="Posh"/>
    <s v="Squash"/>
    <x v="8"/>
  </r>
  <r>
    <x v="24"/>
    <x v="11"/>
    <x v="538"/>
    <x v="6"/>
    <s v=""/>
    <s v=""/>
    <s v=""/>
    <s v="esterno claydo mas toi deo"/>
    <s v="Strong"/>
    <x v="0"/>
  </r>
  <r>
    <x v="1"/>
    <x v="11"/>
    <x v="539"/>
    <x v="1"/>
    <s v=""/>
    <s v=""/>
    <s v=""/>
    <s v="spritely"/>
    <s v="individual"/>
    <x v="2"/>
  </r>
  <r>
    <x v="4"/>
    <x v="11"/>
    <x v="539"/>
    <x v="1"/>
    <s v=""/>
    <s v=""/>
    <s v=""/>
    <s v="surprisingly"/>
    <s v="different"/>
    <x v="2"/>
  </r>
  <r>
    <x v="3"/>
    <x v="11"/>
    <x v="540"/>
    <x v="1"/>
    <s v=""/>
    <s v=""/>
    <s v=""/>
    <s v="Tangy"/>
    <s v="unpleasant"/>
    <x v="15"/>
  </r>
  <r>
    <x v="15"/>
    <x v="11"/>
    <x v="83"/>
    <x v="0"/>
    <s v="Tonic"/>
    <s v=""/>
    <s v=""/>
    <s v="stupendous"/>
    <s v="good"/>
    <x v="0"/>
  </r>
  <r>
    <x v="8"/>
    <x v="11"/>
    <x v="486"/>
    <x v="1"/>
    <s v=""/>
    <s v=""/>
    <s v=""/>
    <s v="dry"/>
    <s v="malty"/>
    <x v="12"/>
  </r>
  <r>
    <x v="18"/>
    <x v="11"/>
    <x v="103"/>
    <x v="1"/>
    <s v=""/>
    <s v=""/>
    <s v=""/>
    <s v="reasonably"/>
    <s v="fine"/>
    <x v="10"/>
  </r>
  <r>
    <x v="2"/>
    <x v="11"/>
    <x v="540"/>
    <x v="1"/>
    <s v=""/>
    <s v=""/>
    <s v=""/>
    <s v="rusty"/>
    <s v="ash-tray"/>
    <x v="5"/>
  </r>
  <r>
    <x v="9"/>
    <x v="11"/>
    <x v="541"/>
    <x v="1"/>
    <s v=""/>
    <s v=""/>
    <s v=""/>
    <s v="rich"/>
    <s v="spiritual"/>
    <x v="4"/>
  </r>
  <r>
    <x v="4"/>
    <x v="11"/>
    <x v="484"/>
    <x v="1"/>
    <s v=""/>
    <s v=""/>
    <s v=""/>
    <s v="Christ-tier"/>
    <s v="masterpiece"/>
    <x v="9"/>
  </r>
  <r>
    <x v="20"/>
    <x v="11"/>
    <x v="542"/>
    <x v="1"/>
    <s v=""/>
    <s v=""/>
    <s v=""/>
    <s v="dissapointing"/>
    <s v="bland"/>
    <x v="5"/>
  </r>
  <r>
    <x v="21"/>
    <x v="11"/>
    <x v="543"/>
    <x v="1"/>
    <s v=""/>
    <s v=""/>
    <s v=""/>
    <s v="dense"/>
    <s v="bovril"/>
    <x v="13"/>
  </r>
  <r>
    <x v="3"/>
    <x v="11"/>
    <x v="544"/>
    <x v="1"/>
    <s v=""/>
    <s v=""/>
    <s v=""/>
    <s v="Genuine"/>
    <s v="Surprise"/>
    <x v="2"/>
  </r>
  <r>
    <x v="8"/>
    <x v="11"/>
    <x v="414"/>
    <x v="1"/>
    <s v=""/>
    <s v=""/>
    <s v=""/>
    <s v="bland"/>
    <s v="boring"/>
    <x v="11"/>
  </r>
  <r>
    <x v="5"/>
    <x v="11"/>
    <x v="545"/>
    <x v="0"/>
    <s v=""/>
    <s v=""/>
    <s v=""/>
    <s v="Dissapointly"/>
    <s v="artifical"/>
    <x v="13"/>
  </r>
  <r>
    <x v="12"/>
    <x v="11"/>
    <x v="173"/>
    <x v="7"/>
    <s v="Cointreau"/>
    <s v=""/>
    <s v=""/>
    <s v="expectantly"/>
    <s v="militarised"/>
    <x v="3"/>
  </r>
  <r>
    <x v="15"/>
    <x v="11"/>
    <x v="418"/>
    <x v="9"/>
    <s v=""/>
    <s v=""/>
    <s v=""/>
    <s v="fucking"/>
    <s v="urine"/>
    <x v="5"/>
  </r>
  <r>
    <x v="1"/>
    <x v="11"/>
    <x v="546"/>
    <x v="8"/>
    <s v=""/>
    <s v=""/>
    <s v=""/>
    <s v="cherries"/>
    <s v="vanilla"/>
    <x v="3"/>
  </r>
  <r>
    <x v="18"/>
    <x v="11"/>
    <x v="547"/>
    <x v="1"/>
    <s v=""/>
    <s v=""/>
    <s v=""/>
    <s v="fucking"/>
    <s v="lush"/>
    <x v="0"/>
  </r>
  <r>
    <x v="5"/>
    <x v="11"/>
    <x v="548"/>
    <x v="0"/>
    <s v=""/>
    <s v=""/>
    <s v=""/>
    <s v="Autumnal"/>
    <s v="Joyous"/>
    <x v="2"/>
  </r>
  <r>
    <x v="2"/>
    <x v="11"/>
    <x v="549"/>
    <x v="6"/>
    <s v=""/>
    <s v=""/>
    <s v=""/>
    <s v="Rampunctious"/>
    <s v="Oompful"/>
    <x v="12"/>
  </r>
  <r>
    <x v="3"/>
    <x v="11"/>
    <x v="550"/>
    <x v="3"/>
    <s v=""/>
    <s v=""/>
    <s v=""/>
    <s v="Glenn's"/>
    <s v="Vibez"/>
    <x v="10"/>
  </r>
  <r>
    <x v="18"/>
    <x v="11"/>
    <x v="43"/>
    <x v="0"/>
    <s v=""/>
    <s v=""/>
    <s v=""/>
    <s v="repulsive"/>
    <s v="rancid"/>
    <x v="13"/>
  </r>
  <r>
    <x v="1"/>
    <x v="11"/>
    <x v="19"/>
    <x v="3"/>
    <s v="Bacardi Rum"/>
    <s v="Lime Juice"/>
    <s v=""/>
    <s v="Effervescent"/>
    <s v="Limey"/>
    <x v="10"/>
  </r>
  <r>
    <x v="12"/>
    <x v="11"/>
    <x v="551"/>
    <x v="0"/>
    <s v=""/>
    <s v=""/>
    <s v=""/>
    <s v="shimmering"/>
    <s v="mediocrity"/>
    <x v="19"/>
  </r>
  <r>
    <x v="15"/>
    <x v="11"/>
    <x v="552"/>
    <x v="3"/>
    <s v=""/>
    <s v=""/>
    <s v=""/>
    <s v="unlawful"/>
    <s v="heartbreaking"/>
    <x v="18"/>
  </r>
  <r>
    <x v="4"/>
    <x v="11"/>
    <x v="553"/>
    <x v="0"/>
    <s v=""/>
    <s v=""/>
    <s v=""/>
    <s v="Does-the-job"/>
    <s v="probably"/>
    <x v="3"/>
  </r>
  <r>
    <x v="8"/>
    <x v="11"/>
    <x v="553"/>
    <x v="0"/>
    <s v=""/>
    <s v=""/>
    <s v=""/>
    <s v="Floral"/>
    <s v="grounding"/>
    <x v="12"/>
  </r>
  <r>
    <x v="20"/>
    <x v="11"/>
    <x v="554"/>
    <x v="4"/>
    <s v=""/>
    <s v=""/>
    <s v=""/>
    <s v="Autumn"/>
    <s v="tingly"/>
    <x v="2"/>
  </r>
  <r>
    <x v="21"/>
    <x v="11"/>
    <x v="554"/>
    <x v="4"/>
    <s v=""/>
    <s v=""/>
    <s v=""/>
    <s v="Smooth"/>
    <s v="Sweet"/>
    <x v="0"/>
  </r>
  <r>
    <x v="9"/>
    <x v="11"/>
    <x v="496"/>
    <x v="4"/>
    <s v=""/>
    <s v=""/>
    <s v=""/>
    <s v="smoky"/>
    <s v="shitty"/>
    <x v="11"/>
  </r>
  <r>
    <x v="5"/>
    <x v="11"/>
    <x v="552"/>
    <x v="3"/>
    <s v=""/>
    <s v=""/>
    <s v=""/>
    <s v="medicianl"/>
    <s v="tragedy"/>
    <x v="13"/>
  </r>
  <r>
    <x v="1"/>
    <x v="11"/>
    <x v="555"/>
    <x v="1"/>
    <s v=""/>
    <s v=""/>
    <s v=""/>
    <s v="run-of-the-mill"/>
    <s v="cheap"/>
    <x v="11"/>
  </r>
  <r>
    <x v="4"/>
    <x v="11"/>
    <x v="118"/>
    <x v="1"/>
    <s v=""/>
    <s v=""/>
    <s v="Orange"/>
    <s v="Belgian"/>
    <s v="Brilliance"/>
    <x v="1"/>
  </r>
  <r>
    <x v="9"/>
    <x v="11"/>
    <x v="556"/>
    <x v="1"/>
    <s v=""/>
    <s v=""/>
    <s v=""/>
    <s v="Pleasant"/>
    <s v="Enough"/>
    <x v="3"/>
  </r>
  <r>
    <x v="8"/>
    <x v="11"/>
    <x v="557"/>
    <x v="1"/>
    <s v=""/>
    <s v=""/>
    <s v=""/>
    <s v="Fine"/>
    <s v="Malty"/>
    <x v="3"/>
  </r>
  <r>
    <x v="12"/>
    <x v="11"/>
    <x v="558"/>
    <x v="1"/>
    <s v=""/>
    <s v=""/>
    <s v=""/>
    <s v="Nice"/>
    <s v="simple"/>
    <x v="12"/>
  </r>
  <r>
    <x v="2"/>
    <x v="11"/>
    <x v="559"/>
    <x v="9"/>
    <s v=""/>
    <s v=""/>
    <s v=""/>
    <s v="standard"/>
    <s v="cider"/>
    <x v="7"/>
  </r>
  <r>
    <x v="5"/>
    <x v="11"/>
    <x v="121"/>
    <x v="7"/>
    <s v="Rubicon Mango"/>
    <s v=""/>
    <s v=""/>
    <s v="flavour-bursting"/>
    <s v="mangogasm"/>
    <x v="8"/>
  </r>
  <r>
    <x v="1"/>
    <x v="11"/>
    <x v="508"/>
    <x v="2"/>
    <s v="Hot Chocolate"/>
    <s v=""/>
    <s v=""/>
    <s v="comforting"/>
    <s v="cwtch"/>
    <x v="1"/>
  </r>
  <r>
    <x v="15"/>
    <x v="11"/>
    <x v="560"/>
    <x v="9"/>
    <s v=""/>
    <s v=""/>
    <s v=""/>
    <s v="hazy"/>
    <s v="thatchery"/>
    <x v="10"/>
  </r>
  <r>
    <x v="21"/>
    <x v="11"/>
    <x v="561"/>
    <x v="1"/>
    <s v=""/>
    <s v=""/>
    <s v=""/>
    <s v="fruity"/>
    <s v="full-bodied"/>
    <x v="2"/>
  </r>
  <r>
    <x v="18"/>
    <x v="11"/>
    <x v="189"/>
    <x v="1"/>
    <s v=""/>
    <s v=""/>
    <s v=""/>
    <s v="Juicy"/>
    <s v="Red"/>
    <x v="7"/>
  </r>
  <r>
    <x v="24"/>
    <x v="11"/>
    <x v="562"/>
    <x v="1"/>
    <s v=""/>
    <s v=""/>
    <s v=""/>
    <s v="Parcera"/>
    <s v="Cucha"/>
    <x v="17"/>
  </r>
  <r>
    <x v="3"/>
    <x v="11"/>
    <x v="563"/>
    <x v="1"/>
    <s v=""/>
    <s v=""/>
    <s v=""/>
    <s v="Generic"/>
    <s v="fine"/>
    <x v="3"/>
  </r>
  <r>
    <x v="8"/>
    <x v="11"/>
    <x v="100"/>
    <x v="4"/>
    <s v="Warm Milk"/>
    <s v="Sugar &amp; Cinnamon"/>
    <s v=""/>
    <s v="Delightful"/>
    <s v="Sleepy"/>
    <x v="0"/>
  </r>
  <r>
    <x v="5"/>
    <x v="11"/>
    <x v="564"/>
    <x v="3"/>
    <s v=""/>
    <s v=""/>
    <s v=""/>
    <s v="sweet"/>
    <s v="basic"/>
    <x v="10"/>
  </r>
  <r>
    <x v="15"/>
    <x v="11"/>
    <x v="565"/>
    <x v="3"/>
    <s v=""/>
    <s v=""/>
    <s v=""/>
    <s v="Apply"/>
    <s v="Snakey"/>
    <x v="5"/>
  </r>
  <r>
    <x v="15"/>
    <x v="11"/>
    <x v="566"/>
    <x v="3"/>
    <s v=""/>
    <s v=""/>
    <s v=""/>
    <s v="Scorpiony"/>
    <s v="Shit"/>
    <x v="13"/>
  </r>
  <r>
    <x v="4"/>
    <x v="11"/>
    <x v="325"/>
    <x v="1"/>
    <s v=""/>
    <s v=""/>
    <s v=""/>
    <s v="deliriously"/>
    <s v="tangy"/>
    <x v="7"/>
  </r>
  <r>
    <x v="24"/>
    <x v="11"/>
    <x v="102"/>
    <x v="1"/>
    <s v=""/>
    <s v=""/>
    <s v=""/>
    <s v="Cool"/>
    <s v="Muthafucka"/>
    <x v="17"/>
  </r>
  <r>
    <x v="3"/>
    <x v="11"/>
    <x v="556"/>
    <x v="1"/>
    <s v=""/>
    <s v=""/>
    <s v=""/>
    <s v="Fragrant"/>
    <s v="Boring"/>
    <x v="3"/>
  </r>
  <r>
    <x v="9"/>
    <x v="11"/>
    <x v="550"/>
    <x v="3"/>
    <s v=""/>
    <s v=""/>
    <s v=""/>
    <s v="Clean"/>
    <s v="Sad"/>
    <x v="10"/>
  </r>
  <r>
    <x v="12"/>
    <x v="11"/>
    <x v="567"/>
    <x v="1"/>
    <s v=""/>
    <s v=""/>
    <s v=""/>
    <s v="Hazy"/>
    <s v="Spacy"/>
    <x v="2"/>
  </r>
  <r>
    <x v="12"/>
    <x v="11"/>
    <x v="19"/>
    <x v="3"/>
    <s v="Cranberry Juice"/>
    <s v=""/>
    <s v=""/>
    <s v="Quaffable"/>
    <s v="Delectableness"/>
    <x v="0"/>
  </r>
  <r>
    <x v="9"/>
    <x v="11"/>
    <x v="568"/>
    <x v="1"/>
    <s v=""/>
    <s v=""/>
    <s v=""/>
    <s v="La Fizzyness"/>
    <s v="Puta"/>
    <x v="3"/>
  </r>
  <r>
    <x v="3"/>
    <x v="11"/>
    <x v="569"/>
    <x v="1"/>
    <s v=""/>
    <s v=""/>
    <s v=""/>
    <s v="Cosmically"/>
    <s v="ok"/>
    <x v="3"/>
  </r>
  <r>
    <x v="12"/>
    <x v="11"/>
    <x v="570"/>
    <x v="1"/>
    <s v=""/>
    <s v=""/>
    <s v=""/>
    <s v="Sour"/>
    <s v="Nice"/>
    <x v="2"/>
  </r>
  <r>
    <x v="2"/>
    <x v="11"/>
    <x v="571"/>
    <x v="9"/>
    <s v=""/>
    <s v=""/>
    <s v=""/>
    <s v="sunflowery"/>
    <s v="rosy"/>
    <x v="2"/>
  </r>
  <r>
    <x v="2"/>
    <x v="11"/>
    <x v="572"/>
    <x v="1"/>
    <s v=""/>
    <s v=""/>
    <s v=""/>
    <s v="Unexciting"/>
    <s v="grainly"/>
    <x v="4"/>
  </r>
  <r>
    <x v="3"/>
    <x v="11"/>
    <x v="573"/>
    <x v="1"/>
    <s v=""/>
    <s v=""/>
    <s v=""/>
    <s v="nonoptimal"/>
    <s v="graphic"/>
    <x v="12"/>
  </r>
  <r>
    <x v="2"/>
    <x v="11"/>
    <x v="74"/>
    <x v="1"/>
    <s v=""/>
    <s v=""/>
    <s v=""/>
    <s v="Dirt"/>
    <s v="road"/>
    <x v="10"/>
  </r>
  <r>
    <x v="6"/>
    <x v="12"/>
    <x v="574"/>
    <x v="9"/>
    <s v=""/>
    <s v=""/>
    <s v=""/>
    <s v="festival"/>
    <s v="fresh"/>
    <x v="12"/>
  </r>
  <r>
    <x v="3"/>
    <x v="12"/>
    <x v="575"/>
    <x v="1"/>
    <s v=""/>
    <s v=""/>
    <s v=""/>
    <s v="sweet"/>
    <s v="easy"/>
    <x v="2"/>
  </r>
  <r>
    <x v="2"/>
    <x v="12"/>
    <x v="576"/>
    <x v="6"/>
    <s v=""/>
    <s v=""/>
    <s v=""/>
    <s v="Manufactured"/>
    <s v="fluid"/>
    <x v="2"/>
  </r>
  <r>
    <x v="1"/>
    <x v="12"/>
    <x v="577"/>
    <x v="6"/>
    <s v=""/>
    <s v=""/>
    <s v=""/>
    <s v="Almond"/>
    <s v="Thrust"/>
    <x v="2"/>
  </r>
  <r>
    <x v="1"/>
    <x v="12"/>
    <x v="278"/>
    <x v="6"/>
    <s v=""/>
    <s v=""/>
    <s v=""/>
    <s v="lemon"/>
    <s v="fanta"/>
    <x v="0"/>
  </r>
  <r>
    <x v="12"/>
    <x v="12"/>
    <x v="578"/>
    <x v="1"/>
    <s v=""/>
    <s v=""/>
    <s v=""/>
    <s v="light"/>
    <s v="refreshing"/>
    <x v="12"/>
  </r>
  <r>
    <x v="6"/>
    <x v="12"/>
    <x v="474"/>
    <x v="1"/>
    <s v=""/>
    <s v=""/>
    <s v=""/>
    <s v="Hazy"/>
    <s v="gawjus"/>
    <x v="8"/>
  </r>
  <r>
    <x v="2"/>
    <x v="12"/>
    <x v="488"/>
    <x v="6"/>
    <s v=""/>
    <s v=""/>
    <s v=""/>
    <s v="Phantom"/>
    <s v="Grapefruit"/>
    <x v="15"/>
  </r>
  <r>
    <x v="5"/>
    <x v="12"/>
    <x v="579"/>
    <x v="3"/>
    <s v=""/>
    <s v=""/>
    <s v=""/>
    <s v="sweet"/>
    <s v="standard"/>
    <x v="11"/>
  </r>
  <r>
    <x v="5"/>
    <x v="12"/>
    <x v="278"/>
    <x v="6"/>
    <s v=""/>
    <s v=""/>
    <s v=""/>
    <s v="refreshing"/>
    <s v="morning"/>
    <x v="7"/>
  </r>
  <r>
    <x v="1"/>
    <x v="12"/>
    <x v="57"/>
    <x v="2"/>
    <s v=""/>
    <s v=""/>
    <s v=""/>
    <s v="Licqorice"/>
    <s v="Death"/>
    <x v="6"/>
  </r>
  <r>
    <x v="2"/>
    <x v="12"/>
    <x v="580"/>
    <x v="3"/>
    <s v=""/>
    <s v=""/>
    <s v=""/>
    <s v="Passion"/>
    <s v="Splash"/>
    <x v="3"/>
  </r>
  <r>
    <x v="12"/>
    <x v="12"/>
    <x v="339"/>
    <x v="1"/>
    <s v=""/>
    <s v=""/>
    <s v=""/>
    <s v="Slightly"/>
    <s v="Underwhelming"/>
    <x v="3"/>
  </r>
  <r>
    <x v="6"/>
    <x v="12"/>
    <x v="581"/>
    <x v="1"/>
    <s v=""/>
    <s v=""/>
    <s v=""/>
    <s v="Heavy"/>
    <s v="Bitter"/>
    <x v="0"/>
  </r>
  <r>
    <x v="3"/>
    <x v="12"/>
    <x v="582"/>
    <x v="1"/>
    <s v=""/>
    <s v=""/>
    <s v=""/>
    <s v="Good"/>
    <s v="good"/>
    <x v="2"/>
  </r>
  <r>
    <x v="1"/>
    <x v="12"/>
    <x v="583"/>
    <x v="0"/>
    <s v=""/>
    <s v=""/>
    <s v=""/>
    <s v="Children's"/>
    <s v="Mouthwash"/>
    <x v="19"/>
  </r>
  <r>
    <x v="1"/>
    <x v="12"/>
    <x v="584"/>
    <x v="9"/>
    <s v=""/>
    <s v=""/>
    <s v=""/>
    <s v="strangely"/>
    <s v="warming"/>
    <x v="12"/>
  </r>
  <r>
    <x v="2"/>
    <x v="12"/>
    <x v="585"/>
    <x v="9"/>
    <s v=""/>
    <s v=""/>
    <s v=""/>
    <s v="Shit"/>
    <s v="Sunset"/>
    <x v="6"/>
  </r>
  <r>
    <x v="5"/>
    <x v="12"/>
    <x v="586"/>
    <x v="0"/>
    <s v=""/>
    <s v=""/>
    <s v=""/>
    <s v="dissipating"/>
    <s v="joy"/>
    <x v="2"/>
  </r>
  <r>
    <x v="3"/>
    <x v="12"/>
    <x v="587"/>
    <x v="1"/>
    <s v=""/>
    <s v=""/>
    <s v=""/>
    <s v="Floral"/>
    <s v="Nasal"/>
    <x v="12"/>
  </r>
  <r>
    <x v="1"/>
    <x v="12"/>
    <x v="121"/>
    <x v="7"/>
    <s v=""/>
    <s v=""/>
    <s v=""/>
    <s v="rapey"/>
    <s v="coconut"/>
    <x v="13"/>
  </r>
  <r>
    <x v="12"/>
    <x v="12"/>
    <x v="588"/>
    <x v="1"/>
    <s v=""/>
    <s v=""/>
    <s v=""/>
    <s v="Viscous"/>
    <s v="deliciousness"/>
    <x v="1"/>
  </r>
  <r>
    <x v="6"/>
    <x v="12"/>
    <x v="588"/>
    <x v="1"/>
    <s v=""/>
    <s v=""/>
    <s v=""/>
    <s v="Full-bodied"/>
    <s v="Juicy"/>
    <x v="0"/>
  </r>
  <r>
    <x v="1"/>
    <x v="12"/>
    <x v="589"/>
    <x v="0"/>
    <s v=""/>
    <s v=""/>
    <s v=""/>
    <s v="weirdly"/>
    <s v="spikey"/>
    <x v="11"/>
  </r>
  <r>
    <x v="5"/>
    <x v="12"/>
    <x v="588"/>
    <x v="1"/>
    <s v=""/>
    <s v=""/>
    <s v=""/>
    <s v="Thiccc"/>
    <s v="lingering"/>
    <x v="2"/>
  </r>
  <r>
    <x v="1"/>
    <x v="12"/>
    <x v="590"/>
    <x v="0"/>
    <s v=""/>
    <s v=""/>
    <s v=""/>
    <s v="Fucking"/>
    <s v="potent"/>
    <x v="14"/>
  </r>
  <r>
    <x v="4"/>
    <x v="12"/>
    <x v="591"/>
    <x v="1"/>
    <s v=""/>
    <s v=""/>
    <s v=""/>
    <s v="Jagged"/>
    <s v="surprising"/>
    <x v="2"/>
  </r>
  <r>
    <x v="1"/>
    <x v="12"/>
    <x v="19"/>
    <x v="3"/>
    <s v="Diet Coke"/>
    <s v=""/>
    <s v=""/>
    <s v="strangely"/>
    <s v="mellow"/>
    <x v="3"/>
  </r>
  <r>
    <x v="9"/>
    <x v="12"/>
    <x v="592"/>
    <x v="1"/>
    <s v=""/>
    <s v=""/>
    <s v=""/>
    <s v="Grassy"/>
    <s v="Fun"/>
    <x v="7"/>
  </r>
  <r>
    <x v="2"/>
    <x v="12"/>
    <x v="593"/>
    <x v="9"/>
    <s v=""/>
    <s v=""/>
    <s v=""/>
    <s v="Strawberry"/>
    <s v="Goodness"/>
    <x v="1"/>
  </r>
  <r>
    <x v="25"/>
    <x v="12"/>
    <x v="594"/>
    <x v="8"/>
    <s v=""/>
    <s v=""/>
    <s v=""/>
    <s v="Freakishly"/>
    <s v="Accrid"/>
    <x v="5"/>
  </r>
  <r>
    <x v="6"/>
    <x v="12"/>
    <x v="595"/>
    <x v="1"/>
    <s v=""/>
    <s v=""/>
    <s v=""/>
    <s v="Bloody"/>
    <s v="lovely"/>
    <x v="0"/>
  </r>
  <r>
    <x v="2"/>
    <x v="12"/>
    <x v="596"/>
    <x v="9"/>
    <s v=""/>
    <s v=""/>
    <s v=""/>
    <s v="Rustic"/>
    <s v="Dry"/>
    <x v="3"/>
  </r>
  <r>
    <x v="4"/>
    <x v="12"/>
    <x v="597"/>
    <x v="1"/>
    <s v=""/>
    <s v=""/>
    <s v=""/>
    <s v="Fucking"/>
    <s v="weird"/>
    <x v="2"/>
  </r>
  <r>
    <x v="3"/>
    <x v="12"/>
    <x v="598"/>
    <x v="1"/>
    <s v=""/>
    <s v=""/>
    <s v=""/>
    <s v="almost"/>
    <s v="fruity"/>
    <x v="7"/>
  </r>
  <r>
    <x v="2"/>
    <x v="12"/>
    <x v="33"/>
    <x v="4"/>
    <s v=""/>
    <s v=""/>
    <s v=""/>
    <s v="Ughhhhh"/>
    <s v="taxing"/>
    <x v="6"/>
  </r>
  <r>
    <x v="3"/>
    <x v="12"/>
    <x v="599"/>
    <x v="6"/>
    <s v=""/>
    <s v=""/>
    <s v=""/>
    <s v="Chemical"/>
    <s v="sadness"/>
    <x v="5"/>
  </r>
  <r>
    <x v="6"/>
    <x v="12"/>
    <x v="600"/>
    <x v="6"/>
    <s v=""/>
    <s v=""/>
    <s v=""/>
    <s v="Go"/>
    <s v="Again"/>
    <x v="8"/>
  </r>
  <r>
    <x v="1"/>
    <x v="12"/>
    <x v="601"/>
    <x v="4"/>
    <s v=""/>
    <s v=""/>
    <s v=""/>
    <s v="velvetty"/>
    <s v="comforting"/>
    <x v="2"/>
  </r>
  <r>
    <x v="12"/>
    <x v="12"/>
    <x v="602"/>
    <x v="6"/>
    <s v=""/>
    <s v=""/>
    <s v=""/>
    <s v="childhood"/>
    <s v="nostalgi"/>
    <x v="0"/>
  </r>
  <r>
    <x v="5"/>
    <x v="12"/>
    <x v="565"/>
    <x v="6"/>
    <s v=""/>
    <s v=""/>
    <s v=""/>
    <s v="Basic"/>
    <s v="Basic"/>
    <x v="5"/>
  </r>
  <r>
    <x v="9"/>
    <x v="12"/>
    <x v="599"/>
    <x v="6"/>
    <s v=""/>
    <s v=""/>
    <s v=""/>
    <s v="dirty"/>
    <s v="waste"/>
    <x v="19"/>
  </r>
  <r>
    <x v="25"/>
    <x v="12"/>
    <x v="603"/>
    <x v="7"/>
    <s v=""/>
    <s v=""/>
    <s v=""/>
    <s v="Spicy"/>
    <s v="Misguided"/>
    <x v="3"/>
  </r>
  <r>
    <x v="1"/>
    <x v="12"/>
    <x v="604"/>
    <x v="10"/>
    <s v=""/>
    <s v=""/>
    <s v=""/>
    <s v="Cwtch"/>
    <s v="warm"/>
    <x v="1"/>
  </r>
  <r>
    <x v="5"/>
    <x v="12"/>
    <x v="605"/>
    <x v="6"/>
    <s v=""/>
    <s v=""/>
    <s v=""/>
    <s v="chemical"/>
    <s v="bigamy"/>
    <x v="11"/>
  </r>
  <r>
    <x v="12"/>
    <x v="12"/>
    <x v="606"/>
    <x v="1"/>
    <s v=""/>
    <s v=""/>
    <s v=""/>
    <s v="Wonderfully"/>
    <s v="Rich"/>
    <x v="8"/>
  </r>
  <r>
    <x v="25"/>
    <x v="12"/>
    <x v="607"/>
    <x v="8"/>
    <s v=""/>
    <s v=""/>
    <s v=""/>
    <s v="Dark"/>
    <s v="Dredgy"/>
    <x v="10"/>
  </r>
  <r>
    <x v="1"/>
    <x v="12"/>
    <x v="608"/>
    <x v="9"/>
    <s v=""/>
    <s v=""/>
    <s v=""/>
    <s v="Offensive"/>
    <s v="Fairy-like"/>
    <x v="4"/>
  </r>
  <r>
    <x v="5"/>
    <x v="12"/>
    <x v="609"/>
    <x v="3"/>
    <s v="Diet Coke"/>
    <s v=""/>
    <s v=""/>
    <s v="Sweet"/>
    <s v="Childish"/>
    <x v="4"/>
  </r>
  <r>
    <x v="9"/>
    <x v="12"/>
    <x v="610"/>
    <x v="1"/>
    <s v=""/>
    <s v=""/>
    <s v=""/>
    <s v="Sinister"/>
    <s v="Complex"/>
    <x v="0"/>
  </r>
  <r>
    <x v="6"/>
    <x v="12"/>
    <x v="407"/>
    <x v="7"/>
    <s v="Fever Tree Ginger Ale"/>
    <s v=""/>
    <s v=""/>
    <s v="Firey"/>
    <s v="Tropical"/>
    <x v="12"/>
  </r>
  <r>
    <x v="4"/>
    <x v="12"/>
    <x v="611"/>
    <x v="1"/>
    <s v=""/>
    <s v=""/>
    <s v=""/>
    <s v="Limes"/>
    <s v="Against-Humanity"/>
    <x v="5"/>
  </r>
  <r>
    <x v="12"/>
    <x v="12"/>
    <x v="612"/>
    <x v="1"/>
    <s v=""/>
    <s v=""/>
    <s v=""/>
    <s v="Otherworldy"/>
    <s v="magic"/>
    <x v="1"/>
  </r>
  <r>
    <x v="2"/>
    <x v="12"/>
    <x v="613"/>
    <x v="3"/>
    <s v=""/>
    <s v=""/>
    <s v=""/>
    <s v="delectable"/>
    <s v="filling"/>
    <x v="2"/>
  </r>
  <r>
    <x v="25"/>
    <x v="12"/>
    <x v="614"/>
    <x v="0"/>
    <s v="Schweppes Tonic"/>
    <s v=""/>
    <s v=""/>
    <s v="Unessecaryily"/>
    <s v="Saccarin"/>
    <x v="18"/>
  </r>
  <r>
    <x v="4"/>
    <x v="12"/>
    <x v="615"/>
    <x v="1"/>
    <s v=""/>
    <s v=""/>
    <s v=""/>
    <s v="Generic"/>
    <s v="decency"/>
    <x v="3"/>
  </r>
  <r>
    <x v="3"/>
    <x v="12"/>
    <x v="616"/>
    <x v="1"/>
    <s v=""/>
    <s v=""/>
    <s v=""/>
    <s v="Boring"/>
    <s v="gaugey"/>
    <x v="11"/>
  </r>
  <r>
    <x v="5"/>
    <x v="12"/>
    <x v="476"/>
    <x v="9"/>
    <s v=""/>
    <s v=""/>
    <s v=""/>
    <s v="pre-school"/>
    <s v="misery"/>
    <x v="5"/>
  </r>
  <r>
    <x v="1"/>
    <x v="12"/>
    <x v="193"/>
    <x v="7"/>
    <s v=""/>
    <s v=""/>
    <s v=""/>
    <s v="aggressive"/>
    <s v="victoria-sponge"/>
    <x v="12"/>
  </r>
  <r>
    <x v="6"/>
    <x v="12"/>
    <x v="617"/>
    <x v="7"/>
    <s v="Fever Tree Ginger Ale"/>
    <s v=""/>
    <s v=""/>
    <s v="sweet"/>
    <s v="spice"/>
    <x v="12"/>
  </r>
  <r>
    <x v="1"/>
    <x v="12"/>
    <x v="618"/>
    <x v="9"/>
    <s v=""/>
    <s v=""/>
    <s v=""/>
    <s v="sweet"/>
    <s v="candyfloss"/>
    <x v="15"/>
  </r>
  <r>
    <x v="1"/>
    <x v="12"/>
    <x v="619"/>
    <x v="4"/>
    <s v="Diet Coke"/>
    <s v=""/>
    <s v=""/>
    <s v="flirtacious"/>
    <s v="morish"/>
    <x v="0"/>
  </r>
  <r>
    <x v="9"/>
    <x v="12"/>
    <x v="620"/>
    <x v="1"/>
    <s v=""/>
    <s v=""/>
    <s v=""/>
    <s v="fruity"/>
    <s v="joyful"/>
    <x v="2"/>
  </r>
  <r>
    <x v="6"/>
    <x v="12"/>
    <x v="184"/>
    <x v="7"/>
    <s v="Fever Tree Ginger Ale"/>
    <s v=""/>
    <s v=""/>
    <s v="fiery"/>
    <s v="sweet"/>
    <x v="12"/>
  </r>
  <r>
    <x v="4"/>
    <x v="12"/>
    <x v="621"/>
    <x v="1"/>
    <s v=""/>
    <s v=""/>
    <s v=""/>
    <s v="Deliciously"/>
    <s v="Aromatic"/>
    <x v="8"/>
  </r>
  <r>
    <x v="25"/>
    <x v="12"/>
    <x v="622"/>
    <x v="8"/>
    <s v=""/>
    <s v=""/>
    <s v=""/>
    <s v="sticky"/>
    <s v="nostalgic"/>
    <x v="5"/>
  </r>
  <r>
    <x v="6"/>
    <x v="12"/>
    <x v="470"/>
    <x v="6"/>
    <s v=""/>
    <s v=""/>
    <s v=""/>
    <s v="not"/>
    <s v="good"/>
    <x v="5"/>
  </r>
  <r>
    <x v="3"/>
    <x v="12"/>
    <x v="623"/>
    <x v="6"/>
    <s v=""/>
    <s v=""/>
    <s v=""/>
    <s v="Deceptive"/>
    <s v="filth"/>
    <x v="13"/>
  </r>
  <r>
    <x v="12"/>
    <x v="12"/>
    <x v="493"/>
    <x v="6"/>
    <s v=""/>
    <s v=""/>
    <s v=""/>
    <s v="liquid"/>
    <s v="dessert"/>
    <x v="0"/>
  </r>
  <r>
    <x v="12"/>
    <x v="12"/>
    <x v="65"/>
    <x v="6"/>
    <s v=""/>
    <s v=""/>
    <s v=""/>
    <s v="saltry"/>
    <s v="caressing"/>
    <x v="1"/>
  </r>
  <r>
    <x v="4"/>
    <x v="12"/>
    <x v="57"/>
    <x v="2"/>
    <s v="Southern Comfort"/>
    <s v=""/>
    <s v=""/>
    <s v="shockingly"/>
    <s v="ok"/>
    <x v="12"/>
  </r>
  <r>
    <x v="9"/>
    <x v="12"/>
    <x v="623"/>
    <x v="6"/>
    <s v=""/>
    <s v=""/>
    <s v=""/>
    <s v="Sweet"/>
    <s v="Urine"/>
    <x v="16"/>
  </r>
  <r>
    <x v="25"/>
    <x v="12"/>
    <x v="624"/>
    <x v="4"/>
    <s v=""/>
    <s v=""/>
    <s v=""/>
    <s v="Satisfyingly"/>
    <s v="Familiar"/>
    <x v="0"/>
  </r>
  <r>
    <x v="2"/>
    <x v="12"/>
    <x v="20"/>
    <x v="8"/>
    <s v=""/>
    <s v=""/>
    <s v=""/>
    <s v="Rampunctiously"/>
    <s v="Grave"/>
    <x v="6"/>
  </r>
  <r>
    <x v="4"/>
    <x v="12"/>
    <x v="625"/>
    <x v="1"/>
    <s v=""/>
    <s v=""/>
    <s v=""/>
    <s v="tangy"/>
    <s v="dynamic"/>
    <x v="8"/>
  </r>
  <r>
    <x v="3"/>
    <x v="12"/>
    <x v="626"/>
    <x v="1"/>
    <s v=""/>
    <s v=""/>
    <s v=""/>
    <s v="flacid"/>
    <s v="uninspiring"/>
    <x v="3"/>
  </r>
  <r>
    <x v="12"/>
    <x v="12"/>
    <x v="627"/>
    <x v="7"/>
    <s v="Fever Tree Ginger Ale"/>
    <s v=""/>
    <s v=""/>
    <s v="vivacious"/>
    <s v="lovely"/>
    <x v="0"/>
  </r>
  <r>
    <x v="6"/>
    <x v="12"/>
    <x v="184"/>
    <x v="7"/>
    <s v="Diet Coke"/>
    <s v=""/>
    <s v=""/>
    <s v="Really"/>
    <s v="Nice"/>
    <x v="2"/>
  </r>
  <r>
    <x v="2"/>
    <x v="12"/>
    <x v="628"/>
    <x v="9"/>
    <s v=""/>
    <s v=""/>
    <s v=""/>
    <s v="Standard"/>
    <s v="Perry"/>
    <x v="2"/>
  </r>
  <r>
    <x v="9"/>
    <x v="12"/>
    <x v="629"/>
    <x v="1"/>
    <s v=""/>
    <s v=""/>
    <s v=""/>
    <s v="oaky"/>
    <s v="sweet"/>
    <x v="2"/>
  </r>
  <r>
    <x v="4"/>
    <x v="12"/>
    <x v="630"/>
    <x v="1"/>
    <s v=""/>
    <s v=""/>
    <s v=""/>
    <s v="crisply"/>
    <s v="delicious"/>
    <x v="8"/>
  </r>
  <r>
    <x v="3"/>
    <x v="12"/>
    <x v="339"/>
    <x v="1"/>
    <s v=""/>
    <s v=""/>
    <s v=""/>
    <s v="tangy"/>
    <s v="class"/>
    <x v="7"/>
  </r>
  <r>
    <x v="2"/>
    <x v="12"/>
    <x v="631"/>
    <x v="9"/>
    <s v=""/>
    <s v=""/>
    <s v=""/>
    <s v="zombie"/>
    <s v="marshmallow"/>
    <x v="5"/>
  </r>
  <r>
    <x v="12"/>
    <x v="12"/>
    <x v="627"/>
    <x v="7"/>
    <s v="Pepsi Max Cherry"/>
    <s v=""/>
    <s v=""/>
    <s v="Cacophanous"/>
    <s v="Beauty"/>
    <x v="0"/>
  </r>
  <r>
    <x v="3"/>
    <x v="13"/>
    <x v="632"/>
    <x v="1"/>
    <m/>
    <m/>
    <m/>
    <s v="juicalicious"/>
    <s v="sweetness"/>
    <x v="7"/>
  </r>
  <r>
    <x v="2"/>
    <x v="13"/>
    <x v="633"/>
    <x v="9"/>
    <m/>
    <m/>
    <m/>
    <s v="Satisfying"/>
    <s v="Thunder-Punch"/>
    <x v="7"/>
  </r>
  <r>
    <x v="15"/>
    <x v="13"/>
    <x v="95"/>
    <x v="1"/>
    <m/>
    <m/>
    <m/>
    <s v="reliable"/>
    <s v="American"/>
    <x v="2"/>
  </r>
  <r>
    <x v="6"/>
    <x v="13"/>
    <x v="113"/>
    <x v="1"/>
    <m/>
    <m/>
    <m/>
    <s v="Surprisingly"/>
    <s v="Delicious"/>
    <x v="2"/>
  </r>
  <r>
    <x v="7"/>
    <x v="13"/>
    <x v="634"/>
    <x v="0"/>
    <s v="Diet Tonic"/>
    <m/>
    <s v="Lime"/>
    <s v="Sweet"/>
    <s v="Fabulous"/>
    <x v="7"/>
  </r>
  <r>
    <x v="1"/>
    <x v="13"/>
    <x v="635"/>
    <x v="1"/>
    <m/>
    <m/>
    <m/>
    <s v="Magnificent"/>
    <s v="Pale-Ale"/>
    <x v="7"/>
  </r>
  <r>
    <x v="9"/>
    <x v="13"/>
    <x v="636"/>
    <x v="9"/>
    <m/>
    <m/>
    <m/>
    <s v="floral"/>
    <s v="Sour"/>
    <x v="3"/>
  </r>
  <r>
    <x v="1"/>
    <x v="13"/>
    <x v="508"/>
    <x v="2"/>
    <s v="Coffee"/>
    <m/>
    <m/>
    <s v="Caramel"/>
    <s v="nutty"/>
    <x v="0"/>
  </r>
  <r>
    <x v="5"/>
    <x v="13"/>
    <x v="574"/>
    <x v="9"/>
    <m/>
    <m/>
    <m/>
    <s v="refreshing"/>
    <s v="standard"/>
    <x v="12"/>
  </r>
  <r>
    <x v="3"/>
    <x v="13"/>
    <x v="637"/>
    <x v="1"/>
    <m/>
    <m/>
    <m/>
    <s v="Quirky"/>
    <s v="Heavy"/>
    <x v="2"/>
  </r>
  <r>
    <x v="9"/>
    <x v="13"/>
    <x v="257"/>
    <x v="0"/>
    <s v="Asda Tonic"/>
    <m/>
    <m/>
    <s v="grassy"/>
    <s v="jazzy"/>
    <x v="0"/>
  </r>
  <r>
    <x v="1"/>
    <x v="13"/>
    <x v="638"/>
    <x v="8"/>
    <m/>
    <m/>
    <m/>
    <s v="ruby"/>
    <s v="girth"/>
    <x v="12"/>
  </r>
  <r>
    <x v="15"/>
    <x v="13"/>
    <x v="639"/>
    <x v="8"/>
    <m/>
    <m/>
    <m/>
    <s v="acrid"/>
    <s v="climax"/>
    <x v="10"/>
  </r>
  <r>
    <x v="6"/>
    <x v="13"/>
    <x v="230"/>
    <x v="1"/>
    <m/>
    <m/>
    <m/>
    <s v="inate"/>
    <s v="sadness"/>
    <x v="3"/>
  </r>
  <r>
    <x v="2"/>
    <x v="13"/>
    <x v="640"/>
    <x v="9"/>
    <m/>
    <m/>
    <m/>
    <s v="Mango"/>
    <s v="delight"/>
    <x v="1"/>
  </r>
  <r>
    <x v="23"/>
    <x v="13"/>
    <x v="554"/>
    <x v="4"/>
    <m/>
    <m/>
    <m/>
    <s v="panoramic"/>
    <s v="ecstasy "/>
    <x v="9"/>
  </r>
  <r>
    <x v="5"/>
    <x v="13"/>
    <x v="418"/>
    <x v="9"/>
    <m/>
    <m/>
    <m/>
    <s v="tropical"/>
    <s v="festival"/>
    <x v="2"/>
  </r>
  <r>
    <x v="25"/>
    <x v="13"/>
    <x v="641"/>
    <x v="8"/>
    <m/>
    <m/>
    <m/>
    <s v="distinctly"/>
    <s v="average"/>
    <x v="3"/>
  </r>
  <r>
    <x v="18"/>
    <x v="13"/>
    <x v="13"/>
    <x v="1"/>
    <m/>
    <m/>
    <m/>
    <s v="fruit"/>
    <s v="salad"/>
    <x v="7"/>
  </r>
  <r>
    <x v="19"/>
    <x v="13"/>
    <x v="642"/>
    <x v="1"/>
    <m/>
    <m/>
    <m/>
    <s v="old"/>
    <s v="faithful"/>
    <x v="0"/>
  </r>
  <r>
    <x v="2"/>
    <x v="13"/>
    <x v="643"/>
    <x v="9"/>
    <m/>
    <m/>
    <m/>
    <s v="Concentrated"/>
    <s v="organic"/>
    <x v="2"/>
  </r>
  <r>
    <x v="6"/>
    <x v="13"/>
    <x v="182"/>
    <x v="1"/>
    <m/>
    <m/>
    <m/>
    <s v="entry"/>
    <s v="level"/>
    <x v="12"/>
  </r>
  <r>
    <x v="15"/>
    <x v="13"/>
    <x v="644"/>
    <x v="9"/>
    <m/>
    <m/>
    <m/>
    <s v="media"/>
    <s v="ciance"/>
    <x v="10"/>
  </r>
  <r>
    <x v="1"/>
    <x v="13"/>
    <x v="58"/>
    <x v="1"/>
    <m/>
    <m/>
    <m/>
    <s v="Sparce"/>
    <s v="Necromancy"/>
    <x v="11"/>
  </r>
  <r>
    <x v="3"/>
    <x v="13"/>
    <x v="645"/>
    <x v="1"/>
    <m/>
    <m/>
    <m/>
    <s v="Absolutely"/>
    <s v="Delightful"/>
    <x v="8"/>
  </r>
  <r>
    <x v="2"/>
    <x v="13"/>
    <x v="646"/>
    <x v="9"/>
    <m/>
    <m/>
    <m/>
    <s v="watery"/>
    <s v="prancer"/>
    <x v="12"/>
  </r>
  <r>
    <x v="9"/>
    <x v="13"/>
    <x v="647"/>
    <x v="2"/>
    <s v="Peach &amp; Passion Fruit soda"/>
    <m/>
    <m/>
    <s v="medicinal"/>
    <s v="grim"/>
    <x v="11"/>
  </r>
  <r>
    <x v="18"/>
    <x v="13"/>
    <x v="648"/>
    <x v="1"/>
    <m/>
    <m/>
    <m/>
    <s v="Sludgy"/>
    <s v="Bread"/>
    <x v="11"/>
  </r>
  <r>
    <x v="7"/>
    <x v="13"/>
    <x v="634"/>
    <x v="0"/>
    <s v="Diet Lemonade"/>
    <m/>
    <s v="Lime"/>
    <s v="Carbonated"/>
    <s v="Contemplation"/>
    <x v="2"/>
  </r>
  <r>
    <x v="25"/>
    <x v="13"/>
    <x v="43"/>
    <x v="0"/>
    <s v="Saint-Chinian Red"/>
    <m/>
    <m/>
    <s v="worryingly"/>
    <s v="pleasing"/>
    <x v="5"/>
  </r>
  <r>
    <x v="3"/>
    <x v="13"/>
    <x v="649"/>
    <x v="4"/>
    <m/>
    <m/>
    <m/>
    <s v="Smooth"/>
    <s v="Shame"/>
    <x v="3"/>
  </r>
  <r>
    <x v="7"/>
    <x v="13"/>
    <x v="193"/>
    <x v="7"/>
    <m/>
    <m/>
    <m/>
    <s v="tropical"/>
    <s v="obliviation"/>
    <x v="17"/>
  </r>
  <r>
    <x v="6"/>
    <x v="13"/>
    <x v="650"/>
    <x v="5"/>
    <m/>
    <m/>
    <m/>
    <s v="big"/>
    <s v="mistake"/>
    <x v="13"/>
  </r>
  <r>
    <x v="2"/>
    <x v="13"/>
    <x v="651"/>
    <x v="0"/>
    <m/>
    <m/>
    <m/>
    <s v="Smooth-Ass"/>
    <s v="Gin"/>
    <x v="8"/>
  </r>
  <r>
    <x v="9"/>
    <x v="13"/>
    <x v="651"/>
    <x v="0"/>
    <m/>
    <m/>
    <m/>
    <s v="Rustic"/>
    <s v="Bloody-Lovely"/>
    <x v="0"/>
  </r>
  <r>
    <x v="25"/>
    <x v="13"/>
    <x v="43"/>
    <x v="0"/>
    <s v="Sipsmith Lemon Drizzle Gin"/>
    <m/>
    <m/>
    <s v="Stunningly"/>
    <s v="Potent"/>
    <x v="2"/>
  </r>
  <r>
    <x v="18"/>
    <x v="13"/>
    <x v="652"/>
    <x v="7"/>
    <m/>
    <m/>
    <m/>
    <s v="Summer"/>
    <s v="Holiday"/>
    <x v="3"/>
  </r>
  <r>
    <x v="19"/>
    <x v="13"/>
    <x v="652"/>
    <x v="7"/>
    <m/>
    <m/>
    <m/>
    <s v="Classless"/>
    <s v="Timotei"/>
    <x v="13"/>
  </r>
  <r>
    <x v="15"/>
    <x v="13"/>
    <x v="653"/>
    <x v="7"/>
    <m/>
    <m/>
    <m/>
    <s v="Vomitus"/>
    <s v="Devil-Cum"/>
    <x v="16"/>
  </r>
  <r>
    <x v="1"/>
    <x v="13"/>
    <x v="508"/>
    <x v="2"/>
    <s v="Kalkar Coffee Liquer"/>
    <m/>
    <m/>
    <s v="Evocative"/>
    <s v="Roulade"/>
    <x v="8"/>
  </r>
  <r>
    <x v="0"/>
    <x v="13"/>
    <x v="654"/>
    <x v="0"/>
    <s v="Schweppes Tonic"/>
    <m/>
    <m/>
    <s v="Tangy"/>
    <s v="orangey"/>
    <x v="3"/>
  </r>
  <r>
    <x v="5"/>
    <x v="13"/>
    <x v="655"/>
    <x v="3"/>
    <m/>
    <m/>
    <m/>
    <s v="Prepubescent"/>
    <s v="Distortion"/>
    <x v="13"/>
  </r>
  <r>
    <x v="4"/>
    <x v="13"/>
    <x v="656"/>
    <x v="6"/>
    <m/>
    <m/>
    <m/>
    <s v="Surprisingly"/>
    <s v="not-shit"/>
    <x v="4"/>
  </r>
  <r>
    <x v="7"/>
    <x v="13"/>
    <x v="657"/>
    <x v="8"/>
    <m/>
    <m/>
    <m/>
    <s v="insumountable"/>
    <s v="optamism"/>
    <x v="1"/>
  </r>
  <r>
    <x v="6"/>
    <x v="13"/>
    <x v="657"/>
    <x v="8"/>
    <m/>
    <m/>
    <m/>
    <s v="Momentus"/>
    <s v="Occasion"/>
    <x v="17"/>
  </r>
  <r>
    <x v="23"/>
    <x v="13"/>
    <x v="658"/>
    <x v="8"/>
    <m/>
    <m/>
    <m/>
    <s v="Soft-Palet"/>
    <s v="Hard-Throat"/>
    <x v="2"/>
  </r>
  <r>
    <x v="3"/>
    <x v="13"/>
    <x v="658"/>
    <x v="8"/>
    <m/>
    <m/>
    <m/>
    <s v="Fizzy"/>
    <s v="Nonsense"/>
    <x v="2"/>
  </r>
  <r>
    <x v="2"/>
    <x v="13"/>
    <x v="657"/>
    <x v="8"/>
    <m/>
    <m/>
    <m/>
    <s v="bitter"/>
    <s v="champagne"/>
    <x v="12"/>
  </r>
  <r>
    <x v="9"/>
    <x v="13"/>
    <x v="658"/>
    <x v="8"/>
    <m/>
    <m/>
    <m/>
    <s v="isolated"/>
    <s v="joy"/>
    <x v="1"/>
  </r>
  <r>
    <x v="25"/>
    <x v="13"/>
    <x v="659"/>
    <x v="8"/>
    <m/>
    <m/>
    <m/>
    <s v="Shit"/>
    <s v="Wedding"/>
    <x v="11"/>
  </r>
  <r>
    <x v="18"/>
    <x v="13"/>
    <x v="660"/>
    <x v="8"/>
    <m/>
    <m/>
    <m/>
    <s v="Fucking"/>
    <s v="Foul"/>
    <x v="13"/>
  </r>
  <r>
    <x v="19"/>
    <x v="13"/>
    <x v="660"/>
    <x v="8"/>
    <m/>
    <m/>
    <m/>
    <s v="Efervescent"/>
    <s v="Compost"/>
    <x v="18"/>
  </r>
  <r>
    <x v="15"/>
    <x v="13"/>
    <x v="657"/>
    <x v="8"/>
    <m/>
    <m/>
    <m/>
    <s v="sintilating"/>
    <s v="zeneth"/>
    <x v="3"/>
  </r>
  <r>
    <x v="1"/>
    <x v="13"/>
    <x v="661"/>
    <x v="8"/>
    <m/>
    <m/>
    <m/>
    <s v="Asterial"/>
    <s v="Spice"/>
    <x v="2"/>
  </r>
  <r>
    <x v="0"/>
    <x v="13"/>
    <x v="661"/>
    <x v="8"/>
    <m/>
    <m/>
    <m/>
    <s v="Asda"/>
    <s v="Fizzy-Shit"/>
    <x v="2"/>
  </r>
  <r>
    <x v="4"/>
    <x v="13"/>
    <x v="662"/>
    <x v="1"/>
    <m/>
    <m/>
    <m/>
    <s v="Not"/>
    <s v="Worthy"/>
    <x v="10"/>
  </r>
  <r>
    <x v="8"/>
    <x v="13"/>
    <x v="663"/>
    <x v="1"/>
    <m/>
    <m/>
    <m/>
    <s v="malty"/>
    <s v="warm"/>
    <x v="7"/>
  </r>
  <r>
    <x v="12"/>
    <x v="13"/>
    <x v="657"/>
    <x v="8"/>
    <m/>
    <m/>
    <m/>
    <s v="Taste"/>
    <s v="Unimportant"/>
    <x v="17"/>
  </r>
  <r>
    <x v="5"/>
    <x v="13"/>
    <x v="657"/>
    <x v="8"/>
    <m/>
    <m/>
    <m/>
    <s v="Fizzy"/>
    <s v="Piss-water"/>
    <x v="17"/>
  </r>
  <r>
    <x v="1"/>
    <x v="13"/>
    <x v="58"/>
    <x v="1"/>
    <s v="Hoegaarden"/>
    <m/>
    <m/>
    <s v="confused"/>
    <s v="light"/>
    <x v="3"/>
  </r>
  <r>
    <x v="5"/>
    <x v="13"/>
    <x v="664"/>
    <x v="9"/>
    <m/>
    <m/>
    <m/>
    <s v="tropical"/>
    <s v="punchy"/>
    <x v="2"/>
  </r>
  <r>
    <x v="3"/>
    <x v="13"/>
    <x v="665"/>
    <x v="1"/>
    <m/>
    <m/>
    <m/>
    <s v="nice"/>
    <s v="wicked"/>
    <x v="2"/>
  </r>
  <r>
    <x v="12"/>
    <x v="13"/>
    <x v="666"/>
    <x v="7"/>
    <m/>
    <m/>
    <m/>
    <s v="smooth"/>
    <s v="silky"/>
    <x v="0"/>
  </r>
  <r>
    <x v="12"/>
    <x v="13"/>
    <x v="667"/>
    <x v="6"/>
    <m/>
    <m/>
    <m/>
    <s v="Easy"/>
    <s v="Like-Sunday-Morning"/>
    <x v="1"/>
  </r>
  <r>
    <x v="18"/>
    <x v="13"/>
    <x v="592"/>
    <x v="1"/>
    <m/>
    <m/>
    <m/>
    <s v="Potent"/>
    <s v="Hazy"/>
    <x v="12"/>
  </r>
  <r>
    <x v="18"/>
    <x v="13"/>
    <x v="629"/>
    <x v="1"/>
    <m/>
    <m/>
    <m/>
    <s v="lovely"/>
    <s v="taste"/>
    <x v="10"/>
  </r>
  <r>
    <x v="25"/>
    <x v="13"/>
    <x v="488"/>
    <x v="6"/>
    <s v="Lemonade"/>
    <m/>
    <m/>
    <s v="basic"/>
    <s v="Wimbledon"/>
    <x v="3"/>
  </r>
  <r>
    <x v="6"/>
    <x v="13"/>
    <x v="668"/>
    <x v="1"/>
    <m/>
    <m/>
    <m/>
    <s v="Sharp"/>
    <s v="Luscious"/>
    <x v="0"/>
  </r>
  <r>
    <x v="12"/>
    <x v="13"/>
    <x v="668"/>
    <x v="1"/>
    <m/>
    <m/>
    <m/>
    <s v="Sharp"/>
    <s v="seductive"/>
    <x v="1"/>
  </r>
  <r>
    <x v="15"/>
    <x v="13"/>
    <x v="311"/>
    <x v="9"/>
    <m/>
    <m/>
    <m/>
    <s v="pornographic"/>
    <s v="culmination"/>
    <x v="9"/>
  </r>
  <r>
    <x v="19"/>
    <x v="13"/>
    <x v="669"/>
    <x v="9"/>
    <m/>
    <m/>
    <m/>
    <s v="liquid"/>
    <s v="sunshine"/>
    <x v="1"/>
  </r>
  <r>
    <x v="9"/>
    <x v="13"/>
    <x v="497"/>
    <x v="6"/>
    <m/>
    <m/>
    <m/>
    <s v="Teenage"/>
    <s v="shit-storm"/>
    <x v="11"/>
  </r>
  <r>
    <x v="2"/>
    <x v="13"/>
    <x v="453"/>
    <x v="9"/>
    <m/>
    <m/>
    <m/>
    <s v="herbalicious"/>
    <s v="scrumdiddlyumptious"/>
    <x v="8"/>
  </r>
  <r>
    <x v="3"/>
    <x v="13"/>
    <x v="572"/>
    <x v="1"/>
    <m/>
    <m/>
    <m/>
    <s v="too"/>
    <s v="british"/>
    <x v="3"/>
  </r>
  <r>
    <x v="18"/>
    <x v="13"/>
    <x v="620"/>
    <x v="1"/>
    <m/>
    <m/>
    <m/>
    <s v="Creamy"/>
    <s v="Shit"/>
    <x v="5"/>
  </r>
  <r>
    <x v="25"/>
    <x v="13"/>
    <x v="624"/>
    <x v="4"/>
    <s v="Tia Maria"/>
    <s v="Milk"/>
    <m/>
    <s v="Utter"/>
    <s v="Perfection"/>
    <x v="9"/>
  </r>
  <r>
    <x v="6"/>
    <x v="13"/>
    <x v="570"/>
    <x v="1"/>
    <m/>
    <m/>
    <m/>
    <s v="acidic"/>
    <s v="harsh"/>
    <x v="2"/>
  </r>
  <r>
    <x v="6"/>
    <x v="13"/>
    <x v="184"/>
    <x v="7"/>
    <m/>
    <m/>
    <m/>
    <s v="Not"/>
    <s v="Bad"/>
    <x v="3"/>
  </r>
  <r>
    <x v="7"/>
    <x v="13"/>
    <x v="184"/>
    <x v="7"/>
    <m/>
    <m/>
    <m/>
    <s v="A-LiterAL"/>
    <s v="Nightmare"/>
    <x v="13"/>
  </r>
  <r>
    <x v="3"/>
    <x v="13"/>
    <x v="651"/>
    <x v="0"/>
    <m/>
    <m/>
    <m/>
    <s v="Gingery"/>
    <s v="Afterkick"/>
    <x v="2"/>
  </r>
  <r>
    <x v="2"/>
    <x v="13"/>
    <x v="623"/>
    <x v="6"/>
    <m/>
    <m/>
    <m/>
    <s v="savoury"/>
    <s v="scrumptious"/>
    <x v="2"/>
  </r>
  <r>
    <x v="25"/>
    <x v="13"/>
    <x v="670"/>
    <x v="6"/>
    <m/>
    <m/>
    <m/>
    <s v="Addictive"/>
    <s v="Coffee"/>
    <x v="1"/>
  </r>
  <r>
    <x v="15"/>
    <x v="13"/>
    <x v="671"/>
    <x v="0"/>
    <m/>
    <m/>
    <m/>
    <s v="Firey"/>
    <s v="Grievance"/>
    <x v="11"/>
  </r>
  <r>
    <x v="12"/>
    <x v="13"/>
    <x v="672"/>
    <x v="0"/>
    <m/>
    <m/>
    <m/>
    <s v="jammy"/>
    <s v="floral"/>
    <x v="7"/>
  </r>
  <r>
    <x v="18"/>
    <x v="13"/>
    <x v="673"/>
    <x v="2"/>
    <m/>
    <m/>
    <m/>
    <s v="Cafinated"/>
    <s v="Sugar"/>
    <x v="3"/>
  </r>
  <r>
    <x v="9"/>
    <x v="13"/>
    <x v="649"/>
    <x v="4"/>
    <m/>
    <m/>
    <m/>
    <s v="Smoky"/>
    <s v="Shit"/>
    <x v="5"/>
  </r>
  <r>
    <x v="2"/>
    <x v="13"/>
    <x v="674"/>
    <x v="1"/>
    <m/>
    <m/>
    <m/>
    <s v="Sparkly"/>
    <s v="Ale"/>
    <x v="2"/>
  </r>
  <r>
    <x v="6"/>
    <x v="13"/>
    <x v="675"/>
    <x v="1"/>
    <m/>
    <m/>
    <m/>
    <s v="Great"/>
    <s v="I-guess"/>
    <x v="7"/>
  </r>
  <r>
    <x v="12"/>
    <x v="13"/>
    <x v="676"/>
    <x v="1"/>
    <m/>
    <m/>
    <m/>
    <s v="alcoholic"/>
    <s v="coffee"/>
    <x v="0"/>
  </r>
  <r>
    <x v="18"/>
    <x v="13"/>
    <x v="677"/>
    <x v="1"/>
    <m/>
    <m/>
    <m/>
    <s v="Teenage"/>
    <s v="Joy"/>
    <x v="8"/>
  </r>
  <r>
    <x v="9"/>
    <x v="13"/>
    <x v="349"/>
    <x v="0"/>
    <s v="Asda Tonic"/>
    <m/>
    <m/>
    <s v="corriander"/>
    <s v="fuckery"/>
    <x v="13"/>
  </r>
  <r>
    <x v="15"/>
    <x v="13"/>
    <x v="678"/>
    <x v="9"/>
    <m/>
    <m/>
    <m/>
    <s v="festival"/>
    <s v="vibes"/>
    <x v="7"/>
  </r>
  <r>
    <x v="6"/>
    <x v="13"/>
    <x v="634"/>
    <x v="0"/>
    <m/>
    <m/>
    <m/>
    <s v="Absolutely"/>
    <s v="turrrrble"/>
    <x v="11"/>
  </r>
  <r>
    <x v="3"/>
    <x v="13"/>
    <x v="554"/>
    <x v="4"/>
    <m/>
    <m/>
    <m/>
    <s v="Not"/>
    <s v="ideal"/>
    <x v="15"/>
  </r>
  <r>
    <x v="2"/>
    <x v="13"/>
    <x v="599"/>
    <x v="6"/>
    <m/>
    <m/>
    <m/>
    <s v="Fruity"/>
    <s v="Juicalicous"/>
    <x v="7"/>
  </r>
  <r>
    <x v="15"/>
    <x v="13"/>
    <x v="16"/>
    <x v="7"/>
    <m/>
    <m/>
    <m/>
    <s v="Uncomfortable"/>
    <s v="Wetness"/>
    <x v="13"/>
  </r>
  <r>
    <x v="12"/>
    <x v="13"/>
    <x v="679"/>
    <x v="7"/>
    <m/>
    <m/>
    <m/>
    <s v="Tropical"/>
    <s v="Acid"/>
    <x v="3"/>
  </r>
  <r>
    <x v="18"/>
    <x v="13"/>
    <x v="42"/>
    <x v="2"/>
    <m/>
    <m/>
    <m/>
    <s v="Unbeatable"/>
    <s v="Perfection"/>
    <x v="9"/>
  </r>
  <r>
    <x v="2"/>
    <x v="13"/>
    <x v="680"/>
    <x v="8"/>
    <m/>
    <m/>
    <m/>
    <s v="not"/>
    <s v="nice"/>
    <x v="5"/>
  </r>
  <r>
    <x v="18"/>
    <x v="13"/>
    <x v="681"/>
    <x v="1"/>
    <m/>
    <m/>
    <m/>
    <s v="Fucking"/>
    <s v="beautiful"/>
    <x v="1"/>
  </r>
  <r>
    <x v="10"/>
    <x v="13"/>
    <x v="682"/>
    <x v="1"/>
    <m/>
    <m/>
    <m/>
    <s v="Allrounded"/>
    <s v="deliciousness"/>
    <x v="0"/>
  </r>
  <r>
    <x v="12"/>
    <x v="13"/>
    <x v="620"/>
    <x v="1"/>
    <m/>
    <m/>
    <m/>
    <s v="plain"/>
    <s v="lovely"/>
    <x v="7"/>
  </r>
  <r>
    <x v="15"/>
    <x v="13"/>
    <x v="19"/>
    <x v="3"/>
    <s v="Sainsbury's Tropical Juice"/>
    <m/>
    <m/>
    <s v="Bonerific"/>
    <s v="oompfness"/>
    <x v="9"/>
  </r>
  <r>
    <x v="3"/>
    <x v="13"/>
    <x v="683"/>
    <x v="1"/>
    <m/>
    <m/>
    <m/>
    <s v="Tainted"/>
    <s v="palate"/>
    <x v="3"/>
  </r>
  <r>
    <x v="18"/>
    <x v="13"/>
    <x v="684"/>
    <x v="1"/>
    <m/>
    <m/>
    <m/>
    <s v="Good"/>
    <s v="tea"/>
    <x v="2"/>
  </r>
  <r>
    <x v="3"/>
    <x v="13"/>
    <x v="685"/>
    <x v="1"/>
    <m/>
    <m/>
    <m/>
    <s v="horrific"/>
    <s v="patriachy"/>
    <x v="6"/>
  </r>
  <r>
    <x v="6"/>
    <x v="13"/>
    <x v="184"/>
    <x v="7"/>
    <s v="Lemonade"/>
    <m/>
    <m/>
    <s v="in"/>
    <s v="Correct"/>
    <x v="10"/>
  </r>
  <r>
    <x v="2"/>
    <x v="13"/>
    <x v="560"/>
    <x v="9"/>
    <m/>
    <m/>
    <m/>
    <s v="rural"/>
    <s v="tastic"/>
    <x v="2"/>
  </r>
  <r>
    <x v="10"/>
    <x v="13"/>
    <x v="686"/>
    <x v="1"/>
    <m/>
    <m/>
    <m/>
    <s v="Delicious"/>
    <s v="wholesome"/>
    <x v="2"/>
  </r>
  <r>
    <x v="3"/>
    <x v="13"/>
    <x v="687"/>
    <x v="1"/>
    <m/>
    <m/>
    <m/>
    <s v="Dreary"/>
    <s v="nonsense"/>
    <x v="11"/>
  </r>
  <r>
    <x v="18"/>
    <x v="13"/>
    <x v="673"/>
    <x v="2"/>
    <s v="Milk"/>
    <m/>
    <m/>
    <s v="Unacceptably"/>
    <s v="Sweet"/>
    <x v="6"/>
  </r>
  <r>
    <x v="2"/>
    <x v="13"/>
    <x v="688"/>
    <x v="9"/>
    <m/>
    <m/>
    <m/>
    <s v="pungeant"/>
    <s v="deep"/>
    <x v="12"/>
  </r>
  <r>
    <x v="18"/>
    <x v="13"/>
    <x v="43"/>
    <x v="0"/>
    <s v="Tonic"/>
    <m/>
    <m/>
    <s v="distilled"/>
    <s v="shit"/>
    <x v="13"/>
  </r>
  <r>
    <x v="26"/>
    <x v="14"/>
    <x v="689"/>
    <x v="12"/>
    <m/>
    <m/>
    <m/>
    <m/>
    <m/>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88A8DB-4D08-1B4A-8B79-A5836EFE1DAB}"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91:E107" firstHeaderRow="1" firstDataRow="2" firstDataCol="1"/>
  <pivotFields count="11">
    <pivotField axis="axisCol" showAll="0">
      <items count="28">
        <item h="1" x="11"/>
        <item x="3"/>
        <item h="1" x="20"/>
        <item h="1" x="6"/>
        <item x="9"/>
        <item h="1" x="22"/>
        <item h="1" x="1"/>
        <item h="1" x="8"/>
        <item h="1" x="18"/>
        <item h="1" x="21"/>
        <item h="1" x="19"/>
        <item h="1" x="5"/>
        <item h="1" x="12"/>
        <item h="1" x="24"/>
        <item h="1" x="7"/>
        <item h="1" x="16"/>
        <item h="1" x="13"/>
        <item h="1" x="14"/>
        <item h="1" x="25"/>
        <item h="1" x="23"/>
        <item h="1" x="2"/>
        <item h="1" x="17"/>
        <item h="1" x="15"/>
        <item h="1" x="4"/>
        <item h="1" x="0"/>
        <item h="1" x="10"/>
        <item h="1" x="26"/>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91">
        <item x="232"/>
        <item x="370"/>
        <item x="331"/>
        <item x="277"/>
        <item x="254"/>
        <item x="245"/>
        <item x="250"/>
        <item x="455"/>
        <item x="209"/>
        <item x="82"/>
        <item x="276"/>
        <item x="568"/>
        <item x="635"/>
        <item x="555"/>
        <item x="522"/>
        <item x="50"/>
        <item x="459"/>
        <item x="411"/>
        <item x="457"/>
        <item x="391"/>
        <item x="450"/>
        <item x="502"/>
        <item x="396"/>
        <item x="463"/>
        <item x="638"/>
        <item x="268"/>
        <item x="644"/>
        <item x="25"/>
        <item x="4"/>
        <item x="281"/>
        <item x="15"/>
        <item x="39"/>
        <item x="549"/>
        <item x="444"/>
        <item x="239"/>
        <item x="664"/>
        <item x="359"/>
        <item x="548"/>
        <item x="157"/>
        <item x="579"/>
        <item x="282"/>
        <item x="163"/>
        <item x="218"/>
        <item x="146"/>
        <item x="303"/>
        <item x="164"/>
        <item x="379"/>
        <item x="372"/>
        <item x="440"/>
        <item x="94"/>
        <item x="420"/>
        <item x="16"/>
        <item x="308"/>
        <item x="481"/>
        <item x="292"/>
        <item x="601"/>
        <item x="138"/>
        <item x="84"/>
        <item x="17"/>
        <item x="127"/>
        <item x="377"/>
        <item x="69"/>
        <item x="573"/>
        <item x="48"/>
        <item x="491"/>
        <item x="142"/>
        <item x="386"/>
        <item x="186"/>
        <item x="500"/>
        <item x="433"/>
        <item x="237"/>
        <item x="434"/>
        <item x="567"/>
        <item x="71"/>
        <item x="651"/>
        <item x="578"/>
        <item x="270"/>
        <item x="256"/>
        <item x="261"/>
        <item x="490"/>
        <item x="252"/>
        <item x="248"/>
        <item x="11"/>
        <item x="286"/>
        <item x="553"/>
        <item x="42"/>
        <item x="118"/>
        <item x="465"/>
        <item x="162"/>
        <item x="267"/>
        <item x="497"/>
        <item x="161"/>
        <item x="43"/>
        <item x="622"/>
        <item x="660"/>
        <item x="369"/>
        <item x="251"/>
        <item x="373"/>
        <item x="412"/>
        <item x="518"/>
        <item x="202"/>
        <item x="244"/>
        <item x="103"/>
        <item x="341"/>
        <item x="314"/>
        <item x="510"/>
        <item x="325"/>
        <item x="675"/>
        <item x="532"/>
        <item x="122"/>
        <item x="72"/>
        <item x="110"/>
        <item x="156"/>
        <item x="531"/>
        <item x="442"/>
        <item x="489"/>
        <item x="284"/>
        <item x="608"/>
        <item x="618"/>
        <item x="495"/>
        <item x="575"/>
        <item x="95"/>
        <item x="624"/>
        <item x="177"/>
        <item x="533"/>
        <item x="129"/>
        <item x="581"/>
        <item x="610"/>
        <item x="540"/>
        <item x="569"/>
        <item x="513"/>
        <item x="572"/>
        <item x="563"/>
        <item x="544"/>
        <item x="685"/>
        <item x="674"/>
        <item x="507"/>
        <item x="670"/>
        <item x="639"/>
        <item x="168"/>
        <item x="249"/>
        <item x="113"/>
        <item x="310"/>
        <item x="415"/>
        <item x="659"/>
        <item x="653"/>
        <item x="535"/>
        <item x="121"/>
        <item x="428"/>
        <item x="21"/>
        <item x="269"/>
        <item x="176"/>
        <item x="131"/>
        <item x="294"/>
        <item x="259"/>
        <item x="393"/>
        <item x="562"/>
        <item x="604"/>
        <item x="652"/>
        <item x="136"/>
        <item x="602"/>
        <item x="225"/>
        <item x="552"/>
        <item x="527"/>
        <item x="528"/>
        <item x="565"/>
        <item x="655"/>
        <item x="566"/>
        <item x="449"/>
        <item x="191"/>
        <item x="159"/>
        <item x="102"/>
        <item x="144"/>
        <item x="538"/>
        <item x="607"/>
        <item x="512"/>
        <item x="150"/>
        <item x="364"/>
        <item x="229"/>
        <item x="506"/>
        <item x="234"/>
        <item x="366"/>
        <item x="382"/>
        <item x="165"/>
        <item x="12"/>
        <item x="85"/>
        <item x="73"/>
        <item x="407"/>
        <item x="76"/>
        <item x="617"/>
        <item x="112"/>
        <item x="109"/>
        <item x="18"/>
        <item x="577"/>
        <item x="642"/>
        <item x="446"/>
        <item x="426"/>
        <item x="182"/>
        <item x="462"/>
        <item x="486"/>
        <item x="357"/>
        <item x="311"/>
        <item x="212"/>
        <item x="203"/>
        <item x="154"/>
        <item x="190"/>
        <item x="275"/>
        <item x="677"/>
        <item x="471"/>
        <item x="219"/>
        <item x="671"/>
        <item x="406"/>
        <item x="672"/>
        <item x="390"/>
        <item x="75"/>
        <item x="306"/>
        <item x="88"/>
        <item x="253"/>
        <item x="619"/>
        <item x="551"/>
        <item x="61"/>
        <item x="477"/>
        <item x="478"/>
        <item x="564"/>
        <item x="399"/>
        <item x="111"/>
        <item x="78"/>
        <item x="300"/>
        <item x="663"/>
        <item x="337"/>
        <item x="315"/>
        <item x="632"/>
        <item x="483"/>
        <item x="183"/>
        <item x="501"/>
        <item x="514"/>
        <item x="240"/>
        <item x="167"/>
        <item x="96"/>
        <item x="77"/>
        <item x="93"/>
        <item x="508"/>
        <item x="484"/>
        <item x="657"/>
        <item x="285"/>
        <item x="356"/>
        <item x="509"/>
        <item x="460"/>
        <item x="384"/>
        <item x="49"/>
        <item x="24"/>
        <item x="436"/>
        <item x="676"/>
        <item x="196"/>
        <item x="620"/>
        <item x="238"/>
        <item x="371"/>
        <item x="160"/>
        <item x="448"/>
        <item x="431"/>
        <item x="260"/>
        <item x="358"/>
        <item x="319"/>
        <item x="336"/>
        <item x="447"/>
        <item x="345"/>
        <item x="6"/>
        <item x="322"/>
        <item x="603"/>
        <item x="247"/>
        <item x="83"/>
        <item x="583"/>
        <item x="283"/>
        <item x="273"/>
        <item x="298"/>
        <item x="22"/>
        <item x="383"/>
        <item x="469"/>
        <item x="634"/>
        <item x="152"/>
        <item x="120"/>
        <item x="557"/>
        <item x="32"/>
        <item x="395"/>
        <item x="187"/>
        <item x="172"/>
        <item x="468"/>
        <item x="443"/>
        <item x="482"/>
        <item x="242"/>
        <item x="58"/>
        <item x="8"/>
        <item x="329"/>
        <item x="226"/>
        <item x="376"/>
        <item x="338"/>
        <item x="346"/>
        <item x="367"/>
        <item x="34"/>
        <item x="53"/>
        <item x="189"/>
        <item x="291"/>
        <item x="537"/>
        <item x="520"/>
        <item x="543"/>
        <item x="534"/>
        <item x="684"/>
        <item x="145"/>
        <item x="169"/>
        <item x="174"/>
        <item x="343"/>
        <item x="178"/>
        <item x="41"/>
        <item x="409"/>
        <item x="342"/>
        <item x="352"/>
        <item x="278"/>
        <item x="423"/>
        <item x="87"/>
        <item x="91"/>
        <item x="188"/>
        <item x="175"/>
        <item x="116"/>
        <item x="271"/>
        <item x="435"/>
        <item x="137"/>
        <item x="627"/>
        <item x="679"/>
        <item x="661"/>
        <item x="525"/>
        <item x="153"/>
        <item x="100"/>
        <item x="98"/>
        <item x="55"/>
        <item x="57"/>
        <item x="143"/>
        <item x="609"/>
        <item x="293"/>
        <item x="546"/>
        <item x="221"/>
        <item x="330"/>
        <item x="456"/>
        <item x="10"/>
        <item x="385"/>
        <item x="394"/>
        <item x="681"/>
        <item x="673"/>
        <item x="192"/>
        <item x="516"/>
        <item x="289"/>
        <item x="419"/>
        <item x="132"/>
        <item x="9"/>
        <item x="454"/>
        <item x="421"/>
        <item x="27"/>
        <item x="309"/>
        <item x="97"/>
        <item x="228"/>
        <item x="476"/>
        <item x="243"/>
        <item x="316"/>
        <item x="140"/>
        <item x="2"/>
        <item x="416"/>
        <item x="158"/>
        <item x="430"/>
        <item x="530"/>
        <item x="475"/>
        <item x="181"/>
        <item x="646"/>
        <item x="633"/>
        <item x="640"/>
        <item x="643"/>
        <item x="688"/>
        <item x="647"/>
        <item x="37"/>
        <item x="201"/>
        <item x="60"/>
        <item x="104"/>
        <item x="224"/>
        <item x="204"/>
        <item x="197"/>
        <item x="368"/>
        <item x="80"/>
        <item x="355"/>
        <item x="413"/>
        <item x="637"/>
        <item x="461"/>
        <item x="628"/>
        <item x="312"/>
        <item x="296"/>
        <item x="193"/>
        <item x="487"/>
        <item x="467"/>
        <item x="317"/>
        <item x="20"/>
        <item x="36"/>
        <item x="90"/>
        <item x="139"/>
        <item x="648"/>
        <item x="195"/>
        <item x="33"/>
        <item x="288"/>
        <item x="425"/>
        <item x="301"/>
        <item x="280"/>
        <item x="403"/>
        <item x="439"/>
        <item x="559"/>
        <item x="503"/>
        <item x="173"/>
        <item x="680"/>
        <item x="529"/>
        <item x="51"/>
        <item x="649"/>
        <item x="582"/>
        <item x="45"/>
        <item x="287"/>
        <item x="115"/>
        <item x="246"/>
        <item x="304"/>
        <item x="595"/>
        <item x="106"/>
        <item x="155"/>
        <item x="205"/>
        <item x="474"/>
        <item x="213"/>
        <item x="299"/>
        <item x="626"/>
        <item x="99"/>
        <item x="464"/>
        <item x="339"/>
        <item x="206"/>
        <item x="215"/>
        <item x="222"/>
        <item x="333"/>
        <item x="200"/>
        <item x="235"/>
        <item x="233"/>
        <item x="472"/>
        <item x="266"/>
        <item x="576"/>
        <item x="107"/>
        <item x="504"/>
        <item x="332"/>
        <item x="418"/>
        <item x="223"/>
        <item x="89"/>
        <item x="207"/>
        <item x="349"/>
        <item x="257"/>
        <item x="59"/>
        <item x="323"/>
        <item x="524"/>
        <item x="498"/>
        <item x="170"/>
        <item x="480"/>
        <item x="264"/>
        <item x="404"/>
        <item x="669"/>
        <item x="405"/>
        <item x="598"/>
        <item x="488"/>
        <item x="408"/>
        <item x="347"/>
        <item x="606"/>
        <item x="536"/>
        <item x="561"/>
        <item x="519"/>
        <item x="227"/>
        <item x="171"/>
        <item x="570"/>
        <item x="147"/>
        <item x="86"/>
        <item x="133"/>
        <item x="35"/>
        <item x="414"/>
        <item x="31"/>
        <item x="351"/>
        <item x="265"/>
        <item x="28"/>
        <item x="184"/>
        <item x="149"/>
        <item x="453"/>
        <item x="593"/>
        <item x="105"/>
        <item x="255"/>
        <item x="179"/>
        <item x="473"/>
        <item x="327"/>
        <item x="378"/>
        <item x="321"/>
        <item x="354"/>
        <item x="400"/>
        <item x="295"/>
        <item x="494"/>
        <item x="650"/>
        <item x="64"/>
        <item x="66"/>
        <item x="438"/>
        <item x="290"/>
        <item x="410"/>
        <item x="445"/>
        <item x="326"/>
        <item x="52"/>
        <item x="274"/>
        <item x="550"/>
        <item x="641"/>
        <item x="381"/>
        <item x="380"/>
        <item x="645"/>
        <item x="362"/>
        <item x="496"/>
        <item x="401"/>
        <item x="427"/>
        <item x="526"/>
        <item x="262"/>
        <item x="108"/>
        <item x="302"/>
        <item x="678"/>
        <item x="580"/>
        <item x="613"/>
        <item x="523"/>
        <item x="124"/>
        <item x="117"/>
        <item x="320"/>
        <item x="499"/>
        <item x="353"/>
        <item x="230"/>
        <item x="656"/>
        <item x="7"/>
        <item x="470"/>
        <item x="493"/>
        <item x="151"/>
        <item x="23"/>
        <item x="318"/>
        <item x="541"/>
        <item x="313"/>
        <item x="0"/>
        <item x="614"/>
        <item x="687"/>
        <item x="74"/>
        <item x="629"/>
        <item x="79"/>
        <item x="665"/>
        <item x="587"/>
        <item x="422"/>
        <item x="47"/>
        <item x="429"/>
        <item x="19"/>
        <item x="236"/>
        <item x="194"/>
        <item x="38"/>
        <item x="65"/>
        <item x="231"/>
        <item x="517"/>
        <item x="297"/>
        <item x="305"/>
        <item x="126"/>
        <item x="441"/>
        <item x="424"/>
        <item x="584"/>
        <item x="350"/>
        <item x="600"/>
        <item x="574"/>
        <item x="67"/>
        <item x="211"/>
        <item x="1"/>
        <item x="437"/>
        <item x="56"/>
        <item x="662"/>
        <item x="125"/>
        <item x="26"/>
        <item x="199"/>
        <item x="14"/>
        <item x="590"/>
        <item x="654"/>
        <item x="92"/>
        <item x="636"/>
        <item x="214"/>
        <item x="365"/>
        <item x="466"/>
        <item x="492"/>
        <item x="180"/>
        <item x="263"/>
        <item x="545"/>
        <item x="479"/>
        <item x="586"/>
        <item x="324"/>
        <item x="560"/>
        <item x="30"/>
        <item x="29"/>
        <item x="328"/>
        <item x="397"/>
        <item x="589"/>
        <item x="210"/>
        <item x="363"/>
        <item x="511"/>
        <item x="272"/>
        <item x="348"/>
        <item x="556"/>
        <item x="392"/>
        <item x="166"/>
        <item x="13"/>
        <item x="148"/>
        <item x="70"/>
        <item x="101"/>
        <item x="5"/>
        <item x="686"/>
        <item x="217"/>
        <item x="3"/>
        <item x="216"/>
        <item x="485"/>
        <item x="128"/>
        <item x="402"/>
        <item x="631"/>
        <item x="596"/>
        <item x="585"/>
        <item x="666"/>
        <item x="130"/>
        <item x="340"/>
        <item x="389"/>
        <item x="387"/>
        <item x="388"/>
        <item x="374"/>
        <item x="360"/>
        <item x="54"/>
        <item x="258"/>
        <item x="241"/>
        <item x="185"/>
        <item x="123"/>
        <item x="594"/>
        <item x="658"/>
        <item x="375"/>
        <item x="458"/>
        <item x="539"/>
        <item x="335"/>
        <item x="588"/>
        <item x="668"/>
        <item x="612"/>
        <item x="63"/>
        <item x="119"/>
        <item x="81"/>
        <item x="417"/>
        <item x="141"/>
        <item x="667"/>
        <item x="135"/>
        <item x="592"/>
        <item x="208"/>
        <item x="198"/>
        <item x="114"/>
        <item x="398"/>
        <item x="542"/>
        <item x="134"/>
        <item x="547"/>
        <item x="615"/>
        <item x="630"/>
        <item x="591"/>
        <item x="597"/>
        <item x="621"/>
        <item x="625"/>
        <item x="611"/>
        <item x="46"/>
        <item x="62"/>
        <item x="521"/>
        <item x="68"/>
        <item x="558"/>
        <item x="515"/>
        <item x="616"/>
        <item x="683"/>
        <item x="220"/>
        <item x="307"/>
        <item x="432"/>
        <item x="344"/>
        <item x="279"/>
        <item x="334"/>
        <item x="452"/>
        <item x="682"/>
        <item x="505"/>
        <item x="451"/>
        <item x="361"/>
        <item x="605"/>
        <item x="599"/>
        <item x="623"/>
        <item x="554"/>
        <item x="571"/>
        <item x="44"/>
        <item x="40"/>
        <item x="689"/>
        <item t="default"/>
      </items>
    </pivotField>
    <pivotField showAll="0">
      <items count="14">
        <item x="1"/>
        <item x="5"/>
        <item x="9"/>
        <item x="10"/>
        <item x="0"/>
        <item x="2"/>
        <item x="6"/>
        <item x="7"/>
        <item x="11"/>
        <item x="3"/>
        <item x="4"/>
        <item x="8"/>
        <item x="12"/>
        <item t="default"/>
      </items>
    </pivotField>
    <pivotField showAll="0"/>
    <pivotField showAll="0"/>
    <pivotField showAll="0"/>
    <pivotField showAll="0"/>
    <pivotField showAll="0"/>
    <pivotField dataField="1" showAll="0">
      <items count="23">
        <item x="20"/>
        <item x="16"/>
        <item x="18"/>
        <item x="14"/>
        <item x="13"/>
        <item x="19"/>
        <item x="5"/>
        <item x="6"/>
        <item x="11"/>
        <item x="15"/>
        <item x="10"/>
        <item x="4"/>
        <item x="3"/>
        <item x="12"/>
        <item x="2"/>
        <item x="7"/>
        <item x="0"/>
        <item x="8"/>
        <item x="1"/>
        <item x="9"/>
        <item x="17"/>
        <item x="2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15">
    <i>
      <x v="87"/>
    </i>
    <i>
      <x v="94"/>
    </i>
    <i>
      <x v="101"/>
    </i>
    <i>
      <x v="108"/>
    </i>
    <i>
      <x v="115"/>
    </i>
    <i>
      <x v="122"/>
    </i>
    <i>
      <x v="129"/>
    </i>
    <i>
      <x v="136"/>
    </i>
    <i>
      <x v="143"/>
    </i>
    <i>
      <x v="150"/>
    </i>
    <i>
      <x v="157"/>
    </i>
    <i>
      <x v="164"/>
    </i>
    <i>
      <x v="171"/>
    </i>
    <i>
      <x v="178"/>
    </i>
    <i t="grand">
      <x/>
    </i>
  </rowItems>
  <colFields count="1">
    <field x="0"/>
  </colFields>
  <colItems count="3">
    <i>
      <x v="1"/>
    </i>
    <i>
      <x v="4"/>
    </i>
    <i t="grand">
      <x/>
    </i>
  </colItems>
  <dataFields count="1">
    <dataField name="Sum of score" fld="9"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660"/>
  <sheetViews>
    <sheetView tabSelected="1" zoomScale="113" zoomScaleNormal="108" workbookViewId="0">
      <selection activeCell="C1" sqref="C1:C1048576"/>
    </sheetView>
  </sheetViews>
  <sheetFormatPr baseColWidth="10" defaultColWidth="12.6640625" defaultRowHeight="15" customHeight="1" x14ac:dyDescent="0.15"/>
  <cols>
    <col min="1" max="1" width="7.6640625" style="29" customWidth="1"/>
    <col min="2" max="2" width="16.1640625" style="29" customWidth="1"/>
    <col min="3" max="3" width="11.33203125" style="266" customWidth="1"/>
    <col min="4" max="4" width="56.5" style="29" bestFit="1" customWidth="1"/>
    <col min="5" max="5" width="12.5" style="105" bestFit="1" customWidth="1"/>
    <col min="6" max="6" width="8.33203125" style="147" bestFit="1" customWidth="1"/>
    <col min="7" max="7" width="22.33203125" style="29" customWidth="1"/>
    <col min="8" max="8" width="14.6640625" style="29" customWidth="1"/>
    <col min="9" max="9" width="19.6640625" style="29" customWidth="1"/>
    <col min="10" max="10" width="16" style="29" customWidth="1"/>
    <col min="11" max="11" width="6" style="119" bestFit="1" customWidth="1"/>
    <col min="12" max="12" width="36.83203125" style="111" bestFit="1" customWidth="1"/>
    <col min="13" max="13" width="22" style="111" customWidth="1"/>
    <col min="14" max="14" width="22.5" style="111" customWidth="1"/>
    <col min="15" max="15" width="30.5" style="111" customWidth="1"/>
    <col min="16" max="16" width="28.5" style="23" bestFit="1" customWidth="1"/>
    <col min="17" max="16384" width="12.6640625" style="29"/>
  </cols>
  <sheetData>
    <row r="1" spans="2:18" ht="14" x14ac:dyDescent="0.15">
      <c r="B1" s="53"/>
      <c r="C1" s="263"/>
      <c r="D1" s="113"/>
      <c r="E1" s="114"/>
      <c r="G1" s="113"/>
      <c r="H1" s="113"/>
      <c r="K1" s="115"/>
    </row>
    <row r="2" spans="2:18" ht="30" customHeight="1" x14ac:dyDescent="0.15">
      <c r="B2" s="261" t="s">
        <v>3721</v>
      </c>
      <c r="C2" s="264" t="s">
        <v>3722</v>
      </c>
      <c r="D2" s="262" t="s">
        <v>3723</v>
      </c>
      <c r="E2" s="262" t="s">
        <v>3724</v>
      </c>
      <c r="F2" s="262" t="s">
        <v>3725</v>
      </c>
      <c r="G2" s="262" t="s">
        <v>3726</v>
      </c>
      <c r="H2" s="262" t="s">
        <v>3727</v>
      </c>
      <c r="I2" s="262" t="s">
        <v>3728</v>
      </c>
      <c r="J2" s="262" t="s">
        <v>3729</v>
      </c>
      <c r="K2" s="262" t="s">
        <v>10</v>
      </c>
      <c r="L2" s="262" t="s">
        <v>3730</v>
      </c>
      <c r="M2" s="262" t="s">
        <v>3731</v>
      </c>
      <c r="N2" s="262" t="s">
        <v>3732</v>
      </c>
      <c r="O2" s="262" t="s">
        <v>3733</v>
      </c>
      <c r="P2" s="262" t="s">
        <v>3734</v>
      </c>
      <c r="Q2" s="23"/>
      <c r="R2" s="23"/>
    </row>
    <row r="3" spans="2:18" ht="14" x14ac:dyDescent="0.15">
      <c r="B3" s="53" t="s">
        <v>9</v>
      </c>
      <c r="C3" s="263">
        <v>43917</v>
      </c>
      <c r="D3" s="53" t="s">
        <v>609</v>
      </c>
      <c r="E3" s="53" t="s">
        <v>12</v>
      </c>
      <c r="F3" s="147">
        <v>0.41599999999999998</v>
      </c>
      <c r="G3" s="53" t="s">
        <v>2918</v>
      </c>
      <c r="H3" s="53" t="s">
        <v>1177</v>
      </c>
      <c r="I3" s="53" t="s">
        <v>14</v>
      </c>
      <c r="J3" s="53" t="s">
        <v>15</v>
      </c>
      <c r="K3" s="115">
        <v>8</v>
      </c>
      <c r="L3" s="116" t="s">
        <v>11</v>
      </c>
      <c r="M3" s="116"/>
      <c r="N3" s="116"/>
      <c r="O3" s="116" t="s">
        <v>11</v>
      </c>
      <c r="P3" s="23" t="s">
        <v>3247</v>
      </c>
      <c r="Q3" s="23"/>
      <c r="R3" s="23"/>
    </row>
    <row r="4" spans="2:18" ht="14" x14ac:dyDescent="0.15">
      <c r="B4" s="53" t="s">
        <v>9</v>
      </c>
      <c r="C4" s="263">
        <v>43917</v>
      </c>
      <c r="D4" s="53" t="s">
        <v>2148</v>
      </c>
      <c r="E4" s="53" t="s">
        <v>12</v>
      </c>
      <c r="F4" s="147">
        <v>0.43</v>
      </c>
      <c r="G4" s="53" t="s">
        <v>2918</v>
      </c>
      <c r="H4" s="53" t="s">
        <v>1177</v>
      </c>
      <c r="I4" s="53" t="s">
        <v>16</v>
      </c>
      <c r="J4" s="53" t="s">
        <v>17</v>
      </c>
      <c r="K4" s="115">
        <v>9</v>
      </c>
      <c r="L4" s="116" t="s">
        <v>1445</v>
      </c>
      <c r="M4" s="116"/>
      <c r="N4" s="116"/>
      <c r="O4" s="116" t="s">
        <v>1445</v>
      </c>
      <c r="Q4" s="23"/>
      <c r="R4" s="23"/>
    </row>
    <row r="5" spans="2:18" ht="14" x14ac:dyDescent="0.15">
      <c r="B5" s="53" t="s">
        <v>18</v>
      </c>
      <c r="C5" s="263">
        <v>43917</v>
      </c>
      <c r="D5" s="53" t="s">
        <v>19</v>
      </c>
      <c r="E5" s="53" t="s">
        <v>6</v>
      </c>
      <c r="F5" s="147">
        <v>6.6000000000000003E-2</v>
      </c>
      <c r="G5" s="53" t="s">
        <v>1177</v>
      </c>
      <c r="H5" s="53" t="s">
        <v>1177</v>
      </c>
      <c r="I5" s="53" t="s">
        <v>20</v>
      </c>
      <c r="J5" s="53" t="s">
        <v>21</v>
      </c>
      <c r="K5" s="115">
        <v>7</v>
      </c>
      <c r="L5" s="111" t="s">
        <v>1446</v>
      </c>
      <c r="N5" s="116"/>
      <c r="O5" s="112" t="s">
        <v>1565</v>
      </c>
      <c r="Q5" s="23"/>
      <c r="R5" s="23"/>
    </row>
    <row r="6" spans="2:18" ht="14" x14ac:dyDescent="0.15">
      <c r="B6" s="53" t="s">
        <v>18</v>
      </c>
      <c r="C6" s="263">
        <v>43917</v>
      </c>
      <c r="D6" s="53" t="s">
        <v>22</v>
      </c>
      <c r="E6" s="53" t="s">
        <v>12</v>
      </c>
      <c r="F6" s="147">
        <v>0.4</v>
      </c>
      <c r="G6" s="53" t="s">
        <v>401</v>
      </c>
      <c r="H6" s="53" t="s">
        <v>1177</v>
      </c>
      <c r="I6" s="53" t="s">
        <v>24</v>
      </c>
      <c r="J6" s="53" t="s">
        <v>25</v>
      </c>
      <c r="K6" s="115">
        <v>6</v>
      </c>
      <c r="L6" s="116" t="s">
        <v>1471</v>
      </c>
      <c r="M6" s="116"/>
      <c r="N6" s="116"/>
      <c r="O6" s="112" t="s">
        <v>1447</v>
      </c>
      <c r="Q6" s="23"/>
      <c r="R6" s="23"/>
    </row>
    <row r="7" spans="2:18" ht="14" x14ac:dyDescent="0.15">
      <c r="B7" s="53" t="s">
        <v>18</v>
      </c>
      <c r="C7" s="263">
        <v>43917</v>
      </c>
      <c r="D7" s="53" t="s">
        <v>1448</v>
      </c>
      <c r="E7" s="53" t="s">
        <v>27</v>
      </c>
      <c r="F7" s="147">
        <v>0.22</v>
      </c>
      <c r="G7" s="53" t="s">
        <v>28</v>
      </c>
      <c r="H7" s="53" t="s">
        <v>1177</v>
      </c>
      <c r="I7" s="53" t="s">
        <v>29</v>
      </c>
      <c r="J7" s="53" t="s">
        <v>30</v>
      </c>
      <c r="K7" s="115">
        <v>5.5</v>
      </c>
      <c r="L7" s="112" t="s">
        <v>1449</v>
      </c>
      <c r="M7" s="112"/>
      <c r="N7" s="116"/>
      <c r="O7" s="112" t="s">
        <v>1449</v>
      </c>
      <c r="Q7" s="23"/>
      <c r="R7" s="23"/>
    </row>
    <row r="8" spans="2:18" ht="14" x14ac:dyDescent="0.15">
      <c r="B8" s="53" t="s">
        <v>18</v>
      </c>
      <c r="C8" s="263">
        <v>43917</v>
      </c>
      <c r="D8" s="53" t="s">
        <v>31</v>
      </c>
      <c r="E8" s="53" t="s">
        <v>32</v>
      </c>
      <c r="F8" s="147">
        <v>0.24</v>
      </c>
      <c r="G8" s="53" t="s">
        <v>1177</v>
      </c>
      <c r="H8" s="53" t="s">
        <v>1177</v>
      </c>
      <c r="I8" s="53" t="s">
        <v>33</v>
      </c>
      <c r="J8" s="53" t="s">
        <v>191</v>
      </c>
      <c r="K8" s="115">
        <v>3</v>
      </c>
      <c r="L8" s="112" t="s">
        <v>1450</v>
      </c>
      <c r="M8" s="112"/>
      <c r="N8" s="116"/>
      <c r="O8" s="112" t="s">
        <v>1450</v>
      </c>
      <c r="Q8" s="23"/>
      <c r="R8" s="23"/>
    </row>
    <row r="9" spans="2:18" ht="14" x14ac:dyDescent="0.15">
      <c r="B9" s="53" t="s">
        <v>18</v>
      </c>
      <c r="C9" s="263">
        <v>43917</v>
      </c>
      <c r="D9" s="53" t="s">
        <v>1729</v>
      </c>
      <c r="E9" s="53" t="s">
        <v>36</v>
      </c>
      <c r="F9" s="147">
        <v>0.4</v>
      </c>
      <c r="G9" s="53" t="s">
        <v>1177</v>
      </c>
      <c r="H9" s="53" t="s">
        <v>1177</v>
      </c>
      <c r="I9" s="53" t="s">
        <v>192</v>
      </c>
      <c r="J9" s="53" t="s">
        <v>16</v>
      </c>
      <c r="K9" s="115">
        <v>8</v>
      </c>
      <c r="L9" s="112" t="s">
        <v>1451</v>
      </c>
      <c r="M9" s="112"/>
      <c r="N9" s="116"/>
      <c r="O9" s="112" t="s">
        <v>1451</v>
      </c>
      <c r="Q9" s="23"/>
      <c r="R9" s="23"/>
    </row>
    <row r="10" spans="2:18" ht="14" x14ac:dyDescent="0.15">
      <c r="B10" s="53" t="s">
        <v>18</v>
      </c>
      <c r="C10" s="263">
        <v>43917</v>
      </c>
      <c r="D10" s="53" t="s">
        <v>37</v>
      </c>
      <c r="E10" s="53" t="s">
        <v>12</v>
      </c>
      <c r="F10" s="147">
        <v>0.42</v>
      </c>
      <c r="G10" s="53" t="s">
        <v>39</v>
      </c>
      <c r="H10" s="53" t="s">
        <v>1177</v>
      </c>
      <c r="I10" s="53" t="s">
        <v>193</v>
      </c>
      <c r="J10" s="53" t="s">
        <v>194</v>
      </c>
      <c r="K10" s="115">
        <v>8</v>
      </c>
      <c r="L10" s="112" t="s">
        <v>1452</v>
      </c>
      <c r="M10" s="112"/>
      <c r="N10" s="116"/>
      <c r="O10" s="112" t="s">
        <v>1452</v>
      </c>
      <c r="Q10" s="23"/>
      <c r="R10" s="23"/>
    </row>
    <row r="11" spans="2:18" ht="14" x14ac:dyDescent="0.15">
      <c r="B11" s="53" t="s">
        <v>18</v>
      </c>
      <c r="C11" s="263">
        <v>43917</v>
      </c>
      <c r="D11" s="53" t="s">
        <v>1453</v>
      </c>
      <c r="E11" s="53" t="s">
        <v>12</v>
      </c>
      <c r="F11" s="147">
        <v>0.41399999999999998</v>
      </c>
      <c r="G11" s="53" t="s">
        <v>39</v>
      </c>
      <c r="H11" s="53" t="s">
        <v>1177</v>
      </c>
      <c r="I11" s="53" t="s">
        <v>3486</v>
      </c>
      <c r="J11" s="53" t="s">
        <v>195</v>
      </c>
      <c r="K11" s="115">
        <v>5.5</v>
      </c>
      <c r="L11" s="111" t="s">
        <v>1454</v>
      </c>
      <c r="N11" s="116"/>
      <c r="O11" s="111" t="s">
        <v>1454</v>
      </c>
      <c r="Q11" s="23"/>
      <c r="R11" s="23"/>
    </row>
    <row r="12" spans="2:18" ht="14" x14ac:dyDescent="0.15">
      <c r="B12" s="53" t="s">
        <v>18</v>
      </c>
      <c r="C12" s="263">
        <v>43917</v>
      </c>
      <c r="D12" s="53" t="s">
        <v>43</v>
      </c>
      <c r="E12" s="53" t="s">
        <v>12</v>
      </c>
      <c r="F12" s="147">
        <v>0.375</v>
      </c>
      <c r="G12" s="53" t="s">
        <v>39</v>
      </c>
      <c r="H12" s="53" t="s">
        <v>1177</v>
      </c>
      <c r="I12" s="53" t="s">
        <v>16</v>
      </c>
      <c r="J12" s="53" t="s">
        <v>196</v>
      </c>
      <c r="K12" s="115">
        <v>3.5</v>
      </c>
      <c r="L12" s="111" t="s">
        <v>1472</v>
      </c>
      <c r="N12" s="116"/>
      <c r="O12" s="111" t="s">
        <v>1455</v>
      </c>
      <c r="Q12" s="23"/>
      <c r="R12" s="23"/>
    </row>
    <row r="13" spans="2:18" ht="14" x14ac:dyDescent="0.15">
      <c r="B13" s="53" t="s">
        <v>18</v>
      </c>
      <c r="C13" s="263">
        <v>43917</v>
      </c>
      <c r="D13" s="53" t="s">
        <v>1456</v>
      </c>
      <c r="E13" s="53" t="s">
        <v>27</v>
      </c>
      <c r="F13" s="147">
        <v>0.25</v>
      </c>
      <c r="G13" s="53" t="s">
        <v>1177</v>
      </c>
      <c r="H13" s="53" t="s">
        <v>1177</v>
      </c>
      <c r="I13" s="53" t="s">
        <v>46</v>
      </c>
      <c r="J13" s="53" t="s">
        <v>47</v>
      </c>
      <c r="K13" s="115">
        <v>7.5</v>
      </c>
      <c r="L13" s="112" t="s">
        <v>1457</v>
      </c>
      <c r="M13" s="112"/>
      <c r="N13" s="116"/>
      <c r="O13" s="112" t="s">
        <v>1457</v>
      </c>
      <c r="Q13" s="23"/>
      <c r="R13" s="23"/>
    </row>
    <row r="14" spans="2:18" ht="14" x14ac:dyDescent="0.15">
      <c r="B14" s="53" t="s">
        <v>18</v>
      </c>
      <c r="C14" s="263">
        <v>43917</v>
      </c>
      <c r="D14" s="53" t="s">
        <v>1460</v>
      </c>
      <c r="E14" s="53" t="s">
        <v>48</v>
      </c>
      <c r="F14" s="147">
        <v>0.22</v>
      </c>
      <c r="G14" s="53" t="s">
        <v>1177</v>
      </c>
      <c r="H14" s="53" t="s">
        <v>1177</v>
      </c>
      <c r="I14" s="53" t="s">
        <v>15</v>
      </c>
      <c r="J14" s="53" t="s">
        <v>49</v>
      </c>
      <c r="K14" s="115">
        <v>8</v>
      </c>
      <c r="L14" s="112" t="s">
        <v>1458</v>
      </c>
      <c r="M14" s="112"/>
      <c r="N14" s="116"/>
      <c r="O14" s="112" t="s">
        <v>1458</v>
      </c>
      <c r="Q14" s="23"/>
      <c r="R14" s="23"/>
    </row>
    <row r="15" spans="2:18" ht="14" x14ac:dyDescent="0.15">
      <c r="B15" s="53" t="s">
        <v>18</v>
      </c>
      <c r="C15" s="263">
        <v>43917</v>
      </c>
      <c r="D15" s="53" t="s">
        <v>51</v>
      </c>
      <c r="E15" s="53" t="s">
        <v>12</v>
      </c>
      <c r="F15" s="147">
        <v>0.41</v>
      </c>
      <c r="G15" s="53" t="s">
        <v>52</v>
      </c>
      <c r="H15" s="53" t="s">
        <v>1177</v>
      </c>
      <c r="I15" s="53" t="s">
        <v>53</v>
      </c>
      <c r="J15" s="53" t="s">
        <v>197</v>
      </c>
      <c r="K15" s="115">
        <v>8.5</v>
      </c>
      <c r="L15" s="111" t="s">
        <v>1474</v>
      </c>
      <c r="N15" s="116"/>
      <c r="O15" s="112" t="s">
        <v>1459</v>
      </c>
      <c r="Q15" s="23"/>
      <c r="R15" s="23"/>
    </row>
    <row r="16" spans="2:18" ht="14" x14ac:dyDescent="0.15">
      <c r="B16" s="53" t="s">
        <v>18</v>
      </c>
      <c r="C16" s="263">
        <v>43924</v>
      </c>
      <c r="D16" s="53" t="s">
        <v>55</v>
      </c>
      <c r="E16" s="53" t="s">
        <v>6</v>
      </c>
      <c r="F16" s="147">
        <v>5.5E-2</v>
      </c>
      <c r="G16" s="53" t="s">
        <v>1177</v>
      </c>
      <c r="H16" s="53" t="s">
        <v>1177</v>
      </c>
      <c r="I16" s="53" t="s">
        <v>193</v>
      </c>
      <c r="J16" s="53" t="s">
        <v>56</v>
      </c>
      <c r="K16" s="115">
        <v>9.5</v>
      </c>
      <c r="L16" s="112" t="s">
        <v>2698</v>
      </c>
      <c r="M16" s="112"/>
      <c r="N16" s="116"/>
      <c r="O16" s="112" t="s">
        <v>1461</v>
      </c>
      <c r="Q16" s="23"/>
      <c r="R16" s="23"/>
    </row>
    <row r="17" spans="2:18" ht="14" x14ac:dyDescent="0.15">
      <c r="B17" s="53" t="s">
        <v>18</v>
      </c>
      <c r="C17" s="263">
        <v>43924</v>
      </c>
      <c r="D17" s="53" t="s">
        <v>57</v>
      </c>
      <c r="E17" s="53" t="s">
        <v>32</v>
      </c>
      <c r="F17" s="147">
        <v>0.375</v>
      </c>
      <c r="G17" s="53" t="s">
        <v>28</v>
      </c>
      <c r="H17" s="53" t="s">
        <v>1177</v>
      </c>
      <c r="I17" s="53" t="s">
        <v>198</v>
      </c>
      <c r="J17" s="53" t="s">
        <v>199</v>
      </c>
      <c r="K17" s="115">
        <v>5</v>
      </c>
      <c r="L17" s="111" t="s">
        <v>1475</v>
      </c>
      <c r="N17" s="116"/>
      <c r="O17" s="112" t="s">
        <v>1447</v>
      </c>
      <c r="Q17" s="23"/>
      <c r="R17" s="23"/>
    </row>
    <row r="18" spans="2:18" ht="14" x14ac:dyDescent="0.15">
      <c r="B18" s="53" t="s">
        <v>18</v>
      </c>
      <c r="C18" s="263">
        <v>43924</v>
      </c>
      <c r="D18" s="53" t="s">
        <v>58</v>
      </c>
      <c r="E18" s="53" t="s">
        <v>27</v>
      </c>
      <c r="F18" s="147">
        <v>0.15</v>
      </c>
      <c r="G18" s="53" t="s">
        <v>60</v>
      </c>
      <c r="H18" s="53" t="s">
        <v>1177</v>
      </c>
      <c r="I18" s="53" t="s">
        <v>62</v>
      </c>
      <c r="J18" s="53" t="s">
        <v>63</v>
      </c>
      <c r="K18" s="115">
        <v>6</v>
      </c>
      <c r="L18" s="111" t="s">
        <v>1470</v>
      </c>
      <c r="N18" s="116"/>
      <c r="O18" s="112" t="s">
        <v>1462</v>
      </c>
      <c r="Q18" s="23"/>
      <c r="R18" s="23"/>
    </row>
    <row r="19" spans="2:18" ht="14" x14ac:dyDescent="0.15">
      <c r="B19" s="53" t="s">
        <v>18</v>
      </c>
      <c r="C19" s="263">
        <v>43924</v>
      </c>
      <c r="D19" s="53" t="s">
        <v>64</v>
      </c>
      <c r="E19" s="53" t="s">
        <v>65</v>
      </c>
      <c r="F19" s="147">
        <v>0.375</v>
      </c>
      <c r="G19" s="53" t="s">
        <v>28</v>
      </c>
      <c r="H19" s="53" t="s">
        <v>1177</v>
      </c>
      <c r="I19" s="53" t="s">
        <v>200</v>
      </c>
      <c r="J19" s="53" t="s">
        <v>201</v>
      </c>
      <c r="K19" s="115">
        <v>4</v>
      </c>
      <c r="L19" s="116" t="s">
        <v>816</v>
      </c>
      <c r="M19" s="116"/>
      <c r="N19" s="116"/>
      <c r="O19" s="116" t="s">
        <v>816</v>
      </c>
      <c r="Q19" s="23"/>
      <c r="R19" s="23"/>
    </row>
    <row r="20" spans="2:18" ht="14" x14ac:dyDescent="0.15">
      <c r="B20" s="53" t="s">
        <v>18</v>
      </c>
      <c r="C20" s="263">
        <v>43931</v>
      </c>
      <c r="D20" s="53" t="s">
        <v>1493</v>
      </c>
      <c r="E20" s="53" t="s">
        <v>6</v>
      </c>
      <c r="F20" s="147">
        <v>0</v>
      </c>
      <c r="G20" s="53" t="s">
        <v>1177</v>
      </c>
      <c r="H20" s="53" t="s">
        <v>1177</v>
      </c>
      <c r="I20" s="53" t="s">
        <v>202</v>
      </c>
      <c r="J20" s="53" t="s">
        <v>20</v>
      </c>
      <c r="K20" s="115">
        <v>3</v>
      </c>
      <c r="L20" s="111" t="s">
        <v>1473</v>
      </c>
      <c r="N20" s="116"/>
      <c r="O20" s="116" t="s">
        <v>1463</v>
      </c>
      <c r="Q20" s="23"/>
      <c r="R20" s="23"/>
    </row>
    <row r="21" spans="2:18" ht="15.75" customHeight="1" x14ac:dyDescent="0.15">
      <c r="B21" s="53" t="s">
        <v>18</v>
      </c>
      <c r="C21" s="263">
        <v>43931</v>
      </c>
      <c r="D21" s="53" t="s">
        <v>66</v>
      </c>
      <c r="E21" s="53" t="s">
        <v>27</v>
      </c>
      <c r="F21" s="147">
        <v>0.28000000000000003</v>
      </c>
      <c r="G21" s="53" t="s">
        <v>60</v>
      </c>
      <c r="H21" s="53" t="s">
        <v>1177</v>
      </c>
      <c r="I21" s="53" t="s">
        <v>203</v>
      </c>
      <c r="J21" s="53" t="s">
        <v>16</v>
      </c>
      <c r="K21" s="115">
        <v>6.5</v>
      </c>
      <c r="L21" s="111" t="s">
        <v>2699</v>
      </c>
      <c r="N21" s="116"/>
      <c r="O21" s="111" t="s">
        <v>1508</v>
      </c>
      <c r="Q21" s="23"/>
      <c r="R21" s="23"/>
    </row>
    <row r="22" spans="2:18" ht="15.75" customHeight="1" x14ac:dyDescent="0.15">
      <c r="B22" s="53" t="s">
        <v>18</v>
      </c>
      <c r="C22" s="263">
        <v>43931</v>
      </c>
      <c r="D22" s="53" t="s">
        <v>68</v>
      </c>
      <c r="E22" s="53" t="s">
        <v>32</v>
      </c>
      <c r="F22" s="147">
        <v>0.375</v>
      </c>
      <c r="G22" s="53" t="s">
        <v>69</v>
      </c>
      <c r="H22" s="53" t="s">
        <v>1177</v>
      </c>
      <c r="I22" s="53" t="s">
        <v>70</v>
      </c>
      <c r="J22" s="53" t="s">
        <v>71</v>
      </c>
      <c r="K22" s="115">
        <v>8</v>
      </c>
      <c r="L22" s="111" t="s">
        <v>766</v>
      </c>
      <c r="N22" s="116"/>
      <c r="O22" s="116" t="s">
        <v>1516</v>
      </c>
      <c r="Q22" s="23"/>
      <c r="R22" s="23"/>
    </row>
    <row r="23" spans="2:18" ht="15.75" customHeight="1" x14ac:dyDescent="0.15">
      <c r="B23" s="53" t="s">
        <v>18</v>
      </c>
      <c r="C23" s="263">
        <v>43931</v>
      </c>
      <c r="D23" s="53" t="s">
        <v>72</v>
      </c>
      <c r="E23" s="53" t="s">
        <v>42</v>
      </c>
      <c r="F23" s="147">
        <v>0.125</v>
      </c>
      <c r="G23" s="53" t="s">
        <v>1177</v>
      </c>
      <c r="H23" s="53" t="s">
        <v>1177</v>
      </c>
      <c r="I23" s="53" t="s">
        <v>204</v>
      </c>
      <c r="J23" s="53" t="s">
        <v>205</v>
      </c>
      <c r="K23" s="115">
        <v>8</v>
      </c>
      <c r="L23" s="111" t="s">
        <v>1464</v>
      </c>
      <c r="N23" s="116"/>
      <c r="O23" s="111" t="s">
        <v>1464</v>
      </c>
      <c r="Q23" s="23"/>
      <c r="R23" s="23"/>
    </row>
    <row r="24" spans="2:18" ht="15.75" customHeight="1" x14ac:dyDescent="0.15">
      <c r="B24" s="53" t="s">
        <v>18</v>
      </c>
      <c r="C24" s="263">
        <v>43931</v>
      </c>
      <c r="D24" s="53" t="s">
        <v>55</v>
      </c>
      <c r="E24" s="53" t="s">
        <v>6</v>
      </c>
      <c r="F24" s="147">
        <v>5.5E-2</v>
      </c>
      <c r="G24" s="53" t="s">
        <v>68</v>
      </c>
      <c r="H24" s="53" t="s">
        <v>1177</v>
      </c>
      <c r="I24" s="53" t="s">
        <v>206</v>
      </c>
      <c r="J24" s="53" t="s">
        <v>207</v>
      </c>
      <c r="K24" s="115">
        <v>2</v>
      </c>
      <c r="L24" s="116" t="s">
        <v>2698</v>
      </c>
      <c r="M24" s="116"/>
      <c r="N24" s="116"/>
      <c r="O24" s="116" t="s">
        <v>1461</v>
      </c>
      <c r="Q24" s="23"/>
      <c r="R24" s="23"/>
    </row>
    <row r="25" spans="2:18" ht="15.75" customHeight="1" x14ac:dyDescent="0.15">
      <c r="B25" s="53" t="s">
        <v>18</v>
      </c>
      <c r="C25" s="263">
        <v>43931</v>
      </c>
      <c r="D25" s="53" t="s">
        <v>55</v>
      </c>
      <c r="E25" s="53" t="s">
        <v>6</v>
      </c>
      <c r="F25" s="147">
        <v>5.5E-2</v>
      </c>
      <c r="G25" s="53" t="s">
        <v>44</v>
      </c>
      <c r="H25" s="53" t="s">
        <v>1177</v>
      </c>
      <c r="I25" s="53" t="s">
        <v>74</v>
      </c>
      <c r="J25" s="53" t="s">
        <v>3486</v>
      </c>
      <c r="K25" s="115">
        <v>3.5</v>
      </c>
      <c r="L25" s="116" t="s">
        <v>2698</v>
      </c>
      <c r="M25" s="116"/>
      <c r="N25" s="116"/>
      <c r="O25" s="116" t="s">
        <v>1461</v>
      </c>
      <c r="Q25" s="23"/>
      <c r="R25" s="23"/>
    </row>
    <row r="26" spans="2:18" ht="15.75" customHeight="1" x14ac:dyDescent="0.15">
      <c r="B26" s="53" t="s">
        <v>18</v>
      </c>
      <c r="C26" s="263">
        <v>43931</v>
      </c>
      <c r="D26" s="53" t="s">
        <v>1456</v>
      </c>
      <c r="E26" s="53" t="s">
        <v>27</v>
      </c>
      <c r="F26" s="147">
        <v>0.25</v>
      </c>
      <c r="G26" s="53" t="s">
        <v>76</v>
      </c>
      <c r="H26" s="53" t="s">
        <v>1177</v>
      </c>
      <c r="I26" s="53" t="s">
        <v>3534</v>
      </c>
      <c r="J26" s="53" t="s">
        <v>78</v>
      </c>
      <c r="K26" s="115">
        <v>8.5</v>
      </c>
      <c r="L26" s="116" t="s">
        <v>1457</v>
      </c>
      <c r="M26" s="116"/>
      <c r="N26" s="116"/>
      <c r="O26" s="116" t="s">
        <v>1457</v>
      </c>
      <c r="Q26" s="23"/>
      <c r="R26" s="23"/>
    </row>
    <row r="27" spans="2:18" ht="15.75" customHeight="1" x14ac:dyDescent="0.15">
      <c r="B27" s="53" t="s">
        <v>18</v>
      </c>
      <c r="C27" s="263">
        <v>43931</v>
      </c>
      <c r="D27" s="53" t="s">
        <v>1729</v>
      </c>
      <c r="E27" s="53" t="s">
        <v>36</v>
      </c>
      <c r="F27" s="147">
        <v>0.4</v>
      </c>
      <c r="G27" s="53" t="s">
        <v>44</v>
      </c>
      <c r="H27" s="53" t="s">
        <v>76</v>
      </c>
      <c r="I27" s="53" t="s">
        <v>80</v>
      </c>
      <c r="J27" s="53" t="s">
        <v>81</v>
      </c>
      <c r="K27" s="115">
        <v>7</v>
      </c>
      <c r="L27" s="116" t="s">
        <v>1451</v>
      </c>
      <c r="M27" s="116"/>
      <c r="N27" s="116"/>
      <c r="O27" s="116" t="s">
        <v>1451</v>
      </c>
      <c r="Q27" s="23"/>
      <c r="R27" s="23"/>
    </row>
    <row r="28" spans="2:18" ht="15.75" customHeight="1" x14ac:dyDescent="0.15">
      <c r="B28" s="53" t="s">
        <v>26</v>
      </c>
      <c r="C28" s="263">
        <v>43917</v>
      </c>
      <c r="D28" s="53" t="s">
        <v>1476</v>
      </c>
      <c r="E28" s="53" t="s">
        <v>42</v>
      </c>
      <c r="F28" s="147">
        <v>0.13</v>
      </c>
      <c r="G28" s="53" t="s">
        <v>1177</v>
      </c>
      <c r="H28" s="53" t="s">
        <v>1177</v>
      </c>
      <c r="I28" s="53" t="s">
        <v>82</v>
      </c>
      <c r="J28" s="53" t="s">
        <v>15</v>
      </c>
      <c r="K28" s="115">
        <v>8</v>
      </c>
      <c r="L28" s="116" t="s">
        <v>1477</v>
      </c>
      <c r="M28" s="116"/>
      <c r="N28" s="116"/>
      <c r="O28" s="116" t="s">
        <v>1510</v>
      </c>
      <c r="Q28" s="23"/>
      <c r="R28" s="23"/>
    </row>
    <row r="29" spans="2:18" ht="15.75" customHeight="1" x14ac:dyDescent="0.15">
      <c r="B29" s="53" t="s">
        <v>26</v>
      </c>
      <c r="C29" s="263">
        <v>43917</v>
      </c>
      <c r="D29" s="53" t="s">
        <v>66</v>
      </c>
      <c r="E29" s="53" t="s">
        <v>27</v>
      </c>
      <c r="F29" s="147">
        <v>0.28000000000000003</v>
      </c>
      <c r="G29" s="53" t="s">
        <v>1177</v>
      </c>
      <c r="H29" s="53" t="s">
        <v>1177</v>
      </c>
      <c r="I29" s="53" t="s">
        <v>16</v>
      </c>
      <c r="J29" s="53" t="s">
        <v>84</v>
      </c>
      <c r="K29" s="115">
        <v>9</v>
      </c>
      <c r="L29" s="116" t="s">
        <v>2699</v>
      </c>
      <c r="M29" s="116"/>
      <c r="N29" s="116"/>
      <c r="O29" s="116" t="s">
        <v>1508</v>
      </c>
      <c r="Q29" s="23"/>
      <c r="R29" s="23"/>
    </row>
    <row r="30" spans="2:18" ht="15.75" customHeight="1" x14ac:dyDescent="0.15">
      <c r="B30" s="53" t="s">
        <v>26</v>
      </c>
      <c r="C30" s="263">
        <v>43917</v>
      </c>
      <c r="D30" s="53" t="s">
        <v>85</v>
      </c>
      <c r="E30" s="53" t="s">
        <v>27</v>
      </c>
      <c r="F30" s="147">
        <v>0.4</v>
      </c>
      <c r="G30" s="53" t="s">
        <v>1177</v>
      </c>
      <c r="H30" s="53" t="s">
        <v>1177</v>
      </c>
      <c r="I30" s="53" t="s">
        <v>86</v>
      </c>
      <c r="J30" s="53" t="s">
        <v>87</v>
      </c>
      <c r="K30" s="115">
        <v>7</v>
      </c>
      <c r="L30" s="116" t="s">
        <v>85</v>
      </c>
      <c r="M30" s="116"/>
      <c r="N30" s="116"/>
      <c r="O30" s="116" t="s">
        <v>1465</v>
      </c>
      <c r="Q30" s="23"/>
      <c r="R30" s="23"/>
    </row>
    <row r="31" spans="2:18" ht="15.75" customHeight="1" x14ac:dyDescent="0.15">
      <c r="B31" s="53" t="s">
        <v>26</v>
      </c>
      <c r="C31" s="263">
        <v>43917</v>
      </c>
      <c r="D31" s="53" t="s">
        <v>88</v>
      </c>
      <c r="E31" s="53" t="s">
        <v>190</v>
      </c>
      <c r="F31" s="147">
        <v>0.38</v>
      </c>
      <c r="G31" s="53" t="s">
        <v>1177</v>
      </c>
      <c r="H31" s="53" t="s">
        <v>1177</v>
      </c>
      <c r="I31" s="53" t="s">
        <v>25</v>
      </c>
      <c r="J31" s="53" t="s">
        <v>89</v>
      </c>
      <c r="K31" s="115">
        <v>1.5</v>
      </c>
      <c r="L31" s="116" t="s">
        <v>88</v>
      </c>
      <c r="M31" s="116"/>
      <c r="N31" s="116"/>
      <c r="O31" s="116" t="s">
        <v>1466</v>
      </c>
      <c r="Q31" s="23"/>
      <c r="R31" s="23"/>
    </row>
    <row r="32" spans="2:18" ht="15.75" customHeight="1" x14ac:dyDescent="0.15">
      <c r="B32" s="53" t="s">
        <v>26</v>
      </c>
      <c r="C32" s="263">
        <v>43917</v>
      </c>
      <c r="D32" s="53" t="s">
        <v>1467</v>
      </c>
      <c r="E32" s="53" t="s">
        <v>27</v>
      </c>
      <c r="F32" s="147">
        <v>0.3</v>
      </c>
      <c r="G32" s="53" t="s">
        <v>1177</v>
      </c>
      <c r="H32" s="53" t="s">
        <v>1177</v>
      </c>
      <c r="I32" s="53" t="s">
        <v>208</v>
      </c>
      <c r="J32" s="53" t="s">
        <v>209</v>
      </c>
      <c r="K32" s="115">
        <v>8</v>
      </c>
      <c r="L32" s="116" t="s">
        <v>1478</v>
      </c>
      <c r="M32" s="116"/>
      <c r="N32" s="116"/>
      <c r="O32" s="116" t="s">
        <v>1468</v>
      </c>
      <c r="Q32" s="23"/>
      <c r="R32" s="23"/>
    </row>
    <row r="33" spans="2:18" ht="15.75" customHeight="1" x14ac:dyDescent="0.15">
      <c r="B33" s="53" t="s">
        <v>26</v>
      </c>
      <c r="C33" s="263">
        <v>43931</v>
      </c>
      <c r="D33" s="53" t="s">
        <v>1218</v>
      </c>
      <c r="E33" s="53" t="s">
        <v>34</v>
      </c>
      <c r="F33" s="147">
        <v>0.05</v>
      </c>
      <c r="G33" s="53" t="s">
        <v>1177</v>
      </c>
      <c r="H33" s="53" t="s">
        <v>1177</v>
      </c>
      <c r="I33" s="53" t="s">
        <v>210</v>
      </c>
      <c r="J33" s="53" t="s">
        <v>211</v>
      </c>
      <c r="K33" s="115">
        <v>7</v>
      </c>
      <c r="L33" s="116" t="s">
        <v>2700</v>
      </c>
      <c r="M33" s="116"/>
      <c r="N33" s="116"/>
      <c r="O33" s="116" t="s">
        <v>1509</v>
      </c>
      <c r="Q33" s="23"/>
      <c r="R33" s="23"/>
    </row>
    <row r="34" spans="2:18" ht="15.75" customHeight="1" x14ac:dyDescent="0.15">
      <c r="B34" s="53" t="s">
        <v>26</v>
      </c>
      <c r="C34" s="263">
        <v>43931</v>
      </c>
      <c r="D34" s="53" t="s">
        <v>91</v>
      </c>
      <c r="E34" s="53" t="s">
        <v>34</v>
      </c>
      <c r="F34" s="147">
        <v>4.4999999999999998E-2</v>
      </c>
      <c r="G34" s="53" t="s">
        <v>1177</v>
      </c>
      <c r="H34" s="53" t="s">
        <v>1177</v>
      </c>
      <c r="I34" s="53" t="s">
        <v>212</v>
      </c>
      <c r="J34" s="53" t="s">
        <v>213</v>
      </c>
      <c r="K34" s="115">
        <v>6.5</v>
      </c>
      <c r="L34" s="116" t="s">
        <v>1480</v>
      </c>
      <c r="M34" s="116"/>
      <c r="N34" s="116"/>
      <c r="O34" s="116" t="s">
        <v>1479</v>
      </c>
      <c r="Q34" s="23"/>
      <c r="R34" s="23"/>
    </row>
    <row r="35" spans="2:18" ht="15.75" customHeight="1" x14ac:dyDescent="0.15">
      <c r="B35" s="53" t="s">
        <v>26</v>
      </c>
      <c r="C35" s="263">
        <v>43931</v>
      </c>
      <c r="D35" s="53" t="s">
        <v>92</v>
      </c>
      <c r="E35" s="53" t="s">
        <v>34</v>
      </c>
      <c r="F35" s="147">
        <v>4.4999999999999998E-2</v>
      </c>
      <c r="G35" s="53" t="s">
        <v>1177</v>
      </c>
      <c r="H35" s="53" t="s">
        <v>1177</v>
      </c>
      <c r="I35" s="53" t="s">
        <v>93</v>
      </c>
      <c r="J35" s="53" t="s">
        <v>214</v>
      </c>
      <c r="K35" s="115">
        <v>9</v>
      </c>
      <c r="L35" s="111" t="s">
        <v>1472</v>
      </c>
      <c r="O35" s="116" t="s">
        <v>1455</v>
      </c>
      <c r="Q35" s="23"/>
      <c r="R35" s="23"/>
    </row>
    <row r="36" spans="2:18" ht="15.75" customHeight="1" x14ac:dyDescent="0.15">
      <c r="B36" s="53" t="s">
        <v>26</v>
      </c>
      <c r="C36" s="263">
        <v>43931</v>
      </c>
      <c r="D36" s="53" t="s">
        <v>94</v>
      </c>
      <c r="E36" s="53" t="s">
        <v>34</v>
      </c>
      <c r="F36" s="147">
        <v>0.06</v>
      </c>
      <c r="G36" s="53" t="s">
        <v>1177</v>
      </c>
      <c r="H36" s="53" t="s">
        <v>1177</v>
      </c>
      <c r="I36" s="53" t="s">
        <v>215</v>
      </c>
      <c r="J36" s="53" t="s">
        <v>216</v>
      </c>
      <c r="K36" s="115">
        <v>6.5</v>
      </c>
      <c r="L36" s="111" t="s">
        <v>1482</v>
      </c>
      <c r="O36" s="116" t="s">
        <v>1481</v>
      </c>
      <c r="Q36" s="23"/>
      <c r="R36" s="23"/>
    </row>
    <row r="37" spans="2:18" ht="15.75" customHeight="1" x14ac:dyDescent="0.15">
      <c r="B37" s="53" t="s">
        <v>26</v>
      </c>
      <c r="C37" s="263">
        <v>43931</v>
      </c>
      <c r="D37" s="53" t="s">
        <v>1484</v>
      </c>
      <c r="E37" s="53" t="s">
        <v>34</v>
      </c>
      <c r="F37" s="147">
        <v>4.4999999999999998E-2</v>
      </c>
      <c r="G37" s="53" t="s">
        <v>1177</v>
      </c>
      <c r="H37" s="53" t="s">
        <v>1177</v>
      </c>
      <c r="I37" s="53" t="s">
        <v>82</v>
      </c>
      <c r="J37" s="53" t="s">
        <v>95</v>
      </c>
      <c r="K37" s="115">
        <v>6</v>
      </c>
      <c r="L37" s="111" t="s">
        <v>1483</v>
      </c>
      <c r="O37" s="116" t="s">
        <v>1483</v>
      </c>
      <c r="Q37" s="23"/>
      <c r="R37" s="23"/>
    </row>
    <row r="38" spans="2:18" ht="15.75" customHeight="1" x14ac:dyDescent="0.15">
      <c r="B38" s="53" t="s">
        <v>26</v>
      </c>
      <c r="C38" s="263">
        <v>43931</v>
      </c>
      <c r="D38" s="53" t="s">
        <v>1485</v>
      </c>
      <c r="E38" s="53" t="s">
        <v>34</v>
      </c>
      <c r="F38" s="147">
        <v>7.3999999999999996E-2</v>
      </c>
      <c r="G38" s="53" t="s">
        <v>1177</v>
      </c>
      <c r="H38" s="53" t="s">
        <v>1177</v>
      </c>
      <c r="I38" s="53" t="s">
        <v>3486</v>
      </c>
      <c r="J38" s="53" t="s">
        <v>96</v>
      </c>
      <c r="K38" s="115">
        <v>5.5</v>
      </c>
      <c r="L38" s="111" t="s">
        <v>1483</v>
      </c>
      <c r="O38" s="116" t="s">
        <v>1483</v>
      </c>
      <c r="Q38" s="23"/>
      <c r="R38" s="23"/>
    </row>
    <row r="39" spans="2:18" ht="15.75" customHeight="1" x14ac:dyDescent="0.15">
      <c r="B39" s="53" t="s">
        <v>35</v>
      </c>
      <c r="C39" s="263">
        <v>43917</v>
      </c>
      <c r="D39" s="53" t="s">
        <v>2129</v>
      </c>
      <c r="E39" s="53" t="s">
        <v>6</v>
      </c>
      <c r="F39" s="147">
        <v>6.4000000000000001E-2</v>
      </c>
      <c r="G39" s="53" t="s">
        <v>1177</v>
      </c>
      <c r="H39" s="53" t="s">
        <v>1177</v>
      </c>
      <c r="I39" s="53" t="s">
        <v>217</v>
      </c>
      <c r="J39" s="53" t="s">
        <v>218</v>
      </c>
      <c r="K39" s="115">
        <v>7</v>
      </c>
      <c r="L39" s="111" t="s">
        <v>1486</v>
      </c>
      <c r="O39" s="111" t="s">
        <v>1486</v>
      </c>
      <c r="Q39" s="23"/>
      <c r="R39" s="23"/>
    </row>
    <row r="40" spans="2:18" ht="15.75" customHeight="1" x14ac:dyDescent="0.15">
      <c r="B40" s="53" t="s">
        <v>35</v>
      </c>
      <c r="C40" s="263">
        <v>43917</v>
      </c>
      <c r="D40" s="53" t="s">
        <v>2983</v>
      </c>
      <c r="E40" s="53" t="s">
        <v>12</v>
      </c>
      <c r="F40" s="147">
        <v>0.43</v>
      </c>
      <c r="G40" s="53" t="s">
        <v>401</v>
      </c>
      <c r="H40" s="53" t="s">
        <v>1177</v>
      </c>
      <c r="I40" s="53" t="s">
        <v>219</v>
      </c>
      <c r="J40" s="53" t="s">
        <v>153</v>
      </c>
      <c r="K40" s="115">
        <v>8</v>
      </c>
      <c r="L40" s="111" t="s">
        <v>1487</v>
      </c>
      <c r="O40" s="116" t="s">
        <v>1488</v>
      </c>
      <c r="P40" s="23" t="s">
        <v>3526</v>
      </c>
      <c r="Q40" s="23"/>
      <c r="R40" s="23"/>
    </row>
    <row r="41" spans="2:18" ht="15.75" customHeight="1" x14ac:dyDescent="0.15">
      <c r="B41" s="53" t="s">
        <v>35</v>
      </c>
      <c r="C41" s="263">
        <v>43917</v>
      </c>
      <c r="D41" s="53" t="s">
        <v>98</v>
      </c>
      <c r="E41" s="53" t="s">
        <v>36</v>
      </c>
      <c r="F41" s="147">
        <v>0.4</v>
      </c>
      <c r="G41" s="53" t="s">
        <v>1177</v>
      </c>
      <c r="H41" s="53" t="s">
        <v>1177</v>
      </c>
      <c r="I41" s="53" t="s">
        <v>220</v>
      </c>
      <c r="J41" s="53" t="s">
        <v>221</v>
      </c>
      <c r="K41" s="115">
        <v>7</v>
      </c>
      <c r="L41" s="111" t="s">
        <v>1489</v>
      </c>
      <c r="O41" s="116" t="s">
        <v>1490</v>
      </c>
      <c r="Q41" s="23"/>
      <c r="R41" s="23"/>
    </row>
    <row r="42" spans="2:18" ht="15.75" customHeight="1" x14ac:dyDescent="0.15">
      <c r="B42" s="53" t="s">
        <v>35</v>
      </c>
      <c r="C42" s="263">
        <v>43917</v>
      </c>
      <c r="D42" s="53" t="s">
        <v>99</v>
      </c>
      <c r="E42" s="53" t="s">
        <v>190</v>
      </c>
      <c r="F42" s="147">
        <v>0.7</v>
      </c>
      <c r="G42" s="53" t="s">
        <v>1177</v>
      </c>
      <c r="H42" s="53" t="s">
        <v>1177</v>
      </c>
      <c r="I42" s="53" t="s">
        <v>222</v>
      </c>
      <c r="J42" s="53" t="s">
        <v>223</v>
      </c>
      <c r="K42" s="115">
        <v>7</v>
      </c>
      <c r="L42" s="111" t="s">
        <v>1491</v>
      </c>
      <c r="O42" s="116" t="s">
        <v>1491</v>
      </c>
      <c r="Q42" s="23"/>
      <c r="R42" s="23"/>
    </row>
    <row r="43" spans="2:18" ht="15.75" customHeight="1" x14ac:dyDescent="0.15">
      <c r="B43" s="53" t="s">
        <v>35</v>
      </c>
      <c r="C43" s="263">
        <v>43917</v>
      </c>
      <c r="D43" s="53" t="s">
        <v>100</v>
      </c>
      <c r="E43" s="53" t="s">
        <v>36</v>
      </c>
      <c r="F43" s="147">
        <v>0.4</v>
      </c>
      <c r="G43" s="53" t="s">
        <v>1177</v>
      </c>
      <c r="H43" s="53" t="s">
        <v>1177</v>
      </c>
      <c r="I43" s="53" t="s">
        <v>224</v>
      </c>
      <c r="J43" s="53" t="s">
        <v>225</v>
      </c>
      <c r="K43" s="115">
        <v>2</v>
      </c>
      <c r="L43" s="111" t="s">
        <v>1497</v>
      </c>
      <c r="O43" s="116" t="s">
        <v>1496</v>
      </c>
      <c r="Q43" s="23"/>
      <c r="R43" s="23"/>
    </row>
    <row r="44" spans="2:18" ht="15.75" customHeight="1" x14ac:dyDescent="0.15">
      <c r="B44" s="53" t="s">
        <v>35</v>
      </c>
      <c r="C44" s="263">
        <v>43917</v>
      </c>
      <c r="D44" s="53" t="s">
        <v>102</v>
      </c>
      <c r="E44" s="53" t="s">
        <v>42</v>
      </c>
      <c r="F44" s="147">
        <v>0.13500000000000001</v>
      </c>
      <c r="G44" s="53" t="s">
        <v>1177</v>
      </c>
      <c r="H44" s="53" t="s">
        <v>1177</v>
      </c>
      <c r="I44" s="53" t="s">
        <v>2154</v>
      </c>
      <c r="J44" s="53" t="s">
        <v>226</v>
      </c>
      <c r="K44" s="115">
        <v>7</v>
      </c>
      <c r="L44" s="111" t="s">
        <v>1498</v>
      </c>
      <c r="O44" s="116" t="s">
        <v>1498</v>
      </c>
      <c r="Q44" s="23"/>
      <c r="R44" s="23"/>
    </row>
    <row r="45" spans="2:18" ht="15.75" customHeight="1" x14ac:dyDescent="0.15">
      <c r="B45" s="53" t="s">
        <v>35</v>
      </c>
      <c r="C45" s="263">
        <v>43917</v>
      </c>
      <c r="D45" s="53" t="s">
        <v>1499</v>
      </c>
      <c r="E45" s="53" t="s">
        <v>27</v>
      </c>
      <c r="F45" s="147">
        <v>0.33</v>
      </c>
      <c r="G45" s="53" t="s">
        <v>1177</v>
      </c>
      <c r="H45" s="53" t="s">
        <v>1177</v>
      </c>
      <c r="I45" s="53" t="s">
        <v>16</v>
      </c>
      <c r="J45" s="53" t="s">
        <v>227</v>
      </c>
      <c r="K45" s="115">
        <v>8.5</v>
      </c>
      <c r="L45" s="111" t="s">
        <v>1514</v>
      </c>
      <c r="O45" s="111" t="s">
        <v>1514</v>
      </c>
      <c r="Q45" s="23"/>
      <c r="R45" s="23"/>
    </row>
    <row r="46" spans="2:18" ht="15.75" customHeight="1" x14ac:dyDescent="0.15">
      <c r="B46" s="53" t="s">
        <v>35</v>
      </c>
      <c r="C46" s="263">
        <v>43917</v>
      </c>
      <c r="D46" s="53" t="s">
        <v>103</v>
      </c>
      <c r="E46" s="53" t="s">
        <v>32</v>
      </c>
      <c r="F46" s="147">
        <v>0.32</v>
      </c>
      <c r="G46" s="53" t="s">
        <v>1177</v>
      </c>
      <c r="H46" s="53" t="s">
        <v>1177</v>
      </c>
      <c r="I46" s="53" t="s">
        <v>16</v>
      </c>
      <c r="J46" s="53" t="s">
        <v>228</v>
      </c>
      <c r="K46" s="115">
        <v>6</v>
      </c>
      <c r="L46" s="111" t="s">
        <v>1500</v>
      </c>
      <c r="O46" s="116" t="s">
        <v>1500</v>
      </c>
      <c r="Q46" s="23"/>
      <c r="R46" s="23"/>
    </row>
    <row r="47" spans="2:18" ht="15.75" customHeight="1" x14ac:dyDescent="0.15">
      <c r="B47" s="53" t="s">
        <v>35</v>
      </c>
      <c r="C47" s="263">
        <v>43924</v>
      </c>
      <c r="D47" s="53" t="s">
        <v>1501</v>
      </c>
      <c r="E47" s="53" t="s">
        <v>36</v>
      </c>
      <c r="F47" s="147">
        <v>0.4</v>
      </c>
      <c r="G47" s="53" t="s">
        <v>1177</v>
      </c>
      <c r="H47" s="53" t="s">
        <v>1177</v>
      </c>
      <c r="I47" s="53" t="s">
        <v>229</v>
      </c>
      <c r="J47" s="53" t="s">
        <v>230</v>
      </c>
      <c r="K47" s="115">
        <v>7.5</v>
      </c>
      <c r="L47" s="111" t="s">
        <v>1502</v>
      </c>
      <c r="O47" s="116" t="s">
        <v>1502</v>
      </c>
      <c r="Q47" s="23"/>
      <c r="R47" s="23"/>
    </row>
    <row r="48" spans="2:18" ht="15.75" customHeight="1" x14ac:dyDescent="0.15">
      <c r="B48" s="53" t="s">
        <v>35</v>
      </c>
      <c r="C48" s="263">
        <v>43924</v>
      </c>
      <c r="D48" s="53" t="s">
        <v>104</v>
      </c>
      <c r="E48" s="53" t="s">
        <v>32</v>
      </c>
      <c r="F48" s="147">
        <v>0.4</v>
      </c>
      <c r="G48" s="53" t="s">
        <v>1177</v>
      </c>
      <c r="H48" s="53" t="s">
        <v>1177</v>
      </c>
      <c r="I48" s="53" t="s">
        <v>231</v>
      </c>
      <c r="J48" s="53" t="s">
        <v>232</v>
      </c>
      <c r="K48" s="115">
        <v>7</v>
      </c>
      <c r="L48" s="111" t="s">
        <v>2576</v>
      </c>
      <c r="O48" s="116" t="s">
        <v>1503</v>
      </c>
      <c r="Q48" s="23"/>
      <c r="R48" s="23"/>
    </row>
    <row r="49" spans="2:18" ht="15.75" customHeight="1" x14ac:dyDescent="0.15">
      <c r="B49" s="53" t="s">
        <v>35</v>
      </c>
      <c r="C49" s="263">
        <v>43924</v>
      </c>
      <c r="D49" s="53" t="s">
        <v>1504</v>
      </c>
      <c r="E49" s="53" t="s">
        <v>6</v>
      </c>
      <c r="F49" s="147">
        <v>0.05</v>
      </c>
      <c r="G49" s="53" t="s">
        <v>1177</v>
      </c>
      <c r="H49" s="53" t="s">
        <v>1177</v>
      </c>
      <c r="I49" s="53" t="s">
        <v>233</v>
      </c>
      <c r="J49" s="53" t="s">
        <v>195</v>
      </c>
      <c r="K49" s="115">
        <v>5.5</v>
      </c>
      <c r="L49" s="111" t="s">
        <v>2577</v>
      </c>
      <c r="O49" s="116" t="s">
        <v>1505</v>
      </c>
      <c r="Q49" s="23"/>
      <c r="R49" s="23"/>
    </row>
    <row r="50" spans="2:18" ht="15.75" customHeight="1" x14ac:dyDescent="0.15">
      <c r="B50" s="53" t="s">
        <v>35</v>
      </c>
      <c r="C50" s="263">
        <v>43924</v>
      </c>
      <c r="D50" s="53" t="s">
        <v>1511</v>
      </c>
      <c r="E50" s="53" t="s">
        <v>27</v>
      </c>
      <c r="F50" s="147">
        <v>0.2</v>
      </c>
      <c r="G50" s="53" t="s">
        <v>1177</v>
      </c>
      <c r="H50" s="53" t="s">
        <v>1177</v>
      </c>
      <c r="I50" s="53" t="s">
        <v>16</v>
      </c>
      <c r="J50" s="53" t="s">
        <v>201</v>
      </c>
      <c r="K50" s="115">
        <v>4</v>
      </c>
      <c r="L50" s="111" t="s">
        <v>1518</v>
      </c>
      <c r="O50" s="111" t="s">
        <v>1518</v>
      </c>
      <c r="Q50" s="23"/>
      <c r="R50" s="23"/>
    </row>
    <row r="51" spans="2:18" ht="15.75" customHeight="1" x14ac:dyDescent="0.15">
      <c r="B51" s="53" t="s">
        <v>35</v>
      </c>
      <c r="C51" s="263">
        <v>43924</v>
      </c>
      <c r="D51" s="53" t="s">
        <v>105</v>
      </c>
      <c r="E51" s="53" t="s">
        <v>12</v>
      </c>
      <c r="F51" s="147">
        <v>0.4</v>
      </c>
      <c r="G51" s="53" t="s">
        <v>401</v>
      </c>
      <c r="H51" s="53" t="s">
        <v>1177</v>
      </c>
      <c r="I51" s="53" t="s">
        <v>215</v>
      </c>
      <c r="J51" s="53" t="s">
        <v>234</v>
      </c>
      <c r="K51" s="115">
        <v>6.5</v>
      </c>
      <c r="L51" s="111" t="s">
        <v>1506</v>
      </c>
      <c r="O51" s="116" t="s">
        <v>1507</v>
      </c>
      <c r="P51" s="23" t="s">
        <v>3526</v>
      </c>
      <c r="Q51" s="23"/>
      <c r="R51" s="23"/>
    </row>
    <row r="52" spans="2:18" ht="15.75" customHeight="1" x14ac:dyDescent="0.15">
      <c r="B52" s="53" t="s">
        <v>35</v>
      </c>
      <c r="C52" s="263">
        <v>43931</v>
      </c>
      <c r="D52" s="53" t="s">
        <v>106</v>
      </c>
      <c r="E52" s="53" t="s">
        <v>6</v>
      </c>
      <c r="F52" s="147">
        <v>5.7000000000000002E-2</v>
      </c>
      <c r="G52" s="53" t="s">
        <v>1177</v>
      </c>
      <c r="H52" s="53" t="s">
        <v>1177</v>
      </c>
      <c r="I52" s="53" t="s">
        <v>225</v>
      </c>
      <c r="J52" s="53" t="s">
        <v>235</v>
      </c>
      <c r="K52" s="115">
        <v>6</v>
      </c>
      <c r="L52" s="111" t="s">
        <v>1512</v>
      </c>
      <c r="O52" s="116" t="s">
        <v>1512</v>
      </c>
      <c r="Q52" s="23"/>
      <c r="R52" s="23"/>
    </row>
    <row r="53" spans="2:18" ht="15.75" customHeight="1" x14ac:dyDescent="0.15">
      <c r="B53" s="53" t="s">
        <v>35</v>
      </c>
      <c r="C53" s="263">
        <v>43931</v>
      </c>
      <c r="D53" s="53" t="s">
        <v>107</v>
      </c>
      <c r="E53" s="53" t="s">
        <v>6</v>
      </c>
      <c r="F53" s="147">
        <v>0.05</v>
      </c>
      <c r="G53" s="53" t="s">
        <v>1177</v>
      </c>
      <c r="H53" s="53" t="s">
        <v>1177</v>
      </c>
      <c r="I53" s="53" t="s">
        <v>220</v>
      </c>
      <c r="J53" s="53" t="s">
        <v>236</v>
      </c>
      <c r="K53" s="115">
        <v>7.5</v>
      </c>
      <c r="L53" s="111" t="s">
        <v>1513</v>
      </c>
      <c r="O53" s="116" t="s">
        <v>1513</v>
      </c>
      <c r="Q53" s="23"/>
      <c r="R53" s="23"/>
    </row>
    <row r="54" spans="2:18" ht="15.75" customHeight="1" x14ac:dyDescent="0.15">
      <c r="B54" s="53" t="s">
        <v>35</v>
      </c>
      <c r="C54" s="263">
        <v>43931</v>
      </c>
      <c r="D54" s="53" t="s">
        <v>2769</v>
      </c>
      <c r="E54" s="53" t="s">
        <v>6</v>
      </c>
      <c r="F54" s="147">
        <v>5.5E-2</v>
      </c>
      <c r="G54" s="53" t="s">
        <v>1177</v>
      </c>
      <c r="H54" s="53" t="s">
        <v>1177</v>
      </c>
      <c r="I54" s="53" t="s">
        <v>217</v>
      </c>
      <c r="J54" s="53" t="s">
        <v>237</v>
      </c>
      <c r="K54" s="115">
        <v>6</v>
      </c>
      <c r="L54" s="111" t="s">
        <v>1515</v>
      </c>
      <c r="O54" s="116" t="s">
        <v>1515</v>
      </c>
      <c r="Q54" s="23"/>
      <c r="R54" s="23"/>
    </row>
    <row r="55" spans="2:18" ht="15.75" customHeight="1" x14ac:dyDescent="0.15">
      <c r="B55" s="53" t="s">
        <v>35</v>
      </c>
      <c r="C55" s="263">
        <v>43931</v>
      </c>
      <c r="D55" s="53" t="s">
        <v>108</v>
      </c>
      <c r="E55" s="53" t="s">
        <v>32</v>
      </c>
      <c r="F55" s="147">
        <v>0.04</v>
      </c>
      <c r="G55" s="53" t="s">
        <v>58</v>
      </c>
      <c r="H55" s="53" t="s">
        <v>1177</v>
      </c>
      <c r="I55" s="53" t="s">
        <v>16</v>
      </c>
      <c r="J55" s="53" t="s">
        <v>238</v>
      </c>
      <c r="K55" s="115">
        <v>9</v>
      </c>
      <c r="L55" s="111" t="s">
        <v>766</v>
      </c>
      <c r="O55" s="116" t="s">
        <v>1516</v>
      </c>
      <c r="Q55" s="23"/>
      <c r="R55" s="23"/>
    </row>
    <row r="56" spans="2:18" ht="15.75" customHeight="1" x14ac:dyDescent="0.15">
      <c r="B56" s="53" t="s">
        <v>35</v>
      </c>
      <c r="C56" s="263">
        <v>43931</v>
      </c>
      <c r="D56" s="53" t="s">
        <v>110</v>
      </c>
      <c r="E56" s="53" t="s">
        <v>6</v>
      </c>
      <c r="F56" s="147">
        <v>6.7000000000000004E-2</v>
      </c>
      <c r="G56" s="53" t="s">
        <v>1177</v>
      </c>
      <c r="H56" s="53" t="s">
        <v>1177</v>
      </c>
      <c r="I56" s="53" t="s">
        <v>111</v>
      </c>
      <c r="J56" s="53" t="s">
        <v>112</v>
      </c>
      <c r="K56" s="115">
        <v>7.5</v>
      </c>
      <c r="L56" s="111" t="s">
        <v>1517</v>
      </c>
      <c r="O56" s="116" t="s">
        <v>1517</v>
      </c>
      <c r="Q56" s="23"/>
      <c r="R56" s="23"/>
    </row>
    <row r="57" spans="2:18" ht="15.75" customHeight="1" x14ac:dyDescent="0.15">
      <c r="B57" s="53" t="s">
        <v>35</v>
      </c>
      <c r="C57" s="263">
        <v>43931</v>
      </c>
      <c r="D57" s="53" t="s">
        <v>113</v>
      </c>
      <c r="E57" s="53" t="s">
        <v>27</v>
      </c>
      <c r="F57" s="147">
        <v>0.2</v>
      </c>
      <c r="G57" s="53" t="s">
        <v>28</v>
      </c>
      <c r="H57" s="53" t="s">
        <v>1177</v>
      </c>
      <c r="I57" s="53" t="s">
        <v>239</v>
      </c>
      <c r="J57" s="53" t="s">
        <v>240</v>
      </c>
      <c r="K57" s="115">
        <v>8</v>
      </c>
      <c r="L57" s="111" t="s">
        <v>1518</v>
      </c>
      <c r="O57" s="116" t="s">
        <v>1518</v>
      </c>
      <c r="Q57" s="23"/>
      <c r="R57" s="23"/>
    </row>
    <row r="58" spans="2:18" ht="15.75" customHeight="1" x14ac:dyDescent="0.15">
      <c r="B58" s="53" t="s">
        <v>35</v>
      </c>
      <c r="C58" s="263">
        <v>43931</v>
      </c>
      <c r="D58" s="53" t="s">
        <v>115</v>
      </c>
      <c r="E58" s="53" t="s">
        <v>190</v>
      </c>
      <c r="F58" s="147">
        <v>0.375</v>
      </c>
      <c r="G58" s="53" t="s">
        <v>1177</v>
      </c>
      <c r="H58" s="53" t="s">
        <v>1177</v>
      </c>
      <c r="I58" s="53" t="s">
        <v>241</v>
      </c>
      <c r="J58" s="53" t="s">
        <v>242</v>
      </c>
      <c r="K58" s="115">
        <v>3.5</v>
      </c>
      <c r="L58" s="111" t="s">
        <v>1519</v>
      </c>
      <c r="O58" s="116" t="s">
        <v>1519</v>
      </c>
      <c r="Q58" s="23"/>
      <c r="R58" s="23"/>
    </row>
    <row r="59" spans="2:18" ht="15.75" customHeight="1" x14ac:dyDescent="0.15">
      <c r="B59" s="53" t="s">
        <v>35</v>
      </c>
      <c r="C59" s="263">
        <v>43931</v>
      </c>
      <c r="D59" s="53" t="s">
        <v>116</v>
      </c>
      <c r="E59" s="53" t="s">
        <v>34</v>
      </c>
      <c r="F59" s="147">
        <v>7.0000000000000007E-2</v>
      </c>
      <c r="G59" s="53" t="s">
        <v>1177</v>
      </c>
      <c r="H59" s="53" t="s">
        <v>1177</v>
      </c>
      <c r="I59" s="53" t="s">
        <v>223</v>
      </c>
      <c r="J59" s="53" t="s">
        <v>243</v>
      </c>
      <c r="K59" s="115">
        <v>6.5</v>
      </c>
      <c r="L59" s="111" t="s">
        <v>1887</v>
      </c>
      <c r="O59" s="116" t="s">
        <v>1887</v>
      </c>
      <c r="Q59" s="23"/>
      <c r="R59" s="23"/>
    </row>
    <row r="60" spans="2:18" ht="15.75" customHeight="1" x14ac:dyDescent="0.15">
      <c r="B60" s="53" t="s">
        <v>35</v>
      </c>
      <c r="C60" s="263">
        <v>43931</v>
      </c>
      <c r="D60" s="53" t="s">
        <v>117</v>
      </c>
      <c r="E60" s="53" t="s">
        <v>32</v>
      </c>
      <c r="F60" s="147">
        <v>0.375</v>
      </c>
      <c r="G60" s="53" t="s">
        <v>28</v>
      </c>
      <c r="H60" s="53" t="s">
        <v>1177</v>
      </c>
      <c r="I60" s="53" t="s">
        <v>118</v>
      </c>
      <c r="J60" s="53" t="s">
        <v>244</v>
      </c>
      <c r="K60" s="115">
        <v>4.5</v>
      </c>
      <c r="L60" s="111" t="s">
        <v>1510</v>
      </c>
      <c r="O60" s="116" t="s">
        <v>1510</v>
      </c>
      <c r="Q60" s="23"/>
      <c r="R60" s="23"/>
    </row>
    <row r="61" spans="2:18" ht="15.75" customHeight="1" x14ac:dyDescent="0.15">
      <c r="B61" s="53" t="s">
        <v>35</v>
      </c>
      <c r="C61" s="263">
        <v>43931</v>
      </c>
      <c r="D61" s="53" t="s">
        <v>2125</v>
      </c>
      <c r="E61" s="53" t="s">
        <v>27</v>
      </c>
      <c r="F61" s="147">
        <v>0.28000000000000003</v>
      </c>
      <c r="G61" s="53" t="s">
        <v>28</v>
      </c>
      <c r="H61" s="53" t="s">
        <v>1177</v>
      </c>
      <c r="I61" s="53" t="s">
        <v>16</v>
      </c>
      <c r="J61" s="53" t="s">
        <v>245</v>
      </c>
      <c r="K61" s="115">
        <v>4</v>
      </c>
      <c r="L61" s="111" t="s">
        <v>2701</v>
      </c>
      <c r="O61" s="116" t="s">
        <v>1520</v>
      </c>
      <c r="Q61" s="23"/>
      <c r="R61" s="23"/>
    </row>
    <row r="62" spans="2:18" ht="15.75" customHeight="1" x14ac:dyDescent="0.15">
      <c r="B62" s="53" t="s">
        <v>35</v>
      </c>
      <c r="C62" s="263">
        <v>43931</v>
      </c>
      <c r="D62" s="53" t="s">
        <v>120</v>
      </c>
      <c r="E62" s="53" t="s">
        <v>48</v>
      </c>
      <c r="F62" s="147">
        <v>0.38</v>
      </c>
      <c r="G62" s="53" t="s">
        <v>28</v>
      </c>
      <c r="H62" s="53" t="s">
        <v>1177</v>
      </c>
      <c r="I62" s="53" t="s">
        <v>198</v>
      </c>
      <c r="J62" s="53" t="s">
        <v>246</v>
      </c>
      <c r="K62" s="115">
        <v>5.5</v>
      </c>
      <c r="L62" s="111" t="s">
        <v>1521</v>
      </c>
      <c r="O62" s="116" t="s">
        <v>1522</v>
      </c>
      <c r="Q62" s="23"/>
      <c r="R62" s="23"/>
    </row>
    <row r="63" spans="2:18" ht="15.75" customHeight="1" x14ac:dyDescent="0.15">
      <c r="B63" s="53" t="s">
        <v>38</v>
      </c>
      <c r="C63" s="263">
        <v>43917</v>
      </c>
      <c r="D63" s="53" t="s">
        <v>2850</v>
      </c>
      <c r="E63" s="53" t="s">
        <v>36</v>
      </c>
      <c r="F63" s="147">
        <v>0.35</v>
      </c>
      <c r="G63" s="53" t="s">
        <v>121</v>
      </c>
      <c r="H63" s="53" t="s">
        <v>1177</v>
      </c>
      <c r="I63" s="53" t="s">
        <v>247</v>
      </c>
      <c r="J63" s="53" t="s">
        <v>248</v>
      </c>
      <c r="K63" s="115">
        <v>7</v>
      </c>
      <c r="L63" s="111" t="s">
        <v>1523</v>
      </c>
      <c r="O63" s="116" t="s">
        <v>1523</v>
      </c>
      <c r="Q63" s="23"/>
      <c r="R63" s="23"/>
    </row>
    <row r="64" spans="2:18" ht="15.75" customHeight="1" x14ac:dyDescent="0.15">
      <c r="B64" s="53" t="s">
        <v>38</v>
      </c>
      <c r="C64" s="263">
        <v>43917</v>
      </c>
      <c r="D64" s="53" t="s">
        <v>122</v>
      </c>
      <c r="E64" s="53" t="s">
        <v>65</v>
      </c>
      <c r="F64" s="147">
        <v>0.15</v>
      </c>
      <c r="G64" s="53" t="s">
        <v>121</v>
      </c>
      <c r="H64" s="53" t="s">
        <v>1177</v>
      </c>
      <c r="I64" s="53" t="s">
        <v>249</v>
      </c>
      <c r="J64" s="53" t="s">
        <v>250</v>
      </c>
      <c r="K64" s="115">
        <v>3</v>
      </c>
      <c r="L64" s="111" t="s">
        <v>1524</v>
      </c>
      <c r="O64" s="116" t="s">
        <v>1524</v>
      </c>
      <c r="Q64" s="23"/>
      <c r="R64" s="23"/>
    </row>
    <row r="65" spans="2:18" ht="15.75" customHeight="1" x14ac:dyDescent="0.15">
      <c r="B65" s="53" t="s">
        <v>38</v>
      </c>
      <c r="C65" s="263">
        <v>43917</v>
      </c>
      <c r="D65" s="53" t="s">
        <v>123</v>
      </c>
      <c r="E65" s="53" t="s">
        <v>27</v>
      </c>
      <c r="F65" s="147">
        <v>0.35</v>
      </c>
      <c r="G65" s="53" t="s">
        <v>121</v>
      </c>
      <c r="H65" s="53" t="s">
        <v>1177</v>
      </c>
      <c r="I65" s="53" t="s">
        <v>194</v>
      </c>
      <c r="J65" s="53" t="s">
        <v>15</v>
      </c>
      <c r="K65" s="115">
        <v>6</v>
      </c>
      <c r="L65" s="111" t="s">
        <v>123</v>
      </c>
      <c r="O65" s="116" t="s">
        <v>1525</v>
      </c>
      <c r="Q65" s="23"/>
      <c r="R65" s="23"/>
    </row>
    <row r="66" spans="2:18" ht="15.75" customHeight="1" x14ac:dyDescent="0.15">
      <c r="B66" s="53" t="s">
        <v>38</v>
      </c>
      <c r="C66" s="263">
        <v>43924</v>
      </c>
      <c r="D66" s="53" t="s">
        <v>124</v>
      </c>
      <c r="E66" s="53" t="s">
        <v>6</v>
      </c>
      <c r="F66" s="147">
        <v>0.05</v>
      </c>
      <c r="G66" s="53" t="s">
        <v>1177</v>
      </c>
      <c r="H66" s="53" t="s">
        <v>1177</v>
      </c>
      <c r="I66" s="53" t="s">
        <v>246</v>
      </c>
      <c r="J66" s="53" t="s">
        <v>251</v>
      </c>
      <c r="K66" s="115">
        <v>4</v>
      </c>
      <c r="L66" s="111" t="s">
        <v>1526</v>
      </c>
      <c r="O66" s="116" t="s">
        <v>1533</v>
      </c>
      <c r="Q66" s="23"/>
      <c r="R66" s="23"/>
    </row>
    <row r="67" spans="2:18" ht="15.75" customHeight="1" x14ac:dyDescent="0.15">
      <c r="B67" s="53" t="s">
        <v>38</v>
      </c>
      <c r="C67" s="263">
        <v>43924</v>
      </c>
      <c r="D67" s="53" t="s">
        <v>1527</v>
      </c>
      <c r="E67" s="53" t="s">
        <v>190</v>
      </c>
      <c r="F67" s="147">
        <v>0.219</v>
      </c>
      <c r="G67" s="53" t="s">
        <v>1177</v>
      </c>
      <c r="H67" s="53" t="s">
        <v>1177</v>
      </c>
      <c r="I67" s="53" t="s">
        <v>252</v>
      </c>
      <c r="J67" s="53" t="s">
        <v>2338</v>
      </c>
      <c r="K67" s="115">
        <v>2</v>
      </c>
      <c r="L67" s="111" t="s">
        <v>1528</v>
      </c>
      <c r="O67" s="116" t="s">
        <v>1447</v>
      </c>
      <c r="Q67" s="23"/>
      <c r="R67" s="23"/>
    </row>
    <row r="68" spans="2:18" ht="15.75" customHeight="1" x14ac:dyDescent="0.15">
      <c r="B68" s="53" t="s">
        <v>38</v>
      </c>
      <c r="C68" s="263">
        <v>43931</v>
      </c>
      <c r="D68" s="53" t="s">
        <v>125</v>
      </c>
      <c r="E68" s="53" t="s">
        <v>6</v>
      </c>
      <c r="F68" s="147">
        <v>0.04</v>
      </c>
      <c r="G68" s="53" t="s">
        <v>1177</v>
      </c>
      <c r="H68" s="53" t="s">
        <v>1177</v>
      </c>
      <c r="I68" s="53" t="s">
        <v>25</v>
      </c>
      <c r="J68" s="53" t="s">
        <v>126</v>
      </c>
      <c r="K68" s="115">
        <v>6</v>
      </c>
      <c r="L68" s="111" t="s">
        <v>1529</v>
      </c>
      <c r="O68" s="116" t="s">
        <v>1529</v>
      </c>
      <c r="Q68" s="23"/>
      <c r="R68" s="23"/>
    </row>
    <row r="69" spans="2:18" ht="15.75" customHeight="1" x14ac:dyDescent="0.15">
      <c r="B69" s="53" t="s">
        <v>38</v>
      </c>
      <c r="C69" s="263">
        <v>43931</v>
      </c>
      <c r="D69" s="53" t="s">
        <v>127</v>
      </c>
      <c r="E69" s="53" t="s">
        <v>6</v>
      </c>
      <c r="F69" s="147">
        <v>4.4999999999999998E-2</v>
      </c>
      <c r="G69" s="53" t="s">
        <v>1177</v>
      </c>
      <c r="H69" s="53" t="s">
        <v>1177</v>
      </c>
      <c r="I69" s="53" t="s">
        <v>253</v>
      </c>
      <c r="J69" s="53" t="s">
        <v>254</v>
      </c>
      <c r="K69" s="115">
        <v>7.5</v>
      </c>
      <c r="L69" s="111" t="s">
        <v>1530</v>
      </c>
      <c r="O69" s="116" t="s">
        <v>1530</v>
      </c>
      <c r="Q69" s="23"/>
      <c r="R69" s="23"/>
    </row>
    <row r="70" spans="2:18" ht="15.75" customHeight="1" x14ac:dyDescent="0.15">
      <c r="B70" s="53" t="s">
        <v>38</v>
      </c>
      <c r="C70" s="263">
        <v>43931</v>
      </c>
      <c r="D70" s="53" t="s">
        <v>2770</v>
      </c>
      <c r="E70" s="53" t="s">
        <v>6</v>
      </c>
      <c r="F70" s="147">
        <v>0.04</v>
      </c>
      <c r="G70" s="53" t="s">
        <v>1177</v>
      </c>
      <c r="H70" s="53" t="s">
        <v>1177</v>
      </c>
      <c r="I70" s="53" t="s">
        <v>331</v>
      </c>
      <c r="J70" s="53" t="s">
        <v>153</v>
      </c>
      <c r="K70" s="115">
        <v>8</v>
      </c>
      <c r="L70" s="111" t="s">
        <v>1515</v>
      </c>
      <c r="O70" s="116" t="s">
        <v>1515</v>
      </c>
      <c r="Q70" s="23"/>
      <c r="R70" s="23"/>
    </row>
    <row r="71" spans="2:18" ht="15.75" customHeight="1" x14ac:dyDescent="0.15">
      <c r="B71" s="53" t="s">
        <v>38</v>
      </c>
      <c r="C71" s="263">
        <v>43931</v>
      </c>
      <c r="D71" s="53" t="s">
        <v>2850</v>
      </c>
      <c r="E71" s="53" t="s">
        <v>36</v>
      </c>
      <c r="F71" s="147">
        <v>0.35</v>
      </c>
      <c r="G71" s="53" t="s">
        <v>128</v>
      </c>
      <c r="H71" s="53" t="s">
        <v>1177</v>
      </c>
      <c r="I71" s="53" t="s">
        <v>86</v>
      </c>
      <c r="J71" s="53" t="s">
        <v>3051</v>
      </c>
      <c r="K71" s="115">
        <v>7</v>
      </c>
      <c r="L71" s="111" t="s">
        <v>1523</v>
      </c>
      <c r="O71" s="116" t="s">
        <v>1523</v>
      </c>
      <c r="Q71" s="23"/>
      <c r="R71" s="23"/>
    </row>
    <row r="72" spans="2:18" ht="15.75" customHeight="1" x14ac:dyDescent="0.15">
      <c r="B72" s="53" t="s">
        <v>38</v>
      </c>
      <c r="C72" s="263">
        <v>43931</v>
      </c>
      <c r="D72" s="53" t="s">
        <v>129</v>
      </c>
      <c r="E72" s="53" t="s">
        <v>54</v>
      </c>
      <c r="F72" s="147">
        <v>0.19500000000000001</v>
      </c>
      <c r="G72" s="53" t="s">
        <v>1177</v>
      </c>
      <c r="H72" s="53" t="s">
        <v>1177</v>
      </c>
      <c r="I72" s="53" t="s">
        <v>255</v>
      </c>
      <c r="J72" s="53" t="s">
        <v>256</v>
      </c>
      <c r="K72" s="115">
        <v>3.5</v>
      </c>
      <c r="L72" s="111" t="s">
        <v>1531</v>
      </c>
      <c r="O72" s="116" t="s">
        <v>1531</v>
      </c>
      <c r="Q72" s="23"/>
      <c r="R72" s="23"/>
    </row>
    <row r="73" spans="2:18" ht="15.75" customHeight="1" x14ac:dyDescent="0.15">
      <c r="B73" s="53" t="s">
        <v>41</v>
      </c>
      <c r="C73" s="263">
        <v>43917</v>
      </c>
      <c r="D73" s="53" t="s">
        <v>130</v>
      </c>
      <c r="E73" s="53" t="s">
        <v>90</v>
      </c>
      <c r="F73" s="147">
        <v>0</v>
      </c>
      <c r="G73" s="53" t="s">
        <v>1177</v>
      </c>
      <c r="H73" s="53" t="s">
        <v>1177</v>
      </c>
      <c r="I73" s="53" t="s">
        <v>131</v>
      </c>
      <c r="J73" s="53" t="s">
        <v>132</v>
      </c>
      <c r="K73" s="115">
        <v>8</v>
      </c>
      <c r="L73" s="111" t="s">
        <v>1510</v>
      </c>
      <c r="O73" s="116" t="s">
        <v>1510</v>
      </c>
      <c r="Q73" s="23"/>
      <c r="R73" s="23"/>
    </row>
    <row r="74" spans="2:18" ht="15.75" customHeight="1" x14ac:dyDescent="0.15">
      <c r="B74" s="53" t="s">
        <v>41</v>
      </c>
      <c r="C74" s="263">
        <v>43917</v>
      </c>
      <c r="D74" s="53" t="s">
        <v>133</v>
      </c>
      <c r="E74" s="53" t="s">
        <v>27</v>
      </c>
      <c r="F74" s="147">
        <v>0.3</v>
      </c>
      <c r="G74" s="53" t="s">
        <v>1177</v>
      </c>
      <c r="H74" s="53" t="s">
        <v>1177</v>
      </c>
      <c r="I74" s="53" t="s">
        <v>16</v>
      </c>
      <c r="J74" s="53" t="s">
        <v>257</v>
      </c>
      <c r="K74" s="115">
        <v>9.5</v>
      </c>
      <c r="L74" s="111" t="s">
        <v>1786</v>
      </c>
      <c r="O74" s="116" t="s">
        <v>1532</v>
      </c>
      <c r="Q74" s="23"/>
      <c r="R74" s="23"/>
    </row>
    <row r="75" spans="2:18" ht="15.75" customHeight="1" x14ac:dyDescent="0.15">
      <c r="B75" s="53" t="s">
        <v>41</v>
      </c>
      <c r="C75" s="263">
        <v>43924</v>
      </c>
      <c r="D75" s="53" t="s">
        <v>134</v>
      </c>
      <c r="E75" s="53" t="s">
        <v>90</v>
      </c>
      <c r="F75" s="147">
        <v>0</v>
      </c>
      <c r="G75" s="53" t="s">
        <v>1177</v>
      </c>
      <c r="H75" s="53" t="s">
        <v>1177</v>
      </c>
      <c r="I75" s="53" t="s">
        <v>258</v>
      </c>
      <c r="J75" s="53" t="s">
        <v>135</v>
      </c>
      <c r="K75" s="115">
        <v>8</v>
      </c>
      <c r="L75" s="111" t="s">
        <v>1510</v>
      </c>
      <c r="O75" s="116" t="s">
        <v>1510</v>
      </c>
      <c r="Q75" s="23"/>
      <c r="R75" s="23"/>
    </row>
    <row r="76" spans="2:18" ht="15.75" customHeight="1" x14ac:dyDescent="0.15">
      <c r="B76" s="53" t="s">
        <v>41</v>
      </c>
      <c r="C76" s="263">
        <v>43931</v>
      </c>
      <c r="D76" s="53" t="s">
        <v>1772</v>
      </c>
      <c r="E76" s="53" t="s">
        <v>34</v>
      </c>
      <c r="F76" s="147">
        <v>0.04</v>
      </c>
      <c r="G76" s="53" t="s">
        <v>1177</v>
      </c>
      <c r="H76" s="53" t="s">
        <v>1177</v>
      </c>
      <c r="I76" s="53" t="s">
        <v>259</v>
      </c>
      <c r="J76" s="53" t="s">
        <v>260</v>
      </c>
      <c r="K76" s="115">
        <v>4</v>
      </c>
      <c r="L76" s="111" t="s">
        <v>1534</v>
      </c>
      <c r="O76" s="116" t="s">
        <v>1533</v>
      </c>
      <c r="Q76" s="23"/>
      <c r="R76" s="23"/>
    </row>
    <row r="77" spans="2:18" ht="15.75" customHeight="1" x14ac:dyDescent="0.15">
      <c r="B77" s="53" t="s">
        <v>41</v>
      </c>
      <c r="C77" s="263">
        <v>43931</v>
      </c>
      <c r="D77" s="53" t="s">
        <v>2069</v>
      </c>
      <c r="E77" s="53" t="s">
        <v>6</v>
      </c>
      <c r="F77" s="147">
        <v>0.04</v>
      </c>
      <c r="G77" s="53" t="s">
        <v>1177</v>
      </c>
      <c r="H77" s="53" t="s">
        <v>1177</v>
      </c>
      <c r="I77" s="53" t="s">
        <v>25</v>
      </c>
      <c r="J77" s="53" t="s">
        <v>261</v>
      </c>
      <c r="K77" s="115">
        <v>2</v>
      </c>
      <c r="L77" s="111" t="s">
        <v>1515</v>
      </c>
      <c r="O77" s="116" t="s">
        <v>1515</v>
      </c>
      <c r="Q77" s="23"/>
      <c r="R77" s="23"/>
    </row>
    <row r="78" spans="2:18" ht="15.75" customHeight="1" x14ac:dyDescent="0.15">
      <c r="B78" s="53" t="s">
        <v>41</v>
      </c>
      <c r="C78" s="263">
        <v>43931</v>
      </c>
      <c r="D78" s="53" t="s">
        <v>1758</v>
      </c>
      <c r="E78" s="53" t="s">
        <v>6</v>
      </c>
      <c r="F78" s="147">
        <v>7.1999999999999995E-2</v>
      </c>
      <c r="G78" s="53" t="s">
        <v>1177</v>
      </c>
      <c r="H78" s="53" t="s">
        <v>1177</v>
      </c>
      <c r="I78" s="53" t="s">
        <v>2321</v>
      </c>
      <c r="J78" s="53" t="s">
        <v>262</v>
      </c>
      <c r="K78" s="115">
        <v>5</v>
      </c>
      <c r="L78" s="111" t="s">
        <v>1517</v>
      </c>
      <c r="O78" s="116" t="s">
        <v>1517</v>
      </c>
      <c r="Q78" s="23"/>
      <c r="R78" s="23"/>
    </row>
    <row r="79" spans="2:18" ht="15.75" customHeight="1" x14ac:dyDescent="0.15">
      <c r="B79" s="53" t="s">
        <v>41</v>
      </c>
      <c r="C79" s="263">
        <v>43931</v>
      </c>
      <c r="D79" s="53" t="s">
        <v>136</v>
      </c>
      <c r="E79" s="53" t="s">
        <v>6</v>
      </c>
      <c r="F79" s="147">
        <v>4.4999999999999998E-2</v>
      </c>
      <c r="G79" s="53" t="s">
        <v>1177</v>
      </c>
      <c r="H79" s="53" t="s">
        <v>1177</v>
      </c>
      <c r="I79" s="53" t="s">
        <v>15</v>
      </c>
      <c r="J79" s="53" t="s">
        <v>25</v>
      </c>
      <c r="K79" s="115">
        <v>6.5</v>
      </c>
      <c r="L79" s="111" t="s">
        <v>2698</v>
      </c>
      <c r="O79" s="116" t="s">
        <v>1461</v>
      </c>
      <c r="Q79" s="23"/>
      <c r="R79" s="23"/>
    </row>
    <row r="80" spans="2:18" ht="15.75" customHeight="1" x14ac:dyDescent="0.15">
      <c r="B80" s="53" t="s">
        <v>41</v>
      </c>
      <c r="C80" s="263">
        <v>43931</v>
      </c>
      <c r="D80" s="53" t="s">
        <v>137</v>
      </c>
      <c r="E80" s="53" t="s">
        <v>12</v>
      </c>
      <c r="F80" s="147">
        <v>0.25</v>
      </c>
      <c r="G80" s="53" t="s">
        <v>1177</v>
      </c>
      <c r="H80" s="53" t="s">
        <v>1177</v>
      </c>
      <c r="I80" s="53" t="s">
        <v>15</v>
      </c>
      <c r="J80" s="53" t="s">
        <v>203</v>
      </c>
      <c r="K80" s="115">
        <v>8</v>
      </c>
      <c r="L80" s="111" t="s">
        <v>1893</v>
      </c>
      <c r="O80" s="116" t="s">
        <v>1893</v>
      </c>
      <c r="Q80" s="23"/>
      <c r="R80" s="23"/>
    </row>
    <row r="81" spans="2:18" ht="15.75" customHeight="1" x14ac:dyDescent="0.15">
      <c r="B81" s="53" t="s">
        <v>45</v>
      </c>
      <c r="C81" s="263">
        <v>43924</v>
      </c>
      <c r="D81" s="53" t="s">
        <v>138</v>
      </c>
      <c r="E81" s="53" t="s">
        <v>6</v>
      </c>
      <c r="F81" s="147">
        <v>5.6000000000000001E-2</v>
      </c>
      <c r="G81" s="53" t="s">
        <v>1177</v>
      </c>
      <c r="H81" s="53" t="s">
        <v>1177</v>
      </c>
      <c r="I81" s="53" t="s">
        <v>263</v>
      </c>
      <c r="J81" s="53" t="s">
        <v>264</v>
      </c>
      <c r="K81" s="115">
        <v>6</v>
      </c>
      <c r="L81" s="111" t="s">
        <v>1535</v>
      </c>
      <c r="O81" s="116" t="s">
        <v>1535</v>
      </c>
      <c r="Q81" s="23"/>
      <c r="R81" s="23"/>
    </row>
    <row r="82" spans="2:18" ht="15.75" customHeight="1" x14ac:dyDescent="0.15">
      <c r="B82" s="53" t="s">
        <v>45</v>
      </c>
      <c r="C82" s="263">
        <v>43924</v>
      </c>
      <c r="D82" s="53" t="s">
        <v>1631</v>
      </c>
      <c r="E82" s="53" t="s">
        <v>65</v>
      </c>
      <c r="F82" s="147">
        <v>0.375</v>
      </c>
      <c r="G82" s="53" t="s">
        <v>1177</v>
      </c>
      <c r="H82" s="53" t="s">
        <v>1177</v>
      </c>
      <c r="I82" s="53" t="s">
        <v>265</v>
      </c>
      <c r="J82" s="53" t="s">
        <v>192</v>
      </c>
      <c r="K82" s="115">
        <v>8.5</v>
      </c>
      <c r="L82" s="111" t="s">
        <v>1536</v>
      </c>
      <c r="O82" s="116" t="s">
        <v>1537</v>
      </c>
      <c r="Q82" s="23"/>
      <c r="R82" s="23"/>
    </row>
    <row r="83" spans="2:18" ht="15.75" customHeight="1" x14ac:dyDescent="0.15">
      <c r="B83" s="53" t="s">
        <v>45</v>
      </c>
      <c r="C83" s="263">
        <v>43924</v>
      </c>
      <c r="D83" s="53" t="s">
        <v>1538</v>
      </c>
      <c r="E83" s="53" t="s">
        <v>6</v>
      </c>
      <c r="F83" s="147">
        <v>0.04</v>
      </c>
      <c r="G83" s="53" t="s">
        <v>1177</v>
      </c>
      <c r="H83" s="53" t="s">
        <v>1177</v>
      </c>
      <c r="I83" s="53" t="s">
        <v>132</v>
      </c>
      <c r="J83" s="53" t="s">
        <v>146</v>
      </c>
      <c r="K83" s="115">
        <v>7</v>
      </c>
      <c r="L83" s="111" t="s">
        <v>764</v>
      </c>
      <c r="O83" s="116" t="s">
        <v>1539</v>
      </c>
      <c r="Q83" s="23"/>
      <c r="R83" s="23"/>
    </row>
    <row r="84" spans="2:18" ht="15.75" customHeight="1" x14ac:dyDescent="0.15">
      <c r="B84" s="53" t="s">
        <v>45</v>
      </c>
      <c r="C84" s="263">
        <v>43924</v>
      </c>
      <c r="D84" s="53" t="s">
        <v>1540</v>
      </c>
      <c r="E84" s="53" t="s">
        <v>6</v>
      </c>
      <c r="F84" s="147">
        <v>4.2000000000000003E-2</v>
      </c>
      <c r="G84" s="53" t="s">
        <v>1177</v>
      </c>
      <c r="H84" s="53" t="s">
        <v>1177</v>
      </c>
      <c r="I84" s="53" t="s">
        <v>266</v>
      </c>
      <c r="J84" s="53" t="s">
        <v>3486</v>
      </c>
      <c r="K84" s="115">
        <v>6</v>
      </c>
      <c r="L84" s="111" t="s">
        <v>1541</v>
      </c>
      <c r="O84" s="111" t="s">
        <v>1541</v>
      </c>
      <c r="Q84" s="23"/>
      <c r="R84" s="23"/>
    </row>
    <row r="85" spans="2:18" ht="15.75" customHeight="1" x14ac:dyDescent="0.15">
      <c r="B85" s="53" t="s">
        <v>45</v>
      </c>
      <c r="C85" s="263">
        <v>43924</v>
      </c>
      <c r="D85" s="53" t="s">
        <v>1630</v>
      </c>
      <c r="E85" s="53" t="s">
        <v>65</v>
      </c>
      <c r="F85" s="147">
        <v>0.375</v>
      </c>
      <c r="G85" s="53" t="s">
        <v>28</v>
      </c>
      <c r="H85" s="53" t="s">
        <v>1177</v>
      </c>
      <c r="I85" s="53" t="s">
        <v>139</v>
      </c>
      <c r="J85" s="53" t="s">
        <v>238</v>
      </c>
      <c r="K85" s="115">
        <v>8.5</v>
      </c>
      <c r="L85" s="111" t="s">
        <v>1536</v>
      </c>
      <c r="O85" s="116" t="s">
        <v>1537</v>
      </c>
      <c r="Q85" s="23"/>
      <c r="R85" s="23"/>
    </row>
    <row r="86" spans="2:18" ht="15.75" customHeight="1" x14ac:dyDescent="0.15">
      <c r="B86" s="53" t="s">
        <v>45</v>
      </c>
      <c r="C86" s="263">
        <v>43931</v>
      </c>
      <c r="D86" s="53" t="s">
        <v>1409</v>
      </c>
      <c r="E86" s="53" t="s">
        <v>6</v>
      </c>
      <c r="F86" s="147">
        <v>5.8999999999999997E-2</v>
      </c>
      <c r="G86" s="53" t="s">
        <v>1177</v>
      </c>
      <c r="H86" s="53" t="s">
        <v>1177</v>
      </c>
      <c r="I86" s="53" t="s">
        <v>267</v>
      </c>
      <c r="J86" s="53" t="s">
        <v>268</v>
      </c>
      <c r="K86" s="115">
        <v>7</v>
      </c>
      <c r="L86" s="111" t="s">
        <v>1542</v>
      </c>
      <c r="O86" s="111" t="s">
        <v>1542</v>
      </c>
      <c r="Q86" s="23"/>
      <c r="R86" s="23"/>
    </row>
    <row r="87" spans="2:18" ht="15.75" customHeight="1" x14ac:dyDescent="0.15">
      <c r="B87" s="53" t="s">
        <v>45</v>
      </c>
      <c r="C87" s="263">
        <v>43931</v>
      </c>
      <c r="D87" s="53" t="s">
        <v>2659</v>
      </c>
      <c r="E87" s="53" t="s">
        <v>6</v>
      </c>
      <c r="F87" s="147">
        <v>8.3000000000000004E-2</v>
      </c>
      <c r="G87" s="53" t="s">
        <v>1177</v>
      </c>
      <c r="H87" s="53" t="s">
        <v>1177</v>
      </c>
      <c r="I87" s="53" t="s">
        <v>222</v>
      </c>
      <c r="J87" s="53" t="s">
        <v>269</v>
      </c>
      <c r="K87" s="115">
        <v>9</v>
      </c>
      <c r="L87" s="111" t="s">
        <v>1542</v>
      </c>
      <c r="O87" s="111" t="s">
        <v>1542</v>
      </c>
      <c r="Q87" s="23"/>
      <c r="R87" s="23"/>
    </row>
    <row r="88" spans="2:18" ht="15.75" customHeight="1" x14ac:dyDescent="0.15">
      <c r="B88" s="53" t="s">
        <v>45</v>
      </c>
      <c r="C88" s="263">
        <v>43931</v>
      </c>
      <c r="D88" s="53" t="s">
        <v>1543</v>
      </c>
      <c r="E88" s="53" t="s">
        <v>6</v>
      </c>
      <c r="F88" s="147">
        <v>0.06</v>
      </c>
      <c r="G88" s="53" t="s">
        <v>1177</v>
      </c>
      <c r="H88" s="53" t="s">
        <v>1177</v>
      </c>
      <c r="I88" s="53" t="s">
        <v>270</v>
      </c>
      <c r="J88" s="53" t="s">
        <v>271</v>
      </c>
      <c r="K88" s="115">
        <v>7.5</v>
      </c>
      <c r="L88" s="111" t="s">
        <v>764</v>
      </c>
      <c r="O88" s="116" t="s">
        <v>1539</v>
      </c>
      <c r="Q88" s="23"/>
      <c r="R88" s="23"/>
    </row>
    <row r="89" spans="2:18" ht="15.75" customHeight="1" x14ac:dyDescent="0.15">
      <c r="B89" s="53" t="s">
        <v>45</v>
      </c>
      <c r="C89" s="263">
        <v>43931</v>
      </c>
      <c r="D89" s="53" t="s">
        <v>3686</v>
      </c>
      <c r="E89" s="53" t="s">
        <v>6</v>
      </c>
      <c r="F89" s="147">
        <v>4.4999999999999998E-2</v>
      </c>
      <c r="G89" s="53" t="s">
        <v>1177</v>
      </c>
      <c r="H89" s="53" t="s">
        <v>1177</v>
      </c>
      <c r="I89" s="53" t="s">
        <v>272</v>
      </c>
      <c r="J89" s="53" t="s">
        <v>273</v>
      </c>
      <c r="K89" s="115">
        <v>8</v>
      </c>
      <c r="L89" s="111" t="s">
        <v>1544</v>
      </c>
      <c r="O89" s="111" t="s">
        <v>1544</v>
      </c>
      <c r="Q89" s="23"/>
      <c r="R89" s="23"/>
    </row>
    <row r="90" spans="2:18" ht="15.75" customHeight="1" x14ac:dyDescent="0.15">
      <c r="B90" s="53" t="s">
        <v>45</v>
      </c>
      <c r="C90" s="263">
        <v>43931</v>
      </c>
      <c r="D90" s="53" t="s">
        <v>141</v>
      </c>
      <c r="E90" s="53" t="s">
        <v>65</v>
      </c>
      <c r="F90" s="147">
        <v>0.497</v>
      </c>
      <c r="G90" s="53" t="s">
        <v>1177</v>
      </c>
      <c r="H90" s="53" t="s">
        <v>1177</v>
      </c>
      <c r="I90" s="53" t="s">
        <v>274</v>
      </c>
      <c r="J90" s="53" t="s">
        <v>275</v>
      </c>
      <c r="K90" s="115">
        <v>5</v>
      </c>
      <c r="L90" s="111" t="s">
        <v>1545</v>
      </c>
      <c r="O90" s="116" t="s">
        <v>1545</v>
      </c>
      <c r="Q90" s="23"/>
      <c r="R90" s="23"/>
    </row>
    <row r="91" spans="2:18" ht="15.75" customHeight="1" x14ac:dyDescent="0.15">
      <c r="B91" s="53" t="s">
        <v>45</v>
      </c>
      <c r="C91" s="263">
        <v>43931</v>
      </c>
      <c r="D91" s="53" t="s">
        <v>142</v>
      </c>
      <c r="E91" s="53" t="s">
        <v>32</v>
      </c>
      <c r="F91" s="147">
        <v>0.4</v>
      </c>
      <c r="G91" s="53" t="s">
        <v>374</v>
      </c>
      <c r="H91" s="53" t="s">
        <v>1177</v>
      </c>
      <c r="I91" s="53" t="s">
        <v>276</v>
      </c>
      <c r="J91" s="53" t="s">
        <v>277</v>
      </c>
      <c r="K91" s="115">
        <v>2</v>
      </c>
      <c r="L91" s="111" t="s">
        <v>1546</v>
      </c>
      <c r="O91" s="116" t="s">
        <v>1594</v>
      </c>
      <c r="Q91" s="23"/>
      <c r="R91" s="23"/>
    </row>
    <row r="92" spans="2:18" ht="15.75" customHeight="1" x14ac:dyDescent="0.15">
      <c r="B92" s="53" t="s">
        <v>45</v>
      </c>
      <c r="C92" s="263">
        <v>43931</v>
      </c>
      <c r="D92" s="53" t="s">
        <v>1630</v>
      </c>
      <c r="E92" s="53" t="s">
        <v>65</v>
      </c>
      <c r="F92" s="147">
        <v>0.375</v>
      </c>
      <c r="G92" s="53" t="s">
        <v>374</v>
      </c>
      <c r="H92" s="53" t="s">
        <v>1177</v>
      </c>
      <c r="I92" s="53" t="s">
        <v>278</v>
      </c>
      <c r="J92" s="53" t="s">
        <v>279</v>
      </c>
      <c r="K92" s="115">
        <v>6.5</v>
      </c>
      <c r="L92" s="111" t="s">
        <v>1536</v>
      </c>
      <c r="O92" s="116" t="s">
        <v>1537</v>
      </c>
      <c r="Q92" s="23"/>
      <c r="R92" s="23"/>
    </row>
    <row r="93" spans="2:18" ht="15.75" customHeight="1" x14ac:dyDescent="0.15">
      <c r="B93" s="53" t="s">
        <v>45</v>
      </c>
      <c r="C93" s="263">
        <v>43931</v>
      </c>
      <c r="D93" s="53" t="s">
        <v>1631</v>
      </c>
      <c r="E93" s="53" t="s">
        <v>65</v>
      </c>
      <c r="F93" s="147">
        <v>0.375</v>
      </c>
      <c r="G93" s="53" t="s">
        <v>374</v>
      </c>
      <c r="H93" s="53" t="s">
        <v>1177</v>
      </c>
      <c r="I93" s="53" t="s">
        <v>280</v>
      </c>
      <c r="J93" s="53" t="s">
        <v>281</v>
      </c>
      <c r="K93" s="115">
        <v>7</v>
      </c>
      <c r="L93" s="111" t="s">
        <v>1536</v>
      </c>
      <c r="O93" s="116" t="s">
        <v>1537</v>
      </c>
      <c r="Q93" s="23"/>
      <c r="R93" s="23"/>
    </row>
    <row r="94" spans="2:18" ht="15.75" customHeight="1" x14ac:dyDescent="0.15">
      <c r="B94" s="53" t="s">
        <v>50</v>
      </c>
      <c r="C94" s="263">
        <v>43924</v>
      </c>
      <c r="D94" s="53" t="s">
        <v>144</v>
      </c>
      <c r="E94" s="53" t="s">
        <v>12</v>
      </c>
      <c r="F94" s="147">
        <v>0.375</v>
      </c>
      <c r="G94" s="53" t="s">
        <v>374</v>
      </c>
      <c r="H94" s="53" t="s">
        <v>1177</v>
      </c>
      <c r="I94" s="53" t="s">
        <v>15</v>
      </c>
      <c r="J94" s="53" t="s">
        <v>282</v>
      </c>
      <c r="K94" s="115">
        <v>9</v>
      </c>
      <c r="L94" s="111" t="s">
        <v>767</v>
      </c>
      <c r="O94" s="116" t="s">
        <v>1516</v>
      </c>
      <c r="P94" s="23" t="s">
        <v>3248</v>
      </c>
      <c r="Q94" s="23"/>
      <c r="R94" s="23"/>
    </row>
    <row r="95" spans="2:18" ht="15.75" customHeight="1" x14ac:dyDescent="0.15">
      <c r="B95" s="53" t="s">
        <v>50</v>
      </c>
      <c r="C95" s="263">
        <v>43924</v>
      </c>
      <c r="D95" s="53" t="s">
        <v>1631</v>
      </c>
      <c r="E95" s="53" t="s">
        <v>65</v>
      </c>
      <c r="F95" s="147">
        <v>0.375</v>
      </c>
      <c r="G95" s="53" t="s">
        <v>1177</v>
      </c>
      <c r="H95" s="53" t="s">
        <v>1177</v>
      </c>
      <c r="I95" s="53" t="s">
        <v>33</v>
      </c>
      <c r="J95" s="53" t="s">
        <v>283</v>
      </c>
      <c r="K95" s="115">
        <v>7.5</v>
      </c>
      <c r="L95" s="111" t="s">
        <v>1536</v>
      </c>
      <c r="O95" s="116" t="s">
        <v>1537</v>
      </c>
      <c r="Q95" s="23"/>
      <c r="R95" s="23"/>
    </row>
    <row r="96" spans="2:18" ht="15.75" customHeight="1" x14ac:dyDescent="0.15">
      <c r="B96" s="53" t="s">
        <v>50</v>
      </c>
      <c r="C96" s="263">
        <v>43931</v>
      </c>
      <c r="D96" s="53" t="s">
        <v>1543</v>
      </c>
      <c r="E96" s="53" t="s">
        <v>6</v>
      </c>
      <c r="F96" s="147">
        <v>0.06</v>
      </c>
      <c r="G96" s="53" t="s">
        <v>1177</v>
      </c>
      <c r="H96" s="53" t="s">
        <v>1177</v>
      </c>
      <c r="I96" s="53" t="s">
        <v>146</v>
      </c>
      <c r="J96" s="53" t="s">
        <v>147</v>
      </c>
      <c r="K96" s="115">
        <v>3</v>
      </c>
      <c r="L96" s="111" t="s">
        <v>764</v>
      </c>
      <c r="O96" s="116" t="s">
        <v>1539</v>
      </c>
      <c r="Q96" s="23"/>
      <c r="R96" s="23"/>
    </row>
    <row r="97" spans="2:18" ht="15.75" customHeight="1" x14ac:dyDescent="0.15">
      <c r="B97" s="53" t="s">
        <v>189</v>
      </c>
      <c r="C97" s="263">
        <v>43924</v>
      </c>
      <c r="D97" s="53" t="s">
        <v>148</v>
      </c>
      <c r="E97" s="53" t="s">
        <v>42</v>
      </c>
      <c r="F97" s="147">
        <v>0.13500000000000001</v>
      </c>
      <c r="G97" s="53" t="s">
        <v>1177</v>
      </c>
      <c r="H97" s="53" t="s">
        <v>1177</v>
      </c>
      <c r="I97" s="53" t="s">
        <v>132</v>
      </c>
      <c r="J97" s="53" t="s">
        <v>188</v>
      </c>
      <c r="K97" s="115">
        <v>7</v>
      </c>
      <c r="L97" s="111" t="s">
        <v>1547</v>
      </c>
      <c r="O97" s="116" t="s">
        <v>1547</v>
      </c>
      <c r="Q97" s="23"/>
      <c r="R97" s="23"/>
    </row>
    <row r="98" spans="2:18" ht="15.75" customHeight="1" x14ac:dyDescent="0.15">
      <c r="B98" s="53" t="s">
        <v>189</v>
      </c>
      <c r="C98" s="263">
        <v>43924</v>
      </c>
      <c r="D98" s="53" t="s">
        <v>123</v>
      </c>
      <c r="E98" s="53" t="s">
        <v>27</v>
      </c>
      <c r="F98" s="147">
        <v>0.35</v>
      </c>
      <c r="G98" s="53" t="s">
        <v>1177</v>
      </c>
      <c r="H98" s="53" t="s">
        <v>1177</v>
      </c>
      <c r="I98" s="53" t="s">
        <v>222</v>
      </c>
      <c r="J98" s="53" t="s">
        <v>149</v>
      </c>
      <c r="K98" s="115">
        <v>9</v>
      </c>
      <c r="L98" s="111" t="s">
        <v>123</v>
      </c>
      <c r="O98" s="116" t="s">
        <v>1525</v>
      </c>
      <c r="Q98" s="23"/>
      <c r="R98" s="23"/>
    </row>
    <row r="99" spans="2:18" ht="15.75" customHeight="1" x14ac:dyDescent="0.15">
      <c r="B99" s="53" t="s">
        <v>189</v>
      </c>
      <c r="C99" s="263">
        <v>43931</v>
      </c>
      <c r="D99" s="53" t="s">
        <v>1548</v>
      </c>
      <c r="E99" s="53" t="s">
        <v>42</v>
      </c>
      <c r="F99" s="147">
        <v>0.13</v>
      </c>
      <c r="G99" s="53" t="s">
        <v>1177</v>
      </c>
      <c r="H99" s="53" t="s">
        <v>1177</v>
      </c>
      <c r="I99" s="53" t="s">
        <v>194</v>
      </c>
      <c r="J99" s="53" t="s">
        <v>219</v>
      </c>
      <c r="K99" s="115">
        <v>7</v>
      </c>
      <c r="L99" s="111" t="s">
        <v>2702</v>
      </c>
      <c r="O99" s="116" t="s">
        <v>1549</v>
      </c>
      <c r="Q99" s="23"/>
      <c r="R99" s="23"/>
    </row>
    <row r="100" spans="2:18" ht="15.75" customHeight="1" x14ac:dyDescent="0.15">
      <c r="B100" s="53" t="s">
        <v>189</v>
      </c>
      <c r="C100" s="263">
        <v>43931</v>
      </c>
      <c r="D100" s="53" t="s">
        <v>1552</v>
      </c>
      <c r="E100" s="53" t="s">
        <v>42</v>
      </c>
      <c r="F100" s="147">
        <v>0.11</v>
      </c>
      <c r="G100" s="53" t="s">
        <v>1177</v>
      </c>
      <c r="H100" s="53" t="s">
        <v>1177</v>
      </c>
      <c r="I100" s="53" t="s">
        <v>284</v>
      </c>
      <c r="J100" s="53" t="s">
        <v>2321</v>
      </c>
      <c r="K100" s="115">
        <v>4.5</v>
      </c>
      <c r="L100" s="111" t="s">
        <v>1550</v>
      </c>
      <c r="O100" s="116" t="s">
        <v>1551</v>
      </c>
      <c r="Q100" s="23"/>
      <c r="R100" s="23"/>
    </row>
    <row r="101" spans="2:18" ht="15.75" customHeight="1" x14ac:dyDescent="0.15">
      <c r="B101" s="53" t="s">
        <v>189</v>
      </c>
      <c r="C101" s="263">
        <v>43931</v>
      </c>
      <c r="D101" s="53" t="s">
        <v>129</v>
      </c>
      <c r="E101" s="53" t="s">
        <v>54</v>
      </c>
      <c r="F101" s="147">
        <v>0.19500000000000001</v>
      </c>
      <c r="G101" s="53" t="s">
        <v>1177</v>
      </c>
      <c r="H101" s="53" t="s">
        <v>1177</v>
      </c>
      <c r="I101" s="53" t="s">
        <v>285</v>
      </c>
      <c r="J101" s="53" t="s">
        <v>286</v>
      </c>
      <c r="K101" s="115">
        <v>4</v>
      </c>
      <c r="L101" s="111" t="s">
        <v>1531</v>
      </c>
      <c r="O101" s="116" t="s">
        <v>1531</v>
      </c>
      <c r="Q101" s="23"/>
      <c r="R101" s="23"/>
    </row>
    <row r="102" spans="2:18" ht="15.75" customHeight="1" x14ac:dyDescent="0.15">
      <c r="B102" s="53" t="s">
        <v>61</v>
      </c>
      <c r="C102" s="263">
        <v>43931</v>
      </c>
      <c r="D102" s="53" t="s">
        <v>1561</v>
      </c>
      <c r="E102" s="53" t="s">
        <v>6</v>
      </c>
      <c r="F102" s="147">
        <v>0.05</v>
      </c>
      <c r="G102" s="53" t="s">
        <v>1177</v>
      </c>
      <c r="H102" s="53" t="s">
        <v>1177</v>
      </c>
      <c r="I102" s="53" t="s">
        <v>150</v>
      </c>
      <c r="J102" s="53" t="s">
        <v>151</v>
      </c>
      <c r="K102" s="115">
        <v>5</v>
      </c>
      <c r="L102" s="111" t="s">
        <v>1553</v>
      </c>
      <c r="O102" s="116" t="s">
        <v>1553</v>
      </c>
      <c r="Q102" s="23"/>
      <c r="R102" s="23"/>
    </row>
    <row r="103" spans="2:18" ht="15.75" customHeight="1" x14ac:dyDescent="0.15">
      <c r="B103" s="53" t="s">
        <v>61</v>
      </c>
      <c r="C103" s="263">
        <v>43931</v>
      </c>
      <c r="D103" s="53" t="s">
        <v>152</v>
      </c>
      <c r="E103" s="53" t="s">
        <v>6</v>
      </c>
      <c r="F103" s="147">
        <v>4.5999999999999999E-2</v>
      </c>
      <c r="G103" s="53" t="s">
        <v>1177</v>
      </c>
      <c r="H103" s="53" t="s">
        <v>1177</v>
      </c>
      <c r="I103" s="53" t="s">
        <v>153</v>
      </c>
      <c r="J103" s="53" t="s">
        <v>154</v>
      </c>
      <c r="K103" s="115">
        <v>5.5</v>
      </c>
      <c r="L103" s="111" t="s">
        <v>1554</v>
      </c>
      <c r="O103" s="116" t="s">
        <v>1555</v>
      </c>
      <c r="Q103" s="23"/>
      <c r="R103" s="23"/>
    </row>
    <row r="104" spans="2:18" ht="15.75" customHeight="1" x14ac:dyDescent="0.15">
      <c r="B104" s="53" t="s">
        <v>61</v>
      </c>
      <c r="C104" s="263">
        <v>43931</v>
      </c>
      <c r="D104" s="53" t="s">
        <v>1556</v>
      </c>
      <c r="E104" s="53" t="s">
        <v>65</v>
      </c>
      <c r="F104" s="147">
        <v>0.4</v>
      </c>
      <c r="G104" s="53" t="s">
        <v>28</v>
      </c>
      <c r="H104" s="53" t="s">
        <v>1177</v>
      </c>
      <c r="I104" s="53" t="s">
        <v>287</v>
      </c>
      <c r="J104" s="53" t="s">
        <v>288</v>
      </c>
      <c r="K104" s="115">
        <v>5.5</v>
      </c>
      <c r="L104" s="111" t="s">
        <v>1557</v>
      </c>
      <c r="O104" s="116" t="s">
        <v>1447</v>
      </c>
      <c r="Q104" s="23"/>
      <c r="R104" s="23"/>
    </row>
    <row r="105" spans="2:18" ht="15.75" customHeight="1" x14ac:dyDescent="0.15">
      <c r="B105" s="53" t="s">
        <v>61</v>
      </c>
      <c r="C105" s="263">
        <v>43931</v>
      </c>
      <c r="D105" s="53" t="s">
        <v>144</v>
      </c>
      <c r="E105" s="53" t="s">
        <v>12</v>
      </c>
      <c r="F105" s="147">
        <v>0.375</v>
      </c>
      <c r="G105" s="53" t="s">
        <v>2919</v>
      </c>
      <c r="H105" s="53" t="s">
        <v>1177</v>
      </c>
      <c r="I105" s="53" t="s">
        <v>289</v>
      </c>
      <c r="J105" s="53" t="s">
        <v>233</v>
      </c>
      <c r="K105" s="115">
        <v>7</v>
      </c>
      <c r="L105" s="111" t="s">
        <v>767</v>
      </c>
      <c r="O105" s="116" t="s">
        <v>1516</v>
      </c>
      <c r="Q105" s="23"/>
      <c r="R105" s="23"/>
    </row>
    <row r="106" spans="2:18" ht="15.75" customHeight="1" x14ac:dyDescent="0.15">
      <c r="B106" s="53" t="s">
        <v>61</v>
      </c>
      <c r="C106" s="263">
        <v>43931</v>
      </c>
      <c r="D106" s="53" t="s">
        <v>155</v>
      </c>
      <c r="E106" s="53" t="s">
        <v>190</v>
      </c>
      <c r="F106" s="147">
        <v>0.4</v>
      </c>
      <c r="G106" s="53" t="s">
        <v>1177</v>
      </c>
      <c r="H106" s="53" t="s">
        <v>1177</v>
      </c>
      <c r="I106" s="53" t="s">
        <v>207</v>
      </c>
      <c r="J106" s="53" t="s">
        <v>255</v>
      </c>
      <c r="K106" s="115">
        <v>1.5</v>
      </c>
      <c r="L106" s="111" t="s">
        <v>155</v>
      </c>
      <c r="O106" s="116" t="s">
        <v>1558</v>
      </c>
      <c r="Q106" s="23"/>
      <c r="R106" s="23"/>
    </row>
    <row r="107" spans="2:18" ht="15.75" customHeight="1" x14ac:dyDescent="0.15">
      <c r="B107" s="53" t="s">
        <v>61</v>
      </c>
      <c r="C107" s="263">
        <v>43931</v>
      </c>
      <c r="D107" s="53" t="s">
        <v>1559</v>
      </c>
      <c r="E107" s="53" t="s">
        <v>27</v>
      </c>
      <c r="F107" s="147">
        <v>0.2</v>
      </c>
      <c r="G107" s="53" t="s">
        <v>2920</v>
      </c>
      <c r="H107" s="53" t="s">
        <v>1177</v>
      </c>
      <c r="I107" s="53" t="s">
        <v>290</v>
      </c>
      <c r="J107" s="53" t="s">
        <v>185</v>
      </c>
      <c r="K107" s="115">
        <v>8</v>
      </c>
      <c r="L107" s="111" t="s">
        <v>1560</v>
      </c>
      <c r="O107" s="116" t="s">
        <v>1496</v>
      </c>
      <c r="Q107" s="23"/>
      <c r="R107" s="23"/>
    </row>
    <row r="108" spans="2:18" ht="15.75" customHeight="1" x14ac:dyDescent="0.15">
      <c r="B108" s="53" t="s">
        <v>179</v>
      </c>
      <c r="C108" s="263">
        <v>43931</v>
      </c>
      <c r="D108" s="53" t="s">
        <v>1561</v>
      </c>
      <c r="E108" s="53" t="s">
        <v>6</v>
      </c>
      <c r="F108" s="147">
        <v>0.05</v>
      </c>
      <c r="G108" s="53" t="s">
        <v>1177</v>
      </c>
      <c r="H108" s="53" t="s">
        <v>1177</v>
      </c>
      <c r="I108" s="53" t="s">
        <v>291</v>
      </c>
      <c r="J108" s="53" t="s">
        <v>6</v>
      </c>
      <c r="K108" s="115">
        <v>6</v>
      </c>
      <c r="L108" s="111" t="s">
        <v>1553</v>
      </c>
      <c r="O108" s="116" t="s">
        <v>1553</v>
      </c>
      <c r="Q108" s="23"/>
      <c r="R108" s="23"/>
    </row>
    <row r="109" spans="2:18" ht="15.75" customHeight="1" x14ac:dyDescent="0.15">
      <c r="B109" s="53" t="s">
        <v>179</v>
      </c>
      <c r="C109" s="263">
        <v>43931</v>
      </c>
      <c r="D109" s="53" t="s">
        <v>155</v>
      </c>
      <c r="E109" s="53" t="s">
        <v>190</v>
      </c>
      <c r="F109" s="147">
        <v>0.4</v>
      </c>
      <c r="G109" s="53" t="s">
        <v>1177</v>
      </c>
      <c r="H109" s="53" t="s">
        <v>1177</v>
      </c>
      <c r="I109" s="53" t="s">
        <v>207</v>
      </c>
      <c r="J109" s="53" t="s">
        <v>46</v>
      </c>
      <c r="K109" s="115">
        <v>4</v>
      </c>
      <c r="L109" s="111" t="s">
        <v>155</v>
      </c>
      <c r="O109" s="116" t="s">
        <v>1558</v>
      </c>
      <c r="Q109" s="23"/>
      <c r="R109" s="23"/>
    </row>
    <row r="110" spans="2:18" ht="15.75" customHeight="1" x14ac:dyDescent="0.15">
      <c r="B110" s="53" t="s">
        <v>179</v>
      </c>
      <c r="C110" s="263">
        <v>43931</v>
      </c>
      <c r="D110" s="53" t="s">
        <v>155</v>
      </c>
      <c r="E110" s="53" t="s">
        <v>190</v>
      </c>
      <c r="F110" s="147">
        <v>0.4</v>
      </c>
      <c r="G110" s="53" t="s">
        <v>28</v>
      </c>
      <c r="H110" s="53" t="s">
        <v>1177</v>
      </c>
      <c r="I110" s="53" t="s">
        <v>3544</v>
      </c>
      <c r="J110" s="53" t="s">
        <v>292</v>
      </c>
      <c r="K110" s="115">
        <v>5</v>
      </c>
      <c r="L110" s="111" t="s">
        <v>155</v>
      </c>
      <c r="O110" s="116" t="s">
        <v>1558</v>
      </c>
      <c r="Q110" s="23"/>
      <c r="R110" s="23"/>
    </row>
    <row r="111" spans="2:18" ht="15.75" customHeight="1" x14ac:dyDescent="0.15">
      <c r="B111" s="53" t="s">
        <v>67</v>
      </c>
      <c r="C111" s="263">
        <v>43931</v>
      </c>
      <c r="D111" s="53" t="s">
        <v>1562</v>
      </c>
      <c r="E111" s="53" t="s">
        <v>90</v>
      </c>
      <c r="F111" s="147">
        <v>0</v>
      </c>
      <c r="G111" s="53" t="s">
        <v>1177</v>
      </c>
      <c r="H111" s="53" t="s">
        <v>1177</v>
      </c>
      <c r="I111" s="53" t="s">
        <v>293</v>
      </c>
      <c r="J111" s="53" t="s">
        <v>294</v>
      </c>
      <c r="K111" s="115">
        <v>7</v>
      </c>
      <c r="L111" s="111" t="s">
        <v>1566</v>
      </c>
      <c r="O111" s="116" t="s">
        <v>1566</v>
      </c>
      <c r="Q111" s="23"/>
      <c r="R111" s="23"/>
    </row>
    <row r="112" spans="2:18" ht="15.75" customHeight="1" x14ac:dyDescent="0.15">
      <c r="B112" s="53" t="s">
        <v>67</v>
      </c>
      <c r="C112" s="263">
        <v>43931</v>
      </c>
      <c r="D112" s="53" t="s">
        <v>156</v>
      </c>
      <c r="E112" s="53" t="s">
        <v>36</v>
      </c>
      <c r="F112" s="147">
        <v>0.4</v>
      </c>
      <c r="G112" s="53" t="s">
        <v>1177</v>
      </c>
      <c r="H112" s="53" t="s">
        <v>1177</v>
      </c>
      <c r="I112" s="53" t="s">
        <v>295</v>
      </c>
      <c r="J112" s="53" t="s">
        <v>296</v>
      </c>
      <c r="K112" s="115">
        <v>6.5</v>
      </c>
      <c r="L112" s="111" t="s">
        <v>1563</v>
      </c>
      <c r="O112" s="116" t="s">
        <v>1563</v>
      </c>
      <c r="Q112" s="23"/>
      <c r="R112" s="23"/>
    </row>
    <row r="113" spans="2:18" ht="15.75" customHeight="1" x14ac:dyDescent="0.15">
      <c r="B113" s="59" t="s">
        <v>67</v>
      </c>
      <c r="C113" s="265">
        <v>43931</v>
      </c>
      <c r="D113" s="59" t="s">
        <v>157</v>
      </c>
      <c r="E113" s="59" t="s">
        <v>6</v>
      </c>
      <c r="F113" s="147">
        <v>0.05</v>
      </c>
      <c r="G113" s="59" t="s">
        <v>1177</v>
      </c>
      <c r="H113" s="59" t="s">
        <v>1177</v>
      </c>
      <c r="I113" s="59" t="s">
        <v>297</v>
      </c>
      <c r="J113" s="59" t="s">
        <v>298</v>
      </c>
      <c r="K113" s="117">
        <v>7.5</v>
      </c>
      <c r="L113" s="111" t="s">
        <v>1564</v>
      </c>
      <c r="O113" s="116" t="s">
        <v>1565</v>
      </c>
      <c r="Q113" s="23"/>
      <c r="R113" s="23"/>
    </row>
    <row r="114" spans="2:18" ht="15.75" customHeight="1" x14ac:dyDescent="0.15">
      <c r="B114" s="53" t="s">
        <v>35</v>
      </c>
      <c r="C114" s="263">
        <v>43938</v>
      </c>
      <c r="D114" s="53" t="s">
        <v>158</v>
      </c>
      <c r="E114" s="53" t="s">
        <v>6</v>
      </c>
      <c r="F114" s="147">
        <v>4.4999999999999998E-2</v>
      </c>
      <c r="G114" s="53" t="s">
        <v>1177</v>
      </c>
      <c r="H114" s="53" t="s">
        <v>1177</v>
      </c>
      <c r="I114" s="53" t="s">
        <v>195</v>
      </c>
      <c r="J114" s="53" t="s">
        <v>299</v>
      </c>
      <c r="K114" s="118">
        <v>5</v>
      </c>
      <c r="L114" s="111" t="s">
        <v>158</v>
      </c>
      <c r="O114" s="116" t="s">
        <v>1565</v>
      </c>
      <c r="Q114" s="23"/>
      <c r="R114" s="23"/>
    </row>
    <row r="115" spans="2:18" ht="15.75" customHeight="1" x14ac:dyDescent="0.15">
      <c r="B115" s="53" t="s">
        <v>45</v>
      </c>
      <c r="C115" s="263">
        <v>43938</v>
      </c>
      <c r="D115" s="53" t="s">
        <v>1402</v>
      </c>
      <c r="E115" s="53" t="s">
        <v>6</v>
      </c>
      <c r="F115" s="147">
        <v>5.8999999999999997E-2</v>
      </c>
      <c r="G115" s="53" t="s">
        <v>1177</v>
      </c>
      <c r="H115" s="53" t="s">
        <v>1177</v>
      </c>
      <c r="I115" s="53" t="s">
        <v>159</v>
      </c>
      <c r="J115" s="53" t="s">
        <v>153</v>
      </c>
      <c r="K115" s="118">
        <v>7</v>
      </c>
      <c r="L115" s="111" t="s">
        <v>1542</v>
      </c>
      <c r="O115" s="116" t="s">
        <v>1542</v>
      </c>
      <c r="Q115" s="23"/>
      <c r="R115" s="23"/>
    </row>
    <row r="116" spans="2:18" ht="15.75" customHeight="1" x14ac:dyDescent="0.15">
      <c r="B116" s="53" t="s">
        <v>26</v>
      </c>
      <c r="C116" s="263">
        <v>43938</v>
      </c>
      <c r="D116" s="53" t="s">
        <v>1567</v>
      </c>
      <c r="E116" s="53" t="s">
        <v>34</v>
      </c>
      <c r="F116" s="147">
        <v>0.04</v>
      </c>
      <c r="G116" s="53" t="s">
        <v>1177</v>
      </c>
      <c r="H116" s="53" t="s">
        <v>1177</v>
      </c>
      <c r="I116" s="53" t="s">
        <v>219</v>
      </c>
      <c r="J116" s="53" t="s">
        <v>300</v>
      </c>
      <c r="K116" s="118">
        <v>8</v>
      </c>
      <c r="L116" s="111" t="s">
        <v>1472</v>
      </c>
      <c r="O116" s="116" t="s">
        <v>1455</v>
      </c>
      <c r="Q116" s="23"/>
      <c r="R116" s="23"/>
    </row>
    <row r="117" spans="2:18" ht="15.75" customHeight="1" x14ac:dyDescent="0.15">
      <c r="B117" s="53" t="s">
        <v>18</v>
      </c>
      <c r="C117" s="263">
        <v>43938</v>
      </c>
      <c r="D117" s="53" t="s">
        <v>2851</v>
      </c>
      <c r="E117" s="53" t="s">
        <v>36</v>
      </c>
      <c r="F117" s="147">
        <v>0.4</v>
      </c>
      <c r="G117" s="53" t="s">
        <v>161</v>
      </c>
      <c r="H117" s="53" t="s">
        <v>1177</v>
      </c>
      <c r="I117" s="53" t="s">
        <v>301</v>
      </c>
      <c r="J117" s="53" t="s">
        <v>231</v>
      </c>
      <c r="K117" s="118">
        <v>7</v>
      </c>
      <c r="L117" s="111" t="s">
        <v>1523</v>
      </c>
      <c r="O117" s="116" t="s">
        <v>1523</v>
      </c>
      <c r="Q117" s="23"/>
      <c r="R117" s="23"/>
    </row>
    <row r="118" spans="2:18" ht="15.75" customHeight="1" x14ac:dyDescent="0.15">
      <c r="B118" s="53" t="s">
        <v>41</v>
      </c>
      <c r="C118" s="263">
        <v>43938</v>
      </c>
      <c r="D118" s="53" t="s">
        <v>1568</v>
      </c>
      <c r="E118" s="53" t="s">
        <v>6</v>
      </c>
      <c r="F118" s="147">
        <v>0.05</v>
      </c>
      <c r="G118" s="53" t="s">
        <v>1177</v>
      </c>
      <c r="H118" s="53" t="s">
        <v>1177</v>
      </c>
      <c r="I118" s="53" t="s">
        <v>15</v>
      </c>
      <c r="J118" s="53" t="s">
        <v>302</v>
      </c>
      <c r="K118" s="118">
        <v>8</v>
      </c>
      <c r="L118" s="111" t="s">
        <v>765</v>
      </c>
      <c r="O118" s="116" t="s">
        <v>1569</v>
      </c>
      <c r="Q118" s="23"/>
      <c r="R118" s="23"/>
    </row>
    <row r="119" spans="2:18" ht="15.75" customHeight="1" x14ac:dyDescent="0.15">
      <c r="B119" s="53" t="s">
        <v>9</v>
      </c>
      <c r="C119" s="263">
        <v>43938</v>
      </c>
      <c r="D119" s="53" t="s">
        <v>2851</v>
      </c>
      <c r="E119" s="53" t="s">
        <v>36</v>
      </c>
      <c r="F119" s="147">
        <v>0.4</v>
      </c>
      <c r="G119" s="53" t="s">
        <v>161</v>
      </c>
      <c r="H119" s="53" t="s">
        <v>1177</v>
      </c>
      <c r="I119" s="53" t="s">
        <v>303</v>
      </c>
      <c r="J119" s="53" t="s">
        <v>304</v>
      </c>
      <c r="K119" s="118">
        <v>5</v>
      </c>
      <c r="L119" s="111" t="s">
        <v>1523</v>
      </c>
      <c r="O119" s="116" t="s">
        <v>1523</v>
      </c>
      <c r="Q119" s="23"/>
      <c r="R119" s="23"/>
    </row>
    <row r="120" spans="2:18" ht="15.75" customHeight="1" x14ac:dyDescent="0.15">
      <c r="B120" s="53" t="s">
        <v>73</v>
      </c>
      <c r="C120" s="263">
        <v>43938</v>
      </c>
      <c r="D120" s="53" t="s">
        <v>162</v>
      </c>
      <c r="E120" s="53" t="s">
        <v>6</v>
      </c>
      <c r="F120" s="147">
        <v>5.1999999999999998E-2</v>
      </c>
      <c r="G120" s="53" t="s">
        <v>1177</v>
      </c>
      <c r="H120" s="53" t="s">
        <v>1177</v>
      </c>
      <c r="I120" s="53" t="s">
        <v>163</v>
      </c>
      <c r="J120" s="53" t="s">
        <v>305</v>
      </c>
      <c r="K120" s="118">
        <v>3.5</v>
      </c>
      <c r="L120" s="111" t="s">
        <v>2698</v>
      </c>
      <c r="O120" s="116" t="s">
        <v>1461</v>
      </c>
      <c r="Q120" s="23"/>
      <c r="R120" s="23"/>
    </row>
    <row r="121" spans="2:18" ht="15.75" customHeight="1" x14ac:dyDescent="0.15">
      <c r="B121" s="53" t="s">
        <v>75</v>
      </c>
      <c r="C121" s="263">
        <v>43938</v>
      </c>
      <c r="D121" s="53" t="s">
        <v>164</v>
      </c>
      <c r="E121" s="53" t="s">
        <v>6</v>
      </c>
      <c r="F121" s="147">
        <v>4.4999999999999998E-2</v>
      </c>
      <c r="G121" s="53" t="s">
        <v>1177</v>
      </c>
      <c r="H121" s="53" t="s">
        <v>1177</v>
      </c>
      <c r="I121" s="53" t="s">
        <v>2155</v>
      </c>
      <c r="J121" s="53" t="s">
        <v>165</v>
      </c>
      <c r="K121" s="118">
        <v>0.5</v>
      </c>
      <c r="L121" s="111" t="s">
        <v>1570</v>
      </c>
      <c r="O121" s="116" t="s">
        <v>1565</v>
      </c>
      <c r="Q121" s="23"/>
      <c r="R121" s="23"/>
    </row>
    <row r="122" spans="2:18" ht="15.75" customHeight="1" x14ac:dyDescent="0.15">
      <c r="B122" s="53" t="s">
        <v>61</v>
      </c>
      <c r="C122" s="263">
        <v>43938</v>
      </c>
      <c r="D122" s="53" t="s">
        <v>664</v>
      </c>
      <c r="E122" s="53" t="s">
        <v>6</v>
      </c>
      <c r="F122" s="147">
        <v>3.7999999999999999E-2</v>
      </c>
      <c r="G122" s="53" t="s">
        <v>1177</v>
      </c>
      <c r="H122" s="53" t="s">
        <v>1177</v>
      </c>
      <c r="I122" s="53" t="s">
        <v>306</v>
      </c>
      <c r="J122" s="53" t="s">
        <v>307</v>
      </c>
      <c r="K122" s="118">
        <v>5</v>
      </c>
      <c r="L122" s="111" t="s">
        <v>1535</v>
      </c>
      <c r="O122" s="116" t="s">
        <v>1535</v>
      </c>
      <c r="Q122" s="23"/>
      <c r="R122" s="23"/>
    </row>
    <row r="123" spans="2:18" ht="15.75" customHeight="1" x14ac:dyDescent="0.15">
      <c r="B123" s="53" t="s">
        <v>18</v>
      </c>
      <c r="C123" s="263">
        <v>43938</v>
      </c>
      <c r="D123" s="53" t="s">
        <v>1571</v>
      </c>
      <c r="E123" s="53" t="s">
        <v>12</v>
      </c>
      <c r="F123" s="147">
        <v>0.4</v>
      </c>
      <c r="G123" s="53" t="s">
        <v>23</v>
      </c>
      <c r="H123" s="53" t="s">
        <v>1177</v>
      </c>
      <c r="I123" s="53" t="s">
        <v>308</v>
      </c>
      <c r="J123" s="53" t="s">
        <v>16</v>
      </c>
      <c r="K123" s="118">
        <v>7.5</v>
      </c>
      <c r="L123" s="111" t="s">
        <v>1535</v>
      </c>
      <c r="O123" s="116" t="s">
        <v>1535</v>
      </c>
      <c r="Q123" s="23"/>
      <c r="R123" s="23"/>
    </row>
    <row r="124" spans="2:18" ht="15.75" customHeight="1" x14ac:dyDescent="0.15">
      <c r="B124" s="53" t="s">
        <v>9</v>
      </c>
      <c r="C124" s="263">
        <v>43938</v>
      </c>
      <c r="D124" s="53" t="s">
        <v>1571</v>
      </c>
      <c r="E124" s="53" t="s">
        <v>12</v>
      </c>
      <c r="F124" s="147">
        <v>0.4</v>
      </c>
      <c r="G124" s="53" t="s">
        <v>23</v>
      </c>
      <c r="H124" s="53" t="s">
        <v>1177</v>
      </c>
      <c r="I124" s="53" t="s">
        <v>309</v>
      </c>
      <c r="J124" s="53" t="s">
        <v>310</v>
      </c>
      <c r="K124" s="118">
        <v>8.5</v>
      </c>
      <c r="L124" s="111" t="s">
        <v>1535</v>
      </c>
      <c r="O124" s="116" t="s">
        <v>1535</v>
      </c>
      <c r="Q124" s="23"/>
      <c r="R124" s="23"/>
    </row>
    <row r="125" spans="2:18" ht="15.75" customHeight="1" x14ac:dyDescent="0.15">
      <c r="B125" s="53" t="s">
        <v>9</v>
      </c>
      <c r="C125" s="263">
        <v>43938</v>
      </c>
      <c r="D125" s="53" t="s">
        <v>1572</v>
      </c>
      <c r="E125" s="53" t="s">
        <v>12</v>
      </c>
      <c r="F125" s="147">
        <v>0.4</v>
      </c>
      <c r="G125" s="53" t="s">
        <v>510</v>
      </c>
      <c r="H125" s="53" t="s">
        <v>1177</v>
      </c>
      <c r="I125" s="53" t="s">
        <v>16</v>
      </c>
      <c r="J125" s="53" t="s">
        <v>201</v>
      </c>
      <c r="K125" s="118">
        <v>5</v>
      </c>
      <c r="L125" s="111" t="s">
        <v>1277</v>
      </c>
      <c r="O125" s="116" t="s">
        <v>1573</v>
      </c>
      <c r="Q125" s="23"/>
      <c r="R125" s="23"/>
    </row>
    <row r="126" spans="2:18" ht="15.75" customHeight="1" x14ac:dyDescent="0.15">
      <c r="B126" s="53" t="s">
        <v>41</v>
      </c>
      <c r="C126" s="263">
        <v>43938</v>
      </c>
      <c r="D126" s="53" t="s">
        <v>1574</v>
      </c>
      <c r="E126" s="53" t="s">
        <v>6</v>
      </c>
      <c r="F126" s="147">
        <v>5.7000000000000002E-2</v>
      </c>
      <c r="G126" s="53" t="s">
        <v>1177</v>
      </c>
      <c r="H126" s="53" t="s">
        <v>1177</v>
      </c>
      <c r="I126" s="53" t="s">
        <v>311</v>
      </c>
      <c r="J126" s="53" t="s">
        <v>192</v>
      </c>
      <c r="K126" s="118">
        <v>6.5</v>
      </c>
      <c r="L126" s="111" t="s">
        <v>765</v>
      </c>
      <c r="O126" s="116" t="s">
        <v>1569</v>
      </c>
      <c r="Q126" s="23"/>
      <c r="R126" s="23"/>
    </row>
    <row r="127" spans="2:18" ht="15.75" customHeight="1" x14ac:dyDescent="0.15">
      <c r="B127" s="53" t="s">
        <v>26</v>
      </c>
      <c r="C127" s="263">
        <v>43938</v>
      </c>
      <c r="D127" s="53" t="s">
        <v>1575</v>
      </c>
      <c r="E127" s="53" t="s">
        <v>34</v>
      </c>
      <c r="F127" s="147">
        <v>0.04</v>
      </c>
      <c r="G127" s="53" t="s">
        <v>1177</v>
      </c>
      <c r="H127" s="53" t="s">
        <v>1177</v>
      </c>
      <c r="I127" s="53" t="s">
        <v>93</v>
      </c>
      <c r="J127" s="53" t="s">
        <v>312</v>
      </c>
      <c r="K127" s="118">
        <v>8.5</v>
      </c>
      <c r="L127" s="111" t="s">
        <v>1576</v>
      </c>
      <c r="O127" s="116" t="s">
        <v>1533</v>
      </c>
      <c r="Q127" s="23"/>
      <c r="R127" s="23"/>
    </row>
    <row r="128" spans="2:18" ht="15.75" customHeight="1" x14ac:dyDescent="0.15">
      <c r="B128" s="53" t="s">
        <v>50</v>
      </c>
      <c r="C128" s="263">
        <v>43938</v>
      </c>
      <c r="D128" s="53" t="s">
        <v>166</v>
      </c>
      <c r="E128" s="53" t="s">
        <v>42</v>
      </c>
      <c r="F128" s="147">
        <v>0.11</v>
      </c>
      <c r="G128" s="53" t="s">
        <v>1177</v>
      </c>
      <c r="H128" s="53" t="s">
        <v>1177</v>
      </c>
      <c r="I128" s="53" t="s">
        <v>313</v>
      </c>
      <c r="J128" s="53" t="s">
        <v>49</v>
      </c>
      <c r="K128" s="118">
        <v>8</v>
      </c>
      <c r="L128" s="111" t="s">
        <v>1577</v>
      </c>
      <c r="O128" s="111" t="s">
        <v>1577</v>
      </c>
      <c r="Q128" s="23"/>
      <c r="R128" s="23"/>
    </row>
    <row r="129" spans="2:18" ht="15.75" customHeight="1" x14ac:dyDescent="0.15">
      <c r="B129" s="53" t="s">
        <v>18</v>
      </c>
      <c r="C129" s="263">
        <v>43938</v>
      </c>
      <c r="D129" s="53" t="s">
        <v>1578</v>
      </c>
      <c r="E129" s="53" t="s">
        <v>6</v>
      </c>
      <c r="F129" s="147">
        <v>4.9000000000000002E-2</v>
      </c>
      <c r="G129" s="53" t="s">
        <v>1177</v>
      </c>
      <c r="H129" s="53" t="s">
        <v>1177</v>
      </c>
      <c r="I129" s="53" t="s">
        <v>167</v>
      </c>
      <c r="J129" s="53" t="s">
        <v>249</v>
      </c>
      <c r="K129" s="118">
        <v>6.5</v>
      </c>
      <c r="L129" s="111" t="s">
        <v>1578</v>
      </c>
      <c r="O129" s="116" t="s">
        <v>1565</v>
      </c>
      <c r="Q129" s="23"/>
      <c r="R129" s="23"/>
    </row>
    <row r="130" spans="2:18" ht="15.75" customHeight="1" x14ac:dyDescent="0.15">
      <c r="B130" s="53" t="s">
        <v>73</v>
      </c>
      <c r="C130" s="263">
        <v>43938</v>
      </c>
      <c r="D130" s="53" t="s">
        <v>665</v>
      </c>
      <c r="E130" s="53" t="s">
        <v>6</v>
      </c>
      <c r="F130" s="147">
        <v>9.0999999999999998E-2</v>
      </c>
      <c r="G130" s="53" t="s">
        <v>1177</v>
      </c>
      <c r="H130" s="53" t="s">
        <v>1177</v>
      </c>
      <c r="I130" s="53" t="s">
        <v>168</v>
      </c>
      <c r="J130" s="53" t="s">
        <v>314</v>
      </c>
      <c r="K130" s="118">
        <v>7.5</v>
      </c>
      <c r="L130" s="111" t="s">
        <v>1535</v>
      </c>
      <c r="O130" s="116" t="s">
        <v>1535</v>
      </c>
      <c r="Q130" s="23"/>
      <c r="R130" s="23"/>
    </row>
    <row r="131" spans="2:18" ht="15.75" customHeight="1" x14ac:dyDescent="0.15">
      <c r="B131" s="53" t="s">
        <v>45</v>
      </c>
      <c r="C131" s="263">
        <v>43938</v>
      </c>
      <c r="D131" s="53" t="s">
        <v>1579</v>
      </c>
      <c r="E131" s="53" t="s">
        <v>6</v>
      </c>
      <c r="F131" s="147">
        <v>4.7E-2</v>
      </c>
      <c r="G131" s="53" t="s">
        <v>1177</v>
      </c>
      <c r="H131" s="53" t="s">
        <v>1177</v>
      </c>
      <c r="I131" s="53" t="s">
        <v>315</v>
      </c>
      <c r="J131" s="53" t="s">
        <v>169</v>
      </c>
      <c r="K131" s="118">
        <v>4</v>
      </c>
      <c r="L131" s="111" t="s">
        <v>1542</v>
      </c>
      <c r="O131" s="116" t="s">
        <v>1542</v>
      </c>
      <c r="Q131" s="23"/>
      <c r="R131" s="23"/>
    </row>
    <row r="132" spans="2:18" ht="15.75" customHeight="1" x14ac:dyDescent="0.15">
      <c r="B132" s="53" t="s">
        <v>75</v>
      </c>
      <c r="C132" s="263">
        <v>43938</v>
      </c>
      <c r="D132" s="53" t="s">
        <v>170</v>
      </c>
      <c r="E132" s="53" t="s">
        <v>6</v>
      </c>
      <c r="F132" s="147">
        <v>5.8999999999999997E-2</v>
      </c>
      <c r="G132" s="53" t="s">
        <v>1177</v>
      </c>
      <c r="H132" s="53" t="s">
        <v>1177</v>
      </c>
      <c r="I132" s="53" t="s">
        <v>316</v>
      </c>
      <c r="J132" s="53" t="s">
        <v>3537</v>
      </c>
      <c r="K132" s="118">
        <v>9</v>
      </c>
      <c r="L132" s="111" t="s">
        <v>170</v>
      </c>
      <c r="O132" s="116" t="s">
        <v>1533</v>
      </c>
      <c r="Q132" s="23"/>
      <c r="R132" s="23"/>
    </row>
    <row r="133" spans="2:18" ht="15.75" customHeight="1" x14ac:dyDescent="0.15">
      <c r="B133" s="53" t="s">
        <v>35</v>
      </c>
      <c r="C133" s="263">
        <v>43938</v>
      </c>
      <c r="D133" s="53" t="s">
        <v>171</v>
      </c>
      <c r="E133" s="53" t="s">
        <v>6</v>
      </c>
      <c r="F133" s="147">
        <v>5.8000000000000003E-2</v>
      </c>
      <c r="G133" s="53" t="s">
        <v>1177</v>
      </c>
      <c r="H133" s="53" t="s">
        <v>1177</v>
      </c>
      <c r="I133" s="53" t="s">
        <v>15</v>
      </c>
      <c r="J133" s="53" t="s">
        <v>317</v>
      </c>
      <c r="K133" s="118">
        <v>7</v>
      </c>
      <c r="L133" s="111" t="s">
        <v>1580</v>
      </c>
      <c r="O133" s="116" t="s">
        <v>1565</v>
      </c>
      <c r="Q133" s="23"/>
      <c r="R133" s="23"/>
    </row>
    <row r="134" spans="2:18" ht="15.75" customHeight="1" x14ac:dyDescent="0.15">
      <c r="B134" s="53" t="s">
        <v>75</v>
      </c>
      <c r="C134" s="263">
        <v>43938</v>
      </c>
      <c r="D134" s="53" t="s">
        <v>2649</v>
      </c>
      <c r="E134" s="53" t="s">
        <v>12</v>
      </c>
      <c r="F134" s="147">
        <v>0.43</v>
      </c>
      <c r="G134" s="53" t="s">
        <v>2921</v>
      </c>
      <c r="H134" s="53" t="s">
        <v>1177</v>
      </c>
      <c r="I134" s="53" t="s">
        <v>265</v>
      </c>
      <c r="J134" s="53" t="s">
        <v>318</v>
      </c>
      <c r="K134" s="118">
        <v>6</v>
      </c>
      <c r="L134" s="111" t="s">
        <v>1581</v>
      </c>
      <c r="O134" s="116" t="s">
        <v>1537</v>
      </c>
      <c r="Q134" s="23"/>
      <c r="R134" s="23"/>
    </row>
    <row r="135" spans="2:18" ht="15.75" customHeight="1" x14ac:dyDescent="0.15">
      <c r="B135" s="53" t="s">
        <v>45</v>
      </c>
      <c r="C135" s="263">
        <v>43938</v>
      </c>
      <c r="D135" s="53" t="s">
        <v>1582</v>
      </c>
      <c r="E135" s="53" t="s">
        <v>6</v>
      </c>
      <c r="F135" s="147">
        <v>7.0000000000000007E-2</v>
      </c>
      <c r="G135" s="53" t="s">
        <v>1177</v>
      </c>
      <c r="H135" s="53" t="s">
        <v>1177</v>
      </c>
      <c r="I135" s="53" t="s">
        <v>319</v>
      </c>
      <c r="J135" s="53" t="s">
        <v>320</v>
      </c>
      <c r="K135" s="118">
        <v>8.5</v>
      </c>
      <c r="L135" s="111" t="s">
        <v>1513</v>
      </c>
      <c r="O135" s="116" t="s">
        <v>1513</v>
      </c>
      <c r="Q135" s="23"/>
      <c r="R135" s="23"/>
    </row>
    <row r="136" spans="2:18" ht="15.75" customHeight="1" x14ac:dyDescent="0.15">
      <c r="B136" s="53" t="s">
        <v>38</v>
      </c>
      <c r="C136" s="263">
        <v>43938</v>
      </c>
      <c r="D136" s="53" t="s">
        <v>397</v>
      </c>
      <c r="E136" s="53" t="s">
        <v>12</v>
      </c>
      <c r="F136" s="147">
        <v>0.4</v>
      </c>
      <c r="G136" s="53" t="s">
        <v>401</v>
      </c>
      <c r="H136" s="53" t="s">
        <v>1177</v>
      </c>
      <c r="I136" s="53" t="s">
        <v>236</v>
      </c>
      <c r="J136" s="53" t="s">
        <v>285</v>
      </c>
      <c r="K136" s="118">
        <v>8.5</v>
      </c>
      <c r="L136" s="111" t="s">
        <v>1583</v>
      </c>
      <c r="O136" s="116" t="s">
        <v>1583</v>
      </c>
      <c r="Q136" s="23"/>
      <c r="R136" s="23"/>
    </row>
    <row r="137" spans="2:18" ht="15.75" customHeight="1" x14ac:dyDescent="0.15">
      <c r="B137" s="53" t="s">
        <v>61</v>
      </c>
      <c r="C137" s="263">
        <v>43938</v>
      </c>
      <c r="D137" s="53" t="s">
        <v>1187</v>
      </c>
      <c r="E137" s="53" t="s">
        <v>65</v>
      </c>
      <c r="F137" s="147">
        <v>0.04</v>
      </c>
      <c r="G137" s="53" t="s">
        <v>2922</v>
      </c>
      <c r="H137" s="53" t="s">
        <v>1177</v>
      </c>
      <c r="I137" s="53" t="s">
        <v>321</v>
      </c>
      <c r="J137" s="53" t="s">
        <v>322</v>
      </c>
      <c r="K137" s="118">
        <v>6.5</v>
      </c>
      <c r="L137" s="111" t="s">
        <v>1584</v>
      </c>
      <c r="O137" s="116" t="s">
        <v>1585</v>
      </c>
      <c r="P137" s="23" t="s">
        <v>3249</v>
      </c>
      <c r="Q137" s="23"/>
      <c r="R137" s="23"/>
    </row>
    <row r="138" spans="2:18" ht="15.75" customHeight="1" x14ac:dyDescent="0.15">
      <c r="B138" s="53" t="s">
        <v>18</v>
      </c>
      <c r="C138" s="263">
        <v>43938</v>
      </c>
      <c r="D138" s="53" t="s">
        <v>172</v>
      </c>
      <c r="E138" s="53" t="s">
        <v>6</v>
      </c>
      <c r="F138" s="147">
        <v>5.3999999999999999E-2</v>
      </c>
      <c r="G138" s="53" t="s">
        <v>1177</v>
      </c>
      <c r="H138" s="53" t="s">
        <v>1177</v>
      </c>
      <c r="I138" s="53" t="s">
        <v>323</v>
      </c>
      <c r="J138" s="53" t="s">
        <v>194</v>
      </c>
      <c r="K138" s="118">
        <v>7.5</v>
      </c>
      <c r="L138" s="111" t="s">
        <v>172</v>
      </c>
      <c r="O138" s="116" t="s">
        <v>1586</v>
      </c>
      <c r="Q138" s="23"/>
      <c r="R138" s="23"/>
    </row>
    <row r="139" spans="2:18" ht="15.75" customHeight="1" x14ac:dyDescent="0.15">
      <c r="B139" s="53" t="s">
        <v>79</v>
      </c>
      <c r="C139" s="263">
        <v>43938</v>
      </c>
      <c r="D139" s="53" t="s">
        <v>173</v>
      </c>
      <c r="E139" s="53" t="s">
        <v>90</v>
      </c>
      <c r="F139" s="147">
        <v>0</v>
      </c>
      <c r="G139" s="53" t="s">
        <v>1177</v>
      </c>
      <c r="H139" s="53" t="s">
        <v>1177</v>
      </c>
      <c r="I139" s="53" t="s">
        <v>304</v>
      </c>
      <c r="J139" s="53" t="s">
        <v>315</v>
      </c>
      <c r="K139" s="118">
        <v>9</v>
      </c>
      <c r="L139" s="111" t="s">
        <v>1566</v>
      </c>
      <c r="O139" s="116" t="s">
        <v>1566</v>
      </c>
      <c r="Q139" s="23"/>
      <c r="R139" s="23"/>
    </row>
    <row r="140" spans="2:18" ht="15.75" customHeight="1" x14ac:dyDescent="0.15">
      <c r="B140" s="53" t="s">
        <v>35</v>
      </c>
      <c r="C140" s="263">
        <v>43938</v>
      </c>
      <c r="D140" s="53" t="s">
        <v>770</v>
      </c>
      <c r="E140" s="53" t="s">
        <v>6</v>
      </c>
      <c r="F140" s="147">
        <v>4.4999999999999998E-2</v>
      </c>
      <c r="G140" s="53" t="s">
        <v>1177</v>
      </c>
      <c r="H140" s="53" t="s">
        <v>1177</v>
      </c>
      <c r="I140" s="53" t="s">
        <v>192</v>
      </c>
      <c r="J140" s="53" t="s">
        <v>324</v>
      </c>
      <c r="K140" s="118">
        <v>6</v>
      </c>
      <c r="L140" s="111" t="s">
        <v>768</v>
      </c>
      <c r="O140" s="116" t="s">
        <v>1516</v>
      </c>
      <c r="Q140" s="23"/>
      <c r="R140" s="23"/>
    </row>
    <row r="141" spans="2:18" ht="15.75" customHeight="1" x14ac:dyDescent="0.15">
      <c r="B141" s="53" t="s">
        <v>41</v>
      </c>
      <c r="C141" s="263">
        <v>43938</v>
      </c>
      <c r="D141" s="53" t="s">
        <v>3466</v>
      </c>
      <c r="E141" s="53" t="s">
        <v>65</v>
      </c>
      <c r="F141" s="147">
        <v>0.35</v>
      </c>
      <c r="G141" s="53" t="s">
        <v>510</v>
      </c>
      <c r="H141" s="53" t="s">
        <v>1177</v>
      </c>
      <c r="I141" s="53" t="s">
        <v>194</v>
      </c>
      <c r="J141" s="53" t="s">
        <v>232</v>
      </c>
      <c r="K141" s="118">
        <v>8</v>
      </c>
      <c r="L141" s="111" t="s">
        <v>1587</v>
      </c>
      <c r="O141" s="116" t="s">
        <v>1516</v>
      </c>
      <c r="Q141" s="23"/>
      <c r="R141" s="23"/>
    </row>
    <row r="142" spans="2:18" ht="15.75" customHeight="1" x14ac:dyDescent="0.15">
      <c r="B142" s="53" t="s">
        <v>73</v>
      </c>
      <c r="C142" s="263">
        <v>43938</v>
      </c>
      <c r="D142" s="53" t="s">
        <v>174</v>
      </c>
      <c r="E142" s="53" t="s">
        <v>6</v>
      </c>
      <c r="F142" s="147">
        <v>0.13</v>
      </c>
      <c r="G142" s="53" t="s">
        <v>1177</v>
      </c>
      <c r="H142" s="53" t="s">
        <v>1177</v>
      </c>
      <c r="I142" s="53" t="s">
        <v>222</v>
      </c>
      <c r="J142" s="53" t="s">
        <v>325</v>
      </c>
      <c r="K142" s="118">
        <v>3</v>
      </c>
      <c r="L142" s="111" t="s">
        <v>1535</v>
      </c>
      <c r="O142" s="116" t="s">
        <v>1535</v>
      </c>
      <c r="Q142" s="23"/>
      <c r="R142" s="23"/>
    </row>
    <row r="143" spans="2:18" ht="15.75" customHeight="1" x14ac:dyDescent="0.15">
      <c r="B143" s="53" t="s">
        <v>18</v>
      </c>
      <c r="C143" s="263">
        <v>43938</v>
      </c>
      <c r="D143" s="53" t="s">
        <v>1588</v>
      </c>
      <c r="E143" s="53" t="s">
        <v>54</v>
      </c>
      <c r="F143" s="147">
        <v>0.19</v>
      </c>
      <c r="G143" s="53" t="s">
        <v>1177</v>
      </c>
      <c r="H143" s="53" t="s">
        <v>1177</v>
      </c>
      <c r="I143" s="53" t="s">
        <v>326</v>
      </c>
      <c r="J143" s="53" t="s">
        <v>204</v>
      </c>
      <c r="K143" s="118">
        <v>8</v>
      </c>
      <c r="L143" s="111" t="s">
        <v>1589</v>
      </c>
      <c r="O143" s="116" t="s">
        <v>1589</v>
      </c>
      <c r="P143" s="23" t="s">
        <v>3250</v>
      </c>
      <c r="Q143" s="23"/>
      <c r="R143" s="23"/>
    </row>
    <row r="144" spans="2:18" ht="15.75" customHeight="1" x14ac:dyDescent="0.15">
      <c r="B144" s="53" t="s">
        <v>75</v>
      </c>
      <c r="C144" s="263">
        <v>43938</v>
      </c>
      <c r="D144" s="53" t="s">
        <v>2649</v>
      </c>
      <c r="E144" s="53" t="s">
        <v>12</v>
      </c>
      <c r="F144" s="147">
        <v>0.43</v>
      </c>
      <c r="G144" s="53" t="s">
        <v>2923</v>
      </c>
      <c r="H144" s="53" t="s">
        <v>1177</v>
      </c>
      <c r="I144" s="53" t="s">
        <v>327</v>
      </c>
      <c r="J144" s="53" t="s">
        <v>328</v>
      </c>
      <c r="K144" s="118">
        <v>4</v>
      </c>
      <c r="L144" s="111" t="s">
        <v>1581</v>
      </c>
      <c r="O144" s="116" t="s">
        <v>1537</v>
      </c>
      <c r="Q144" s="23"/>
      <c r="R144" s="23"/>
    </row>
    <row r="145" spans="2:18" ht="15.75" customHeight="1" x14ac:dyDescent="0.15">
      <c r="B145" s="53" t="s">
        <v>61</v>
      </c>
      <c r="C145" s="263">
        <v>43938</v>
      </c>
      <c r="D145" s="53" t="s">
        <v>3520</v>
      </c>
      <c r="E145" s="53" t="s">
        <v>32</v>
      </c>
      <c r="F145" s="147">
        <v>0.04</v>
      </c>
      <c r="G145" s="53" t="s">
        <v>1177</v>
      </c>
      <c r="H145" s="53" t="s">
        <v>1177</v>
      </c>
      <c r="I145" s="53" t="s">
        <v>16</v>
      </c>
      <c r="J145" s="53" t="s">
        <v>329</v>
      </c>
      <c r="K145" s="118">
        <v>4.5</v>
      </c>
      <c r="L145" s="111" t="s">
        <v>1584</v>
      </c>
      <c r="O145" s="116" t="s">
        <v>1585</v>
      </c>
      <c r="P145" s="23" t="s">
        <v>3251</v>
      </c>
      <c r="Q145" s="23"/>
      <c r="R145" s="23"/>
    </row>
    <row r="146" spans="2:18" ht="15.75" customHeight="1" x14ac:dyDescent="0.15">
      <c r="B146" s="53" t="s">
        <v>26</v>
      </c>
      <c r="C146" s="263">
        <v>43938</v>
      </c>
      <c r="D146" s="53" t="s">
        <v>175</v>
      </c>
      <c r="E146" s="53" t="s">
        <v>34</v>
      </c>
      <c r="F146" s="147">
        <v>4.4999999999999998E-2</v>
      </c>
      <c r="G146" s="53" t="s">
        <v>1177</v>
      </c>
      <c r="H146" s="53" t="s">
        <v>1177</v>
      </c>
      <c r="I146" s="53" t="s">
        <v>330</v>
      </c>
      <c r="J146" s="53" t="s">
        <v>331</v>
      </c>
      <c r="K146" s="118">
        <v>7.5</v>
      </c>
      <c r="L146" s="111" t="s">
        <v>1480</v>
      </c>
      <c r="O146" s="116" t="s">
        <v>1479</v>
      </c>
      <c r="Q146" s="23"/>
      <c r="R146" s="23"/>
    </row>
    <row r="147" spans="2:18" ht="15.75" customHeight="1" x14ac:dyDescent="0.15">
      <c r="B147" s="53" t="s">
        <v>73</v>
      </c>
      <c r="C147" s="263">
        <v>43938</v>
      </c>
      <c r="D147" s="53" t="s">
        <v>1630</v>
      </c>
      <c r="E147" s="53" t="s">
        <v>65</v>
      </c>
      <c r="F147" s="147">
        <v>0.375</v>
      </c>
      <c r="G147" s="53" t="s">
        <v>121</v>
      </c>
      <c r="H147" s="53" t="s">
        <v>1177</v>
      </c>
      <c r="I147" s="53" t="s">
        <v>332</v>
      </c>
      <c r="J147" s="53" t="s">
        <v>333</v>
      </c>
      <c r="K147" s="118">
        <v>9</v>
      </c>
      <c r="L147" s="111" t="s">
        <v>1536</v>
      </c>
      <c r="O147" s="116" t="s">
        <v>1537</v>
      </c>
      <c r="Q147" s="23"/>
      <c r="R147" s="23"/>
    </row>
    <row r="148" spans="2:18" ht="15.75" customHeight="1" x14ac:dyDescent="0.15">
      <c r="B148" s="53" t="s">
        <v>18</v>
      </c>
      <c r="C148" s="263">
        <v>43938</v>
      </c>
      <c r="D148" s="53" t="s">
        <v>1837</v>
      </c>
      <c r="E148" s="53" t="s">
        <v>6</v>
      </c>
      <c r="F148" s="147">
        <v>6.5000000000000002E-2</v>
      </c>
      <c r="G148" s="53" t="s">
        <v>1177</v>
      </c>
      <c r="H148" s="53" t="s">
        <v>1177</v>
      </c>
      <c r="I148" s="53" t="s">
        <v>176</v>
      </c>
      <c r="J148" s="53" t="s">
        <v>146</v>
      </c>
      <c r="K148" s="118">
        <v>6.5</v>
      </c>
      <c r="L148" s="111" t="s">
        <v>1590</v>
      </c>
      <c r="O148" s="116" t="s">
        <v>1590</v>
      </c>
      <c r="Q148" s="23"/>
      <c r="R148" s="23"/>
    </row>
    <row r="149" spans="2:18" ht="15.75" customHeight="1" x14ac:dyDescent="0.15">
      <c r="B149" s="53" t="s">
        <v>35</v>
      </c>
      <c r="C149" s="263">
        <v>43938</v>
      </c>
      <c r="D149" s="53" t="s">
        <v>158</v>
      </c>
      <c r="E149" s="53" t="s">
        <v>6</v>
      </c>
      <c r="F149" s="147">
        <v>4.4999999999999998E-2</v>
      </c>
      <c r="G149" s="53" t="s">
        <v>108</v>
      </c>
      <c r="H149" s="53" t="s">
        <v>1177</v>
      </c>
      <c r="I149" s="53" t="s">
        <v>302</v>
      </c>
      <c r="J149" s="53" t="s">
        <v>317</v>
      </c>
      <c r="K149" s="118">
        <v>8</v>
      </c>
      <c r="L149" s="111" t="s">
        <v>158</v>
      </c>
      <c r="O149" s="116" t="s">
        <v>1565</v>
      </c>
      <c r="Q149" s="23"/>
      <c r="R149" s="23"/>
    </row>
    <row r="150" spans="2:18" ht="15.75" customHeight="1" x14ac:dyDescent="0.15">
      <c r="B150" s="53" t="s">
        <v>79</v>
      </c>
      <c r="C150" s="263">
        <v>43938</v>
      </c>
      <c r="D150" s="237" t="s">
        <v>177</v>
      </c>
      <c r="E150" s="53" t="s">
        <v>190</v>
      </c>
      <c r="F150" s="238">
        <v>0.4</v>
      </c>
      <c r="G150" s="53" t="s">
        <v>1177</v>
      </c>
      <c r="H150" s="53" t="s">
        <v>1177</v>
      </c>
      <c r="I150" s="53" t="s">
        <v>222</v>
      </c>
      <c r="J150" s="53" t="s">
        <v>219</v>
      </c>
      <c r="K150" s="118">
        <v>9</v>
      </c>
      <c r="L150" s="111" t="s">
        <v>3244</v>
      </c>
      <c r="O150" s="111" t="s">
        <v>3244</v>
      </c>
      <c r="P150" s="23" t="s">
        <v>3252</v>
      </c>
      <c r="Q150" s="23"/>
      <c r="R150" s="23"/>
    </row>
    <row r="151" spans="2:18" ht="15.75" customHeight="1" x14ac:dyDescent="0.15">
      <c r="B151" s="53" t="s">
        <v>73</v>
      </c>
      <c r="C151" s="263">
        <v>43938</v>
      </c>
      <c r="D151" s="53" t="s">
        <v>2649</v>
      </c>
      <c r="E151" s="53" t="s">
        <v>12</v>
      </c>
      <c r="F151" s="147">
        <v>0.43</v>
      </c>
      <c r="G151" s="53" t="s">
        <v>1177</v>
      </c>
      <c r="H151" s="53" t="s">
        <v>1177</v>
      </c>
      <c r="I151" s="53" t="s">
        <v>15</v>
      </c>
      <c r="J151" s="53" t="s">
        <v>238</v>
      </c>
      <c r="K151" s="118">
        <v>9</v>
      </c>
      <c r="L151" s="111" t="s">
        <v>1581</v>
      </c>
      <c r="O151" s="116" t="s">
        <v>1537</v>
      </c>
      <c r="Q151" s="23"/>
      <c r="R151" s="23"/>
    </row>
    <row r="152" spans="2:18" ht="15.75" customHeight="1" x14ac:dyDescent="0.15">
      <c r="B152" s="53" t="s">
        <v>61</v>
      </c>
      <c r="C152" s="263">
        <v>43938</v>
      </c>
      <c r="D152" s="53" t="s">
        <v>1559</v>
      </c>
      <c r="E152" s="53" t="s">
        <v>27</v>
      </c>
      <c r="F152" s="147">
        <v>0.2</v>
      </c>
      <c r="G152" s="53" t="s">
        <v>28</v>
      </c>
      <c r="H152" s="53" t="s">
        <v>1177</v>
      </c>
      <c r="I152" s="53" t="s">
        <v>334</v>
      </c>
      <c r="J152" s="53" t="s">
        <v>3051</v>
      </c>
      <c r="K152" s="118">
        <v>5.5</v>
      </c>
      <c r="L152" s="111" t="s">
        <v>1560</v>
      </c>
      <c r="O152" s="116" t="s">
        <v>1496</v>
      </c>
      <c r="Q152" s="23"/>
      <c r="R152" s="23"/>
    </row>
    <row r="153" spans="2:18" ht="15.75" customHeight="1" x14ac:dyDescent="0.15">
      <c r="B153" s="53" t="s">
        <v>38</v>
      </c>
      <c r="C153" s="263">
        <v>43938</v>
      </c>
      <c r="D153" s="53" t="s">
        <v>1946</v>
      </c>
      <c r="E153" s="53" t="s">
        <v>190</v>
      </c>
      <c r="F153" s="147" t="s">
        <v>1967</v>
      </c>
      <c r="G153" s="53" t="s">
        <v>161</v>
      </c>
      <c r="H153" s="53" t="s">
        <v>1177</v>
      </c>
      <c r="I153" s="53" t="s">
        <v>335</v>
      </c>
      <c r="J153" s="53" t="s">
        <v>238</v>
      </c>
      <c r="K153" s="118">
        <v>8</v>
      </c>
      <c r="L153" s="111" t="s">
        <v>1966</v>
      </c>
      <c r="O153" s="116" t="s">
        <v>1468</v>
      </c>
      <c r="Q153" s="23"/>
      <c r="R153" s="23"/>
    </row>
    <row r="154" spans="2:18" ht="15.75" customHeight="1" x14ac:dyDescent="0.15">
      <c r="B154" s="53" t="s">
        <v>45</v>
      </c>
      <c r="C154" s="263">
        <v>43938</v>
      </c>
      <c r="D154" s="53" t="s">
        <v>1591</v>
      </c>
      <c r="E154" s="53" t="s">
        <v>6</v>
      </c>
      <c r="F154" s="147">
        <v>6.8000000000000005E-2</v>
      </c>
      <c r="G154" s="53" t="s">
        <v>1177</v>
      </c>
      <c r="H154" s="53" t="s">
        <v>1177</v>
      </c>
      <c r="I154" s="53" t="s">
        <v>25</v>
      </c>
      <c r="J154" s="53" t="s">
        <v>336</v>
      </c>
      <c r="K154" s="118">
        <v>7.5</v>
      </c>
      <c r="L154" s="111" t="s">
        <v>1592</v>
      </c>
      <c r="O154" s="116" t="s">
        <v>1592</v>
      </c>
      <c r="Q154" s="23"/>
      <c r="R154" s="23"/>
    </row>
    <row r="155" spans="2:18" ht="15.75" customHeight="1" x14ac:dyDescent="0.15">
      <c r="B155" s="53" t="s">
        <v>35</v>
      </c>
      <c r="C155" s="263">
        <v>43938</v>
      </c>
      <c r="D155" s="53" t="s">
        <v>178</v>
      </c>
      <c r="E155" s="53" t="s">
        <v>6</v>
      </c>
      <c r="F155" s="147">
        <v>3.7999999999999999E-2</v>
      </c>
      <c r="G155" s="53" t="s">
        <v>1177</v>
      </c>
      <c r="H155" s="53" t="s">
        <v>1177</v>
      </c>
      <c r="I155" s="53" t="s">
        <v>337</v>
      </c>
      <c r="J155" s="53" t="s">
        <v>111</v>
      </c>
      <c r="K155" s="118">
        <v>7</v>
      </c>
      <c r="L155" s="111" t="s">
        <v>666</v>
      </c>
      <c r="O155" s="116" t="s">
        <v>666</v>
      </c>
      <c r="Q155" s="23"/>
      <c r="R155" s="23"/>
    </row>
    <row r="156" spans="2:18" ht="15.75" customHeight="1" x14ac:dyDescent="0.15">
      <c r="B156" s="53" t="s">
        <v>73</v>
      </c>
      <c r="C156" s="263">
        <v>43938</v>
      </c>
      <c r="D156" s="53" t="s">
        <v>1631</v>
      </c>
      <c r="E156" s="53" t="s">
        <v>65</v>
      </c>
      <c r="F156" s="147">
        <v>0.375</v>
      </c>
      <c r="G156" s="53" t="s">
        <v>121</v>
      </c>
      <c r="H156" s="53" t="s">
        <v>1177</v>
      </c>
      <c r="I156" s="53" t="s">
        <v>3536</v>
      </c>
      <c r="J156" s="53" t="s">
        <v>202</v>
      </c>
      <c r="K156" s="118">
        <v>9.5</v>
      </c>
      <c r="L156" s="111" t="s">
        <v>1536</v>
      </c>
      <c r="O156" s="116" t="s">
        <v>1537</v>
      </c>
      <c r="Q156" s="23"/>
      <c r="R156" s="23"/>
    </row>
    <row r="157" spans="2:18" ht="15.75" customHeight="1" x14ac:dyDescent="0.15">
      <c r="B157" s="53" t="s">
        <v>179</v>
      </c>
      <c r="C157" s="263">
        <v>43938</v>
      </c>
      <c r="D157" s="53" t="s">
        <v>180</v>
      </c>
      <c r="E157" s="53" t="s">
        <v>36</v>
      </c>
      <c r="F157" s="147">
        <v>0.4</v>
      </c>
      <c r="G157" s="53" t="s">
        <v>28</v>
      </c>
      <c r="H157" s="53" t="s">
        <v>1177</v>
      </c>
      <c r="I157" s="53" t="s">
        <v>338</v>
      </c>
      <c r="J157" s="53" t="s">
        <v>260</v>
      </c>
      <c r="K157" s="118">
        <v>4.5</v>
      </c>
      <c r="L157" s="111" t="s">
        <v>1593</v>
      </c>
      <c r="O157" s="116" t="s">
        <v>1594</v>
      </c>
      <c r="Q157" s="23"/>
      <c r="R157" s="23"/>
    </row>
    <row r="158" spans="2:18" ht="15.75" customHeight="1" x14ac:dyDescent="0.15">
      <c r="B158" s="53" t="s">
        <v>26</v>
      </c>
      <c r="C158" s="263">
        <v>43938</v>
      </c>
      <c r="D158" s="53" t="s">
        <v>1595</v>
      </c>
      <c r="E158" s="53" t="s">
        <v>34</v>
      </c>
      <c r="F158" s="147">
        <v>0.04</v>
      </c>
      <c r="G158" s="53" t="s">
        <v>1177</v>
      </c>
      <c r="H158" s="53" t="s">
        <v>1177</v>
      </c>
      <c r="I158" s="53" t="s">
        <v>20</v>
      </c>
      <c r="J158" s="53" t="s">
        <v>339</v>
      </c>
      <c r="K158" s="118">
        <v>8.5</v>
      </c>
      <c r="L158" s="111" t="s">
        <v>1472</v>
      </c>
      <c r="O158" s="116" t="s">
        <v>1455</v>
      </c>
      <c r="Q158" s="23"/>
      <c r="R158" s="23"/>
    </row>
    <row r="159" spans="2:18" ht="15.75" customHeight="1" x14ac:dyDescent="0.15">
      <c r="B159" s="53" t="s">
        <v>67</v>
      </c>
      <c r="C159" s="263">
        <v>43938</v>
      </c>
      <c r="D159" s="53" t="s">
        <v>181</v>
      </c>
      <c r="E159" s="53" t="s">
        <v>6</v>
      </c>
      <c r="F159" s="147">
        <v>4.9000000000000002E-2</v>
      </c>
      <c r="G159" s="53" t="s">
        <v>1177</v>
      </c>
      <c r="H159" s="53" t="s">
        <v>1177</v>
      </c>
      <c r="I159" s="53" t="s">
        <v>272</v>
      </c>
      <c r="J159" s="53" t="s">
        <v>230</v>
      </c>
      <c r="K159" s="118">
        <v>6</v>
      </c>
      <c r="L159" s="111" t="s">
        <v>1596</v>
      </c>
      <c r="O159" s="116" t="s">
        <v>1596</v>
      </c>
      <c r="Q159" s="23"/>
      <c r="R159" s="23"/>
    </row>
    <row r="160" spans="2:18" ht="15.75" customHeight="1" x14ac:dyDescent="0.15">
      <c r="B160" s="53" t="s">
        <v>67</v>
      </c>
      <c r="C160" s="263">
        <v>43938</v>
      </c>
      <c r="D160" s="53" t="s">
        <v>182</v>
      </c>
      <c r="E160" s="53" t="s">
        <v>90</v>
      </c>
      <c r="F160" s="147">
        <v>0</v>
      </c>
      <c r="G160" s="53" t="s">
        <v>1177</v>
      </c>
      <c r="H160" s="53" t="s">
        <v>1177</v>
      </c>
      <c r="I160" s="53" t="s">
        <v>313</v>
      </c>
      <c r="J160" s="53" t="s">
        <v>227</v>
      </c>
      <c r="K160" s="118">
        <v>7</v>
      </c>
      <c r="L160" s="111" t="s">
        <v>1597</v>
      </c>
      <c r="O160" s="116" t="s">
        <v>1598</v>
      </c>
      <c r="Q160" s="23"/>
      <c r="R160" s="23"/>
    </row>
    <row r="161" spans="2:18" ht="15.75" customHeight="1" x14ac:dyDescent="0.15">
      <c r="B161" s="53" t="s">
        <v>35</v>
      </c>
      <c r="C161" s="263">
        <v>43938</v>
      </c>
      <c r="D161" s="53" t="s">
        <v>138</v>
      </c>
      <c r="E161" s="53" t="s">
        <v>6</v>
      </c>
      <c r="F161" s="147">
        <v>5.6000000000000001E-2</v>
      </c>
      <c r="G161" s="53" t="s">
        <v>1177</v>
      </c>
      <c r="H161" s="53" t="s">
        <v>1177</v>
      </c>
      <c r="I161" s="53" t="s">
        <v>340</v>
      </c>
      <c r="J161" s="53" t="s">
        <v>341</v>
      </c>
      <c r="K161" s="118">
        <v>6</v>
      </c>
      <c r="L161" s="111" t="s">
        <v>1535</v>
      </c>
      <c r="O161" s="116" t="s">
        <v>1535</v>
      </c>
      <c r="Q161" s="23"/>
      <c r="R161" s="23"/>
    </row>
    <row r="162" spans="2:18" ht="15.75" customHeight="1" x14ac:dyDescent="0.15">
      <c r="B162" s="53" t="s">
        <v>45</v>
      </c>
      <c r="C162" s="263">
        <v>43938</v>
      </c>
      <c r="D162" s="53" t="s">
        <v>183</v>
      </c>
      <c r="E162" s="53" t="s">
        <v>6</v>
      </c>
      <c r="F162" s="147">
        <v>4.3999999999999997E-2</v>
      </c>
      <c r="G162" s="53" t="s">
        <v>1177</v>
      </c>
      <c r="H162" s="53" t="s">
        <v>1177</v>
      </c>
      <c r="I162" s="53" t="s">
        <v>342</v>
      </c>
      <c r="J162" s="53" t="s">
        <v>343</v>
      </c>
      <c r="K162" s="118">
        <v>1.5</v>
      </c>
      <c r="L162" s="111" t="s">
        <v>1599</v>
      </c>
      <c r="O162" s="116" t="s">
        <v>1599</v>
      </c>
      <c r="Q162" s="23"/>
      <c r="R162" s="23"/>
    </row>
    <row r="163" spans="2:18" ht="15.75" customHeight="1" x14ac:dyDescent="0.15">
      <c r="B163" s="53" t="s">
        <v>73</v>
      </c>
      <c r="C163" s="263">
        <v>43938</v>
      </c>
      <c r="D163" s="53" t="s">
        <v>183</v>
      </c>
      <c r="E163" s="53" t="s">
        <v>6</v>
      </c>
      <c r="F163" s="147">
        <v>4.3999999999999997E-2</v>
      </c>
      <c r="G163" s="53" t="s">
        <v>1177</v>
      </c>
      <c r="H163" s="53" t="s">
        <v>1177</v>
      </c>
      <c r="I163" s="53" t="s">
        <v>261</v>
      </c>
      <c r="J163" s="53" t="s">
        <v>344</v>
      </c>
      <c r="K163" s="118">
        <v>0.5</v>
      </c>
      <c r="L163" s="111" t="s">
        <v>1599</v>
      </c>
      <c r="O163" s="116" t="s">
        <v>1599</v>
      </c>
      <c r="Q163" s="23"/>
      <c r="R163" s="23"/>
    </row>
    <row r="164" spans="2:18" ht="15.75" customHeight="1" x14ac:dyDescent="0.15">
      <c r="B164" s="53" t="s">
        <v>73</v>
      </c>
      <c r="C164" s="263">
        <v>43938</v>
      </c>
      <c r="D164" s="53" t="s">
        <v>184</v>
      </c>
      <c r="E164" s="53" t="s">
        <v>27</v>
      </c>
      <c r="F164" s="147">
        <v>0.4</v>
      </c>
      <c r="G164" s="53" t="s">
        <v>121</v>
      </c>
      <c r="H164" s="53" t="s">
        <v>1177</v>
      </c>
      <c r="I164" s="53" t="s">
        <v>47</v>
      </c>
      <c r="J164" s="53" t="s">
        <v>223</v>
      </c>
      <c r="K164" s="118">
        <v>7</v>
      </c>
      <c r="L164" s="111" t="s">
        <v>365</v>
      </c>
      <c r="O164" s="116" t="s">
        <v>1558</v>
      </c>
      <c r="Q164" s="23"/>
      <c r="R164" s="23"/>
    </row>
    <row r="165" spans="2:18" ht="15.75" customHeight="1" x14ac:dyDescent="0.15">
      <c r="B165" s="53" t="s">
        <v>179</v>
      </c>
      <c r="C165" s="263">
        <v>43938</v>
      </c>
      <c r="D165" s="53" t="s">
        <v>105</v>
      </c>
      <c r="E165" s="53" t="s">
        <v>12</v>
      </c>
      <c r="F165" s="147">
        <v>0.4</v>
      </c>
      <c r="G165" s="53" t="s">
        <v>401</v>
      </c>
      <c r="H165" s="53" t="s">
        <v>1177</v>
      </c>
      <c r="I165" s="53" t="s">
        <v>188</v>
      </c>
      <c r="J165" s="53" t="s">
        <v>345</v>
      </c>
      <c r="K165" s="118">
        <v>7</v>
      </c>
      <c r="L165" s="111" t="s">
        <v>1506</v>
      </c>
      <c r="O165" s="116" t="s">
        <v>1507</v>
      </c>
      <c r="P165" s="23" t="s">
        <v>3253</v>
      </c>
      <c r="Q165" s="23"/>
      <c r="R165" s="23"/>
    </row>
    <row r="166" spans="2:18" ht="15.75" customHeight="1" x14ac:dyDescent="0.15">
      <c r="B166" s="53" t="s">
        <v>18</v>
      </c>
      <c r="C166" s="263">
        <v>43938</v>
      </c>
      <c r="D166" s="53" t="s">
        <v>1600</v>
      </c>
      <c r="E166" s="53" t="s">
        <v>6</v>
      </c>
      <c r="F166" s="147">
        <v>4.3999999999999997E-2</v>
      </c>
      <c r="G166" s="53" t="s">
        <v>1177</v>
      </c>
      <c r="H166" s="53" t="s">
        <v>1177</v>
      </c>
      <c r="I166" s="53" t="s">
        <v>185</v>
      </c>
      <c r="J166" s="53" t="s">
        <v>346</v>
      </c>
      <c r="K166" s="118">
        <v>8</v>
      </c>
      <c r="L166" s="111" t="s">
        <v>2581</v>
      </c>
      <c r="O166" s="116" t="s">
        <v>2778</v>
      </c>
      <c r="Q166" s="23"/>
      <c r="R166" s="23"/>
    </row>
    <row r="167" spans="2:18" ht="15.75" customHeight="1" x14ac:dyDescent="0.15">
      <c r="B167" s="53" t="s">
        <v>45</v>
      </c>
      <c r="C167" s="263">
        <v>43938</v>
      </c>
      <c r="D167" s="53" t="s">
        <v>1631</v>
      </c>
      <c r="E167" s="53" t="s">
        <v>65</v>
      </c>
      <c r="F167" s="147">
        <v>0.375</v>
      </c>
      <c r="G167" s="53" t="s">
        <v>28</v>
      </c>
      <c r="H167" s="53" t="s">
        <v>1177</v>
      </c>
      <c r="I167" s="53" t="s">
        <v>201</v>
      </c>
      <c r="J167" s="53" t="s">
        <v>347</v>
      </c>
      <c r="K167" s="118">
        <v>6</v>
      </c>
      <c r="L167" s="111" t="s">
        <v>1536</v>
      </c>
      <c r="O167" s="116" t="s">
        <v>1537</v>
      </c>
      <c r="Q167" s="23"/>
      <c r="R167" s="23"/>
    </row>
    <row r="168" spans="2:18" ht="15.75" customHeight="1" x14ac:dyDescent="0.15">
      <c r="B168" s="53" t="s">
        <v>61</v>
      </c>
      <c r="C168" s="263">
        <v>43938</v>
      </c>
      <c r="D168" s="53" t="s">
        <v>105</v>
      </c>
      <c r="E168" s="53" t="s">
        <v>12</v>
      </c>
      <c r="F168" s="147">
        <v>0.4</v>
      </c>
      <c r="G168" s="53" t="s">
        <v>401</v>
      </c>
      <c r="H168" s="53" t="s">
        <v>1177</v>
      </c>
      <c r="I168" s="53" t="s">
        <v>233</v>
      </c>
      <c r="J168" s="53" t="s">
        <v>348</v>
      </c>
      <c r="K168" s="118">
        <v>7.5</v>
      </c>
      <c r="L168" s="111" t="s">
        <v>1506</v>
      </c>
      <c r="O168" s="116" t="s">
        <v>1507</v>
      </c>
      <c r="P168" s="23" t="s">
        <v>3249</v>
      </c>
      <c r="Q168" s="23"/>
      <c r="R168" s="23"/>
    </row>
    <row r="169" spans="2:18" ht="15.75" customHeight="1" x14ac:dyDescent="0.15">
      <c r="B169" s="53" t="s">
        <v>18</v>
      </c>
      <c r="C169" s="263">
        <v>43938</v>
      </c>
      <c r="D169" s="53" t="s">
        <v>1601</v>
      </c>
      <c r="E169" s="53" t="s">
        <v>190</v>
      </c>
      <c r="F169" s="147">
        <v>0.04</v>
      </c>
      <c r="G169" s="53" t="s">
        <v>1177</v>
      </c>
      <c r="H169" s="53" t="s">
        <v>1177</v>
      </c>
      <c r="I169" s="53" t="s">
        <v>349</v>
      </c>
      <c r="J169" s="53" t="s">
        <v>350</v>
      </c>
      <c r="K169" s="118">
        <v>4</v>
      </c>
      <c r="L169" s="111" t="s">
        <v>1602</v>
      </c>
      <c r="O169" s="116" t="s">
        <v>1455</v>
      </c>
      <c r="Q169" s="23"/>
      <c r="R169" s="23"/>
    </row>
    <row r="170" spans="2:18" ht="15.75" customHeight="1" x14ac:dyDescent="0.15">
      <c r="B170" s="53" t="s">
        <v>61</v>
      </c>
      <c r="C170" s="263">
        <v>43938</v>
      </c>
      <c r="D170" s="53" t="s">
        <v>173</v>
      </c>
      <c r="E170" s="53" t="s">
        <v>90</v>
      </c>
      <c r="F170" s="147">
        <v>0</v>
      </c>
      <c r="G170" s="53" t="s">
        <v>1177</v>
      </c>
      <c r="H170" s="53" t="s">
        <v>1177</v>
      </c>
      <c r="I170" s="53" t="s">
        <v>351</v>
      </c>
      <c r="J170" s="53" t="s">
        <v>352</v>
      </c>
      <c r="K170" s="118">
        <v>9</v>
      </c>
      <c r="L170" s="111" t="s">
        <v>1566</v>
      </c>
      <c r="O170" s="116" t="s">
        <v>1566</v>
      </c>
      <c r="Q170" s="23"/>
      <c r="R170" s="23"/>
    </row>
    <row r="171" spans="2:18" ht="15.75" customHeight="1" x14ac:dyDescent="0.15">
      <c r="B171" s="53" t="s">
        <v>179</v>
      </c>
      <c r="C171" s="263">
        <v>43938</v>
      </c>
      <c r="D171" s="53" t="s">
        <v>152</v>
      </c>
      <c r="E171" s="53" t="s">
        <v>6</v>
      </c>
      <c r="F171" s="147">
        <v>4.5999999999999999E-2</v>
      </c>
      <c r="G171" s="53" t="s">
        <v>1177</v>
      </c>
      <c r="H171" s="53" t="s">
        <v>1177</v>
      </c>
      <c r="I171" s="53" t="s">
        <v>212</v>
      </c>
      <c r="J171" s="53" t="s">
        <v>353</v>
      </c>
      <c r="K171" s="118">
        <v>6</v>
      </c>
      <c r="L171" s="111" t="s">
        <v>1554</v>
      </c>
      <c r="O171" s="116" t="s">
        <v>1555</v>
      </c>
      <c r="Q171" s="23"/>
      <c r="R171" s="23"/>
    </row>
    <row r="172" spans="2:18" ht="15.75" customHeight="1" x14ac:dyDescent="0.15">
      <c r="B172" s="53" t="s">
        <v>67</v>
      </c>
      <c r="C172" s="263">
        <v>43938</v>
      </c>
      <c r="D172" s="53" t="s">
        <v>1603</v>
      </c>
      <c r="E172" s="53" t="s">
        <v>42</v>
      </c>
      <c r="F172" s="147">
        <v>0.125</v>
      </c>
      <c r="G172" s="53" t="s">
        <v>1177</v>
      </c>
      <c r="H172" s="53" t="s">
        <v>1177</v>
      </c>
      <c r="I172" s="53" t="s">
        <v>354</v>
      </c>
      <c r="J172" s="53" t="s">
        <v>262</v>
      </c>
      <c r="K172" s="118">
        <v>7.5</v>
      </c>
      <c r="L172" s="111" t="s">
        <v>2578</v>
      </c>
      <c r="O172" s="116" t="s">
        <v>1604</v>
      </c>
      <c r="P172" s="23" t="s">
        <v>3254</v>
      </c>
      <c r="Q172" s="23"/>
      <c r="R172" s="23"/>
    </row>
    <row r="173" spans="2:18" ht="15.75" customHeight="1" x14ac:dyDescent="0.15">
      <c r="B173" s="53" t="s">
        <v>38</v>
      </c>
      <c r="C173" s="263">
        <v>43938</v>
      </c>
      <c r="D173" s="53" t="s">
        <v>1605</v>
      </c>
      <c r="E173" s="53" t="s">
        <v>42</v>
      </c>
      <c r="F173" s="147">
        <v>0.13500000000000001</v>
      </c>
      <c r="G173" s="53" t="s">
        <v>1177</v>
      </c>
      <c r="H173" s="53" t="s">
        <v>1177</v>
      </c>
      <c r="I173" s="53" t="s">
        <v>82</v>
      </c>
      <c r="J173" s="53" t="s">
        <v>355</v>
      </c>
      <c r="K173" s="118">
        <v>8.5</v>
      </c>
      <c r="L173" s="111" t="s">
        <v>1606</v>
      </c>
      <c r="O173" s="116" t="s">
        <v>1606</v>
      </c>
      <c r="Q173" s="23"/>
      <c r="R173" s="23"/>
    </row>
    <row r="174" spans="2:18" ht="15.75" customHeight="1" x14ac:dyDescent="0.15">
      <c r="B174" s="53" t="s">
        <v>26</v>
      </c>
      <c r="C174" s="263">
        <v>43938</v>
      </c>
      <c r="D174" s="53" t="s">
        <v>186</v>
      </c>
      <c r="E174" s="53" t="s">
        <v>34</v>
      </c>
      <c r="F174" s="147">
        <v>7.2999999999999995E-2</v>
      </c>
      <c r="G174" s="53" t="s">
        <v>1177</v>
      </c>
      <c r="H174" s="53" t="s">
        <v>1177</v>
      </c>
      <c r="I174" s="53" t="s">
        <v>356</v>
      </c>
      <c r="J174" s="53" t="s">
        <v>357</v>
      </c>
      <c r="K174" s="118">
        <v>7.5</v>
      </c>
      <c r="L174" s="111" t="s">
        <v>1607</v>
      </c>
      <c r="O174" s="116" t="s">
        <v>1608</v>
      </c>
      <c r="Q174" s="23"/>
      <c r="R174" s="23"/>
    </row>
    <row r="175" spans="2:18" ht="15.75" customHeight="1" x14ac:dyDescent="0.15">
      <c r="B175" s="53" t="s">
        <v>35</v>
      </c>
      <c r="C175" s="263">
        <v>43938</v>
      </c>
      <c r="D175" s="53" t="s">
        <v>1609</v>
      </c>
      <c r="E175" s="53" t="s">
        <v>6</v>
      </c>
      <c r="F175" s="147">
        <v>4.2999999999999997E-2</v>
      </c>
      <c r="G175" s="53" t="s">
        <v>1177</v>
      </c>
      <c r="H175" s="53" t="s">
        <v>1177</v>
      </c>
      <c r="I175" s="53" t="s">
        <v>243</v>
      </c>
      <c r="J175" s="53" t="s">
        <v>188</v>
      </c>
      <c r="K175" s="118">
        <v>7</v>
      </c>
      <c r="L175" s="111" t="s">
        <v>1517</v>
      </c>
      <c r="O175" s="116" t="s">
        <v>1517</v>
      </c>
      <c r="Q175" s="23"/>
      <c r="R175" s="23"/>
    </row>
    <row r="176" spans="2:18" ht="15.75" customHeight="1" x14ac:dyDescent="0.15">
      <c r="B176" s="53" t="s">
        <v>179</v>
      </c>
      <c r="C176" s="263">
        <v>43938</v>
      </c>
      <c r="D176" s="53" t="s">
        <v>1610</v>
      </c>
      <c r="E176" s="53" t="s">
        <v>36</v>
      </c>
      <c r="F176" s="147">
        <v>0.4</v>
      </c>
      <c r="G176" s="53" t="s">
        <v>28</v>
      </c>
      <c r="H176" s="53" t="s">
        <v>1177</v>
      </c>
      <c r="I176" s="53" t="s">
        <v>358</v>
      </c>
      <c r="J176" s="53" t="s">
        <v>359</v>
      </c>
      <c r="K176" s="118">
        <v>6</v>
      </c>
      <c r="L176" s="111" t="s">
        <v>1610</v>
      </c>
      <c r="O176" s="116" t="s">
        <v>1594</v>
      </c>
      <c r="Q176" s="23"/>
      <c r="R176" s="23"/>
    </row>
    <row r="177" spans="2:18" ht="15.75" customHeight="1" x14ac:dyDescent="0.15">
      <c r="B177" s="53" t="s">
        <v>73</v>
      </c>
      <c r="C177" s="263">
        <v>43938</v>
      </c>
      <c r="D177" s="53" t="s">
        <v>1631</v>
      </c>
      <c r="E177" s="53" t="s">
        <v>65</v>
      </c>
      <c r="F177" s="147">
        <v>0.375</v>
      </c>
      <c r="G177" s="53" t="s">
        <v>187</v>
      </c>
      <c r="H177" s="53" t="s">
        <v>1177</v>
      </c>
      <c r="I177" s="53" t="s">
        <v>188</v>
      </c>
      <c r="J177" s="53" t="s">
        <v>268</v>
      </c>
      <c r="K177" s="118">
        <v>10</v>
      </c>
      <c r="L177" s="111" t="s">
        <v>1536</v>
      </c>
      <c r="O177" s="116" t="s">
        <v>1537</v>
      </c>
      <c r="Q177" s="23"/>
      <c r="R177" s="23"/>
    </row>
    <row r="178" spans="2:18" ht="15.75" customHeight="1" x14ac:dyDescent="0.15">
      <c r="B178" s="53" t="s">
        <v>75</v>
      </c>
      <c r="C178" s="263">
        <v>43945</v>
      </c>
      <c r="D178" s="53" t="s">
        <v>360</v>
      </c>
      <c r="E178" s="53" t="s">
        <v>42</v>
      </c>
      <c r="F178" s="147">
        <v>0.11</v>
      </c>
      <c r="G178" s="53" t="s">
        <v>1177</v>
      </c>
      <c r="H178" s="53" t="s">
        <v>1177</v>
      </c>
      <c r="I178" s="53" t="s">
        <v>74</v>
      </c>
      <c r="J178" s="53" t="s">
        <v>14</v>
      </c>
      <c r="K178" s="115">
        <v>6</v>
      </c>
      <c r="L178" s="111" t="s">
        <v>1611</v>
      </c>
      <c r="O178" s="116" t="s">
        <v>1612</v>
      </c>
      <c r="Q178" s="23"/>
      <c r="R178" s="23"/>
    </row>
    <row r="179" spans="2:18" ht="15.75" customHeight="1" x14ac:dyDescent="0.15">
      <c r="B179" s="53" t="s">
        <v>26</v>
      </c>
      <c r="C179" s="263">
        <v>43945</v>
      </c>
      <c r="D179" s="53" t="s">
        <v>1613</v>
      </c>
      <c r="E179" s="53" t="s">
        <v>34</v>
      </c>
      <c r="F179" s="147">
        <v>7.0000000000000007E-2</v>
      </c>
      <c r="G179" s="53" t="s">
        <v>1177</v>
      </c>
      <c r="H179" s="53" t="s">
        <v>1177</v>
      </c>
      <c r="I179" s="53" t="s">
        <v>2156</v>
      </c>
      <c r="J179" s="53" t="s">
        <v>2339</v>
      </c>
      <c r="K179" s="115">
        <v>7.5</v>
      </c>
      <c r="L179" s="111" t="s">
        <v>1614</v>
      </c>
      <c r="O179" s="116" t="s">
        <v>1615</v>
      </c>
      <c r="Q179" s="23"/>
      <c r="R179" s="23"/>
    </row>
    <row r="180" spans="2:18" ht="15.75" customHeight="1" x14ac:dyDescent="0.15">
      <c r="B180" s="53" t="s">
        <v>361</v>
      </c>
      <c r="C180" s="263">
        <v>43945</v>
      </c>
      <c r="D180" s="53" t="s">
        <v>362</v>
      </c>
      <c r="E180" s="53" t="s">
        <v>34</v>
      </c>
      <c r="F180" s="147">
        <v>5.5E-2</v>
      </c>
      <c r="G180" s="53" t="s">
        <v>1177</v>
      </c>
      <c r="H180" s="53" t="s">
        <v>1177</v>
      </c>
      <c r="I180" s="53" t="s">
        <v>2157</v>
      </c>
      <c r="J180" s="53" t="s">
        <v>1046</v>
      </c>
      <c r="K180" s="115">
        <v>7</v>
      </c>
      <c r="L180" s="111" t="s">
        <v>1616</v>
      </c>
      <c r="O180" s="116" t="s">
        <v>1586</v>
      </c>
      <c r="Q180" s="23"/>
      <c r="R180" s="23"/>
    </row>
    <row r="181" spans="2:18" ht="15.75" customHeight="1" x14ac:dyDescent="0.15">
      <c r="B181" s="53" t="s">
        <v>45</v>
      </c>
      <c r="C181" s="263">
        <v>43945</v>
      </c>
      <c r="D181" s="53" t="s">
        <v>363</v>
      </c>
      <c r="E181" s="53" t="s">
        <v>6</v>
      </c>
      <c r="F181" s="147">
        <v>0.04</v>
      </c>
      <c r="G181" s="53" t="s">
        <v>1177</v>
      </c>
      <c r="H181" s="53" t="s">
        <v>1177</v>
      </c>
      <c r="I181" s="53" t="s">
        <v>308</v>
      </c>
      <c r="J181" s="53" t="s">
        <v>3486</v>
      </c>
      <c r="K181" s="115">
        <v>4.5</v>
      </c>
      <c r="L181" s="111" t="s">
        <v>1617</v>
      </c>
      <c r="O181" s="116" t="s">
        <v>667</v>
      </c>
      <c r="Q181" s="23"/>
      <c r="R181" s="23"/>
    </row>
    <row r="182" spans="2:18" ht="15.75" customHeight="1" x14ac:dyDescent="0.15">
      <c r="B182" s="53" t="s">
        <v>73</v>
      </c>
      <c r="C182" s="263">
        <v>43945</v>
      </c>
      <c r="D182" s="53" t="s">
        <v>1618</v>
      </c>
      <c r="E182" s="53" t="s">
        <v>6</v>
      </c>
      <c r="F182" s="147">
        <v>6.8000000000000005E-2</v>
      </c>
      <c r="G182" s="53" t="s">
        <v>1177</v>
      </c>
      <c r="H182" s="53" t="s">
        <v>1177</v>
      </c>
      <c r="I182" s="53" t="s">
        <v>371</v>
      </c>
      <c r="J182" s="53" t="s">
        <v>188</v>
      </c>
      <c r="K182" s="115">
        <v>7.5</v>
      </c>
      <c r="L182" s="111" t="s">
        <v>2698</v>
      </c>
      <c r="O182" s="116" t="s">
        <v>1461</v>
      </c>
      <c r="Q182" s="23"/>
      <c r="R182" s="23"/>
    </row>
    <row r="183" spans="2:18" ht="15.75" customHeight="1" x14ac:dyDescent="0.15">
      <c r="B183" s="53" t="s">
        <v>35</v>
      </c>
      <c r="C183" s="263">
        <v>43945</v>
      </c>
      <c r="D183" s="53" t="s">
        <v>364</v>
      </c>
      <c r="E183" s="53" t="s">
        <v>6</v>
      </c>
      <c r="F183" s="147">
        <v>4.7E-2</v>
      </c>
      <c r="G183" s="53" t="s">
        <v>1177</v>
      </c>
      <c r="H183" s="53" t="s">
        <v>1177</v>
      </c>
      <c r="I183" s="53" t="s">
        <v>368</v>
      </c>
      <c r="J183" s="53" t="s">
        <v>232</v>
      </c>
      <c r="K183" s="115">
        <v>7</v>
      </c>
      <c r="L183" s="111" t="s">
        <v>364</v>
      </c>
      <c r="O183" s="116" t="s">
        <v>1619</v>
      </c>
      <c r="Q183" s="23"/>
      <c r="R183" s="23"/>
    </row>
    <row r="184" spans="2:18" ht="15.75" customHeight="1" x14ac:dyDescent="0.15">
      <c r="B184" s="53" t="s">
        <v>75</v>
      </c>
      <c r="C184" s="263">
        <v>43945</v>
      </c>
      <c r="D184" s="53" t="s">
        <v>2649</v>
      </c>
      <c r="E184" s="53" t="s">
        <v>12</v>
      </c>
      <c r="F184" s="147">
        <v>0.43</v>
      </c>
      <c r="G184" s="53" t="s">
        <v>365</v>
      </c>
      <c r="H184" s="53" t="s">
        <v>366</v>
      </c>
      <c r="I184" s="53" t="s">
        <v>376</v>
      </c>
      <c r="J184" s="53" t="s">
        <v>377</v>
      </c>
      <c r="K184" s="115">
        <v>4</v>
      </c>
      <c r="L184" s="111" t="s">
        <v>1581</v>
      </c>
      <c r="O184" s="116" t="s">
        <v>1537</v>
      </c>
      <c r="Q184" s="23"/>
      <c r="R184" s="23"/>
    </row>
    <row r="185" spans="2:18" ht="15.75" customHeight="1" x14ac:dyDescent="0.15">
      <c r="B185" s="53" t="s">
        <v>18</v>
      </c>
      <c r="C185" s="263">
        <v>43945</v>
      </c>
      <c r="D185" s="53" t="s">
        <v>367</v>
      </c>
      <c r="E185" s="53" t="s">
        <v>6</v>
      </c>
      <c r="F185" s="147">
        <v>0.04</v>
      </c>
      <c r="G185" s="53" t="s">
        <v>1177</v>
      </c>
      <c r="H185" s="53" t="s">
        <v>1177</v>
      </c>
      <c r="I185" s="53" t="s">
        <v>369</v>
      </c>
      <c r="J185" s="53" t="s">
        <v>370</v>
      </c>
      <c r="K185" s="115">
        <v>9</v>
      </c>
      <c r="L185" s="111" t="s">
        <v>1620</v>
      </c>
      <c r="O185" s="116" t="s">
        <v>1621</v>
      </c>
      <c r="Q185" s="23"/>
      <c r="R185" s="23"/>
    </row>
    <row r="186" spans="2:18" ht="15.75" customHeight="1" x14ac:dyDescent="0.15">
      <c r="B186" s="53" t="s">
        <v>18</v>
      </c>
      <c r="C186" s="263">
        <v>43945</v>
      </c>
      <c r="D186" s="53" t="s">
        <v>372</v>
      </c>
      <c r="E186" s="53" t="s">
        <v>6</v>
      </c>
      <c r="F186" s="147">
        <v>5.6000000000000001E-2</v>
      </c>
      <c r="G186" s="53" t="s">
        <v>1177</v>
      </c>
      <c r="H186" s="53" t="s">
        <v>1177</v>
      </c>
      <c r="I186" s="53" t="s">
        <v>2158</v>
      </c>
      <c r="J186" s="53" t="s">
        <v>2184</v>
      </c>
      <c r="K186" s="115">
        <v>6.5</v>
      </c>
      <c r="L186" s="111" t="s">
        <v>1623</v>
      </c>
      <c r="O186" s="116" t="s">
        <v>1622</v>
      </c>
      <c r="Q186" s="23"/>
      <c r="R186" s="23"/>
    </row>
    <row r="187" spans="2:18" ht="15.75" customHeight="1" x14ac:dyDescent="0.15">
      <c r="B187" s="53" t="s">
        <v>35</v>
      </c>
      <c r="C187" s="263">
        <v>43945</v>
      </c>
      <c r="D187" s="53" t="s">
        <v>769</v>
      </c>
      <c r="E187" s="53" t="s">
        <v>6</v>
      </c>
      <c r="F187" s="147">
        <v>7.4999999999999997E-2</v>
      </c>
      <c r="G187" s="53" t="s">
        <v>1177</v>
      </c>
      <c r="H187" s="53" t="s">
        <v>1177</v>
      </c>
      <c r="I187" s="53" t="s">
        <v>384</v>
      </c>
      <c r="J187" s="53" t="s">
        <v>226</v>
      </c>
      <c r="K187" s="115">
        <v>6</v>
      </c>
      <c r="L187" s="111" t="s">
        <v>768</v>
      </c>
      <c r="O187" s="116" t="s">
        <v>1516</v>
      </c>
      <c r="Q187" s="23"/>
      <c r="R187" s="23"/>
    </row>
    <row r="188" spans="2:18" ht="15.75" customHeight="1" x14ac:dyDescent="0.15">
      <c r="B188" s="53" t="s">
        <v>61</v>
      </c>
      <c r="C188" s="263">
        <v>43945</v>
      </c>
      <c r="D188" s="53" t="s">
        <v>373</v>
      </c>
      <c r="E188" s="53" t="s">
        <v>32</v>
      </c>
      <c r="F188" s="147">
        <v>0.38</v>
      </c>
      <c r="G188" s="53" t="s">
        <v>374</v>
      </c>
      <c r="H188" s="53" t="s">
        <v>1177</v>
      </c>
      <c r="I188" s="53" t="s">
        <v>548</v>
      </c>
      <c r="J188" s="53" t="s">
        <v>202</v>
      </c>
      <c r="K188" s="115">
        <v>5</v>
      </c>
      <c r="L188" s="111" t="s">
        <v>1624</v>
      </c>
      <c r="O188" s="116" t="s">
        <v>1537</v>
      </c>
      <c r="Q188" s="23"/>
      <c r="R188" s="23"/>
    </row>
    <row r="189" spans="2:18" ht="15.75" customHeight="1" x14ac:dyDescent="0.15">
      <c r="B189" s="53" t="s">
        <v>26</v>
      </c>
      <c r="C189" s="263">
        <v>43945</v>
      </c>
      <c r="D189" s="53" t="s">
        <v>1625</v>
      </c>
      <c r="E189" s="53" t="s">
        <v>34</v>
      </c>
      <c r="F189" s="147">
        <v>6.8000000000000005E-2</v>
      </c>
      <c r="G189" s="53" t="s">
        <v>1177</v>
      </c>
      <c r="H189" s="53" t="s">
        <v>1177</v>
      </c>
      <c r="I189" s="53" t="s">
        <v>2159</v>
      </c>
      <c r="J189" s="53" t="s">
        <v>185</v>
      </c>
      <c r="K189" s="115">
        <v>9.5</v>
      </c>
      <c r="L189" s="111" t="s">
        <v>1627</v>
      </c>
      <c r="O189" s="116" t="s">
        <v>1626</v>
      </c>
      <c r="Q189" s="23"/>
      <c r="R189" s="23"/>
    </row>
    <row r="190" spans="2:18" ht="15.75" customHeight="1" x14ac:dyDescent="0.15">
      <c r="B190" s="53" t="s">
        <v>361</v>
      </c>
      <c r="C190" s="263">
        <v>43945</v>
      </c>
      <c r="D190" s="53" t="s">
        <v>1484</v>
      </c>
      <c r="E190" s="53" t="s">
        <v>34</v>
      </c>
      <c r="F190" s="147">
        <v>4.4999999999999998E-2</v>
      </c>
      <c r="G190" s="53" t="s">
        <v>1177</v>
      </c>
      <c r="H190" s="53" t="s">
        <v>1177</v>
      </c>
      <c r="I190" s="53" t="s">
        <v>2160</v>
      </c>
      <c r="J190" s="53" t="s">
        <v>3531</v>
      </c>
      <c r="K190" s="115">
        <v>3</v>
      </c>
      <c r="L190" s="111" t="s">
        <v>1483</v>
      </c>
      <c r="O190" s="116" t="s">
        <v>1483</v>
      </c>
      <c r="Q190" s="23"/>
      <c r="R190" s="23"/>
    </row>
    <row r="191" spans="2:18" ht="15.75" customHeight="1" x14ac:dyDescent="0.15">
      <c r="B191" s="53" t="s">
        <v>41</v>
      </c>
      <c r="C191" s="263">
        <v>43945</v>
      </c>
      <c r="D191" s="53" t="s">
        <v>375</v>
      </c>
      <c r="E191" s="53" t="s">
        <v>6</v>
      </c>
      <c r="F191" s="147">
        <v>0.06</v>
      </c>
      <c r="G191" s="53" t="s">
        <v>1177</v>
      </c>
      <c r="H191" s="53" t="s">
        <v>1177</v>
      </c>
      <c r="I191" s="53" t="s">
        <v>132</v>
      </c>
      <c r="J191" s="53" t="s">
        <v>15</v>
      </c>
      <c r="K191" s="115">
        <v>6.5</v>
      </c>
      <c r="L191" s="111" t="s">
        <v>765</v>
      </c>
      <c r="O191" s="116" t="s">
        <v>1569</v>
      </c>
      <c r="Q191" s="23"/>
      <c r="R191" s="23"/>
    </row>
    <row r="192" spans="2:18" ht="15.75" customHeight="1" x14ac:dyDescent="0.15">
      <c r="B192" s="53" t="s">
        <v>45</v>
      </c>
      <c r="C192" s="263">
        <v>43945</v>
      </c>
      <c r="D192" s="53" t="s">
        <v>1628</v>
      </c>
      <c r="E192" s="53" t="s">
        <v>6</v>
      </c>
      <c r="F192" s="147">
        <v>6.4000000000000001E-2</v>
      </c>
      <c r="G192" s="53" t="s">
        <v>1177</v>
      </c>
      <c r="H192" s="53" t="s">
        <v>1177</v>
      </c>
      <c r="I192" s="53" t="s">
        <v>25</v>
      </c>
      <c r="J192" s="53" t="s">
        <v>71</v>
      </c>
      <c r="K192" s="115">
        <v>7.5</v>
      </c>
      <c r="L192" s="111" t="s">
        <v>1629</v>
      </c>
      <c r="O192" s="111" t="s">
        <v>1629</v>
      </c>
      <c r="Q192" s="23"/>
      <c r="R192" s="23"/>
    </row>
    <row r="193" spans="2:18" ht="15.75" customHeight="1" x14ac:dyDescent="0.15">
      <c r="B193" s="53" t="s">
        <v>73</v>
      </c>
      <c r="C193" s="263">
        <v>43945</v>
      </c>
      <c r="D193" s="53" t="s">
        <v>1628</v>
      </c>
      <c r="E193" s="53" t="s">
        <v>6</v>
      </c>
      <c r="F193" s="147">
        <v>6.4000000000000001E-2</v>
      </c>
      <c r="G193" s="53" t="s">
        <v>1177</v>
      </c>
      <c r="H193" s="53" t="s">
        <v>1177</v>
      </c>
      <c r="I193" s="53" t="s">
        <v>194</v>
      </c>
      <c r="J193" s="53" t="s">
        <v>193</v>
      </c>
      <c r="K193" s="115">
        <v>6</v>
      </c>
      <c r="L193" s="111" t="s">
        <v>1629</v>
      </c>
      <c r="O193" s="111" t="s">
        <v>1629</v>
      </c>
      <c r="Q193" s="23"/>
      <c r="R193" s="23"/>
    </row>
    <row r="194" spans="2:18" ht="15.75" customHeight="1" x14ac:dyDescent="0.15">
      <c r="B194" s="53" t="s">
        <v>18</v>
      </c>
      <c r="C194" s="263">
        <v>43945</v>
      </c>
      <c r="D194" s="53" t="s">
        <v>378</v>
      </c>
      <c r="E194" s="53" t="s">
        <v>65</v>
      </c>
      <c r="F194" s="147">
        <v>0.375</v>
      </c>
      <c r="G194" s="53" t="s">
        <v>374</v>
      </c>
      <c r="H194" s="53" t="s">
        <v>379</v>
      </c>
      <c r="I194" s="53" t="s">
        <v>1914</v>
      </c>
      <c r="J194" s="53" t="s">
        <v>2340</v>
      </c>
      <c r="K194" s="115">
        <v>6</v>
      </c>
      <c r="L194" s="111" t="s">
        <v>1589</v>
      </c>
      <c r="O194" s="116" t="s">
        <v>1589</v>
      </c>
      <c r="Q194" s="23"/>
      <c r="R194" s="23"/>
    </row>
    <row r="195" spans="2:18" ht="15.75" customHeight="1" x14ac:dyDescent="0.15">
      <c r="B195" s="53" t="s">
        <v>61</v>
      </c>
      <c r="C195" s="263">
        <v>43945</v>
      </c>
      <c r="D195" s="53" t="s">
        <v>68</v>
      </c>
      <c r="E195" s="53" t="s">
        <v>32</v>
      </c>
      <c r="F195" s="147">
        <v>0.375</v>
      </c>
      <c r="G195" s="53" t="s">
        <v>380</v>
      </c>
      <c r="H195" s="53" t="s">
        <v>1177</v>
      </c>
      <c r="I195" s="53" t="s">
        <v>2161</v>
      </c>
      <c r="J195" s="53" t="s">
        <v>810</v>
      </c>
      <c r="K195" s="115">
        <v>6.5</v>
      </c>
      <c r="L195" s="111" t="s">
        <v>766</v>
      </c>
      <c r="O195" s="116" t="s">
        <v>1516</v>
      </c>
      <c r="Q195" s="23"/>
      <c r="R195" s="23"/>
    </row>
    <row r="196" spans="2:18" ht="15.75" customHeight="1" x14ac:dyDescent="0.15">
      <c r="B196" s="53" t="s">
        <v>75</v>
      </c>
      <c r="C196" s="263">
        <v>43945</v>
      </c>
      <c r="D196" s="53" t="s">
        <v>535</v>
      </c>
      <c r="E196" s="53" t="s">
        <v>12</v>
      </c>
      <c r="F196" s="147">
        <v>0.375</v>
      </c>
      <c r="G196" s="53" t="s">
        <v>380</v>
      </c>
      <c r="H196" s="53" t="s">
        <v>374</v>
      </c>
      <c r="I196" s="53" t="s">
        <v>2162</v>
      </c>
      <c r="J196" s="53" t="s">
        <v>2341</v>
      </c>
      <c r="K196" s="115">
        <v>7</v>
      </c>
      <c r="L196" s="111" t="s">
        <v>767</v>
      </c>
      <c r="O196" s="116" t="s">
        <v>1516</v>
      </c>
      <c r="Q196" s="23"/>
      <c r="R196" s="23"/>
    </row>
    <row r="197" spans="2:18" ht="15.75" customHeight="1" x14ac:dyDescent="0.15">
      <c r="B197" s="53" t="s">
        <v>41</v>
      </c>
      <c r="C197" s="263">
        <v>43945</v>
      </c>
      <c r="D197" s="53" t="s">
        <v>3466</v>
      </c>
      <c r="E197" s="53" t="s">
        <v>65</v>
      </c>
      <c r="F197" s="147">
        <v>0.35</v>
      </c>
      <c r="G197" s="53" t="s">
        <v>381</v>
      </c>
      <c r="H197" s="53" t="s">
        <v>1177</v>
      </c>
      <c r="I197" s="53" t="s">
        <v>2163</v>
      </c>
      <c r="J197" s="53" t="s">
        <v>775</v>
      </c>
      <c r="K197" s="115">
        <v>5</v>
      </c>
      <c r="L197" s="111" t="s">
        <v>1587</v>
      </c>
      <c r="O197" s="116" t="s">
        <v>1516</v>
      </c>
      <c r="Q197" s="23"/>
      <c r="R197" s="23"/>
    </row>
    <row r="198" spans="2:18" ht="15.75" customHeight="1" x14ac:dyDescent="0.15">
      <c r="B198" s="53" t="s">
        <v>26</v>
      </c>
      <c r="C198" s="263">
        <v>43945</v>
      </c>
      <c r="D198" s="53" t="s">
        <v>382</v>
      </c>
      <c r="E198" s="53" t="s">
        <v>34</v>
      </c>
      <c r="F198" s="147">
        <v>4.4999999999999998E-2</v>
      </c>
      <c r="G198" s="53" t="s">
        <v>1177</v>
      </c>
      <c r="H198" s="53" t="s">
        <v>1177</v>
      </c>
      <c r="I198" s="53" t="s">
        <v>93</v>
      </c>
      <c r="J198" s="53" t="s">
        <v>689</v>
      </c>
      <c r="K198" s="115">
        <v>7.5</v>
      </c>
      <c r="L198" s="111" t="s">
        <v>382</v>
      </c>
      <c r="O198" s="116" t="s">
        <v>1481</v>
      </c>
      <c r="Q198" s="23"/>
      <c r="R198" s="23"/>
    </row>
    <row r="199" spans="2:18" ht="15.75" customHeight="1" x14ac:dyDescent="0.15">
      <c r="B199" s="53" t="s">
        <v>75</v>
      </c>
      <c r="C199" s="263">
        <v>43945</v>
      </c>
      <c r="D199" s="53" t="s">
        <v>2649</v>
      </c>
      <c r="E199" s="53" t="s">
        <v>12</v>
      </c>
      <c r="F199" s="232">
        <v>0.43</v>
      </c>
      <c r="G199" s="53" t="s">
        <v>387</v>
      </c>
      <c r="H199" s="53" t="s">
        <v>69</v>
      </c>
      <c r="I199" s="53" t="s">
        <v>388</v>
      </c>
      <c r="J199" s="53" t="s">
        <v>15</v>
      </c>
      <c r="K199" s="115">
        <v>8</v>
      </c>
      <c r="L199" s="111" t="s">
        <v>1581</v>
      </c>
      <c r="O199" s="116" t="s">
        <v>1537</v>
      </c>
      <c r="P199" s="23" t="s">
        <v>3255</v>
      </c>
      <c r="Q199" s="23"/>
      <c r="R199" s="23"/>
    </row>
    <row r="200" spans="2:18" ht="15.75" customHeight="1" x14ac:dyDescent="0.15">
      <c r="B200" s="53" t="s">
        <v>361</v>
      </c>
      <c r="C200" s="263">
        <v>43945</v>
      </c>
      <c r="D200" s="53" t="s">
        <v>68</v>
      </c>
      <c r="E200" s="53" t="s">
        <v>32</v>
      </c>
      <c r="F200" s="147">
        <v>0.375</v>
      </c>
      <c r="G200" s="53" t="s">
        <v>1777</v>
      </c>
      <c r="H200" s="53" t="s">
        <v>394</v>
      </c>
      <c r="I200" s="53" t="s">
        <v>395</v>
      </c>
      <c r="J200" s="53" t="s">
        <v>396</v>
      </c>
      <c r="K200" s="115">
        <v>9</v>
      </c>
      <c r="L200" s="111" t="s">
        <v>766</v>
      </c>
      <c r="O200" s="116" t="s">
        <v>1516</v>
      </c>
      <c r="Q200" s="23"/>
      <c r="R200" s="23"/>
    </row>
    <row r="201" spans="2:18" ht="15.75" customHeight="1" x14ac:dyDescent="0.15">
      <c r="B201" s="53" t="s">
        <v>50</v>
      </c>
      <c r="C201" s="263">
        <v>43945</v>
      </c>
      <c r="D201" s="53" t="s">
        <v>173</v>
      </c>
      <c r="E201" s="53" t="s">
        <v>90</v>
      </c>
      <c r="F201" s="147">
        <v>0</v>
      </c>
      <c r="G201" s="53" t="s">
        <v>1177</v>
      </c>
      <c r="H201" s="53" t="s">
        <v>1177</v>
      </c>
      <c r="I201" s="53" t="s">
        <v>2164</v>
      </c>
      <c r="J201" s="53" t="s">
        <v>960</v>
      </c>
      <c r="K201" s="115">
        <v>8</v>
      </c>
      <c r="L201" s="111" t="s">
        <v>1566</v>
      </c>
      <c r="O201" s="116" t="s">
        <v>1566</v>
      </c>
      <c r="Q201" s="23"/>
      <c r="R201" s="23"/>
    </row>
    <row r="202" spans="2:18" ht="15.75" customHeight="1" x14ac:dyDescent="0.15">
      <c r="B202" s="53" t="s">
        <v>73</v>
      </c>
      <c r="C202" s="263">
        <v>43945</v>
      </c>
      <c r="D202" s="53" t="s">
        <v>1630</v>
      </c>
      <c r="E202" s="53" t="s">
        <v>65</v>
      </c>
      <c r="F202" s="147">
        <v>0.375</v>
      </c>
      <c r="G202" s="53" t="s">
        <v>69</v>
      </c>
      <c r="H202" s="53" t="s">
        <v>1177</v>
      </c>
      <c r="I202" s="53" t="s">
        <v>518</v>
      </c>
      <c r="J202" s="53" t="s">
        <v>2342</v>
      </c>
      <c r="K202" s="115">
        <v>7</v>
      </c>
      <c r="L202" s="111" t="s">
        <v>1536</v>
      </c>
      <c r="O202" s="116" t="s">
        <v>1537</v>
      </c>
      <c r="P202" s="23" t="s">
        <v>3247</v>
      </c>
      <c r="Q202" s="23"/>
      <c r="R202" s="23"/>
    </row>
    <row r="203" spans="2:18" ht="15.75" customHeight="1" x14ac:dyDescent="0.15">
      <c r="B203" s="53" t="s">
        <v>38</v>
      </c>
      <c r="C203" s="263">
        <v>43945</v>
      </c>
      <c r="D203" s="53" t="s">
        <v>1633</v>
      </c>
      <c r="E203" s="53" t="s">
        <v>6</v>
      </c>
      <c r="F203" s="147">
        <v>4.7E-2</v>
      </c>
      <c r="G203" s="53" t="s">
        <v>1177</v>
      </c>
      <c r="H203" s="53" t="s">
        <v>1177</v>
      </c>
      <c r="I203" s="53" t="s">
        <v>272</v>
      </c>
      <c r="J203" s="53" t="s">
        <v>232</v>
      </c>
      <c r="K203" s="115">
        <v>7.5</v>
      </c>
      <c r="L203" s="111" t="s">
        <v>1633</v>
      </c>
      <c r="O203" s="116" t="s">
        <v>1634</v>
      </c>
      <c r="Q203" s="23"/>
      <c r="R203" s="23"/>
    </row>
    <row r="204" spans="2:18" ht="15.75" customHeight="1" x14ac:dyDescent="0.15">
      <c r="B204" s="53" t="s">
        <v>45</v>
      </c>
      <c r="C204" s="263">
        <v>43945</v>
      </c>
      <c r="D204" s="53" t="s">
        <v>1635</v>
      </c>
      <c r="E204" s="53" t="s">
        <v>6</v>
      </c>
      <c r="F204" s="147">
        <v>4.2000000000000003E-2</v>
      </c>
      <c r="G204" s="53" t="s">
        <v>1177</v>
      </c>
      <c r="H204" s="53" t="s">
        <v>1177</v>
      </c>
      <c r="I204" s="53" t="s">
        <v>230</v>
      </c>
      <c r="J204" s="53" t="s">
        <v>168</v>
      </c>
      <c r="K204" s="115">
        <v>4</v>
      </c>
      <c r="L204" s="111" t="s">
        <v>1636</v>
      </c>
      <c r="O204" s="111" t="s">
        <v>1636</v>
      </c>
      <c r="Q204" s="23"/>
      <c r="R204" s="23"/>
    </row>
    <row r="205" spans="2:18" ht="15.75" customHeight="1" x14ac:dyDescent="0.15">
      <c r="B205" s="53" t="s">
        <v>18</v>
      </c>
      <c r="C205" s="263">
        <v>43945</v>
      </c>
      <c r="D205" s="53" t="s">
        <v>1637</v>
      </c>
      <c r="E205" s="53" t="s">
        <v>34</v>
      </c>
      <c r="F205" s="147">
        <v>0.04</v>
      </c>
      <c r="G205" s="53" t="s">
        <v>1177</v>
      </c>
      <c r="H205" s="53" t="s">
        <v>1177</v>
      </c>
      <c r="I205" s="53" t="s">
        <v>219</v>
      </c>
      <c r="J205" s="53" t="s">
        <v>2343</v>
      </c>
      <c r="K205" s="115">
        <v>7</v>
      </c>
      <c r="L205" s="111" t="s">
        <v>3157</v>
      </c>
      <c r="O205" s="116" t="s">
        <v>1589</v>
      </c>
      <c r="Q205" s="23"/>
      <c r="R205" s="23"/>
    </row>
    <row r="206" spans="2:18" ht="15.75" customHeight="1" x14ac:dyDescent="0.15">
      <c r="B206" s="53" t="s">
        <v>361</v>
      </c>
      <c r="C206" s="263">
        <v>43945</v>
      </c>
      <c r="D206" s="53" t="s">
        <v>383</v>
      </c>
      <c r="E206" s="53" t="s">
        <v>34</v>
      </c>
      <c r="F206" s="147">
        <v>8.2000000000000003E-2</v>
      </c>
      <c r="G206" s="53" t="s">
        <v>1177</v>
      </c>
      <c r="H206" s="53" t="s">
        <v>1177</v>
      </c>
      <c r="I206" s="53" t="s">
        <v>2165</v>
      </c>
      <c r="J206" s="53" t="s">
        <v>2344</v>
      </c>
      <c r="K206" s="115">
        <v>8</v>
      </c>
      <c r="L206" s="111" t="s">
        <v>1616</v>
      </c>
      <c r="O206" s="116" t="s">
        <v>1586</v>
      </c>
      <c r="Q206" s="23"/>
      <c r="R206" s="23"/>
    </row>
    <row r="207" spans="2:18" ht="15.75" customHeight="1" x14ac:dyDescent="0.15">
      <c r="B207" s="53" t="s">
        <v>45</v>
      </c>
      <c r="C207" s="263">
        <v>43945</v>
      </c>
      <c r="D207" s="53" t="s">
        <v>3460</v>
      </c>
      <c r="E207" s="53" t="s">
        <v>190</v>
      </c>
      <c r="F207" s="147">
        <v>0.4</v>
      </c>
      <c r="G207" s="53" t="s">
        <v>1177</v>
      </c>
      <c r="H207" s="53" t="s">
        <v>1177</v>
      </c>
      <c r="I207" s="53" t="s">
        <v>3537</v>
      </c>
      <c r="J207" s="53" t="s">
        <v>2345</v>
      </c>
      <c r="K207" s="115">
        <v>8</v>
      </c>
      <c r="L207" s="111" t="s">
        <v>1638</v>
      </c>
      <c r="O207" s="116" t="s">
        <v>1639</v>
      </c>
      <c r="Q207" s="23"/>
      <c r="R207" s="23"/>
    </row>
    <row r="208" spans="2:18" ht="15.75" customHeight="1" x14ac:dyDescent="0.15">
      <c r="B208" s="53" t="s">
        <v>41</v>
      </c>
      <c r="C208" s="263">
        <v>43945</v>
      </c>
      <c r="D208" s="53" t="s">
        <v>137</v>
      </c>
      <c r="E208" s="53" t="s">
        <v>12</v>
      </c>
      <c r="F208" s="147">
        <v>0.25</v>
      </c>
      <c r="G208" s="53" t="s">
        <v>385</v>
      </c>
      <c r="H208" s="53" t="s">
        <v>1177</v>
      </c>
      <c r="I208" s="53" t="s">
        <v>565</v>
      </c>
      <c r="J208" s="53" t="s">
        <v>232</v>
      </c>
      <c r="K208" s="115">
        <v>7.5</v>
      </c>
      <c r="L208" s="111" t="s">
        <v>1893</v>
      </c>
      <c r="O208" s="111" t="s">
        <v>1893</v>
      </c>
      <c r="Q208" s="23"/>
      <c r="R208" s="23"/>
    </row>
    <row r="209" spans="2:18" ht="15.75" customHeight="1" x14ac:dyDescent="0.15">
      <c r="B209" s="53" t="s">
        <v>61</v>
      </c>
      <c r="C209" s="263">
        <v>43945</v>
      </c>
      <c r="D209" s="53" t="s">
        <v>386</v>
      </c>
      <c r="E209" s="53" t="s">
        <v>6</v>
      </c>
      <c r="F209" s="147">
        <v>0.05</v>
      </c>
      <c r="G209" s="53" t="s">
        <v>1177</v>
      </c>
      <c r="H209" s="53" t="s">
        <v>1177</v>
      </c>
      <c r="I209" s="53" t="s">
        <v>2166</v>
      </c>
      <c r="J209" s="53" t="s">
        <v>2346</v>
      </c>
      <c r="K209" s="115">
        <v>7</v>
      </c>
      <c r="L209" s="111" t="s">
        <v>2703</v>
      </c>
      <c r="O209" s="116" t="s">
        <v>1461</v>
      </c>
      <c r="Q209" s="23"/>
      <c r="R209" s="23"/>
    </row>
    <row r="210" spans="2:18" ht="15.75" customHeight="1" x14ac:dyDescent="0.15">
      <c r="B210" s="53" t="s">
        <v>35</v>
      </c>
      <c r="C210" s="263">
        <v>43945</v>
      </c>
      <c r="D210" s="53" t="s">
        <v>1403</v>
      </c>
      <c r="E210" s="53" t="s">
        <v>6</v>
      </c>
      <c r="F210" s="147">
        <v>4.2000000000000003E-2</v>
      </c>
      <c r="G210" s="53" t="s">
        <v>1177</v>
      </c>
      <c r="H210" s="53" t="s">
        <v>1177</v>
      </c>
      <c r="I210" s="53" t="s">
        <v>393</v>
      </c>
      <c r="J210" s="53" t="s">
        <v>237</v>
      </c>
      <c r="K210" s="115">
        <v>4.5</v>
      </c>
      <c r="L210" s="111" t="s">
        <v>1542</v>
      </c>
      <c r="O210" s="116" t="s">
        <v>1542</v>
      </c>
      <c r="Q210" s="23"/>
      <c r="R210" s="23"/>
    </row>
    <row r="211" spans="2:18" ht="15.75" customHeight="1" x14ac:dyDescent="0.15">
      <c r="B211" s="53" t="s">
        <v>45</v>
      </c>
      <c r="C211" s="263">
        <v>43945</v>
      </c>
      <c r="D211" s="53" t="s">
        <v>1640</v>
      </c>
      <c r="E211" s="53" t="s">
        <v>6</v>
      </c>
      <c r="F211" s="147">
        <v>4.2000000000000003E-2</v>
      </c>
      <c r="G211" s="53" t="s">
        <v>1177</v>
      </c>
      <c r="H211" s="53" t="s">
        <v>1177</v>
      </c>
      <c r="I211" s="53" t="s">
        <v>244</v>
      </c>
      <c r="J211" s="53" t="s">
        <v>340</v>
      </c>
      <c r="K211" s="115">
        <v>4</v>
      </c>
      <c r="L211" s="111" t="s">
        <v>1641</v>
      </c>
      <c r="O211" s="116" t="s">
        <v>1642</v>
      </c>
      <c r="Q211" s="23"/>
      <c r="R211" s="23"/>
    </row>
    <row r="212" spans="2:18" ht="15.75" customHeight="1" x14ac:dyDescent="0.15">
      <c r="B212" s="53" t="s">
        <v>26</v>
      </c>
      <c r="C212" s="263">
        <v>43945</v>
      </c>
      <c r="D212" s="53" t="s">
        <v>389</v>
      </c>
      <c r="E212" s="53" t="s">
        <v>34</v>
      </c>
      <c r="F212" s="147">
        <v>5.3999999999999999E-2</v>
      </c>
      <c r="G212" s="53" t="s">
        <v>1177</v>
      </c>
      <c r="H212" s="53" t="s">
        <v>1177</v>
      </c>
      <c r="I212" s="53" t="s">
        <v>291</v>
      </c>
      <c r="J212" s="53" t="s">
        <v>34</v>
      </c>
      <c r="K212" s="115">
        <v>6</v>
      </c>
      <c r="L212" s="111" t="s">
        <v>1614</v>
      </c>
      <c r="O212" s="116" t="s">
        <v>1615</v>
      </c>
      <c r="Q212" s="23"/>
      <c r="R212" s="23"/>
    </row>
    <row r="213" spans="2:18" ht="15.75" customHeight="1" x14ac:dyDescent="0.15">
      <c r="B213" s="53" t="s">
        <v>38</v>
      </c>
      <c r="C213" s="263">
        <v>43945</v>
      </c>
      <c r="D213" s="53" t="s">
        <v>390</v>
      </c>
      <c r="E213" s="53" t="s">
        <v>6</v>
      </c>
      <c r="F213" s="147">
        <v>4.4999999999999998E-2</v>
      </c>
      <c r="G213" s="53" t="s">
        <v>1177</v>
      </c>
      <c r="H213" s="53" t="s">
        <v>1177</v>
      </c>
      <c r="I213" s="53" t="s">
        <v>243</v>
      </c>
      <c r="J213" s="53" t="s">
        <v>246</v>
      </c>
      <c r="K213" s="115">
        <v>6.5</v>
      </c>
      <c r="L213" s="111" t="s">
        <v>390</v>
      </c>
      <c r="O213" s="116" t="s">
        <v>1634</v>
      </c>
      <c r="Q213" s="23"/>
      <c r="R213" s="23"/>
    </row>
    <row r="214" spans="2:18" ht="15.75" customHeight="1" x14ac:dyDescent="0.15">
      <c r="B214" s="53" t="s">
        <v>45</v>
      </c>
      <c r="C214" s="263">
        <v>43945</v>
      </c>
      <c r="D214" s="53" t="s">
        <v>1643</v>
      </c>
      <c r="E214" s="53" t="s">
        <v>6</v>
      </c>
      <c r="F214" s="147">
        <v>3.7999999999999999E-2</v>
      </c>
      <c r="G214" s="53" t="s">
        <v>1177</v>
      </c>
      <c r="H214" s="53" t="s">
        <v>1177</v>
      </c>
      <c r="I214" s="53" t="s">
        <v>575</v>
      </c>
      <c r="J214" s="53" t="s">
        <v>235</v>
      </c>
      <c r="K214" s="115">
        <v>4.5</v>
      </c>
      <c r="L214" s="111" t="s">
        <v>1617</v>
      </c>
      <c r="O214" s="116" t="s">
        <v>667</v>
      </c>
      <c r="Q214" s="23"/>
      <c r="R214" s="23"/>
    </row>
    <row r="215" spans="2:18" ht="15.75" customHeight="1" x14ac:dyDescent="0.15">
      <c r="B215" s="53" t="s">
        <v>179</v>
      </c>
      <c r="C215" s="263">
        <v>43945</v>
      </c>
      <c r="D215" s="53" t="s">
        <v>1644</v>
      </c>
      <c r="E215" s="53" t="s">
        <v>6</v>
      </c>
      <c r="F215" s="147">
        <v>5.5E-2</v>
      </c>
      <c r="G215" s="53" t="s">
        <v>1177</v>
      </c>
      <c r="H215" s="53" t="s">
        <v>1177</v>
      </c>
      <c r="I215" s="53" t="s">
        <v>15</v>
      </c>
      <c r="J215" s="53" t="s">
        <v>232</v>
      </c>
      <c r="K215" s="115">
        <v>7</v>
      </c>
      <c r="L215" s="111" t="s">
        <v>1645</v>
      </c>
      <c r="O215" s="116" t="s">
        <v>1646</v>
      </c>
      <c r="Q215" s="23"/>
      <c r="R215" s="23"/>
    </row>
    <row r="216" spans="2:18" ht="15.75" customHeight="1" x14ac:dyDescent="0.15">
      <c r="B216" s="53" t="s">
        <v>73</v>
      </c>
      <c r="C216" s="263">
        <v>43945</v>
      </c>
      <c r="D216" s="53" t="s">
        <v>391</v>
      </c>
      <c r="E216" s="53" t="s">
        <v>65</v>
      </c>
      <c r="F216" s="147">
        <v>0.43</v>
      </c>
      <c r="G216" s="53" t="s">
        <v>380</v>
      </c>
      <c r="H216" s="53" t="s">
        <v>1177</v>
      </c>
      <c r="I216" s="53" t="s">
        <v>392</v>
      </c>
      <c r="J216" s="53" t="s">
        <v>1070</v>
      </c>
      <c r="K216" s="115">
        <v>8</v>
      </c>
      <c r="L216" s="111" t="s">
        <v>1647</v>
      </c>
      <c r="O216" s="116" t="s">
        <v>1648</v>
      </c>
      <c r="Q216" s="23"/>
      <c r="R216" s="23"/>
    </row>
    <row r="217" spans="2:18" ht="15.75" customHeight="1" x14ac:dyDescent="0.15">
      <c r="B217" s="53" t="s">
        <v>26</v>
      </c>
      <c r="C217" s="263">
        <v>43945</v>
      </c>
      <c r="D217" s="53" t="s">
        <v>1649</v>
      </c>
      <c r="E217" s="53" t="s">
        <v>34</v>
      </c>
      <c r="F217" s="147">
        <v>4.8000000000000001E-2</v>
      </c>
      <c r="G217" s="53" t="s">
        <v>1177</v>
      </c>
      <c r="H217" s="53" t="s">
        <v>1177</v>
      </c>
      <c r="I217" s="53" t="s">
        <v>1396</v>
      </c>
      <c r="J217" s="53" t="s">
        <v>24</v>
      </c>
      <c r="K217" s="115">
        <v>4</v>
      </c>
      <c r="L217" s="111" t="s">
        <v>1614</v>
      </c>
      <c r="O217" s="116" t="s">
        <v>1615</v>
      </c>
      <c r="Q217" s="23"/>
      <c r="R217" s="23"/>
    </row>
    <row r="218" spans="2:18" ht="15.75" customHeight="1" x14ac:dyDescent="0.15">
      <c r="B218" s="53" t="s">
        <v>35</v>
      </c>
      <c r="C218" s="263">
        <v>43945</v>
      </c>
      <c r="D218" s="53" t="s">
        <v>364</v>
      </c>
      <c r="E218" s="53" t="s">
        <v>6</v>
      </c>
      <c r="F218" s="147">
        <v>4.7E-2</v>
      </c>
      <c r="G218" s="53" t="s">
        <v>400</v>
      </c>
      <c r="H218" s="53" t="s">
        <v>399</v>
      </c>
      <c r="I218" s="53" t="s">
        <v>16</v>
      </c>
      <c r="J218" s="53" t="s">
        <v>2347</v>
      </c>
      <c r="K218" s="115">
        <v>6</v>
      </c>
      <c r="L218" s="111" t="s">
        <v>364</v>
      </c>
      <c r="O218" s="116" t="s">
        <v>1619</v>
      </c>
      <c r="Q218" s="23"/>
      <c r="R218" s="23"/>
    </row>
    <row r="219" spans="2:18" ht="15.75" customHeight="1" x14ac:dyDescent="0.15">
      <c r="B219" s="53" t="s">
        <v>61</v>
      </c>
      <c r="C219" s="263">
        <v>43945</v>
      </c>
      <c r="D219" s="53" t="s">
        <v>117</v>
      </c>
      <c r="E219" s="53" t="s">
        <v>32</v>
      </c>
      <c r="F219" s="147">
        <v>0.375</v>
      </c>
      <c r="G219" s="53" t="s">
        <v>3011</v>
      </c>
      <c r="H219" s="53" t="s">
        <v>1177</v>
      </c>
      <c r="I219" s="53" t="s">
        <v>70</v>
      </c>
      <c r="J219" s="53" t="s">
        <v>236</v>
      </c>
      <c r="K219" s="115">
        <v>6.5</v>
      </c>
      <c r="L219" s="111" t="s">
        <v>1510</v>
      </c>
      <c r="O219" s="116" t="s">
        <v>1510</v>
      </c>
      <c r="Q219" s="23"/>
      <c r="R219" s="23"/>
    </row>
    <row r="220" spans="2:18" ht="15.75" customHeight="1" x14ac:dyDescent="0.15">
      <c r="B220" s="53" t="s">
        <v>189</v>
      </c>
      <c r="C220" s="263">
        <v>43945</v>
      </c>
      <c r="D220" s="53" t="s">
        <v>397</v>
      </c>
      <c r="E220" s="53" t="s">
        <v>12</v>
      </c>
      <c r="F220" s="147">
        <v>0.4</v>
      </c>
      <c r="G220" s="53" t="s">
        <v>23</v>
      </c>
      <c r="H220" s="53" t="s">
        <v>1177</v>
      </c>
      <c r="I220" s="53" t="s">
        <v>398</v>
      </c>
      <c r="J220" s="53" t="s">
        <v>208</v>
      </c>
      <c r="K220" s="115">
        <v>8</v>
      </c>
      <c r="L220" s="111" t="s">
        <v>1583</v>
      </c>
      <c r="O220" s="116" t="s">
        <v>1583</v>
      </c>
      <c r="P220" s="23" t="s">
        <v>3247</v>
      </c>
      <c r="Q220" s="23"/>
      <c r="R220" s="23"/>
    </row>
    <row r="221" spans="2:18" ht="15" customHeight="1" x14ac:dyDescent="0.15">
      <c r="B221" s="53" t="s">
        <v>67</v>
      </c>
      <c r="C221" s="263">
        <v>43945</v>
      </c>
      <c r="D221" s="53" t="s">
        <v>1650</v>
      </c>
      <c r="E221" s="53" t="s">
        <v>42</v>
      </c>
      <c r="F221" s="147">
        <v>0.12</v>
      </c>
      <c r="G221" s="53" t="s">
        <v>1177</v>
      </c>
      <c r="H221" s="53" t="s">
        <v>1177</v>
      </c>
      <c r="I221" s="53" t="s">
        <v>1422</v>
      </c>
      <c r="J221" s="53" t="s">
        <v>16</v>
      </c>
      <c r="K221" s="115">
        <v>3</v>
      </c>
      <c r="L221" s="111" t="s">
        <v>1652</v>
      </c>
      <c r="O221" s="116" t="s">
        <v>1651</v>
      </c>
      <c r="Q221" s="23"/>
      <c r="R221" s="23"/>
    </row>
    <row r="222" spans="2:18" ht="15.75" customHeight="1" x14ac:dyDescent="0.15">
      <c r="B222" s="53" t="s">
        <v>35</v>
      </c>
      <c r="C222" s="263">
        <v>43945</v>
      </c>
      <c r="D222" s="53" t="s">
        <v>3182</v>
      </c>
      <c r="E222" s="53" t="s">
        <v>34</v>
      </c>
      <c r="F222" s="147">
        <v>4.4999999999999998E-2</v>
      </c>
      <c r="G222" s="53" t="s">
        <v>1177</v>
      </c>
      <c r="H222" s="53" t="s">
        <v>1177</v>
      </c>
      <c r="I222" s="53" t="s">
        <v>132</v>
      </c>
      <c r="J222" s="53" t="s">
        <v>234</v>
      </c>
      <c r="K222" s="115">
        <v>3.5</v>
      </c>
      <c r="L222" s="111" t="s">
        <v>1653</v>
      </c>
      <c r="O222" s="116" t="s">
        <v>1533</v>
      </c>
      <c r="Q222" s="23"/>
      <c r="R222" s="23"/>
    </row>
    <row r="223" spans="2:18" ht="15.75" customHeight="1" x14ac:dyDescent="0.15">
      <c r="B223" s="53" t="s">
        <v>26</v>
      </c>
      <c r="C223" s="263">
        <v>43945</v>
      </c>
      <c r="D223" s="53" t="s">
        <v>406</v>
      </c>
      <c r="E223" s="53" t="s">
        <v>34</v>
      </c>
      <c r="F223" s="147">
        <v>5.3999999999999999E-2</v>
      </c>
      <c r="G223" s="53" t="s">
        <v>1177</v>
      </c>
      <c r="H223" s="53" t="s">
        <v>1177</v>
      </c>
      <c r="I223" s="53" t="s">
        <v>2167</v>
      </c>
      <c r="J223" s="53" t="s">
        <v>407</v>
      </c>
      <c r="K223" s="115">
        <v>7</v>
      </c>
      <c r="L223" s="111" t="s">
        <v>1614</v>
      </c>
      <c r="O223" s="116" t="s">
        <v>1615</v>
      </c>
      <c r="Q223" s="23"/>
      <c r="R223" s="23"/>
    </row>
    <row r="224" spans="2:18" ht="15.75" customHeight="1" x14ac:dyDescent="0.15">
      <c r="B224" s="53" t="s">
        <v>189</v>
      </c>
      <c r="C224" s="263">
        <v>43945</v>
      </c>
      <c r="D224" s="53" t="s">
        <v>2649</v>
      </c>
      <c r="E224" s="53" t="s">
        <v>12</v>
      </c>
      <c r="F224" s="147">
        <v>0.43</v>
      </c>
      <c r="G224" s="53" t="s">
        <v>401</v>
      </c>
      <c r="H224" s="53" t="s">
        <v>1177</v>
      </c>
      <c r="I224" s="53" t="s">
        <v>201</v>
      </c>
      <c r="J224" s="53" t="s">
        <v>247</v>
      </c>
      <c r="K224" s="115">
        <v>4</v>
      </c>
      <c r="L224" s="111" t="s">
        <v>1581</v>
      </c>
      <c r="O224" s="116" t="s">
        <v>1537</v>
      </c>
      <c r="P224" s="23" t="s">
        <v>3247</v>
      </c>
      <c r="Q224" s="23"/>
      <c r="R224" s="23"/>
    </row>
    <row r="225" spans="2:18" ht="15.75" customHeight="1" x14ac:dyDescent="0.15">
      <c r="B225" s="53" t="s">
        <v>361</v>
      </c>
      <c r="C225" s="263">
        <v>43945</v>
      </c>
      <c r="D225" s="53" t="s">
        <v>68</v>
      </c>
      <c r="E225" s="53" t="s">
        <v>32</v>
      </c>
      <c r="F225" s="147">
        <v>0.375</v>
      </c>
      <c r="G225" s="53" t="s">
        <v>1777</v>
      </c>
      <c r="H225" s="53" t="s">
        <v>402</v>
      </c>
      <c r="I225" s="53" t="s">
        <v>2168</v>
      </c>
      <c r="J225" s="53" t="s">
        <v>201</v>
      </c>
      <c r="K225" s="115">
        <v>6.5</v>
      </c>
      <c r="L225" s="111" t="s">
        <v>766</v>
      </c>
      <c r="O225" s="116" t="s">
        <v>1516</v>
      </c>
      <c r="Q225" s="23"/>
      <c r="R225" s="23"/>
    </row>
    <row r="226" spans="2:18" ht="15.75" customHeight="1" x14ac:dyDescent="0.15">
      <c r="B226" s="53" t="s">
        <v>38</v>
      </c>
      <c r="C226" s="263">
        <v>43945</v>
      </c>
      <c r="D226" s="53" t="s">
        <v>3433</v>
      </c>
      <c r="E226" s="53" t="s">
        <v>6</v>
      </c>
      <c r="F226" s="147">
        <v>3.7999999999999999E-2</v>
      </c>
      <c r="G226" s="53" t="s">
        <v>1177</v>
      </c>
      <c r="H226" s="53" t="s">
        <v>1177</v>
      </c>
      <c r="I226" s="53" t="s">
        <v>403</v>
      </c>
      <c r="J226" s="53" t="s">
        <v>404</v>
      </c>
      <c r="K226" s="115">
        <v>5.5</v>
      </c>
      <c r="L226" s="111" t="s">
        <v>1654</v>
      </c>
      <c r="O226" s="116" t="s">
        <v>1634</v>
      </c>
      <c r="Q226" s="23"/>
      <c r="R226" s="23"/>
    </row>
    <row r="227" spans="2:18" ht="15.75" customHeight="1" x14ac:dyDescent="0.15">
      <c r="B227" s="53" t="s">
        <v>38</v>
      </c>
      <c r="C227" s="263">
        <v>43945</v>
      </c>
      <c r="D227" s="53" t="s">
        <v>2649</v>
      </c>
      <c r="E227" s="53" t="s">
        <v>12</v>
      </c>
      <c r="F227" s="147">
        <v>0.43</v>
      </c>
      <c r="G227" s="53" t="s">
        <v>401</v>
      </c>
      <c r="H227" s="53" t="s">
        <v>1177</v>
      </c>
      <c r="I227" s="53" t="s">
        <v>223</v>
      </c>
      <c r="J227" s="53" t="s">
        <v>548</v>
      </c>
      <c r="K227" s="115">
        <v>6</v>
      </c>
      <c r="L227" s="111" t="s">
        <v>1581</v>
      </c>
      <c r="O227" s="116" t="s">
        <v>1537</v>
      </c>
      <c r="P227" s="23" t="s">
        <v>3247</v>
      </c>
      <c r="Q227" s="23"/>
      <c r="R227" s="23"/>
    </row>
    <row r="228" spans="2:18" ht="15.75" customHeight="1" x14ac:dyDescent="0.15">
      <c r="B228" s="53" t="s">
        <v>45</v>
      </c>
      <c r="C228" s="263">
        <v>43945</v>
      </c>
      <c r="D228" s="53" t="s">
        <v>3460</v>
      </c>
      <c r="E228" s="53" t="s">
        <v>190</v>
      </c>
      <c r="F228" s="147">
        <v>0.38</v>
      </c>
      <c r="G228" s="53" t="s">
        <v>1934</v>
      </c>
      <c r="H228" s="53" t="s">
        <v>1177</v>
      </c>
      <c r="I228" s="53" t="s">
        <v>33</v>
      </c>
      <c r="J228" s="53" t="s">
        <v>2348</v>
      </c>
      <c r="K228" s="115">
        <v>9.5</v>
      </c>
      <c r="L228" s="111" t="s">
        <v>1638</v>
      </c>
      <c r="O228" s="116" t="s">
        <v>1638</v>
      </c>
      <c r="Q228" s="23"/>
      <c r="R228" s="23"/>
    </row>
    <row r="229" spans="2:18" ht="15.75" customHeight="1" x14ac:dyDescent="0.15">
      <c r="B229" s="53" t="s">
        <v>179</v>
      </c>
      <c r="C229" s="263">
        <v>43945</v>
      </c>
      <c r="D229" s="53" t="s">
        <v>1655</v>
      </c>
      <c r="E229" s="53" t="s">
        <v>6</v>
      </c>
      <c r="F229" s="147">
        <v>0.06</v>
      </c>
      <c r="G229" s="53" t="s">
        <v>1177</v>
      </c>
      <c r="H229" s="53" t="s">
        <v>1177</v>
      </c>
      <c r="I229" s="53" t="s">
        <v>188</v>
      </c>
      <c r="J229" s="53" t="s">
        <v>405</v>
      </c>
      <c r="K229" s="115">
        <v>6.5</v>
      </c>
      <c r="L229" s="111" t="s">
        <v>669</v>
      </c>
      <c r="O229" s="116" t="s">
        <v>1656</v>
      </c>
      <c r="Q229" s="23"/>
      <c r="R229" s="23"/>
    </row>
    <row r="230" spans="2:18" ht="15.75" customHeight="1" x14ac:dyDescent="0.15">
      <c r="B230" s="53" t="s">
        <v>75</v>
      </c>
      <c r="C230" s="263">
        <v>43945</v>
      </c>
      <c r="D230" s="53" t="s">
        <v>170</v>
      </c>
      <c r="E230" s="53" t="s">
        <v>6</v>
      </c>
      <c r="F230" s="147">
        <v>5.8999999999999997E-2</v>
      </c>
      <c r="G230" s="53" t="s">
        <v>374</v>
      </c>
      <c r="H230" s="53" t="s">
        <v>1177</v>
      </c>
      <c r="I230" s="53" t="s">
        <v>15</v>
      </c>
      <c r="J230" s="53" t="s">
        <v>2349</v>
      </c>
      <c r="K230" s="115">
        <v>4.5</v>
      </c>
      <c r="L230" s="111" t="s">
        <v>170</v>
      </c>
      <c r="O230" s="116" t="s">
        <v>1533</v>
      </c>
      <c r="Q230" s="23"/>
      <c r="R230" s="23"/>
    </row>
    <row r="231" spans="2:18" ht="15.75" customHeight="1" x14ac:dyDescent="0.15">
      <c r="B231" s="53" t="s">
        <v>61</v>
      </c>
      <c r="C231" s="263">
        <v>43945</v>
      </c>
      <c r="D231" s="53" t="s">
        <v>1657</v>
      </c>
      <c r="E231" s="53" t="s">
        <v>6</v>
      </c>
      <c r="F231" s="147">
        <v>5.0999999999999997E-2</v>
      </c>
      <c r="G231" s="53" t="s">
        <v>1177</v>
      </c>
      <c r="H231" s="53" t="s">
        <v>1177</v>
      </c>
      <c r="I231" s="53" t="s">
        <v>2169</v>
      </c>
      <c r="J231" s="53" t="s">
        <v>16</v>
      </c>
      <c r="K231" s="115">
        <v>4.5</v>
      </c>
      <c r="L231" s="111" t="s">
        <v>1658</v>
      </c>
      <c r="O231" s="116" t="s">
        <v>1659</v>
      </c>
      <c r="Q231" s="23"/>
      <c r="R231" s="23"/>
    </row>
    <row r="232" spans="2:18" ht="15.75" customHeight="1" x14ac:dyDescent="0.15">
      <c r="B232" s="53" t="s">
        <v>361</v>
      </c>
      <c r="C232" s="263">
        <v>43945</v>
      </c>
      <c r="D232" s="53" t="s">
        <v>68</v>
      </c>
      <c r="E232" s="53" t="s">
        <v>32</v>
      </c>
      <c r="F232" s="147">
        <v>0.375</v>
      </c>
      <c r="G232" s="53" t="s">
        <v>1777</v>
      </c>
      <c r="H232" s="53" t="s">
        <v>28</v>
      </c>
      <c r="I232" s="53" t="s">
        <v>2170</v>
      </c>
      <c r="J232" s="53" t="s">
        <v>2350</v>
      </c>
      <c r="K232" s="115">
        <v>8</v>
      </c>
      <c r="L232" s="111" t="s">
        <v>766</v>
      </c>
      <c r="O232" s="116" t="s">
        <v>1516</v>
      </c>
      <c r="Q232" s="23"/>
      <c r="R232" s="23"/>
    </row>
    <row r="233" spans="2:18" ht="15.75" customHeight="1" x14ac:dyDescent="0.15">
      <c r="B233" s="53" t="s">
        <v>61</v>
      </c>
      <c r="C233" s="263">
        <v>43945</v>
      </c>
      <c r="D233" s="53" t="s">
        <v>1660</v>
      </c>
      <c r="E233" s="53" t="s">
        <v>6</v>
      </c>
      <c r="F233" s="147">
        <v>3.4000000000000002E-2</v>
      </c>
      <c r="G233" s="53" t="s">
        <v>1177</v>
      </c>
      <c r="H233" s="53" t="s">
        <v>1177</v>
      </c>
      <c r="I233" s="53" t="s">
        <v>219</v>
      </c>
      <c r="J233" s="53" t="s">
        <v>2351</v>
      </c>
      <c r="K233" s="115">
        <v>4</v>
      </c>
      <c r="L233" s="111" t="s">
        <v>1542</v>
      </c>
      <c r="O233" s="116" t="s">
        <v>1542</v>
      </c>
      <c r="Q233" s="23"/>
      <c r="R233" s="23"/>
    </row>
    <row r="234" spans="2:18" ht="15.75" customHeight="1" x14ac:dyDescent="0.15">
      <c r="B234" s="53" t="s">
        <v>75</v>
      </c>
      <c r="C234" s="263">
        <v>43945</v>
      </c>
      <c r="D234" s="53" t="s">
        <v>535</v>
      </c>
      <c r="E234" s="53" t="s">
        <v>12</v>
      </c>
      <c r="F234" s="147">
        <v>0.375</v>
      </c>
      <c r="G234" s="53" t="s">
        <v>161</v>
      </c>
      <c r="H234" s="53" t="s">
        <v>1177</v>
      </c>
      <c r="I234" s="53" t="s">
        <v>89</v>
      </c>
      <c r="J234" s="53" t="s">
        <v>2352</v>
      </c>
      <c r="K234" s="115">
        <v>1.5</v>
      </c>
      <c r="L234" s="111" t="s">
        <v>767</v>
      </c>
      <c r="O234" s="116" t="s">
        <v>1516</v>
      </c>
      <c r="Q234" s="23"/>
      <c r="R234" s="23"/>
    </row>
    <row r="235" spans="2:18" ht="15.75" customHeight="1" x14ac:dyDescent="0.15">
      <c r="B235" s="53" t="s">
        <v>73</v>
      </c>
      <c r="C235" s="263">
        <v>43945</v>
      </c>
      <c r="D235" s="53" t="s">
        <v>1661</v>
      </c>
      <c r="E235" s="53" t="s">
        <v>65</v>
      </c>
      <c r="F235" s="147">
        <v>0.375</v>
      </c>
      <c r="G235" s="53" t="s">
        <v>380</v>
      </c>
      <c r="H235" s="53" t="s">
        <v>161</v>
      </c>
      <c r="I235" s="53" t="s">
        <v>2171</v>
      </c>
      <c r="J235" s="53" t="s">
        <v>2353</v>
      </c>
      <c r="K235" s="115">
        <v>9</v>
      </c>
      <c r="L235" s="111" t="s">
        <v>1662</v>
      </c>
      <c r="O235" s="116" t="s">
        <v>1663</v>
      </c>
      <c r="Q235" s="23"/>
      <c r="R235" s="23"/>
    </row>
    <row r="236" spans="2:18" ht="15.75" customHeight="1" x14ac:dyDescent="0.15">
      <c r="B236" s="53" t="s">
        <v>179</v>
      </c>
      <c r="C236" s="263">
        <v>43945</v>
      </c>
      <c r="D236" s="53" t="s">
        <v>1664</v>
      </c>
      <c r="E236" s="53" t="s">
        <v>6</v>
      </c>
      <c r="F236" s="147">
        <v>4.4999999999999998E-2</v>
      </c>
      <c r="G236" s="53" t="s">
        <v>1177</v>
      </c>
      <c r="H236" s="53" t="s">
        <v>1177</v>
      </c>
      <c r="I236" s="53" t="s">
        <v>2172</v>
      </c>
      <c r="J236" s="53" t="s">
        <v>204</v>
      </c>
      <c r="K236" s="115">
        <v>6.5</v>
      </c>
      <c r="L236" s="111" t="s">
        <v>670</v>
      </c>
      <c r="O236" s="116" t="s">
        <v>1665</v>
      </c>
      <c r="Q236" s="23"/>
      <c r="R236" s="23"/>
    </row>
    <row r="237" spans="2:18" ht="15.75" customHeight="1" x14ac:dyDescent="0.15">
      <c r="B237" s="53" t="s">
        <v>67</v>
      </c>
      <c r="C237" s="263">
        <v>43945</v>
      </c>
      <c r="D237" s="53" t="s">
        <v>408</v>
      </c>
      <c r="E237" s="53" t="s">
        <v>6</v>
      </c>
      <c r="F237" s="147">
        <v>4.3999999999999997E-2</v>
      </c>
      <c r="G237" s="53" t="s">
        <v>1177</v>
      </c>
      <c r="H237" s="53" t="s">
        <v>1177</v>
      </c>
      <c r="I237" s="53" t="s">
        <v>2173</v>
      </c>
      <c r="J237" s="53" t="s">
        <v>477</v>
      </c>
      <c r="K237" s="115">
        <v>6</v>
      </c>
      <c r="L237" s="111" t="s">
        <v>1666</v>
      </c>
      <c r="O237" s="116" t="s">
        <v>1667</v>
      </c>
      <c r="Q237" s="23"/>
      <c r="R237" s="23"/>
    </row>
    <row r="238" spans="2:18" ht="15.75" customHeight="1" x14ac:dyDescent="0.15">
      <c r="B238" s="53" t="s">
        <v>26</v>
      </c>
      <c r="C238" s="263">
        <v>43945</v>
      </c>
      <c r="D238" s="53" t="s">
        <v>3461</v>
      </c>
      <c r="E238" s="53" t="s">
        <v>34</v>
      </c>
      <c r="F238" s="147">
        <v>5.2999999999999999E-2</v>
      </c>
      <c r="G238" s="53" t="s">
        <v>1177</v>
      </c>
      <c r="H238" s="53" t="s">
        <v>1177</v>
      </c>
      <c r="I238" s="53" t="s">
        <v>2174</v>
      </c>
      <c r="J238" s="53" t="s">
        <v>1257</v>
      </c>
      <c r="K238" s="115">
        <v>6.5</v>
      </c>
      <c r="L238" s="111" t="s">
        <v>1668</v>
      </c>
      <c r="O238" s="116" t="s">
        <v>1668</v>
      </c>
      <c r="Q238" s="23"/>
      <c r="R238" s="23"/>
    </row>
    <row r="239" spans="2:18" ht="15.75" customHeight="1" x14ac:dyDescent="0.15">
      <c r="B239" s="53" t="s">
        <v>409</v>
      </c>
      <c r="C239" s="263">
        <v>43945</v>
      </c>
      <c r="D239" s="53" t="s">
        <v>410</v>
      </c>
      <c r="E239" s="53" t="s">
        <v>90</v>
      </c>
      <c r="F239" s="147">
        <v>0</v>
      </c>
      <c r="G239" s="53" t="s">
        <v>20</v>
      </c>
      <c r="H239" s="53" t="s">
        <v>1177</v>
      </c>
      <c r="I239" s="53" t="s">
        <v>227</v>
      </c>
      <c r="J239" s="53" t="s">
        <v>2250</v>
      </c>
      <c r="K239" s="115">
        <v>9</v>
      </c>
      <c r="L239" s="111" t="s">
        <v>1510</v>
      </c>
      <c r="O239" s="116" t="s">
        <v>1510</v>
      </c>
      <c r="Q239" s="23"/>
      <c r="R239" s="23"/>
    </row>
    <row r="240" spans="2:18" ht="15.75" customHeight="1" x14ac:dyDescent="0.15">
      <c r="B240" s="53" t="s">
        <v>45</v>
      </c>
      <c r="C240" s="263">
        <v>43945</v>
      </c>
      <c r="D240" s="53" t="s">
        <v>1630</v>
      </c>
      <c r="E240" s="53" t="s">
        <v>65</v>
      </c>
      <c r="F240" s="147">
        <v>0.375</v>
      </c>
      <c r="G240" s="53" t="s">
        <v>121</v>
      </c>
      <c r="H240" s="53" t="s">
        <v>1177</v>
      </c>
      <c r="I240" s="53" t="s">
        <v>16</v>
      </c>
      <c r="J240" s="53" t="s">
        <v>2354</v>
      </c>
      <c r="K240" s="115">
        <v>7</v>
      </c>
      <c r="L240" s="111" t="s">
        <v>1536</v>
      </c>
      <c r="O240" s="116" t="s">
        <v>1537</v>
      </c>
      <c r="Q240" s="23"/>
      <c r="R240" s="23"/>
    </row>
    <row r="241" spans="2:18" ht="15.75" customHeight="1" x14ac:dyDescent="0.15">
      <c r="B241" s="53" t="s">
        <v>35</v>
      </c>
      <c r="C241" s="263">
        <v>43945</v>
      </c>
      <c r="D241" s="53" t="s">
        <v>117</v>
      </c>
      <c r="E241" s="53" t="s">
        <v>32</v>
      </c>
      <c r="F241" s="147">
        <v>0.375</v>
      </c>
      <c r="G241" s="53" t="s">
        <v>411</v>
      </c>
      <c r="H241" s="53" t="s">
        <v>1177</v>
      </c>
      <c r="I241" s="53" t="s">
        <v>2175</v>
      </c>
      <c r="J241" s="53" t="s">
        <v>2355</v>
      </c>
      <c r="K241" s="115">
        <v>4</v>
      </c>
      <c r="L241" s="111" t="s">
        <v>1510</v>
      </c>
      <c r="O241" s="116" t="s">
        <v>1510</v>
      </c>
      <c r="Q241" s="23"/>
      <c r="R241" s="23"/>
    </row>
    <row r="242" spans="2:18" ht="15.75" customHeight="1" x14ac:dyDescent="0.15">
      <c r="B242" s="53" t="s">
        <v>38</v>
      </c>
      <c r="C242" s="263">
        <v>43945</v>
      </c>
      <c r="D242" s="53" t="s">
        <v>412</v>
      </c>
      <c r="E242" s="53" t="s">
        <v>6</v>
      </c>
      <c r="F242" s="147">
        <v>5.1999999999999998E-2</v>
      </c>
      <c r="G242" s="53" t="s">
        <v>1177</v>
      </c>
      <c r="H242" s="53" t="s">
        <v>1177</v>
      </c>
      <c r="I242" s="53" t="s">
        <v>2171</v>
      </c>
      <c r="J242" s="53" t="s">
        <v>2356</v>
      </c>
      <c r="K242" s="115">
        <v>8.5</v>
      </c>
      <c r="L242" s="111" t="s">
        <v>1669</v>
      </c>
      <c r="O242" s="116" t="s">
        <v>1634</v>
      </c>
      <c r="Q242" s="23"/>
      <c r="R242" s="23"/>
    </row>
    <row r="243" spans="2:18" ht="15.75" customHeight="1" x14ac:dyDescent="0.15">
      <c r="B243" s="53" t="s">
        <v>179</v>
      </c>
      <c r="C243" s="263">
        <v>43945</v>
      </c>
      <c r="D243" s="53" t="s">
        <v>1670</v>
      </c>
      <c r="E243" s="53" t="s">
        <v>6</v>
      </c>
      <c r="F243" s="147">
        <v>5.5E-2</v>
      </c>
      <c r="G243" s="53" t="s">
        <v>1177</v>
      </c>
      <c r="H243" s="53" t="s">
        <v>1177</v>
      </c>
      <c r="I243" s="53" t="s">
        <v>2176</v>
      </c>
      <c r="J243" s="53" t="s">
        <v>238</v>
      </c>
      <c r="K243" s="115">
        <v>7</v>
      </c>
      <c r="L243" s="111" t="s">
        <v>1671</v>
      </c>
      <c r="O243" s="116" t="s">
        <v>1672</v>
      </c>
      <c r="Q243" s="23"/>
      <c r="R243" s="23"/>
    </row>
    <row r="244" spans="2:18" ht="15.75" customHeight="1" x14ac:dyDescent="0.15">
      <c r="B244" s="53" t="s">
        <v>361</v>
      </c>
      <c r="C244" s="263">
        <v>43945</v>
      </c>
      <c r="D244" s="53" t="s">
        <v>413</v>
      </c>
      <c r="E244" s="53" t="s">
        <v>6</v>
      </c>
      <c r="F244" s="147">
        <v>4.2000000000000003E-2</v>
      </c>
      <c r="G244" s="53" t="s">
        <v>1177</v>
      </c>
      <c r="H244" s="53" t="s">
        <v>1177</v>
      </c>
      <c r="I244" s="53" t="s">
        <v>810</v>
      </c>
      <c r="J244" s="53" t="s">
        <v>2357</v>
      </c>
      <c r="K244" s="115">
        <v>4</v>
      </c>
      <c r="L244" s="111" t="s">
        <v>1673</v>
      </c>
      <c r="O244" s="116" t="s">
        <v>1586</v>
      </c>
      <c r="Q244" s="23"/>
      <c r="R244" s="23"/>
    </row>
    <row r="245" spans="2:18" ht="15.75" customHeight="1" x14ac:dyDescent="0.15">
      <c r="B245" s="53" t="s">
        <v>35</v>
      </c>
      <c r="C245" s="263">
        <v>43945</v>
      </c>
      <c r="D245" s="53" t="s">
        <v>117</v>
      </c>
      <c r="E245" s="53" t="s">
        <v>32</v>
      </c>
      <c r="F245" s="147">
        <v>0.375</v>
      </c>
      <c r="G245" s="53" t="s">
        <v>3010</v>
      </c>
      <c r="H245" s="53" t="s">
        <v>1177</v>
      </c>
      <c r="I245" s="53" t="s">
        <v>2321</v>
      </c>
      <c r="J245" s="53" t="s">
        <v>2358</v>
      </c>
      <c r="K245" s="115">
        <v>3</v>
      </c>
      <c r="L245" s="111" t="s">
        <v>1510</v>
      </c>
      <c r="O245" s="116" t="s">
        <v>1510</v>
      </c>
      <c r="Q245" s="23"/>
      <c r="R245" s="23"/>
    </row>
    <row r="246" spans="2:18" ht="15.75" customHeight="1" x14ac:dyDescent="0.15">
      <c r="B246" s="53" t="s">
        <v>361</v>
      </c>
      <c r="C246" s="263">
        <v>43945</v>
      </c>
      <c r="D246" s="53" t="s">
        <v>68</v>
      </c>
      <c r="E246" s="53" t="s">
        <v>32</v>
      </c>
      <c r="F246" s="147">
        <v>0.375</v>
      </c>
      <c r="G246" s="53" t="s">
        <v>3243</v>
      </c>
      <c r="H246" s="53" t="s">
        <v>1177</v>
      </c>
      <c r="I246" s="53" t="s">
        <v>3538</v>
      </c>
      <c r="J246" s="53" t="s">
        <v>153</v>
      </c>
      <c r="K246" s="115">
        <v>8.5</v>
      </c>
      <c r="L246" s="111" t="s">
        <v>766</v>
      </c>
      <c r="O246" s="116" t="s">
        <v>1516</v>
      </c>
      <c r="Q246" s="23"/>
      <c r="R246" s="23"/>
    </row>
    <row r="247" spans="2:18" ht="15.75" customHeight="1" x14ac:dyDescent="0.15">
      <c r="B247" s="53" t="s">
        <v>61</v>
      </c>
      <c r="C247" s="263">
        <v>43945</v>
      </c>
      <c r="D247" s="53" t="s">
        <v>1664</v>
      </c>
      <c r="E247" s="53" t="s">
        <v>6</v>
      </c>
      <c r="F247" s="147">
        <v>4.4999999999999998E-2</v>
      </c>
      <c r="G247" s="53" t="s">
        <v>1177</v>
      </c>
      <c r="H247" s="53" t="s">
        <v>1177</v>
      </c>
      <c r="I247" s="53" t="s">
        <v>238</v>
      </c>
      <c r="J247" s="53" t="s">
        <v>2200</v>
      </c>
      <c r="K247" s="115">
        <v>7</v>
      </c>
      <c r="L247" s="111" t="s">
        <v>670</v>
      </c>
      <c r="O247" s="116" t="s">
        <v>1665</v>
      </c>
      <c r="Q247" s="23"/>
      <c r="R247" s="23"/>
    </row>
    <row r="248" spans="2:18" ht="15.75" customHeight="1" x14ac:dyDescent="0.15">
      <c r="B248" s="53" t="s">
        <v>73</v>
      </c>
      <c r="C248" s="263">
        <v>43945</v>
      </c>
      <c r="D248" s="53" t="s">
        <v>1661</v>
      </c>
      <c r="E248" s="53" t="s">
        <v>65</v>
      </c>
      <c r="F248" s="147">
        <v>0.375</v>
      </c>
      <c r="G248" s="53" t="s">
        <v>374</v>
      </c>
      <c r="H248" s="53"/>
      <c r="I248" s="53" t="s">
        <v>229</v>
      </c>
      <c r="J248" s="53" t="s">
        <v>414</v>
      </c>
      <c r="K248" s="115">
        <v>7.5</v>
      </c>
      <c r="L248" s="111" t="s">
        <v>1662</v>
      </c>
      <c r="O248" s="116" t="s">
        <v>1663</v>
      </c>
      <c r="P248" s="23" t="s">
        <v>3247</v>
      </c>
      <c r="Q248" s="23"/>
      <c r="R248" s="23"/>
    </row>
    <row r="249" spans="2:18" ht="15.75" customHeight="1" x14ac:dyDescent="0.15">
      <c r="B249" s="53" t="s">
        <v>45</v>
      </c>
      <c r="C249" s="263">
        <v>43945</v>
      </c>
      <c r="D249" s="53" t="s">
        <v>1630</v>
      </c>
      <c r="E249" s="53" t="s">
        <v>65</v>
      </c>
      <c r="F249" s="147">
        <v>0.375</v>
      </c>
      <c r="G249" s="53" t="s">
        <v>1053</v>
      </c>
      <c r="H249" s="53" t="s">
        <v>1177</v>
      </c>
      <c r="I249" s="53" t="s">
        <v>2177</v>
      </c>
      <c r="J249" s="53" t="s">
        <v>2359</v>
      </c>
      <c r="K249" s="115">
        <v>7</v>
      </c>
      <c r="L249" s="111" t="s">
        <v>1536</v>
      </c>
      <c r="O249" s="116" t="s">
        <v>1537</v>
      </c>
      <c r="Q249" s="23"/>
      <c r="R249" s="23"/>
    </row>
    <row r="250" spans="2:18" ht="15.75" customHeight="1" x14ac:dyDescent="0.15">
      <c r="B250" s="53" t="s">
        <v>361</v>
      </c>
      <c r="C250" s="263">
        <v>43945</v>
      </c>
      <c r="D250" s="53" t="s">
        <v>1674</v>
      </c>
      <c r="E250" s="53" t="s">
        <v>65</v>
      </c>
      <c r="F250" s="147">
        <v>0.4</v>
      </c>
      <c r="G250" s="53" t="s">
        <v>1177</v>
      </c>
      <c r="H250" s="53" t="s">
        <v>1177</v>
      </c>
      <c r="I250" s="53" t="s">
        <v>3539</v>
      </c>
      <c r="J250" s="53" t="s">
        <v>974</v>
      </c>
      <c r="K250" s="115">
        <v>8.5</v>
      </c>
      <c r="L250" s="111" t="s">
        <v>2579</v>
      </c>
      <c r="O250" s="116" t="s">
        <v>1675</v>
      </c>
      <c r="Q250" s="23"/>
      <c r="R250" s="23"/>
    </row>
    <row r="251" spans="2:18" ht="15.75" customHeight="1" x14ac:dyDescent="0.15">
      <c r="B251" s="53" t="s">
        <v>361</v>
      </c>
      <c r="C251" s="263">
        <v>43945</v>
      </c>
      <c r="D251" s="53" t="s">
        <v>173</v>
      </c>
      <c r="E251" s="53" t="s">
        <v>90</v>
      </c>
      <c r="F251" s="147">
        <v>0</v>
      </c>
      <c r="G251" s="53" t="s">
        <v>1177</v>
      </c>
      <c r="H251" s="53" t="s">
        <v>1177</v>
      </c>
      <c r="I251" s="53" t="s">
        <v>198</v>
      </c>
      <c r="J251" s="53" t="s">
        <v>268</v>
      </c>
      <c r="K251" s="115">
        <v>9</v>
      </c>
      <c r="L251" s="111" t="s">
        <v>1566</v>
      </c>
      <c r="O251" s="116" t="s">
        <v>1566</v>
      </c>
      <c r="Q251" s="23"/>
      <c r="R251" s="23"/>
    </row>
    <row r="252" spans="2:18" ht="15.75" customHeight="1" x14ac:dyDescent="0.15">
      <c r="B252" s="53" t="s">
        <v>61</v>
      </c>
      <c r="C252" s="263">
        <v>43952</v>
      </c>
      <c r="D252" s="53" t="s">
        <v>415</v>
      </c>
      <c r="E252" s="53" t="s">
        <v>65</v>
      </c>
      <c r="F252" s="147">
        <v>0.21</v>
      </c>
      <c r="G252" s="53" t="s">
        <v>588</v>
      </c>
      <c r="H252" s="53" t="s">
        <v>1177</v>
      </c>
      <c r="I252" s="53" t="s">
        <v>1256</v>
      </c>
      <c r="J252" s="53" t="s">
        <v>1003</v>
      </c>
      <c r="K252" s="115">
        <v>1</v>
      </c>
      <c r="L252" s="111" t="s">
        <v>484</v>
      </c>
      <c r="O252" s="116" t="s">
        <v>1594</v>
      </c>
      <c r="Q252" s="23"/>
      <c r="R252" s="23"/>
    </row>
    <row r="253" spans="2:18" ht="15.75" customHeight="1" x14ac:dyDescent="0.15">
      <c r="B253" s="53" t="s">
        <v>26</v>
      </c>
      <c r="C253" s="263">
        <v>43952</v>
      </c>
      <c r="D253" s="53" t="s">
        <v>417</v>
      </c>
      <c r="E253" s="53" t="s">
        <v>34</v>
      </c>
      <c r="F253" s="147">
        <v>4.8000000000000001E-2</v>
      </c>
      <c r="G253" s="53" t="s">
        <v>1177</v>
      </c>
      <c r="H253" s="53" t="s">
        <v>1177</v>
      </c>
      <c r="I253" s="53" t="s">
        <v>194</v>
      </c>
      <c r="J253" s="53" t="s">
        <v>312</v>
      </c>
      <c r="K253" s="115">
        <v>7.5</v>
      </c>
      <c r="L253" s="111" t="s">
        <v>1676</v>
      </c>
      <c r="O253" s="116" t="s">
        <v>1677</v>
      </c>
      <c r="Q253" s="23"/>
      <c r="R253" s="23"/>
    </row>
    <row r="254" spans="2:18" ht="15.75" customHeight="1" x14ac:dyDescent="0.15">
      <c r="B254" s="53" t="s">
        <v>35</v>
      </c>
      <c r="C254" s="263">
        <v>43952</v>
      </c>
      <c r="D254" s="53" t="s">
        <v>419</v>
      </c>
      <c r="E254" s="53" t="s">
        <v>6</v>
      </c>
      <c r="F254" s="147">
        <v>4.4999999999999998E-2</v>
      </c>
      <c r="G254" s="53" t="s">
        <v>1177</v>
      </c>
      <c r="H254" s="53" t="s">
        <v>1177</v>
      </c>
      <c r="I254" s="53" t="s">
        <v>194</v>
      </c>
      <c r="J254" s="53" t="s">
        <v>14</v>
      </c>
      <c r="K254" s="115">
        <v>7.5</v>
      </c>
      <c r="L254" s="111" t="s">
        <v>1678</v>
      </c>
      <c r="O254" s="116" t="s">
        <v>1565</v>
      </c>
      <c r="Q254" s="23"/>
      <c r="R254" s="23"/>
    </row>
    <row r="255" spans="2:18" ht="15.75" customHeight="1" x14ac:dyDescent="0.15">
      <c r="B255" s="53" t="s">
        <v>45</v>
      </c>
      <c r="C255" s="263">
        <v>43952</v>
      </c>
      <c r="D255" s="53" t="s">
        <v>418</v>
      </c>
      <c r="E255" s="53" t="s">
        <v>6</v>
      </c>
      <c r="F255" s="147">
        <v>9.1999999999999998E-2</v>
      </c>
      <c r="G255" s="53" t="s">
        <v>1177</v>
      </c>
      <c r="H255" s="53" t="s">
        <v>1177</v>
      </c>
      <c r="I255" s="53" t="s">
        <v>16</v>
      </c>
      <c r="J255" s="53" t="s">
        <v>192</v>
      </c>
      <c r="K255" s="115">
        <v>8.5</v>
      </c>
      <c r="L255" s="111" t="s">
        <v>1679</v>
      </c>
      <c r="O255" s="116" t="s">
        <v>1680</v>
      </c>
      <c r="Q255" s="23"/>
      <c r="R255" s="23"/>
    </row>
    <row r="256" spans="2:18" ht="15.75" customHeight="1" x14ac:dyDescent="0.15">
      <c r="B256" s="53" t="s">
        <v>18</v>
      </c>
      <c r="C256" s="263">
        <v>43952</v>
      </c>
      <c r="D256" s="53" t="s">
        <v>3687</v>
      </c>
      <c r="E256" s="53" t="s">
        <v>6</v>
      </c>
      <c r="F256" s="147">
        <v>5.5E-2</v>
      </c>
      <c r="G256" s="53" t="s">
        <v>1177</v>
      </c>
      <c r="H256" s="53" t="s">
        <v>1177</v>
      </c>
      <c r="I256" s="53" t="s">
        <v>265</v>
      </c>
      <c r="J256" s="53" t="s">
        <v>192</v>
      </c>
      <c r="K256" s="115">
        <v>9.5</v>
      </c>
      <c r="L256" s="111" t="s">
        <v>1544</v>
      </c>
      <c r="O256" s="116" t="s">
        <v>1544</v>
      </c>
      <c r="Q256" s="23"/>
      <c r="R256" s="23"/>
    </row>
    <row r="257" spans="2:18" ht="15.75" customHeight="1" x14ac:dyDescent="0.15">
      <c r="B257" s="53" t="s">
        <v>9</v>
      </c>
      <c r="C257" s="263">
        <v>43952</v>
      </c>
      <c r="D257" s="53" t="s">
        <v>2687</v>
      </c>
      <c r="E257" s="53" t="s">
        <v>12</v>
      </c>
      <c r="F257" s="147">
        <v>0.43</v>
      </c>
      <c r="G257" s="53" t="s">
        <v>39</v>
      </c>
      <c r="H257" s="53" t="s">
        <v>1177</v>
      </c>
      <c r="I257" s="53" t="s">
        <v>267</v>
      </c>
      <c r="J257" s="53" t="s">
        <v>208</v>
      </c>
      <c r="K257" s="115">
        <v>8.5</v>
      </c>
      <c r="L257" s="111" t="s">
        <v>1581</v>
      </c>
      <c r="O257" s="116" t="s">
        <v>1537</v>
      </c>
      <c r="Q257" s="23"/>
      <c r="R257" s="23"/>
    </row>
    <row r="258" spans="2:18" ht="15.75" customHeight="1" x14ac:dyDescent="0.15">
      <c r="B258" s="53" t="s">
        <v>361</v>
      </c>
      <c r="C258" s="263">
        <v>43952</v>
      </c>
      <c r="D258" s="53" t="s">
        <v>423</v>
      </c>
      <c r="E258" s="53" t="s">
        <v>6</v>
      </c>
      <c r="F258" s="147">
        <v>4.4999999999999998E-2</v>
      </c>
      <c r="G258" s="53" t="s">
        <v>1177</v>
      </c>
      <c r="H258" s="53" t="s">
        <v>1177</v>
      </c>
      <c r="I258" s="53" t="s">
        <v>233</v>
      </c>
      <c r="J258" s="53" t="s">
        <v>1070</v>
      </c>
      <c r="K258" s="115">
        <v>7.5</v>
      </c>
      <c r="L258" s="116" t="s">
        <v>1480</v>
      </c>
      <c r="M258" s="116"/>
      <c r="N258" s="116"/>
      <c r="O258" s="116" t="s">
        <v>1479</v>
      </c>
      <c r="Q258" s="23"/>
      <c r="R258" s="23"/>
    </row>
    <row r="259" spans="2:18" ht="15.75" customHeight="1" x14ac:dyDescent="0.15">
      <c r="B259" s="53" t="s">
        <v>424</v>
      </c>
      <c r="C259" s="263">
        <v>43952</v>
      </c>
      <c r="D259" s="53" t="s">
        <v>173</v>
      </c>
      <c r="E259" s="53" t="s">
        <v>90</v>
      </c>
      <c r="F259" s="147">
        <v>0</v>
      </c>
      <c r="G259" s="53" t="s">
        <v>1177</v>
      </c>
      <c r="H259" s="53" t="s">
        <v>1177</v>
      </c>
      <c r="I259" s="53" t="s">
        <v>2178</v>
      </c>
      <c r="J259" s="53" t="s">
        <v>2360</v>
      </c>
      <c r="K259" s="115">
        <v>3</v>
      </c>
      <c r="L259" s="111" t="s">
        <v>1566</v>
      </c>
      <c r="O259" s="116" t="s">
        <v>1566</v>
      </c>
      <c r="Q259" s="23"/>
      <c r="R259" s="23"/>
    </row>
    <row r="260" spans="2:18" ht="15.75" customHeight="1" x14ac:dyDescent="0.15">
      <c r="B260" s="53" t="s">
        <v>41</v>
      </c>
      <c r="C260" s="263">
        <v>43952</v>
      </c>
      <c r="D260" s="53" t="s">
        <v>1178</v>
      </c>
      <c r="E260" s="53" t="s">
        <v>6</v>
      </c>
      <c r="F260" s="147">
        <v>4.2999999999999997E-2</v>
      </c>
      <c r="G260" s="53" t="s">
        <v>1177</v>
      </c>
      <c r="H260" s="53" t="s">
        <v>1177</v>
      </c>
      <c r="I260" s="53" t="s">
        <v>545</v>
      </c>
      <c r="J260" s="53" t="s">
        <v>321</v>
      </c>
      <c r="K260" s="115">
        <v>8</v>
      </c>
      <c r="L260" s="111" t="s">
        <v>765</v>
      </c>
      <c r="O260" s="116" t="s">
        <v>1569</v>
      </c>
      <c r="Q260" s="23"/>
      <c r="R260" s="23"/>
    </row>
    <row r="261" spans="2:18" ht="15.75" customHeight="1" x14ac:dyDescent="0.15">
      <c r="B261" s="53" t="s">
        <v>35</v>
      </c>
      <c r="C261" s="263">
        <v>43952</v>
      </c>
      <c r="D261" s="53" t="s">
        <v>425</v>
      </c>
      <c r="E261" s="53" t="s">
        <v>6</v>
      </c>
      <c r="F261" s="147">
        <v>5.1999999999999998E-2</v>
      </c>
      <c r="G261" s="53" t="s">
        <v>1177</v>
      </c>
      <c r="H261" s="53" t="s">
        <v>1177</v>
      </c>
      <c r="I261" s="53" t="s">
        <v>168</v>
      </c>
      <c r="J261" s="53" t="s">
        <v>246</v>
      </c>
      <c r="K261" s="115">
        <v>6</v>
      </c>
      <c r="L261" s="111" t="s">
        <v>1681</v>
      </c>
      <c r="O261" s="116" t="s">
        <v>1667</v>
      </c>
      <c r="Q261" s="23"/>
      <c r="R261" s="23"/>
    </row>
    <row r="262" spans="2:18" ht="15.75" customHeight="1" x14ac:dyDescent="0.15">
      <c r="B262" s="53" t="s">
        <v>420</v>
      </c>
      <c r="C262" s="263">
        <v>43952</v>
      </c>
      <c r="D262" s="53" t="s">
        <v>426</v>
      </c>
      <c r="E262" s="53" t="s">
        <v>6</v>
      </c>
      <c r="F262" s="147">
        <v>4.4999999999999998E-2</v>
      </c>
      <c r="G262" s="53" t="s">
        <v>1177</v>
      </c>
      <c r="H262" s="53" t="s">
        <v>1177</v>
      </c>
      <c r="I262" s="53" t="s">
        <v>291</v>
      </c>
      <c r="J262" s="53" t="s">
        <v>328</v>
      </c>
      <c r="K262" s="115">
        <v>6.5</v>
      </c>
      <c r="L262" s="111" t="s">
        <v>1535</v>
      </c>
      <c r="O262" s="116" t="s">
        <v>1535</v>
      </c>
      <c r="Q262" s="23"/>
      <c r="R262" s="23"/>
    </row>
    <row r="263" spans="2:18" ht="15.75" customHeight="1" x14ac:dyDescent="0.15">
      <c r="B263" s="53" t="s">
        <v>26</v>
      </c>
      <c r="C263" s="263">
        <v>43952</v>
      </c>
      <c r="D263" s="53" t="s">
        <v>436</v>
      </c>
      <c r="E263" s="53" t="s">
        <v>34</v>
      </c>
      <c r="F263" s="147">
        <v>6.8000000000000005E-2</v>
      </c>
      <c r="G263" s="53" t="s">
        <v>1177</v>
      </c>
      <c r="H263" s="53" t="s">
        <v>1177</v>
      </c>
      <c r="I263" s="53" t="s">
        <v>25</v>
      </c>
      <c r="J263" s="53" t="s">
        <v>495</v>
      </c>
      <c r="K263" s="115">
        <v>6.5</v>
      </c>
      <c r="L263" s="111" t="s">
        <v>1627</v>
      </c>
      <c r="O263" s="116" t="s">
        <v>1626</v>
      </c>
      <c r="Q263" s="23"/>
      <c r="R263" s="23"/>
    </row>
    <row r="264" spans="2:18" ht="15.75" customHeight="1" x14ac:dyDescent="0.15">
      <c r="B264" s="53" t="s">
        <v>18</v>
      </c>
      <c r="C264" s="263">
        <v>43952</v>
      </c>
      <c r="D264" s="53" t="s">
        <v>3688</v>
      </c>
      <c r="E264" s="53" t="s">
        <v>6</v>
      </c>
      <c r="F264" s="147">
        <v>0.06</v>
      </c>
      <c r="G264" s="53" t="s">
        <v>1177</v>
      </c>
      <c r="H264" s="53" t="s">
        <v>1177</v>
      </c>
      <c r="I264" s="53" t="s">
        <v>249</v>
      </c>
      <c r="J264" s="53" t="s">
        <v>1283</v>
      </c>
      <c r="K264" s="115">
        <v>7</v>
      </c>
      <c r="L264" s="111" t="s">
        <v>1544</v>
      </c>
      <c r="O264" s="116" t="s">
        <v>1544</v>
      </c>
      <c r="P264" s="23" t="s">
        <v>3469</v>
      </c>
      <c r="Q264" s="23"/>
      <c r="R264" s="23"/>
    </row>
    <row r="265" spans="2:18" ht="15.75" customHeight="1" x14ac:dyDescent="0.15">
      <c r="B265" s="53" t="s">
        <v>421</v>
      </c>
      <c r="C265" s="263">
        <v>43952</v>
      </c>
      <c r="D265" s="53" t="s">
        <v>105</v>
      </c>
      <c r="E265" s="53" t="s">
        <v>12</v>
      </c>
      <c r="F265" s="147">
        <v>0.4</v>
      </c>
      <c r="G265" s="53" t="s">
        <v>39</v>
      </c>
      <c r="H265" s="53" t="s">
        <v>427</v>
      </c>
      <c r="I265" s="53" t="s">
        <v>219</v>
      </c>
      <c r="J265" s="53" t="s">
        <v>15</v>
      </c>
      <c r="K265" s="115">
        <v>8</v>
      </c>
      <c r="L265" s="111" t="s">
        <v>1506</v>
      </c>
      <c r="O265" s="116" t="s">
        <v>1507</v>
      </c>
      <c r="Q265" s="23"/>
      <c r="R265" s="23"/>
    </row>
    <row r="266" spans="2:18" ht="15.75" customHeight="1" x14ac:dyDescent="0.15">
      <c r="B266" s="53" t="s">
        <v>45</v>
      </c>
      <c r="C266" s="263">
        <v>43952</v>
      </c>
      <c r="D266" s="53" t="s">
        <v>671</v>
      </c>
      <c r="E266" s="53" t="s">
        <v>6</v>
      </c>
      <c r="F266" s="147">
        <v>4.1000000000000002E-2</v>
      </c>
      <c r="G266" s="53" t="s">
        <v>1177</v>
      </c>
      <c r="H266" s="53" t="s">
        <v>1177</v>
      </c>
      <c r="I266" s="53" t="s">
        <v>237</v>
      </c>
      <c r="J266" s="53" t="s">
        <v>2361</v>
      </c>
      <c r="K266" s="115">
        <v>5</v>
      </c>
      <c r="L266" s="111" t="s">
        <v>765</v>
      </c>
      <c r="O266" s="116" t="s">
        <v>1569</v>
      </c>
      <c r="Q266" s="23"/>
      <c r="R266" s="23"/>
    </row>
    <row r="267" spans="2:18" ht="15.75" customHeight="1" x14ac:dyDescent="0.15">
      <c r="B267" s="53" t="s">
        <v>41</v>
      </c>
      <c r="C267" s="263">
        <v>43952</v>
      </c>
      <c r="D267" s="53" t="s">
        <v>1682</v>
      </c>
      <c r="E267" s="53" t="s">
        <v>6</v>
      </c>
      <c r="F267" s="147">
        <v>7.0000000000000007E-2</v>
      </c>
      <c r="G267" s="53" t="s">
        <v>1177</v>
      </c>
      <c r="H267" s="53" t="s">
        <v>1177</v>
      </c>
      <c r="I267" s="53" t="s">
        <v>311</v>
      </c>
      <c r="J267" s="53" t="s">
        <v>430</v>
      </c>
      <c r="K267" s="115">
        <v>9</v>
      </c>
      <c r="L267" s="111" t="s">
        <v>765</v>
      </c>
      <c r="O267" s="116" t="s">
        <v>1569</v>
      </c>
      <c r="Q267" s="23"/>
      <c r="R267" s="23"/>
    </row>
    <row r="268" spans="2:18" ht="15.75" customHeight="1" x14ac:dyDescent="0.15">
      <c r="B268" s="53" t="s">
        <v>18</v>
      </c>
      <c r="C268" s="263">
        <v>43952</v>
      </c>
      <c r="D268" s="53" t="s">
        <v>428</v>
      </c>
      <c r="E268" s="53" t="s">
        <v>6</v>
      </c>
      <c r="F268" s="147">
        <v>8.5000000000000006E-2</v>
      </c>
      <c r="G268" s="53" t="s">
        <v>1177</v>
      </c>
      <c r="H268" s="53" t="s">
        <v>1177</v>
      </c>
      <c r="I268" s="53" t="s">
        <v>2179</v>
      </c>
      <c r="J268" s="53" t="s">
        <v>206</v>
      </c>
      <c r="K268" s="115">
        <v>3.5</v>
      </c>
      <c r="L268" s="111" t="s">
        <v>1773</v>
      </c>
      <c r="O268" s="116" t="s">
        <v>1683</v>
      </c>
      <c r="Q268" s="23"/>
      <c r="R268" s="23"/>
    </row>
    <row r="269" spans="2:18" ht="15.75" customHeight="1" x14ac:dyDescent="0.15">
      <c r="B269" s="53" t="s">
        <v>361</v>
      </c>
      <c r="C269" s="263">
        <v>43952</v>
      </c>
      <c r="D269" s="53" t="s">
        <v>91</v>
      </c>
      <c r="E269" s="53" t="s">
        <v>34</v>
      </c>
      <c r="F269" s="147">
        <v>4.4999999999999998E-2</v>
      </c>
      <c r="G269" s="53" t="s">
        <v>1177</v>
      </c>
      <c r="H269" s="53" t="s">
        <v>1177</v>
      </c>
      <c r="I269" s="53" t="s">
        <v>216</v>
      </c>
      <c r="J269" s="53" t="s">
        <v>2362</v>
      </c>
      <c r="K269" s="115">
        <v>4</v>
      </c>
      <c r="L269" s="116" t="s">
        <v>1480</v>
      </c>
      <c r="M269" s="116"/>
      <c r="N269" s="116"/>
      <c r="O269" s="116" t="s">
        <v>1479</v>
      </c>
      <c r="Q269" s="23"/>
      <c r="R269" s="23"/>
    </row>
    <row r="270" spans="2:18" ht="15.75" customHeight="1" x14ac:dyDescent="0.15">
      <c r="B270" s="53" t="s">
        <v>61</v>
      </c>
      <c r="C270" s="263">
        <v>43952</v>
      </c>
      <c r="D270" s="237" t="s">
        <v>3245</v>
      </c>
      <c r="E270" s="53" t="s">
        <v>42</v>
      </c>
      <c r="F270" s="232">
        <v>0.1</v>
      </c>
      <c r="G270" s="53" t="s">
        <v>429</v>
      </c>
      <c r="H270" s="53" t="s">
        <v>1177</v>
      </c>
      <c r="I270" s="53" t="s">
        <v>430</v>
      </c>
      <c r="J270" s="53" t="s">
        <v>431</v>
      </c>
      <c r="K270" s="115">
        <v>5</v>
      </c>
      <c r="L270" s="111" t="s">
        <v>3246</v>
      </c>
      <c r="O270" s="111" t="s">
        <v>3246</v>
      </c>
      <c r="Q270" s="23"/>
      <c r="R270" s="23"/>
    </row>
    <row r="271" spans="2:18" ht="15.75" customHeight="1" x14ac:dyDescent="0.15">
      <c r="B271" s="53" t="s">
        <v>9</v>
      </c>
      <c r="C271" s="263">
        <v>43952</v>
      </c>
      <c r="D271" s="53" t="s">
        <v>383</v>
      </c>
      <c r="E271" s="53" t="s">
        <v>34</v>
      </c>
      <c r="F271" s="147">
        <v>8.2000000000000003E-2</v>
      </c>
      <c r="G271" s="53" t="s">
        <v>1177</v>
      </c>
      <c r="H271" s="53" t="s">
        <v>1177</v>
      </c>
      <c r="I271" s="53" t="s">
        <v>222</v>
      </c>
      <c r="J271" s="53" t="s">
        <v>131</v>
      </c>
      <c r="K271" s="115">
        <v>7.5</v>
      </c>
      <c r="L271" s="111" t="s">
        <v>1616</v>
      </c>
      <c r="O271" s="116" t="s">
        <v>1586</v>
      </c>
      <c r="Q271" s="23"/>
      <c r="R271" s="23"/>
    </row>
    <row r="272" spans="2:18" ht="15.75" customHeight="1" x14ac:dyDescent="0.15">
      <c r="B272" s="53" t="s">
        <v>420</v>
      </c>
      <c r="C272" s="263">
        <v>43952</v>
      </c>
      <c r="D272" s="53" t="s">
        <v>432</v>
      </c>
      <c r="E272" s="53" t="s">
        <v>32</v>
      </c>
      <c r="F272" s="147">
        <v>0.4</v>
      </c>
      <c r="G272" s="53" t="s">
        <v>394</v>
      </c>
      <c r="H272" s="53" t="s">
        <v>433</v>
      </c>
      <c r="I272" s="53" t="s">
        <v>2180</v>
      </c>
      <c r="J272" s="53" t="s">
        <v>2363</v>
      </c>
      <c r="K272" s="115">
        <v>9</v>
      </c>
      <c r="L272" s="111" t="s">
        <v>1546</v>
      </c>
      <c r="O272" s="116" t="s">
        <v>1594</v>
      </c>
      <c r="Q272" s="23"/>
      <c r="R272" s="23"/>
    </row>
    <row r="273" spans="2:18" ht="15.75" customHeight="1" x14ac:dyDescent="0.15">
      <c r="B273" s="53" t="s">
        <v>35</v>
      </c>
      <c r="C273" s="263">
        <v>43952</v>
      </c>
      <c r="D273" s="53" t="s">
        <v>434</v>
      </c>
      <c r="E273" s="53" t="s">
        <v>36</v>
      </c>
      <c r="F273" s="147">
        <v>0.4</v>
      </c>
      <c r="G273" s="53" t="s">
        <v>1177</v>
      </c>
      <c r="H273" s="53" t="s">
        <v>1177</v>
      </c>
      <c r="I273" s="53" t="s">
        <v>249</v>
      </c>
      <c r="J273" s="53" t="s">
        <v>435</v>
      </c>
      <c r="K273" s="115">
        <v>6.5</v>
      </c>
      <c r="L273" s="111" t="s">
        <v>1684</v>
      </c>
      <c r="O273" s="116" t="s">
        <v>1684</v>
      </c>
      <c r="Q273" s="23"/>
      <c r="R273" s="23"/>
    </row>
    <row r="274" spans="2:18" ht="15.75" customHeight="1" x14ac:dyDescent="0.15">
      <c r="B274" s="53" t="s">
        <v>18</v>
      </c>
      <c r="C274" s="263">
        <v>43952</v>
      </c>
      <c r="D274" s="53" t="s">
        <v>437</v>
      </c>
      <c r="E274" s="53" t="s">
        <v>6</v>
      </c>
      <c r="F274" s="147">
        <v>5.1999999999999998E-2</v>
      </c>
      <c r="G274" s="53" t="s">
        <v>1177</v>
      </c>
      <c r="H274" s="53" t="s">
        <v>1177</v>
      </c>
      <c r="I274" s="53" t="s">
        <v>20</v>
      </c>
      <c r="J274" s="53" t="s">
        <v>2364</v>
      </c>
      <c r="K274" s="115">
        <v>6.5</v>
      </c>
      <c r="L274" s="111" t="s">
        <v>1477</v>
      </c>
      <c r="O274" s="116" t="s">
        <v>1510</v>
      </c>
      <c r="Q274" s="23"/>
      <c r="R274" s="23"/>
    </row>
    <row r="275" spans="2:18" ht="15.75" customHeight="1" x14ac:dyDescent="0.15">
      <c r="B275" s="53" t="s">
        <v>26</v>
      </c>
      <c r="C275" s="263">
        <v>43952</v>
      </c>
      <c r="D275" s="53" t="s">
        <v>438</v>
      </c>
      <c r="E275" s="53" t="s">
        <v>34</v>
      </c>
      <c r="F275" s="147">
        <v>0.05</v>
      </c>
      <c r="G275" s="53" t="s">
        <v>1177</v>
      </c>
      <c r="H275" s="53" t="s">
        <v>1177</v>
      </c>
      <c r="I275" s="53" t="s">
        <v>2181</v>
      </c>
      <c r="J275" s="53" t="s">
        <v>215</v>
      </c>
      <c r="K275" s="115">
        <v>7.5</v>
      </c>
      <c r="L275" s="111" t="s">
        <v>1627</v>
      </c>
      <c r="O275" s="116" t="s">
        <v>1626</v>
      </c>
      <c r="Q275" s="23"/>
      <c r="R275" s="23"/>
    </row>
    <row r="276" spans="2:18" ht="15.75" customHeight="1" x14ac:dyDescent="0.15">
      <c r="B276" s="53" t="s">
        <v>45</v>
      </c>
      <c r="C276" s="263">
        <v>43952</v>
      </c>
      <c r="D276" s="53" t="s">
        <v>439</v>
      </c>
      <c r="E276" s="53" t="s">
        <v>6</v>
      </c>
      <c r="F276" s="147">
        <v>5.7000000000000002E-2</v>
      </c>
      <c r="G276" s="53" t="s">
        <v>1177</v>
      </c>
      <c r="H276" s="53" t="s">
        <v>1177</v>
      </c>
      <c r="I276" s="53" t="s">
        <v>272</v>
      </c>
      <c r="J276" s="53" t="s">
        <v>238</v>
      </c>
      <c r="K276" s="115">
        <v>7</v>
      </c>
      <c r="L276" s="111" t="s">
        <v>765</v>
      </c>
      <c r="O276" s="116" t="s">
        <v>1569</v>
      </c>
      <c r="Q276" s="23"/>
      <c r="R276" s="23"/>
    </row>
    <row r="277" spans="2:18" ht="15.75" customHeight="1" x14ac:dyDescent="0.15">
      <c r="B277" s="53" t="s">
        <v>35</v>
      </c>
      <c r="C277" s="263">
        <v>43952</v>
      </c>
      <c r="D277" s="53" t="s">
        <v>434</v>
      </c>
      <c r="E277" s="53" t="s">
        <v>36</v>
      </c>
      <c r="F277" s="147">
        <v>0.4</v>
      </c>
      <c r="G277" s="53" t="s">
        <v>28</v>
      </c>
      <c r="H277" s="53" t="s">
        <v>1177</v>
      </c>
      <c r="I277" s="53" t="s">
        <v>2182</v>
      </c>
      <c r="J277" s="53" t="s">
        <v>2365</v>
      </c>
      <c r="K277" s="115">
        <v>4</v>
      </c>
      <c r="L277" s="111" t="s">
        <v>1684</v>
      </c>
      <c r="O277" s="116" t="s">
        <v>1684</v>
      </c>
      <c r="Q277" s="23"/>
      <c r="R277" s="23"/>
    </row>
    <row r="278" spans="2:18" ht="15.75" customHeight="1" x14ac:dyDescent="0.15">
      <c r="B278" s="53" t="s">
        <v>420</v>
      </c>
      <c r="C278" s="263">
        <v>43952</v>
      </c>
      <c r="D278" s="53" t="s">
        <v>2938</v>
      </c>
      <c r="E278" s="53" t="s">
        <v>54</v>
      </c>
      <c r="F278" s="147">
        <v>0.2</v>
      </c>
      <c r="G278" s="53" t="s">
        <v>1177</v>
      </c>
      <c r="H278" s="53" t="s">
        <v>1177</v>
      </c>
      <c r="I278" s="53" t="s">
        <v>15</v>
      </c>
      <c r="J278" s="53" t="s">
        <v>447</v>
      </c>
      <c r="K278" s="115">
        <v>8</v>
      </c>
      <c r="L278" s="111" t="s">
        <v>1685</v>
      </c>
      <c r="O278" s="116" t="s">
        <v>440</v>
      </c>
      <c r="Q278" s="23"/>
      <c r="R278" s="23"/>
    </row>
    <row r="279" spans="2:18" ht="15.75" customHeight="1" x14ac:dyDescent="0.15">
      <c r="B279" s="53" t="s">
        <v>421</v>
      </c>
      <c r="C279" s="263">
        <v>43952</v>
      </c>
      <c r="D279" s="237" t="s">
        <v>3190</v>
      </c>
      <c r="E279" s="53" t="s">
        <v>27</v>
      </c>
      <c r="F279" s="232">
        <v>0.2</v>
      </c>
      <c r="G279" s="53" t="s">
        <v>105</v>
      </c>
      <c r="H279" s="53" t="s">
        <v>401</v>
      </c>
      <c r="I279" s="53" t="s">
        <v>451</v>
      </c>
      <c r="J279" s="53" t="s">
        <v>2366</v>
      </c>
      <c r="K279" s="115">
        <v>3.5</v>
      </c>
      <c r="L279" s="111" t="s">
        <v>1518</v>
      </c>
      <c r="O279" s="116" t="s">
        <v>1518</v>
      </c>
      <c r="Q279" s="23"/>
      <c r="R279" s="23"/>
    </row>
    <row r="280" spans="2:18" ht="15.75" customHeight="1" x14ac:dyDescent="0.15">
      <c r="B280" s="53" t="s">
        <v>45</v>
      </c>
      <c r="C280" s="263">
        <v>43952</v>
      </c>
      <c r="D280" s="53" t="s">
        <v>441</v>
      </c>
      <c r="E280" s="53" t="s">
        <v>6</v>
      </c>
      <c r="F280" s="147">
        <v>4.4999999999999998E-2</v>
      </c>
      <c r="G280" s="53" t="s">
        <v>1177</v>
      </c>
      <c r="H280" s="53" t="s">
        <v>1177</v>
      </c>
      <c r="I280" s="53" t="s">
        <v>193</v>
      </c>
      <c r="J280" s="53" t="s">
        <v>594</v>
      </c>
      <c r="K280" s="115">
        <v>7</v>
      </c>
      <c r="L280" s="111" t="s">
        <v>765</v>
      </c>
      <c r="O280" s="116" t="s">
        <v>1569</v>
      </c>
      <c r="Q280" s="23"/>
      <c r="R280" s="23"/>
    </row>
    <row r="281" spans="2:18" ht="15.75" customHeight="1" x14ac:dyDescent="0.15">
      <c r="B281" s="53" t="s">
        <v>41</v>
      </c>
      <c r="C281" s="263">
        <v>43952</v>
      </c>
      <c r="D281" s="53" t="s">
        <v>68</v>
      </c>
      <c r="E281" s="53" t="s">
        <v>12</v>
      </c>
      <c r="F281" s="147">
        <v>0.375</v>
      </c>
      <c r="G281" s="53" t="s">
        <v>442</v>
      </c>
      <c r="H281" s="53" t="s">
        <v>1177</v>
      </c>
      <c r="I281" s="53" t="s">
        <v>194</v>
      </c>
      <c r="J281" s="53" t="s">
        <v>70</v>
      </c>
      <c r="K281" s="115">
        <v>7.5</v>
      </c>
      <c r="L281" s="111" t="s">
        <v>766</v>
      </c>
      <c r="O281" s="116" t="s">
        <v>1516</v>
      </c>
      <c r="Q281" s="23"/>
      <c r="R281" s="23"/>
    </row>
    <row r="282" spans="2:18" ht="15.75" customHeight="1" x14ac:dyDescent="0.15">
      <c r="B282" s="53" t="s">
        <v>38</v>
      </c>
      <c r="C282" s="263">
        <v>43952</v>
      </c>
      <c r="D282" s="53" t="s">
        <v>1686</v>
      </c>
      <c r="E282" s="53" t="s">
        <v>6</v>
      </c>
      <c r="F282" s="147">
        <v>4.2000000000000003E-2</v>
      </c>
      <c r="G282" s="53" t="s">
        <v>1177</v>
      </c>
      <c r="H282" s="53" t="s">
        <v>1177</v>
      </c>
      <c r="I282" s="53" t="s">
        <v>443</v>
      </c>
      <c r="J282" s="53" t="s">
        <v>233</v>
      </c>
      <c r="K282" s="115">
        <v>7</v>
      </c>
      <c r="L282" s="111" t="s">
        <v>1687</v>
      </c>
      <c r="O282" s="116" t="s">
        <v>1688</v>
      </c>
      <c r="Q282" s="23"/>
      <c r="R282" s="23"/>
    </row>
    <row r="283" spans="2:18" ht="15.75" customHeight="1" x14ac:dyDescent="0.15">
      <c r="B283" s="53" t="s">
        <v>61</v>
      </c>
      <c r="C283" s="263">
        <v>43952</v>
      </c>
      <c r="D283" s="53" t="s">
        <v>444</v>
      </c>
      <c r="E283" s="53" t="s">
        <v>32</v>
      </c>
      <c r="F283" s="147">
        <v>0.4</v>
      </c>
      <c r="G283" s="53" t="s">
        <v>445</v>
      </c>
      <c r="H283" s="53" t="s">
        <v>1177</v>
      </c>
      <c r="I283" s="53" t="s">
        <v>446</v>
      </c>
      <c r="J283" s="53" t="s">
        <v>312</v>
      </c>
      <c r="K283" s="115">
        <v>8</v>
      </c>
      <c r="L283" s="111" t="s">
        <v>1689</v>
      </c>
      <c r="O283" s="111" t="s">
        <v>1689</v>
      </c>
      <c r="Q283" s="23"/>
      <c r="R283" s="23"/>
    </row>
    <row r="284" spans="2:18" ht="15.75" customHeight="1" x14ac:dyDescent="0.15">
      <c r="B284" s="53" t="s">
        <v>361</v>
      </c>
      <c r="C284" s="263">
        <v>43952</v>
      </c>
      <c r="D284" s="53" t="s">
        <v>175</v>
      </c>
      <c r="E284" s="53" t="s">
        <v>34</v>
      </c>
      <c r="F284" s="147">
        <v>4.4999999999999998E-2</v>
      </c>
      <c r="G284" s="53" t="s">
        <v>1177</v>
      </c>
      <c r="H284" s="53" t="s">
        <v>1177</v>
      </c>
      <c r="I284" s="53" t="s">
        <v>448</v>
      </c>
      <c r="J284" s="53" t="s">
        <v>449</v>
      </c>
      <c r="K284" s="115">
        <v>4.5</v>
      </c>
      <c r="L284" s="111" t="s">
        <v>1480</v>
      </c>
      <c r="O284" s="116" t="s">
        <v>1479</v>
      </c>
      <c r="Q284" s="23"/>
      <c r="R284" s="23"/>
    </row>
    <row r="285" spans="2:18" ht="15.75" customHeight="1" x14ac:dyDescent="0.15">
      <c r="B285" s="53" t="s">
        <v>18</v>
      </c>
      <c r="C285" s="263">
        <v>43952</v>
      </c>
      <c r="D285" s="53" t="s">
        <v>1690</v>
      </c>
      <c r="E285" s="53" t="s">
        <v>34</v>
      </c>
      <c r="F285" s="147">
        <v>8.2000000000000003E-2</v>
      </c>
      <c r="G285" s="53" t="s">
        <v>1177</v>
      </c>
      <c r="H285" s="53" t="s">
        <v>1177</v>
      </c>
      <c r="I285" s="53" t="s">
        <v>298</v>
      </c>
      <c r="J285" s="53" t="s">
        <v>450</v>
      </c>
      <c r="K285" s="115">
        <v>8</v>
      </c>
      <c r="L285" s="111" t="s">
        <v>1616</v>
      </c>
      <c r="O285" s="116" t="s">
        <v>1586</v>
      </c>
      <c r="Q285" s="23"/>
      <c r="R285" s="23"/>
    </row>
    <row r="286" spans="2:18" ht="15.75" customHeight="1" x14ac:dyDescent="0.15">
      <c r="B286" s="53" t="s">
        <v>9</v>
      </c>
      <c r="C286" s="263">
        <v>43952</v>
      </c>
      <c r="D286" s="53" t="s">
        <v>40</v>
      </c>
      <c r="E286" s="53" t="s">
        <v>12</v>
      </c>
      <c r="F286" s="147">
        <v>0.41399999999999998</v>
      </c>
      <c r="G286" s="53" t="s">
        <v>39</v>
      </c>
      <c r="H286" s="53" t="s">
        <v>1177</v>
      </c>
      <c r="I286" s="53" t="s">
        <v>227</v>
      </c>
      <c r="J286" s="53" t="s">
        <v>192</v>
      </c>
      <c r="K286" s="115">
        <v>10</v>
      </c>
      <c r="L286" s="111" t="s">
        <v>1454</v>
      </c>
      <c r="O286" s="111" t="s">
        <v>1454</v>
      </c>
      <c r="Q286" s="23"/>
      <c r="R286" s="23"/>
    </row>
    <row r="287" spans="2:18" ht="15.75" customHeight="1" x14ac:dyDescent="0.15">
      <c r="B287" s="53" t="s">
        <v>18</v>
      </c>
      <c r="C287" s="263">
        <v>43952</v>
      </c>
      <c r="D287" s="53" t="s">
        <v>2687</v>
      </c>
      <c r="E287" s="53" t="s">
        <v>12</v>
      </c>
      <c r="F287" s="147">
        <v>0.43</v>
      </c>
      <c r="G287" s="53" t="s">
        <v>452</v>
      </c>
      <c r="H287" s="53" t="s">
        <v>1177</v>
      </c>
      <c r="I287" s="53" t="s">
        <v>146</v>
      </c>
      <c r="J287" s="53" t="s">
        <v>453</v>
      </c>
      <c r="K287" s="115">
        <v>5</v>
      </c>
      <c r="L287" s="111" t="s">
        <v>1581</v>
      </c>
      <c r="O287" s="116" t="s">
        <v>1537</v>
      </c>
      <c r="Q287" s="23"/>
      <c r="R287" s="23"/>
    </row>
    <row r="288" spans="2:18" ht="15.75" customHeight="1" x14ac:dyDescent="0.15">
      <c r="B288" s="53" t="s">
        <v>35</v>
      </c>
      <c r="C288" s="263">
        <v>43952</v>
      </c>
      <c r="D288" s="53" t="s">
        <v>454</v>
      </c>
      <c r="E288" s="53" t="s">
        <v>12</v>
      </c>
      <c r="F288" s="147">
        <v>0.42</v>
      </c>
      <c r="G288" s="53" t="s">
        <v>97</v>
      </c>
      <c r="H288" s="53" t="s">
        <v>1177</v>
      </c>
      <c r="I288" s="53" t="s">
        <v>25</v>
      </c>
      <c r="J288" s="53" t="s">
        <v>225</v>
      </c>
      <c r="K288" s="115">
        <v>6.5</v>
      </c>
      <c r="L288" s="111" t="s">
        <v>454</v>
      </c>
      <c r="O288" s="116" t="s">
        <v>1691</v>
      </c>
      <c r="Q288" s="23"/>
      <c r="R288" s="23"/>
    </row>
    <row r="289" spans="2:18" ht="15.75" customHeight="1" x14ac:dyDescent="0.15">
      <c r="B289" s="53" t="s">
        <v>18</v>
      </c>
      <c r="C289" s="263">
        <v>43952</v>
      </c>
      <c r="D289" s="53" t="s">
        <v>68</v>
      </c>
      <c r="E289" s="53" t="s">
        <v>32</v>
      </c>
      <c r="F289" s="147">
        <v>0.375</v>
      </c>
      <c r="G289" s="53" t="s">
        <v>452</v>
      </c>
      <c r="H289" s="53" t="s">
        <v>1177</v>
      </c>
      <c r="I289" s="53" t="s">
        <v>21</v>
      </c>
      <c r="J289" s="53" t="s">
        <v>2367</v>
      </c>
      <c r="K289" s="115">
        <v>8</v>
      </c>
      <c r="L289" s="111" t="s">
        <v>766</v>
      </c>
      <c r="O289" s="116" t="s">
        <v>1516</v>
      </c>
      <c r="Q289" s="23"/>
      <c r="R289" s="23"/>
    </row>
    <row r="290" spans="2:18" ht="15.75" customHeight="1" x14ac:dyDescent="0.15">
      <c r="B290" s="53" t="s">
        <v>361</v>
      </c>
      <c r="C290" s="263">
        <v>43952</v>
      </c>
      <c r="D290" s="53" t="s">
        <v>455</v>
      </c>
      <c r="E290" s="53" t="s">
        <v>34</v>
      </c>
      <c r="F290" s="147">
        <v>0.06</v>
      </c>
      <c r="G290" s="53" t="s">
        <v>1177</v>
      </c>
      <c r="H290" s="53" t="s">
        <v>1177</v>
      </c>
      <c r="I290" s="53" t="s">
        <v>2183</v>
      </c>
      <c r="J290" s="53" t="s">
        <v>2368</v>
      </c>
      <c r="K290" s="115">
        <v>2.5</v>
      </c>
      <c r="L290" s="111" t="s">
        <v>1607</v>
      </c>
      <c r="O290" s="116" t="s">
        <v>1608</v>
      </c>
      <c r="Q290" s="23"/>
      <c r="R290" s="23"/>
    </row>
    <row r="291" spans="2:18" ht="15.75" customHeight="1" x14ac:dyDescent="0.15">
      <c r="B291" s="53" t="s">
        <v>61</v>
      </c>
      <c r="C291" s="263">
        <v>43952</v>
      </c>
      <c r="D291" s="53" t="s">
        <v>415</v>
      </c>
      <c r="E291" s="53" t="s">
        <v>65</v>
      </c>
      <c r="F291" s="147">
        <v>0.21</v>
      </c>
      <c r="G291" s="53" t="s">
        <v>452</v>
      </c>
      <c r="H291" s="53" t="s">
        <v>1177</v>
      </c>
      <c r="I291" s="53" t="s">
        <v>2184</v>
      </c>
      <c r="J291" s="53" t="s">
        <v>2369</v>
      </c>
      <c r="K291" s="115">
        <v>7</v>
      </c>
      <c r="L291" s="111" t="s">
        <v>484</v>
      </c>
      <c r="O291" s="116" t="s">
        <v>1594</v>
      </c>
      <c r="Q291" s="23"/>
      <c r="R291" s="23"/>
    </row>
    <row r="292" spans="2:18" ht="15.75" customHeight="1" x14ac:dyDescent="0.15">
      <c r="B292" s="53" t="s">
        <v>420</v>
      </c>
      <c r="C292" s="263">
        <v>43952</v>
      </c>
      <c r="D292" s="53" t="s">
        <v>456</v>
      </c>
      <c r="E292" s="53" t="s">
        <v>36</v>
      </c>
      <c r="F292" s="147">
        <v>0.42499999999999999</v>
      </c>
      <c r="G292" s="53" t="s">
        <v>1177</v>
      </c>
      <c r="H292" s="53" t="s">
        <v>1177</v>
      </c>
      <c r="I292" s="53" t="s">
        <v>791</v>
      </c>
      <c r="J292" s="53" t="s">
        <v>2370</v>
      </c>
      <c r="K292" s="115">
        <v>5</v>
      </c>
      <c r="L292" s="111" t="s">
        <v>1692</v>
      </c>
      <c r="O292" s="116" t="s">
        <v>1693</v>
      </c>
      <c r="Q292" s="23"/>
      <c r="R292" s="23"/>
    </row>
    <row r="293" spans="2:18" ht="15.75" customHeight="1" x14ac:dyDescent="0.15">
      <c r="B293" s="53" t="s">
        <v>41</v>
      </c>
      <c r="C293" s="263">
        <v>43952</v>
      </c>
      <c r="D293" s="53" t="s">
        <v>173</v>
      </c>
      <c r="E293" s="53" t="s">
        <v>90</v>
      </c>
      <c r="F293" s="147">
        <v>0</v>
      </c>
      <c r="G293" s="53" t="s">
        <v>1177</v>
      </c>
      <c r="H293" s="53" t="s">
        <v>1177</v>
      </c>
      <c r="I293" s="53" t="s">
        <v>198</v>
      </c>
      <c r="J293" s="53" t="s">
        <v>291</v>
      </c>
      <c r="K293" s="115">
        <v>3</v>
      </c>
      <c r="L293" s="111" t="s">
        <v>1566</v>
      </c>
      <c r="O293" s="116" t="s">
        <v>1566</v>
      </c>
      <c r="Q293" s="23"/>
      <c r="R293" s="23"/>
    </row>
    <row r="294" spans="2:18" ht="15.75" customHeight="1" x14ac:dyDescent="0.15">
      <c r="B294" s="53" t="s">
        <v>45</v>
      </c>
      <c r="C294" s="263">
        <v>43952</v>
      </c>
      <c r="D294" s="53" t="s">
        <v>457</v>
      </c>
      <c r="E294" s="53" t="s">
        <v>6</v>
      </c>
      <c r="F294" s="147">
        <v>8.4000000000000005E-2</v>
      </c>
      <c r="G294" s="53" t="s">
        <v>1177</v>
      </c>
      <c r="H294" s="53" t="s">
        <v>1177</v>
      </c>
      <c r="I294" s="53" t="s">
        <v>2185</v>
      </c>
      <c r="J294" s="53" t="s">
        <v>289</v>
      </c>
      <c r="K294" s="115">
        <v>7.5</v>
      </c>
      <c r="L294" s="111" t="s">
        <v>765</v>
      </c>
      <c r="O294" s="116" t="s">
        <v>1569</v>
      </c>
      <c r="Q294" s="23"/>
      <c r="R294" s="23"/>
    </row>
    <row r="295" spans="2:18" ht="15.75" customHeight="1" x14ac:dyDescent="0.15">
      <c r="B295" s="53" t="s">
        <v>38</v>
      </c>
      <c r="C295" s="263">
        <v>43952</v>
      </c>
      <c r="D295" s="53" t="s">
        <v>1694</v>
      </c>
      <c r="E295" s="53" t="s">
        <v>6</v>
      </c>
      <c r="F295" s="147">
        <v>5.6000000000000001E-2</v>
      </c>
      <c r="G295" s="53" t="s">
        <v>1177</v>
      </c>
      <c r="H295" s="53" t="s">
        <v>1177</v>
      </c>
      <c r="I295" s="53" t="s">
        <v>458</v>
      </c>
      <c r="J295" s="53" t="s">
        <v>459</v>
      </c>
      <c r="K295" s="115">
        <v>7.5</v>
      </c>
      <c r="L295" s="111" t="s">
        <v>1696</v>
      </c>
      <c r="O295" s="116" t="s">
        <v>1695</v>
      </c>
      <c r="Q295" s="23"/>
      <c r="R295" s="23"/>
    </row>
    <row r="296" spans="2:18" ht="15.75" customHeight="1" x14ac:dyDescent="0.15">
      <c r="B296" s="53" t="s">
        <v>38</v>
      </c>
      <c r="C296" s="263">
        <v>43952</v>
      </c>
      <c r="D296" s="53" t="s">
        <v>460</v>
      </c>
      <c r="E296" s="53" t="s">
        <v>6</v>
      </c>
      <c r="F296" s="147">
        <v>4.2000000000000003E-2</v>
      </c>
      <c r="G296" s="53" t="s">
        <v>1177</v>
      </c>
      <c r="H296" s="53" t="s">
        <v>1177</v>
      </c>
      <c r="I296" s="53" t="s">
        <v>464</v>
      </c>
      <c r="J296" s="53" t="s">
        <v>465</v>
      </c>
      <c r="K296" s="115">
        <v>6</v>
      </c>
      <c r="L296" s="111" t="s">
        <v>1698</v>
      </c>
      <c r="O296" s="116" t="s">
        <v>1697</v>
      </c>
      <c r="Q296" s="23"/>
      <c r="R296" s="23"/>
    </row>
    <row r="297" spans="2:18" ht="15.75" customHeight="1" x14ac:dyDescent="0.15">
      <c r="B297" s="53" t="s">
        <v>26</v>
      </c>
      <c r="C297" s="263">
        <v>43952</v>
      </c>
      <c r="D297" s="53" t="s">
        <v>1699</v>
      </c>
      <c r="E297" s="53" t="s">
        <v>34</v>
      </c>
      <c r="F297" s="147">
        <v>0.05</v>
      </c>
      <c r="G297" s="53" t="s">
        <v>1177</v>
      </c>
      <c r="H297" s="53" t="s">
        <v>1177</v>
      </c>
      <c r="I297" s="53" t="s">
        <v>717</v>
      </c>
      <c r="J297" s="53" t="s">
        <v>2371</v>
      </c>
      <c r="K297" s="115">
        <v>6.5</v>
      </c>
      <c r="L297" s="111" t="s">
        <v>1700</v>
      </c>
      <c r="O297" s="116" t="s">
        <v>1701</v>
      </c>
      <c r="Q297" s="23"/>
      <c r="R297" s="23"/>
    </row>
    <row r="298" spans="2:18" ht="15.75" customHeight="1" x14ac:dyDescent="0.15">
      <c r="B298" s="53" t="s">
        <v>361</v>
      </c>
      <c r="C298" s="263">
        <v>43952</v>
      </c>
      <c r="D298" s="53" t="s">
        <v>1702</v>
      </c>
      <c r="E298" s="53" t="s">
        <v>34</v>
      </c>
      <c r="F298" s="147">
        <v>8.2000000000000003E-2</v>
      </c>
      <c r="G298" s="53" t="s">
        <v>1177</v>
      </c>
      <c r="H298" s="53" t="s">
        <v>1177</v>
      </c>
      <c r="I298" s="53" t="s">
        <v>2186</v>
      </c>
      <c r="J298" s="53" t="s">
        <v>2372</v>
      </c>
      <c r="K298" s="115">
        <v>6.5</v>
      </c>
      <c r="L298" s="111" t="s">
        <v>1607</v>
      </c>
      <c r="O298" s="116" t="s">
        <v>1608</v>
      </c>
      <c r="Q298" s="23"/>
      <c r="R298" s="23"/>
    </row>
    <row r="299" spans="2:18" ht="15.75" customHeight="1" x14ac:dyDescent="0.15">
      <c r="B299" s="53" t="s">
        <v>61</v>
      </c>
      <c r="C299" s="263">
        <v>43952</v>
      </c>
      <c r="D299" s="53" t="s">
        <v>461</v>
      </c>
      <c r="E299" s="53" t="s">
        <v>12</v>
      </c>
      <c r="F299" s="147">
        <v>0.41199999999999998</v>
      </c>
      <c r="G299" s="53" t="s">
        <v>1955</v>
      </c>
      <c r="H299" s="53" t="s">
        <v>1177</v>
      </c>
      <c r="I299" s="53" t="s">
        <v>2187</v>
      </c>
      <c r="J299" s="53" t="s">
        <v>351</v>
      </c>
      <c r="K299" s="115">
        <v>7.5</v>
      </c>
      <c r="L299" s="111" t="s">
        <v>1703</v>
      </c>
      <c r="O299" s="116" t="s">
        <v>1594</v>
      </c>
      <c r="Q299" s="23"/>
      <c r="R299" s="23"/>
    </row>
    <row r="300" spans="2:18" ht="15.75" customHeight="1" x14ac:dyDescent="0.15">
      <c r="B300" s="53" t="s">
        <v>9</v>
      </c>
      <c r="C300" s="263">
        <v>43952</v>
      </c>
      <c r="D300" s="53" t="s">
        <v>462</v>
      </c>
      <c r="E300" s="53" t="s">
        <v>34</v>
      </c>
      <c r="F300" s="147">
        <v>0.04</v>
      </c>
      <c r="G300" s="53" t="s">
        <v>1177</v>
      </c>
      <c r="H300" s="53" t="s">
        <v>1177</v>
      </c>
      <c r="I300" s="53" t="s">
        <v>313</v>
      </c>
      <c r="J300" s="53" t="s">
        <v>16</v>
      </c>
      <c r="K300" s="115">
        <v>6</v>
      </c>
      <c r="L300" s="111" t="s">
        <v>1472</v>
      </c>
      <c r="O300" s="116" t="s">
        <v>1455</v>
      </c>
      <c r="Q300" s="23"/>
      <c r="R300" s="23"/>
    </row>
    <row r="301" spans="2:18" ht="15.75" customHeight="1" x14ac:dyDescent="0.15">
      <c r="B301" s="53" t="s">
        <v>35</v>
      </c>
      <c r="C301" s="263">
        <v>43952</v>
      </c>
      <c r="D301" s="53" t="s">
        <v>173</v>
      </c>
      <c r="E301" s="53" t="s">
        <v>90</v>
      </c>
      <c r="F301" s="147">
        <v>0</v>
      </c>
      <c r="G301" s="53" t="s">
        <v>1177</v>
      </c>
      <c r="H301" s="53" t="s">
        <v>1177</v>
      </c>
      <c r="I301" s="53" t="s">
        <v>2188</v>
      </c>
      <c r="J301" s="53" t="s">
        <v>2373</v>
      </c>
      <c r="K301" s="115">
        <v>7.5</v>
      </c>
      <c r="L301" s="111" t="s">
        <v>1566</v>
      </c>
      <c r="O301" s="116" t="s">
        <v>1566</v>
      </c>
      <c r="Q301" s="23"/>
      <c r="R301" s="23"/>
    </row>
    <row r="302" spans="2:18" ht="15.75" customHeight="1" x14ac:dyDescent="0.15">
      <c r="B302" s="53" t="s">
        <v>18</v>
      </c>
      <c r="C302" s="263">
        <v>43952</v>
      </c>
      <c r="D302" s="53" t="s">
        <v>463</v>
      </c>
      <c r="E302" s="53" t="s">
        <v>34</v>
      </c>
      <c r="F302" s="147">
        <v>0.04</v>
      </c>
      <c r="G302" s="53" t="s">
        <v>1177</v>
      </c>
      <c r="H302" s="53" t="s">
        <v>1177</v>
      </c>
      <c r="I302" s="53" t="s">
        <v>2189</v>
      </c>
      <c r="J302" s="53" t="s">
        <v>2374</v>
      </c>
      <c r="K302" s="115">
        <v>7.5</v>
      </c>
      <c r="L302" s="111" t="s">
        <v>1704</v>
      </c>
      <c r="O302" s="116" t="s">
        <v>1705</v>
      </c>
      <c r="Q302" s="23"/>
      <c r="R302" s="23"/>
    </row>
    <row r="303" spans="2:18" ht="15.75" customHeight="1" x14ac:dyDescent="0.15">
      <c r="B303" s="53" t="s">
        <v>361</v>
      </c>
      <c r="C303" s="263">
        <v>43952</v>
      </c>
      <c r="D303" s="53" t="s">
        <v>68</v>
      </c>
      <c r="E303" s="53" t="s">
        <v>32</v>
      </c>
      <c r="F303" s="147">
        <v>0.375</v>
      </c>
      <c r="G303" s="53" t="s">
        <v>394</v>
      </c>
      <c r="H303" s="53" t="s">
        <v>161</v>
      </c>
      <c r="I303" s="53" t="s">
        <v>2190</v>
      </c>
      <c r="J303" s="53" t="s">
        <v>262</v>
      </c>
      <c r="K303" s="115">
        <v>6.5</v>
      </c>
      <c r="L303" s="111" t="s">
        <v>766</v>
      </c>
      <c r="O303" s="116" t="s">
        <v>1516</v>
      </c>
      <c r="Q303" s="23"/>
      <c r="R303" s="23"/>
    </row>
    <row r="304" spans="2:18" ht="15.75" customHeight="1" x14ac:dyDescent="0.15">
      <c r="B304" s="53" t="s">
        <v>38</v>
      </c>
      <c r="C304" s="263">
        <v>43952</v>
      </c>
      <c r="D304" s="53" t="s">
        <v>466</v>
      </c>
      <c r="E304" s="53" t="s">
        <v>6</v>
      </c>
      <c r="F304" s="147">
        <v>4.4999999999999998E-2</v>
      </c>
      <c r="G304" s="53" t="s">
        <v>1177</v>
      </c>
      <c r="H304" s="53" t="s">
        <v>1177</v>
      </c>
      <c r="I304" s="53" t="s">
        <v>249</v>
      </c>
      <c r="J304" s="53" t="s">
        <v>232</v>
      </c>
      <c r="K304" s="115">
        <v>8</v>
      </c>
      <c r="L304" s="111" t="s">
        <v>1706</v>
      </c>
      <c r="O304" s="116" t="s">
        <v>1634</v>
      </c>
      <c r="Q304" s="23"/>
      <c r="R304" s="23"/>
    </row>
    <row r="305" spans="2:18" ht="15.75" customHeight="1" x14ac:dyDescent="0.15">
      <c r="B305" s="53" t="s">
        <v>179</v>
      </c>
      <c r="C305" s="263">
        <v>43952</v>
      </c>
      <c r="D305" s="53" t="s">
        <v>470</v>
      </c>
      <c r="E305" s="53" t="s">
        <v>36</v>
      </c>
      <c r="F305" s="147">
        <v>0.35</v>
      </c>
      <c r="G305" s="53" t="s">
        <v>374</v>
      </c>
      <c r="H305" s="53" t="s">
        <v>1177</v>
      </c>
      <c r="I305" s="53" t="s">
        <v>471</v>
      </c>
      <c r="J305" s="53" t="s">
        <v>472</v>
      </c>
      <c r="K305" s="115">
        <v>6</v>
      </c>
      <c r="L305" s="111" t="s">
        <v>470</v>
      </c>
      <c r="O305" s="116" t="s">
        <v>1707</v>
      </c>
      <c r="Q305" s="23"/>
      <c r="R305" s="23"/>
    </row>
    <row r="306" spans="2:18" ht="15.75" customHeight="1" x14ac:dyDescent="0.15">
      <c r="B306" s="53" t="s">
        <v>420</v>
      </c>
      <c r="C306" s="263">
        <v>43952</v>
      </c>
      <c r="D306" s="53" t="s">
        <v>1708</v>
      </c>
      <c r="E306" s="53" t="s">
        <v>36</v>
      </c>
      <c r="F306" s="147">
        <v>0.4</v>
      </c>
      <c r="G306" s="53" t="s">
        <v>1177</v>
      </c>
      <c r="H306" s="53" t="s">
        <v>1177</v>
      </c>
      <c r="I306" s="53" t="s">
        <v>33</v>
      </c>
      <c r="J306" s="53" t="s">
        <v>2375</v>
      </c>
      <c r="K306" s="115">
        <v>8</v>
      </c>
      <c r="L306" s="111" t="s">
        <v>2580</v>
      </c>
      <c r="O306" s="116" t="s">
        <v>1462</v>
      </c>
      <c r="Q306" s="23"/>
      <c r="R306" s="23"/>
    </row>
    <row r="307" spans="2:18" ht="15.75" customHeight="1" x14ac:dyDescent="0.15">
      <c r="B307" s="53" t="s">
        <v>421</v>
      </c>
      <c r="C307" s="263">
        <v>43952</v>
      </c>
      <c r="D307" s="53" t="s">
        <v>2938</v>
      </c>
      <c r="E307" s="53" t="s">
        <v>54</v>
      </c>
      <c r="F307" s="147">
        <v>0.2</v>
      </c>
      <c r="G307" s="53" t="s">
        <v>1177</v>
      </c>
      <c r="H307" s="53" t="s">
        <v>1177</v>
      </c>
      <c r="I307" s="53" t="s">
        <v>467</v>
      </c>
      <c r="J307" s="53" t="s">
        <v>16</v>
      </c>
      <c r="K307" s="115">
        <v>7</v>
      </c>
      <c r="L307" s="111" t="s">
        <v>1685</v>
      </c>
      <c r="O307" s="116" t="s">
        <v>440</v>
      </c>
      <c r="Q307" s="23"/>
      <c r="R307" s="23"/>
    </row>
    <row r="308" spans="2:18" ht="15.75" customHeight="1" x14ac:dyDescent="0.15">
      <c r="B308" s="53" t="s">
        <v>45</v>
      </c>
      <c r="C308" s="263">
        <v>43952</v>
      </c>
      <c r="D308" s="53" t="s">
        <v>1709</v>
      </c>
      <c r="E308" s="53" t="s">
        <v>6</v>
      </c>
      <c r="F308" s="147">
        <v>0.12</v>
      </c>
      <c r="G308" s="53" t="s">
        <v>1177</v>
      </c>
      <c r="H308" s="53" t="s">
        <v>1177</v>
      </c>
      <c r="I308" s="53" t="s">
        <v>468</v>
      </c>
      <c r="J308" s="53" t="s">
        <v>469</v>
      </c>
      <c r="K308" s="115">
        <v>6.5</v>
      </c>
      <c r="L308" s="111" t="s">
        <v>765</v>
      </c>
      <c r="O308" s="116" t="s">
        <v>1569</v>
      </c>
      <c r="Q308" s="23"/>
      <c r="R308" s="23"/>
    </row>
    <row r="309" spans="2:18" ht="15.75" customHeight="1" x14ac:dyDescent="0.15">
      <c r="B309" s="53" t="s">
        <v>18</v>
      </c>
      <c r="C309" s="263">
        <v>43952</v>
      </c>
      <c r="D309" s="237" t="s">
        <v>2142</v>
      </c>
      <c r="E309" s="53" t="s">
        <v>34</v>
      </c>
      <c r="F309" s="147">
        <v>0.04</v>
      </c>
      <c r="G309" s="53" t="s">
        <v>1177</v>
      </c>
      <c r="H309" s="53" t="s">
        <v>1177</v>
      </c>
      <c r="I309" s="53" t="s">
        <v>49</v>
      </c>
      <c r="J309" s="53" t="s">
        <v>21</v>
      </c>
      <c r="K309" s="115">
        <v>7</v>
      </c>
      <c r="L309" s="111" t="s">
        <v>1704</v>
      </c>
      <c r="O309" s="116" t="s">
        <v>1705</v>
      </c>
      <c r="Q309" s="23"/>
      <c r="R309" s="23"/>
    </row>
    <row r="310" spans="2:18" ht="15.75" customHeight="1" x14ac:dyDescent="0.15">
      <c r="B310" s="53" t="s">
        <v>18</v>
      </c>
      <c r="C310" s="263">
        <v>43952</v>
      </c>
      <c r="D310" s="53" t="s">
        <v>462</v>
      </c>
      <c r="E310" s="53" t="s">
        <v>34</v>
      </c>
      <c r="F310" s="147">
        <v>0.04</v>
      </c>
      <c r="G310" s="53" t="s">
        <v>1177</v>
      </c>
      <c r="H310" s="53" t="s">
        <v>1177</v>
      </c>
      <c r="I310" s="53" t="s">
        <v>473</v>
      </c>
      <c r="J310" s="53" t="s">
        <v>201</v>
      </c>
      <c r="K310" s="115">
        <v>5.5</v>
      </c>
      <c r="L310" s="111" t="s">
        <v>1472</v>
      </c>
      <c r="O310" s="116" t="s">
        <v>1455</v>
      </c>
      <c r="Q310" s="23"/>
      <c r="R310" s="23"/>
    </row>
    <row r="311" spans="2:18" ht="15.75" customHeight="1" x14ac:dyDescent="0.15">
      <c r="B311" s="53" t="s">
        <v>45</v>
      </c>
      <c r="C311" s="263">
        <v>43952</v>
      </c>
      <c r="D311" s="53" t="s">
        <v>672</v>
      </c>
      <c r="E311" s="53" t="s">
        <v>6</v>
      </c>
      <c r="F311" s="147">
        <v>7.1999999999999995E-2</v>
      </c>
      <c r="G311" s="53" t="s">
        <v>1177</v>
      </c>
      <c r="H311" s="53" t="s">
        <v>1177</v>
      </c>
      <c r="I311" s="53" t="s">
        <v>231</v>
      </c>
      <c r="J311" s="53" t="s">
        <v>371</v>
      </c>
      <c r="K311" s="115">
        <v>8</v>
      </c>
      <c r="L311" s="111" t="s">
        <v>765</v>
      </c>
      <c r="O311" s="116" t="s">
        <v>1569</v>
      </c>
      <c r="Q311" s="23"/>
      <c r="R311" s="23"/>
    </row>
    <row r="312" spans="2:18" ht="15.75" customHeight="1" x14ac:dyDescent="0.15">
      <c r="B312" s="53" t="s">
        <v>18</v>
      </c>
      <c r="C312" s="263">
        <v>43952</v>
      </c>
      <c r="D312" s="53" t="s">
        <v>40</v>
      </c>
      <c r="E312" s="53" t="s">
        <v>12</v>
      </c>
      <c r="F312" s="147">
        <v>0.41399999999999998</v>
      </c>
      <c r="G312" s="53" t="s">
        <v>452</v>
      </c>
      <c r="H312" s="53" t="s">
        <v>1177</v>
      </c>
      <c r="I312" s="53" t="s">
        <v>477</v>
      </c>
      <c r="J312" s="53" t="s">
        <v>201</v>
      </c>
      <c r="K312" s="115">
        <v>6.5</v>
      </c>
      <c r="L312" s="111" t="s">
        <v>1454</v>
      </c>
      <c r="O312" s="111" t="s">
        <v>1454</v>
      </c>
      <c r="Q312" s="23"/>
      <c r="R312" s="23"/>
    </row>
    <row r="313" spans="2:18" ht="15.75" customHeight="1" x14ac:dyDescent="0.15">
      <c r="B313" s="53" t="s">
        <v>26</v>
      </c>
      <c r="C313" s="263">
        <v>43952</v>
      </c>
      <c r="D313" s="53" t="s">
        <v>474</v>
      </c>
      <c r="E313" s="53" t="s">
        <v>34</v>
      </c>
      <c r="F313" s="147">
        <v>7.3999999999999996E-2</v>
      </c>
      <c r="G313" s="53" t="s">
        <v>1177</v>
      </c>
      <c r="H313" s="53" t="s">
        <v>1177</v>
      </c>
      <c r="I313" s="53" t="s">
        <v>3486</v>
      </c>
      <c r="J313" s="53" t="s">
        <v>132</v>
      </c>
      <c r="K313" s="115">
        <v>6.5</v>
      </c>
      <c r="L313" s="111" t="s">
        <v>1676</v>
      </c>
      <c r="O313" s="116" t="s">
        <v>1677</v>
      </c>
      <c r="Q313" s="23"/>
      <c r="R313" s="23"/>
    </row>
    <row r="314" spans="2:18" ht="15.75" customHeight="1" x14ac:dyDescent="0.15">
      <c r="B314" s="53" t="s">
        <v>361</v>
      </c>
      <c r="C314" s="263">
        <v>43952</v>
      </c>
      <c r="D314" s="53" t="s">
        <v>478</v>
      </c>
      <c r="E314" s="53" t="s">
        <v>36</v>
      </c>
      <c r="F314" s="147">
        <v>0.4</v>
      </c>
      <c r="G314" s="53" t="s">
        <v>476</v>
      </c>
      <c r="H314" s="53" t="s">
        <v>13</v>
      </c>
      <c r="I314" s="53" t="s">
        <v>290</v>
      </c>
      <c r="J314" s="53" t="s">
        <v>475</v>
      </c>
      <c r="K314" s="115">
        <v>8.5</v>
      </c>
      <c r="L314" s="111" t="s">
        <v>1710</v>
      </c>
      <c r="O314" s="116" t="s">
        <v>1516</v>
      </c>
      <c r="Q314" s="23"/>
      <c r="R314" s="23"/>
    </row>
    <row r="315" spans="2:18" ht="15.75" customHeight="1" x14ac:dyDescent="0.15">
      <c r="B315" s="53" t="s">
        <v>38</v>
      </c>
      <c r="C315" s="263">
        <v>43952</v>
      </c>
      <c r="D315" s="53" t="s">
        <v>2693</v>
      </c>
      <c r="E315" s="53" t="s">
        <v>6</v>
      </c>
      <c r="F315" s="147">
        <v>4.8000000000000001E-2</v>
      </c>
      <c r="G315" s="53" t="s">
        <v>1177</v>
      </c>
      <c r="H315" s="53" t="s">
        <v>1177</v>
      </c>
      <c r="I315" s="53" t="s">
        <v>248</v>
      </c>
      <c r="J315" s="53" t="s">
        <v>25</v>
      </c>
      <c r="K315" s="115">
        <v>6.5</v>
      </c>
      <c r="L315" s="111" t="s">
        <v>1711</v>
      </c>
      <c r="O315" s="116" t="s">
        <v>1688</v>
      </c>
      <c r="Q315" s="23"/>
      <c r="R315" s="23"/>
    </row>
    <row r="316" spans="2:18" ht="15.75" customHeight="1" x14ac:dyDescent="0.15">
      <c r="B316" s="53" t="s">
        <v>35</v>
      </c>
      <c r="C316" s="263">
        <v>43959</v>
      </c>
      <c r="D316" s="53" t="s">
        <v>479</v>
      </c>
      <c r="E316" s="53" t="s">
        <v>6</v>
      </c>
      <c r="F316" s="147">
        <v>0.04</v>
      </c>
      <c r="G316" s="53" t="s">
        <v>1177</v>
      </c>
      <c r="H316" s="53" t="s">
        <v>1177</v>
      </c>
      <c r="I316" s="53" t="s">
        <v>217</v>
      </c>
      <c r="J316" s="53" t="s">
        <v>246</v>
      </c>
      <c r="K316" s="115">
        <v>6</v>
      </c>
      <c r="L316" s="111" t="s">
        <v>1589</v>
      </c>
      <c r="O316" s="116" t="s">
        <v>1589</v>
      </c>
      <c r="Q316" s="23"/>
      <c r="R316" s="23"/>
    </row>
    <row r="317" spans="2:18" ht="15.75" customHeight="1" x14ac:dyDescent="0.15">
      <c r="B317" s="53" t="s">
        <v>26</v>
      </c>
      <c r="C317" s="263">
        <v>43959</v>
      </c>
      <c r="D317" s="53" t="s">
        <v>68</v>
      </c>
      <c r="E317" s="53" t="s">
        <v>32</v>
      </c>
      <c r="F317" s="147">
        <v>0.375</v>
      </c>
      <c r="G317" s="53" t="s">
        <v>69</v>
      </c>
      <c r="H317" s="53" t="s">
        <v>1177</v>
      </c>
      <c r="I317" s="53" t="s">
        <v>93</v>
      </c>
      <c r="J317" s="53" t="s">
        <v>215</v>
      </c>
      <c r="K317" s="115">
        <v>8</v>
      </c>
      <c r="L317" s="111" t="s">
        <v>766</v>
      </c>
      <c r="O317" s="116" t="s">
        <v>1516</v>
      </c>
      <c r="Q317" s="23"/>
      <c r="R317" s="23"/>
    </row>
    <row r="318" spans="2:18" ht="15.75" customHeight="1" x14ac:dyDescent="0.15">
      <c r="B318" s="53" t="s">
        <v>35</v>
      </c>
      <c r="C318" s="263">
        <v>43959</v>
      </c>
      <c r="D318" s="53" t="s">
        <v>1404</v>
      </c>
      <c r="E318" s="53" t="s">
        <v>6</v>
      </c>
      <c r="F318" s="147">
        <v>2.8000000000000001E-2</v>
      </c>
      <c r="G318" s="53" t="s">
        <v>1177</v>
      </c>
      <c r="H318" s="53" t="s">
        <v>1177</v>
      </c>
      <c r="I318" s="53" t="s">
        <v>2191</v>
      </c>
      <c r="J318" s="53" t="s">
        <v>111</v>
      </c>
      <c r="K318" s="115">
        <v>5.5</v>
      </c>
      <c r="L318" s="111" t="s">
        <v>1542</v>
      </c>
      <c r="O318" s="116" t="s">
        <v>1542</v>
      </c>
      <c r="Q318" s="23"/>
      <c r="R318" s="23"/>
    </row>
    <row r="319" spans="2:18" ht="15.75" customHeight="1" x14ac:dyDescent="0.15">
      <c r="B319" s="53" t="s">
        <v>18</v>
      </c>
      <c r="C319" s="263">
        <v>43959</v>
      </c>
      <c r="D319" s="53" t="s">
        <v>2687</v>
      </c>
      <c r="E319" s="53" t="s">
        <v>12</v>
      </c>
      <c r="F319" s="147">
        <v>0.43</v>
      </c>
      <c r="G319" s="53" t="s">
        <v>2919</v>
      </c>
      <c r="H319" s="53" t="s">
        <v>1177</v>
      </c>
      <c r="I319" s="53" t="s">
        <v>481</v>
      </c>
      <c r="J319" s="53" t="s">
        <v>3562</v>
      </c>
      <c r="K319" s="115">
        <v>8</v>
      </c>
      <c r="L319" s="111" t="s">
        <v>1581</v>
      </c>
      <c r="O319" s="116" t="s">
        <v>1537</v>
      </c>
      <c r="P319" s="23" t="s">
        <v>3256</v>
      </c>
      <c r="Q319" s="23"/>
      <c r="R319" s="23"/>
    </row>
    <row r="320" spans="2:18" ht="15.75" customHeight="1" x14ac:dyDescent="0.15">
      <c r="B320" s="53" t="s">
        <v>45</v>
      </c>
      <c r="C320" s="263">
        <v>43959</v>
      </c>
      <c r="D320" s="53" t="s">
        <v>480</v>
      </c>
      <c r="E320" s="53" t="s">
        <v>42</v>
      </c>
      <c r="F320" s="147">
        <v>0.12</v>
      </c>
      <c r="G320" s="53" t="s">
        <v>1177</v>
      </c>
      <c r="H320" s="53" t="s">
        <v>1177</v>
      </c>
      <c r="I320" s="53" t="s">
        <v>244</v>
      </c>
      <c r="J320" s="53" t="s">
        <v>2376</v>
      </c>
      <c r="K320" s="115">
        <v>5</v>
      </c>
      <c r="L320" s="111" t="s">
        <v>1712</v>
      </c>
      <c r="O320" s="116" t="s">
        <v>1713</v>
      </c>
      <c r="Q320" s="23"/>
      <c r="R320" s="23"/>
    </row>
    <row r="321" spans="2:18" ht="15.75" customHeight="1" x14ac:dyDescent="0.15">
      <c r="B321" s="53" t="s">
        <v>73</v>
      </c>
      <c r="C321" s="263">
        <v>43959</v>
      </c>
      <c r="D321" s="53" t="s">
        <v>1714</v>
      </c>
      <c r="E321" s="53" t="s">
        <v>6</v>
      </c>
      <c r="F321" s="147">
        <v>4.4999999999999998E-2</v>
      </c>
      <c r="G321" s="53" t="s">
        <v>1177</v>
      </c>
      <c r="H321" s="53" t="s">
        <v>1177</v>
      </c>
      <c r="I321" s="53" t="s">
        <v>482</v>
      </c>
      <c r="J321" s="53" t="s">
        <v>483</v>
      </c>
      <c r="K321" s="115">
        <v>7</v>
      </c>
      <c r="L321" s="111" t="s">
        <v>1715</v>
      </c>
      <c r="O321" s="116" t="s">
        <v>1537</v>
      </c>
      <c r="Q321" s="23"/>
      <c r="R321" s="23"/>
    </row>
    <row r="322" spans="2:18" ht="15.75" customHeight="1" x14ac:dyDescent="0.15">
      <c r="B322" s="53" t="s">
        <v>75</v>
      </c>
      <c r="C322" s="263">
        <v>43959</v>
      </c>
      <c r="D322" s="53" t="s">
        <v>673</v>
      </c>
      <c r="E322" s="53" t="s">
        <v>34</v>
      </c>
      <c r="F322" s="147">
        <v>4.4999999999999998E-2</v>
      </c>
      <c r="G322" s="53" t="s">
        <v>1177</v>
      </c>
      <c r="H322" s="53" t="s">
        <v>1177</v>
      </c>
      <c r="I322" s="53" t="s">
        <v>33</v>
      </c>
      <c r="J322" s="53" t="s">
        <v>16</v>
      </c>
      <c r="K322" s="115">
        <v>5</v>
      </c>
      <c r="L322" s="111" t="s">
        <v>1472</v>
      </c>
      <c r="O322" s="116" t="s">
        <v>1455</v>
      </c>
      <c r="Q322" s="23"/>
      <c r="R322" s="23"/>
    </row>
    <row r="323" spans="2:18" ht="15.75" customHeight="1" x14ac:dyDescent="0.15">
      <c r="B323" s="53" t="s">
        <v>73</v>
      </c>
      <c r="C323" s="263">
        <v>43959</v>
      </c>
      <c r="D323" s="53" t="s">
        <v>1716</v>
      </c>
      <c r="E323" s="53" t="s">
        <v>6</v>
      </c>
      <c r="F323" s="147">
        <v>0.1</v>
      </c>
      <c r="G323" s="53" t="s">
        <v>1177</v>
      </c>
      <c r="H323" s="53" t="s">
        <v>1177</v>
      </c>
      <c r="I323" s="53" t="s">
        <v>2192</v>
      </c>
      <c r="J323" s="53" t="s">
        <v>2377</v>
      </c>
      <c r="K323" s="115">
        <v>8</v>
      </c>
      <c r="L323" s="111" t="s">
        <v>1535</v>
      </c>
      <c r="O323" s="116" t="s">
        <v>1535</v>
      </c>
      <c r="Q323" s="23"/>
      <c r="R323" s="23"/>
    </row>
    <row r="324" spans="2:18" ht="15.75" customHeight="1" x14ac:dyDescent="0.15">
      <c r="B324" s="53" t="s">
        <v>26</v>
      </c>
      <c r="C324" s="263">
        <v>43959</v>
      </c>
      <c r="D324" s="53" t="s">
        <v>68</v>
      </c>
      <c r="E324" s="53" t="s">
        <v>32</v>
      </c>
      <c r="F324" s="147">
        <v>0.375</v>
      </c>
      <c r="G324" s="53" t="s">
        <v>484</v>
      </c>
      <c r="H324" s="53" t="s">
        <v>588</v>
      </c>
      <c r="I324" s="53" t="s">
        <v>622</v>
      </c>
      <c r="J324" s="53" t="s">
        <v>489</v>
      </c>
      <c r="K324" s="115">
        <v>7</v>
      </c>
      <c r="L324" s="111" t="s">
        <v>766</v>
      </c>
      <c r="O324" s="116" t="s">
        <v>1516</v>
      </c>
      <c r="Q324" s="23"/>
      <c r="R324" s="23"/>
    </row>
    <row r="325" spans="2:18" ht="15.75" customHeight="1" x14ac:dyDescent="0.15">
      <c r="B325" s="53" t="s">
        <v>35</v>
      </c>
      <c r="C325" s="263">
        <v>43959</v>
      </c>
      <c r="D325" s="53" t="s">
        <v>485</v>
      </c>
      <c r="E325" s="53" t="s">
        <v>6</v>
      </c>
      <c r="F325" s="147">
        <v>4.4999999999999998E-2</v>
      </c>
      <c r="G325" s="53" t="s">
        <v>1177</v>
      </c>
      <c r="H325" s="53" t="s">
        <v>1177</v>
      </c>
      <c r="I325" s="53" t="s">
        <v>488</v>
      </c>
      <c r="J325" s="53" t="s">
        <v>491</v>
      </c>
      <c r="K325" s="115">
        <v>7</v>
      </c>
      <c r="L325" s="111" t="s">
        <v>1717</v>
      </c>
      <c r="O325" s="116" t="s">
        <v>1717</v>
      </c>
      <c r="Q325" s="23"/>
      <c r="R325" s="23"/>
    </row>
    <row r="326" spans="2:18" ht="15.75" customHeight="1" x14ac:dyDescent="0.15">
      <c r="B326" s="53" t="s">
        <v>45</v>
      </c>
      <c r="C326" s="263">
        <v>43959</v>
      </c>
      <c r="D326" s="53" t="s">
        <v>375</v>
      </c>
      <c r="E326" s="53" t="s">
        <v>6</v>
      </c>
      <c r="F326" s="147">
        <v>0.06</v>
      </c>
      <c r="G326" s="53" t="s">
        <v>1177</v>
      </c>
      <c r="H326" s="53" t="s">
        <v>1177</v>
      </c>
      <c r="I326" s="53" t="s">
        <v>495</v>
      </c>
      <c r="J326" s="53" t="s">
        <v>82</v>
      </c>
      <c r="K326" s="115">
        <v>8</v>
      </c>
      <c r="L326" s="111" t="s">
        <v>765</v>
      </c>
      <c r="O326" s="116" t="s">
        <v>1569</v>
      </c>
      <c r="Q326" s="23"/>
      <c r="R326" s="23"/>
    </row>
    <row r="327" spans="2:18" ht="15.75" customHeight="1" x14ac:dyDescent="0.15">
      <c r="B327" s="53" t="s">
        <v>18</v>
      </c>
      <c r="C327" s="263">
        <v>43959</v>
      </c>
      <c r="D327" s="53" t="s">
        <v>486</v>
      </c>
      <c r="E327" s="53" t="s">
        <v>6</v>
      </c>
      <c r="F327" s="147">
        <v>5.8999999999999997E-2</v>
      </c>
      <c r="G327" s="53" t="s">
        <v>1177</v>
      </c>
      <c r="H327" s="53" t="s">
        <v>1177</v>
      </c>
      <c r="I327" s="53" t="s">
        <v>21</v>
      </c>
      <c r="J327" s="53" t="s">
        <v>490</v>
      </c>
      <c r="K327" s="115">
        <v>6.5</v>
      </c>
      <c r="L327" s="111" t="s">
        <v>1718</v>
      </c>
      <c r="O327" s="116" t="s">
        <v>1565</v>
      </c>
      <c r="Q327" s="23"/>
      <c r="R327" s="23"/>
    </row>
    <row r="328" spans="2:18" ht="15.75" customHeight="1" x14ac:dyDescent="0.15">
      <c r="B328" s="53" t="s">
        <v>61</v>
      </c>
      <c r="C328" s="263">
        <v>43959</v>
      </c>
      <c r="D328" s="53" t="s">
        <v>485</v>
      </c>
      <c r="E328" s="53" t="s">
        <v>6</v>
      </c>
      <c r="F328" s="147">
        <v>4.4999999999999998E-2</v>
      </c>
      <c r="G328" s="53" t="s">
        <v>1177</v>
      </c>
      <c r="H328" s="53" t="s">
        <v>1177</v>
      </c>
      <c r="I328" s="53" t="s">
        <v>492</v>
      </c>
      <c r="J328" s="53" t="s">
        <v>16</v>
      </c>
      <c r="K328" s="115">
        <v>6.5</v>
      </c>
      <c r="L328" s="111" t="s">
        <v>1717</v>
      </c>
      <c r="O328" s="116" t="s">
        <v>1717</v>
      </c>
      <c r="Q328" s="23"/>
      <c r="R328" s="23"/>
    </row>
    <row r="329" spans="2:18" ht="15.75" customHeight="1" x14ac:dyDescent="0.15">
      <c r="B329" s="53" t="s">
        <v>179</v>
      </c>
      <c r="C329" s="263">
        <v>43959</v>
      </c>
      <c r="D329" s="53" t="s">
        <v>485</v>
      </c>
      <c r="E329" s="53" t="s">
        <v>6</v>
      </c>
      <c r="F329" s="147">
        <v>4.4999999999999998E-2</v>
      </c>
      <c r="G329" s="53" t="s">
        <v>1177</v>
      </c>
      <c r="H329" s="53" t="s">
        <v>1177</v>
      </c>
      <c r="I329" s="53" t="s">
        <v>2193</v>
      </c>
      <c r="J329" s="53" t="s">
        <v>315</v>
      </c>
      <c r="K329" s="115">
        <v>6</v>
      </c>
      <c r="L329" s="111" t="s">
        <v>1717</v>
      </c>
      <c r="O329" s="116" t="s">
        <v>1717</v>
      </c>
      <c r="Q329" s="23"/>
      <c r="R329" s="23"/>
    </row>
    <row r="330" spans="2:18" ht="15.75" customHeight="1" x14ac:dyDescent="0.15">
      <c r="B330" s="53" t="s">
        <v>26</v>
      </c>
      <c r="C330" s="263">
        <v>43959</v>
      </c>
      <c r="D330" s="53" t="s">
        <v>485</v>
      </c>
      <c r="E330" s="53" t="s">
        <v>6</v>
      </c>
      <c r="F330" s="147">
        <v>4.4999999999999998E-2</v>
      </c>
      <c r="G330" s="53" t="s">
        <v>1177</v>
      </c>
      <c r="H330" s="53" t="s">
        <v>1177</v>
      </c>
      <c r="I330" s="53" t="s">
        <v>493</v>
      </c>
      <c r="J330" s="53" t="s">
        <v>494</v>
      </c>
      <c r="K330" s="115">
        <v>7</v>
      </c>
      <c r="L330" s="111" t="s">
        <v>1717</v>
      </c>
      <c r="O330" s="116" t="s">
        <v>1717</v>
      </c>
      <c r="Q330" s="23"/>
      <c r="R330" s="23"/>
    </row>
    <row r="331" spans="2:18" ht="15.75" customHeight="1" x14ac:dyDescent="0.15">
      <c r="B331" s="53" t="s">
        <v>38</v>
      </c>
      <c r="C331" s="263">
        <v>43959</v>
      </c>
      <c r="D331" s="53" t="s">
        <v>487</v>
      </c>
      <c r="E331" s="53" t="s">
        <v>6</v>
      </c>
      <c r="F331" s="147">
        <v>5.1999999999999998E-2</v>
      </c>
      <c r="G331" s="53" t="s">
        <v>1177</v>
      </c>
      <c r="H331" s="53" t="s">
        <v>1177</v>
      </c>
      <c r="I331" s="53" t="s">
        <v>2194</v>
      </c>
      <c r="J331" s="53" t="s">
        <v>232</v>
      </c>
      <c r="K331" s="115">
        <v>9</v>
      </c>
      <c r="L331" s="111" t="s">
        <v>1719</v>
      </c>
      <c r="O331" s="116" t="s">
        <v>674</v>
      </c>
      <c r="Q331" s="23"/>
      <c r="R331" s="23"/>
    </row>
    <row r="332" spans="2:18" ht="15.75" customHeight="1" x14ac:dyDescent="0.15">
      <c r="B332" s="53" t="s">
        <v>18</v>
      </c>
      <c r="C332" s="263">
        <v>43959</v>
      </c>
      <c r="D332" s="53" t="s">
        <v>1720</v>
      </c>
      <c r="E332" s="53" t="s">
        <v>6</v>
      </c>
      <c r="F332" s="147">
        <v>4.5999999999999999E-2</v>
      </c>
      <c r="G332" s="53" t="s">
        <v>1177</v>
      </c>
      <c r="H332" s="53" t="s">
        <v>1177</v>
      </c>
      <c r="I332" s="53" t="s">
        <v>2195</v>
      </c>
      <c r="J332" s="53" t="s">
        <v>2378</v>
      </c>
      <c r="K332" s="115">
        <v>6.5</v>
      </c>
      <c r="L332" s="111" t="s">
        <v>1580</v>
      </c>
      <c r="O332" s="116" t="s">
        <v>1565</v>
      </c>
      <c r="Q332" s="23"/>
      <c r="R332" s="23"/>
    </row>
    <row r="333" spans="2:18" ht="15.75" customHeight="1" x14ac:dyDescent="0.15">
      <c r="B333" s="53" t="s">
        <v>61</v>
      </c>
      <c r="C333" s="263">
        <v>43959</v>
      </c>
      <c r="D333" s="53" t="s">
        <v>1721</v>
      </c>
      <c r="E333" s="53" t="s">
        <v>6</v>
      </c>
      <c r="F333" s="147">
        <v>4.4999999999999998E-2</v>
      </c>
      <c r="G333" s="53" t="s">
        <v>1177</v>
      </c>
      <c r="H333" s="53" t="s">
        <v>1177</v>
      </c>
      <c r="I333" s="53" t="s">
        <v>241</v>
      </c>
      <c r="J333" s="53" t="s">
        <v>218</v>
      </c>
      <c r="K333" s="115">
        <v>7</v>
      </c>
      <c r="L333" s="111" t="s">
        <v>1717</v>
      </c>
      <c r="O333" s="116" t="s">
        <v>1717</v>
      </c>
      <c r="Q333" s="23"/>
      <c r="R333" s="23"/>
    </row>
    <row r="334" spans="2:18" ht="15.75" customHeight="1" x14ac:dyDescent="0.15">
      <c r="B334" s="53" t="s">
        <v>179</v>
      </c>
      <c r="C334" s="263">
        <v>43959</v>
      </c>
      <c r="D334" s="53" t="s">
        <v>1721</v>
      </c>
      <c r="E334" s="53" t="s">
        <v>6</v>
      </c>
      <c r="F334" s="147">
        <v>4.4999999999999998E-2</v>
      </c>
      <c r="G334" s="53" t="s">
        <v>1177</v>
      </c>
      <c r="H334" s="53" t="s">
        <v>1177</v>
      </c>
      <c r="I334" s="53" t="s">
        <v>262</v>
      </c>
      <c r="J334" s="53" t="s">
        <v>2379</v>
      </c>
      <c r="K334" s="115">
        <v>7</v>
      </c>
      <c r="L334" s="111" t="s">
        <v>1717</v>
      </c>
      <c r="O334" s="116" t="s">
        <v>1717</v>
      </c>
      <c r="Q334" s="23"/>
      <c r="R334" s="23"/>
    </row>
    <row r="335" spans="2:18" ht="15.75" customHeight="1" x14ac:dyDescent="0.15">
      <c r="B335" s="53" t="s">
        <v>35</v>
      </c>
      <c r="C335" s="263">
        <v>43959</v>
      </c>
      <c r="D335" s="53" t="s">
        <v>496</v>
      </c>
      <c r="E335" s="53" t="s">
        <v>6</v>
      </c>
      <c r="F335" s="147">
        <v>0.05</v>
      </c>
      <c r="G335" s="53" t="s">
        <v>1177</v>
      </c>
      <c r="H335" s="53" t="s">
        <v>1177</v>
      </c>
      <c r="I335" s="53" t="s">
        <v>1055</v>
      </c>
      <c r="J335" s="53" t="s">
        <v>2380</v>
      </c>
      <c r="K335" s="115">
        <v>8.5</v>
      </c>
      <c r="L335" s="111" t="s">
        <v>668</v>
      </c>
      <c r="O335" s="116" t="s">
        <v>668</v>
      </c>
      <c r="Q335" s="23"/>
      <c r="R335" s="23"/>
    </row>
    <row r="336" spans="2:18" ht="15.75" customHeight="1" x14ac:dyDescent="0.15">
      <c r="B336" s="53" t="s">
        <v>38</v>
      </c>
      <c r="C336" s="263">
        <v>43959</v>
      </c>
      <c r="D336" s="53" t="s">
        <v>675</v>
      </c>
      <c r="E336" s="53" t="s">
        <v>6</v>
      </c>
      <c r="F336" s="147">
        <v>4.2000000000000003E-2</v>
      </c>
      <c r="G336" s="53" t="s">
        <v>1177</v>
      </c>
      <c r="H336" s="53" t="s">
        <v>1177</v>
      </c>
      <c r="I336" s="53" t="s">
        <v>249</v>
      </c>
      <c r="J336" s="53" t="s">
        <v>2381</v>
      </c>
      <c r="K336" s="115">
        <v>7.5</v>
      </c>
      <c r="L336" s="111" t="s">
        <v>1719</v>
      </c>
      <c r="O336" s="116" t="s">
        <v>674</v>
      </c>
      <c r="Q336" s="23"/>
      <c r="R336" s="23"/>
    </row>
    <row r="337" spans="2:18" ht="15.75" customHeight="1" x14ac:dyDescent="0.15">
      <c r="B337" s="53" t="s">
        <v>73</v>
      </c>
      <c r="C337" s="263">
        <v>43959</v>
      </c>
      <c r="D337" s="53" t="s">
        <v>497</v>
      </c>
      <c r="E337" s="53" t="s">
        <v>65</v>
      </c>
      <c r="F337" s="147">
        <v>0.41299999999999998</v>
      </c>
      <c r="G337" s="53" t="s">
        <v>121</v>
      </c>
      <c r="H337" s="53" t="s">
        <v>1177</v>
      </c>
      <c r="I337" s="53" t="s">
        <v>498</v>
      </c>
      <c r="J337" s="53" t="s">
        <v>499</v>
      </c>
      <c r="K337" s="115">
        <v>6</v>
      </c>
      <c r="L337" s="111" t="s">
        <v>1722</v>
      </c>
      <c r="O337" s="116" t="s">
        <v>1723</v>
      </c>
      <c r="Q337" s="23"/>
      <c r="R337" s="23"/>
    </row>
    <row r="338" spans="2:18" ht="15.75" customHeight="1" x14ac:dyDescent="0.15">
      <c r="B338" s="53" t="s">
        <v>61</v>
      </c>
      <c r="C338" s="263">
        <v>43959</v>
      </c>
      <c r="D338" s="53" t="s">
        <v>500</v>
      </c>
      <c r="E338" s="53" t="s">
        <v>6</v>
      </c>
      <c r="F338" s="147">
        <v>6.5000000000000002E-2</v>
      </c>
      <c r="G338" s="53" t="s">
        <v>1177</v>
      </c>
      <c r="H338" s="53" t="s">
        <v>1177</v>
      </c>
      <c r="I338" s="53" t="s">
        <v>2196</v>
      </c>
      <c r="J338" s="53" t="s">
        <v>2382</v>
      </c>
      <c r="K338" s="115">
        <v>7.5</v>
      </c>
      <c r="L338" s="111" t="s">
        <v>1717</v>
      </c>
      <c r="O338" s="116" t="s">
        <v>1717</v>
      </c>
      <c r="Q338" s="23"/>
      <c r="R338" s="23"/>
    </row>
    <row r="339" spans="2:18" ht="15.75" customHeight="1" x14ac:dyDescent="0.15">
      <c r="B339" s="53" t="s">
        <v>73</v>
      </c>
      <c r="C339" s="263">
        <v>43959</v>
      </c>
      <c r="D339" s="53" t="s">
        <v>497</v>
      </c>
      <c r="E339" s="53" t="s">
        <v>65</v>
      </c>
      <c r="F339" s="147">
        <v>0.41299999999999998</v>
      </c>
      <c r="G339" s="53" t="s">
        <v>69</v>
      </c>
      <c r="H339" s="53" t="s">
        <v>1177</v>
      </c>
      <c r="I339" s="53" t="s">
        <v>501</v>
      </c>
      <c r="J339" s="53" t="s">
        <v>502</v>
      </c>
      <c r="K339" s="115">
        <v>8.5</v>
      </c>
      <c r="L339" s="111" t="s">
        <v>1722</v>
      </c>
      <c r="O339" s="116" t="s">
        <v>1723</v>
      </c>
      <c r="Q339" s="23"/>
      <c r="R339" s="23"/>
    </row>
    <row r="340" spans="2:18" ht="15.75" customHeight="1" x14ac:dyDescent="0.15">
      <c r="B340" s="53" t="s">
        <v>179</v>
      </c>
      <c r="C340" s="263">
        <v>43959</v>
      </c>
      <c r="D340" s="53" t="s">
        <v>500</v>
      </c>
      <c r="E340" s="53" t="s">
        <v>6</v>
      </c>
      <c r="F340" s="147">
        <v>6.5000000000000002E-2</v>
      </c>
      <c r="G340" s="53" t="s">
        <v>1177</v>
      </c>
      <c r="H340" s="53" t="s">
        <v>1177</v>
      </c>
      <c r="I340" s="53" t="s">
        <v>2197</v>
      </c>
      <c r="J340" s="53" t="s">
        <v>2383</v>
      </c>
      <c r="K340" s="115">
        <v>7</v>
      </c>
      <c r="L340" s="111" t="s">
        <v>1717</v>
      </c>
      <c r="O340" s="116" t="s">
        <v>1717</v>
      </c>
      <c r="Q340" s="23"/>
      <c r="R340" s="23"/>
    </row>
    <row r="341" spans="2:18" ht="15.75" customHeight="1" x14ac:dyDescent="0.15">
      <c r="B341" s="53" t="s">
        <v>26</v>
      </c>
      <c r="C341" s="263">
        <v>43959</v>
      </c>
      <c r="D341" s="53" t="s">
        <v>500</v>
      </c>
      <c r="E341" s="53" t="s">
        <v>6</v>
      </c>
      <c r="F341" s="147">
        <v>6.5000000000000002E-2</v>
      </c>
      <c r="G341" s="53" t="s">
        <v>1177</v>
      </c>
      <c r="H341" s="53" t="s">
        <v>1177</v>
      </c>
      <c r="I341" s="53" t="s">
        <v>2198</v>
      </c>
      <c r="J341" s="53" t="s">
        <v>2384</v>
      </c>
      <c r="K341" s="115">
        <v>6</v>
      </c>
      <c r="L341" s="111" t="s">
        <v>1717</v>
      </c>
      <c r="O341" s="116" t="s">
        <v>1717</v>
      </c>
      <c r="Q341" s="23"/>
      <c r="R341" s="23"/>
    </row>
    <row r="342" spans="2:18" ht="15.75" customHeight="1" x14ac:dyDescent="0.15">
      <c r="B342" s="53" t="s">
        <v>35</v>
      </c>
      <c r="C342" s="263">
        <v>43959</v>
      </c>
      <c r="D342" s="53" t="s">
        <v>500</v>
      </c>
      <c r="E342" s="53" t="s">
        <v>6</v>
      </c>
      <c r="F342" s="147">
        <v>6.5000000000000002E-2</v>
      </c>
      <c r="G342" s="53" t="s">
        <v>1177</v>
      </c>
      <c r="H342" s="53" t="s">
        <v>1177</v>
      </c>
      <c r="I342" s="53" t="s">
        <v>3540</v>
      </c>
      <c r="J342" s="53" t="s">
        <v>327</v>
      </c>
      <c r="K342" s="115">
        <v>9</v>
      </c>
      <c r="L342" s="111" t="s">
        <v>1717</v>
      </c>
      <c r="O342" s="116" t="s">
        <v>1717</v>
      </c>
      <c r="Q342" s="23"/>
      <c r="R342" s="23"/>
    </row>
    <row r="343" spans="2:18" ht="15.75" customHeight="1" x14ac:dyDescent="0.15">
      <c r="B343" s="53" t="s">
        <v>18</v>
      </c>
      <c r="C343" s="263">
        <v>43959</v>
      </c>
      <c r="D343" s="53" t="s">
        <v>1724</v>
      </c>
      <c r="E343" s="53" t="s">
        <v>6</v>
      </c>
      <c r="F343" s="147">
        <v>4.9000000000000002E-2</v>
      </c>
      <c r="G343" s="53" t="s">
        <v>1177</v>
      </c>
      <c r="H343" s="53" t="s">
        <v>1177</v>
      </c>
      <c r="I343" s="53" t="s">
        <v>1145</v>
      </c>
      <c r="J343" s="53" t="s">
        <v>2385</v>
      </c>
      <c r="K343" s="115">
        <v>7</v>
      </c>
      <c r="L343" s="111" t="s">
        <v>1654</v>
      </c>
      <c r="O343" s="116" t="s">
        <v>1634</v>
      </c>
      <c r="Q343" s="23"/>
      <c r="R343" s="23"/>
    </row>
    <row r="344" spans="2:18" ht="15.75" customHeight="1" x14ac:dyDescent="0.15">
      <c r="B344" s="53" t="s">
        <v>38</v>
      </c>
      <c r="C344" s="263">
        <v>43959</v>
      </c>
      <c r="D344" s="53" t="s">
        <v>676</v>
      </c>
      <c r="E344" s="53" t="s">
        <v>6</v>
      </c>
      <c r="F344" s="147">
        <v>4.4999999999999998E-2</v>
      </c>
      <c r="G344" s="53" t="s">
        <v>1177</v>
      </c>
      <c r="H344" s="53" t="s">
        <v>1177</v>
      </c>
      <c r="I344" s="53" t="s">
        <v>2199</v>
      </c>
      <c r="J344" s="53" t="s">
        <v>2386</v>
      </c>
      <c r="K344" s="115">
        <v>7</v>
      </c>
      <c r="L344" s="111" t="s">
        <v>1719</v>
      </c>
      <c r="O344" s="116" t="s">
        <v>674</v>
      </c>
      <c r="Q344" s="23"/>
      <c r="R344" s="23"/>
    </row>
    <row r="345" spans="2:18" ht="15.75" customHeight="1" x14ac:dyDescent="0.15">
      <c r="B345" s="53" t="s">
        <v>41</v>
      </c>
      <c r="C345" s="263">
        <v>43959</v>
      </c>
      <c r="D345" s="53" t="s">
        <v>1610</v>
      </c>
      <c r="E345" s="53" t="s">
        <v>36</v>
      </c>
      <c r="F345" s="147">
        <v>0.4</v>
      </c>
      <c r="G345" s="53" t="s">
        <v>510</v>
      </c>
      <c r="H345" s="53" t="s">
        <v>13</v>
      </c>
      <c r="I345" s="53" t="s">
        <v>2200</v>
      </c>
      <c r="J345" s="53" t="s">
        <v>2387</v>
      </c>
      <c r="K345" s="115">
        <v>3</v>
      </c>
      <c r="L345" s="111" t="s">
        <v>1610</v>
      </c>
      <c r="O345" s="116" t="s">
        <v>1594</v>
      </c>
      <c r="Q345" s="23"/>
      <c r="R345" s="23"/>
    </row>
    <row r="346" spans="2:18" ht="15.75" customHeight="1" x14ac:dyDescent="0.15">
      <c r="B346" s="53" t="s">
        <v>26</v>
      </c>
      <c r="C346" s="263">
        <v>43959</v>
      </c>
      <c r="D346" s="53" t="s">
        <v>68</v>
      </c>
      <c r="E346" s="53" t="s">
        <v>32</v>
      </c>
      <c r="F346" s="147">
        <v>0.375</v>
      </c>
      <c r="G346" s="53" t="s">
        <v>504</v>
      </c>
      <c r="H346" s="53" t="s">
        <v>505</v>
      </c>
      <c r="I346" s="53" t="s">
        <v>1412</v>
      </c>
      <c r="J346" s="53" t="s">
        <v>2388</v>
      </c>
      <c r="K346" s="115">
        <v>7.5</v>
      </c>
      <c r="L346" s="111" t="s">
        <v>766</v>
      </c>
      <c r="O346" s="116" t="s">
        <v>1516</v>
      </c>
      <c r="P346" s="23" t="s">
        <v>3257</v>
      </c>
      <c r="Q346" s="23"/>
      <c r="R346" s="23"/>
    </row>
    <row r="347" spans="2:18" ht="15.75" customHeight="1" x14ac:dyDescent="0.15">
      <c r="B347" s="53" t="s">
        <v>35</v>
      </c>
      <c r="C347" s="263">
        <v>43959</v>
      </c>
      <c r="D347" s="53" t="s">
        <v>506</v>
      </c>
      <c r="E347" s="53" t="s">
        <v>12</v>
      </c>
      <c r="F347" s="147">
        <v>0.4</v>
      </c>
      <c r="G347" s="53" t="s">
        <v>401</v>
      </c>
      <c r="H347" s="53" t="s">
        <v>1177</v>
      </c>
      <c r="I347" s="53" t="s">
        <v>231</v>
      </c>
      <c r="J347" s="53" t="s">
        <v>518</v>
      </c>
      <c r="K347" s="115">
        <v>7.5</v>
      </c>
      <c r="L347" s="111" t="s">
        <v>1725</v>
      </c>
      <c r="O347" s="116" t="s">
        <v>1516</v>
      </c>
      <c r="Q347" s="23"/>
      <c r="R347" s="23"/>
    </row>
    <row r="348" spans="2:18" ht="15.75" customHeight="1" x14ac:dyDescent="0.15">
      <c r="B348" s="53" t="s">
        <v>18</v>
      </c>
      <c r="C348" s="263">
        <v>43959</v>
      </c>
      <c r="D348" s="53" t="s">
        <v>1456</v>
      </c>
      <c r="E348" s="53" t="s">
        <v>27</v>
      </c>
      <c r="F348" s="147">
        <v>0.25</v>
      </c>
      <c r="G348" s="53" t="s">
        <v>68</v>
      </c>
      <c r="H348" s="53" t="s">
        <v>422</v>
      </c>
      <c r="I348" s="53" t="s">
        <v>77</v>
      </c>
      <c r="J348" s="53" t="s">
        <v>1005</v>
      </c>
      <c r="K348" s="115">
        <v>8.5</v>
      </c>
      <c r="L348" s="112" t="s">
        <v>1457</v>
      </c>
      <c r="M348" s="112"/>
      <c r="N348" s="112"/>
      <c r="O348" s="112" t="s">
        <v>1457</v>
      </c>
      <c r="P348" s="23" t="s">
        <v>3258</v>
      </c>
      <c r="Q348" s="23"/>
      <c r="R348" s="23"/>
    </row>
    <row r="349" spans="2:18" ht="15.75" customHeight="1" x14ac:dyDescent="0.15">
      <c r="B349" s="53" t="s">
        <v>73</v>
      </c>
      <c r="C349" s="263">
        <v>43959</v>
      </c>
      <c r="D349" s="53" t="s">
        <v>497</v>
      </c>
      <c r="E349" s="53" t="s">
        <v>65</v>
      </c>
      <c r="F349" s="147">
        <v>0.41299999999999998</v>
      </c>
      <c r="G349" s="53" t="s">
        <v>507</v>
      </c>
      <c r="H349" s="53" t="s">
        <v>1177</v>
      </c>
      <c r="I349" s="53" t="s">
        <v>508</v>
      </c>
      <c r="J349" s="53" t="s">
        <v>509</v>
      </c>
      <c r="K349" s="115">
        <v>8.5</v>
      </c>
      <c r="L349" s="111" t="s">
        <v>1722</v>
      </c>
      <c r="O349" s="116" t="s">
        <v>1723</v>
      </c>
      <c r="Q349" s="23"/>
      <c r="R349" s="23"/>
    </row>
    <row r="350" spans="2:18" ht="15.75" customHeight="1" x14ac:dyDescent="0.15">
      <c r="B350" s="53" t="s">
        <v>26</v>
      </c>
      <c r="C350" s="263">
        <v>43959</v>
      </c>
      <c r="D350" s="53" t="s">
        <v>415</v>
      </c>
      <c r="E350" s="53" t="s">
        <v>65</v>
      </c>
      <c r="F350" s="147">
        <v>0.21</v>
      </c>
      <c r="G350" s="53" t="s">
        <v>36</v>
      </c>
      <c r="H350" s="53" t="s">
        <v>512</v>
      </c>
      <c r="I350" s="53" t="s">
        <v>610</v>
      </c>
      <c r="J350" s="53" t="s">
        <v>2389</v>
      </c>
      <c r="K350" s="115">
        <v>7.5</v>
      </c>
      <c r="L350" s="111" t="s">
        <v>484</v>
      </c>
      <c r="O350" s="116" t="s">
        <v>1594</v>
      </c>
      <c r="P350" s="23" t="s">
        <v>3259</v>
      </c>
      <c r="Q350" s="23"/>
      <c r="R350" s="23"/>
    </row>
    <row r="351" spans="2:18" ht="15.75" customHeight="1" x14ac:dyDescent="0.15">
      <c r="B351" s="53" t="s">
        <v>179</v>
      </c>
      <c r="C351" s="263">
        <v>43959</v>
      </c>
      <c r="D351" s="53" t="s">
        <v>1610</v>
      </c>
      <c r="E351" s="53" t="s">
        <v>36</v>
      </c>
      <c r="F351" s="147">
        <v>0.4</v>
      </c>
      <c r="G351" s="53" t="s">
        <v>510</v>
      </c>
      <c r="H351" s="53" t="s">
        <v>13</v>
      </c>
      <c r="I351" s="53" t="s">
        <v>274</v>
      </c>
      <c r="J351" s="53" t="s">
        <v>511</v>
      </c>
      <c r="K351" s="115">
        <v>6.5</v>
      </c>
      <c r="L351" s="111" t="s">
        <v>1610</v>
      </c>
      <c r="O351" s="116" t="s">
        <v>1594</v>
      </c>
      <c r="Q351" s="23"/>
      <c r="R351" s="23"/>
    </row>
    <row r="352" spans="2:18" ht="15.75" customHeight="1" x14ac:dyDescent="0.15">
      <c r="B352" s="53" t="s">
        <v>179</v>
      </c>
      <c r="C352" s="263">
        <v>43959</v>
      </c>
      <c r="D352" s="53" t="s">
        <v>1179</v>
      </c>
      <c r="E352" s="53" t="s">
        <v>6</v>
      </c>
      <c r="F352" s="147">
        <v>5.5E-2</v>
      </c>
      <c r="G352" s="53" t="s">
        <v>1177</v>
      </c>
      <c r="H352" s="53" t="s">
        <v>1177</v>
      </c>
      <c r="I352" s="53" t="s">
        <v>2201</v>
      </c>
      <c r="J352" s="53" t="s">
        <v>2390</v>
      </c>
      <c r="K352" s="115">
        <v>7</v>
      </c>
      <c r="L352" s="111" t="s">
        <v>1726</v>
      </c>
      <c r="O352" s="116" t="s">
        <v>1726</v>
      </c>
      <c r="Q352" s="23"/>
      <c r="R352" s="23"/>
    </row>
    <row r="353" spans="2:18" ht="15.75" customHeight="1" x14ac:dyDescent="0.15">
      <c r="B353" s="53" t="s">
        <v>61</v>
      </c>
      <c r="C353" s="263">
        <v>43959</v>
      </c>
      <c r="D353" s="53" t="s">
        <v>1179</v>
      </c>
      <c r="E353" s="53" t="s">
        <v>6</v>
      </c>
      <c r="F353" s="147">
        <v>5.5E-2</v>
      </c>
      <c r="G353" s="53" t="s">
        <v>1177</v>
      </c>
      <c r="H353" s="53" t="s">
        <v>1177</v>
      </c>
      <c r="I353" s="53" t="s">
        <v>24</v>
      </c>
      <c r="J353" s="53" t="s">
        <v>514</v>
      </c>
      <c r="K353" s="115">
        <v>8</v>
      </c>
      <c r="L353" s="111" t="s">
        <v>1726</v>
      </c>
      <c r="O353" s="116" t="s">
        <v>1726</v>
      </c>
      <c r="Q353" s="23"/>
      <c r="R353" s="23"/>
    </row>
    <row r="354" spans="2:18" ht="15.75" customHeight="1" x14ac:dyDescent="0.15">
      <c r="B354" s="53" t="s">
        <v>38</v>
      </c>
      <c r="C354" s="263">
        <v>43959</v>
      </c>
      <c r="D354" s="53" t="s">
        <v>513</v>
      </c>
      <c r="E354" s="53" t="s">
        <v>6</v>
      </c>
      <c r="F354" s="147">
        <v>5.1999999999999998E-2</v>
      </c>
      <c r="G354" s="53" t="s">
        <v>1177</v>
      </c>
      <c r="H354" s="53" t="s">
        <v>1177</v>
      </c>
      <c r="I354" s="53" t="s">
        <v>516</v>
      </c>
      <c r="J354" s="53" t="s">
        <v>517</v>
      </c>
      <c r="K354" s="115">
        <v>7.5</v>
      </c>
      <c r="L354" s="111" t="s">
        <v>1727</v>
      </c>
      <c r="O354" s="116" t="s">
        <v>1727</v>
      </c>
      <c r="Q354" s="23"/>
      <c r="R354" s="23"/>
    </row>
    <row r="355" spans="2:18" ht="15.75" customHeight="1" x14ac:dyDescent="0.15">
      <c r="B355" s="53" t="s">
        <v>18</v>
      </c>
      <c r="C355" s="263">
        <v>43959</v>
      </c>
      <c r="D355" s="53" t="s">
        <v>1728</v>
      </c>
      <c r="E355" s="53" t="s">
        <v>36</v>
      </c>
      <c r="F355" s="147">
        <v>0.4</v>
      </c>
      <c r="G355" s="53" t="s">
        <v>422</v>
      </c>
      <c r="H355" s="53" t="s">
        <v>515</v>
      </c>
      <c r="I355" s="53" t="s">
        <v>219</v>
      </c>
      <c r="J355" s="53" t="s">
        <v>331</v>
      </c>
      <c r="K355" s="115">
        <v>6.5</v>
      </c>
      <c r="L355" s="116" t="s">
        <v>1451</v>
      </c>
      <c r="M355" s="116"/>
      <c r="N355" s="116"/>
      <c r="O355" s="116" t="s">
        <v>1451</v>
      </c>
      <c r="Q355" s="23"/>
      <c r="R355" s="23"/>
    </row>
    <row r="356" spans="2:18" ht="15.75" customHeight="1" x14ac:dyDescent="0.15">
      <c r="B356" s="53" t="s">
        <v>38</v>
      </c>
      <c r="C356" s="263">
        <v>43959</v>
      </c>
      <c r="D356" s="53" t="s">
        <v>519</v>
      </c>
      <c r="E356" s="53" t="s">
        <v>6</v>
      </c>
      <c r="F356" s="147">
        <v>3.5000000000000003E-2</v>
      </c>
      <c r="G356" s="53" t="s">
        <v>1177</v>
      </c>
      <c r="H356" s="53" t="s">
        <v>1177</v>
      </c>
      <c r="I356" s="53" t="s">
        <v>219</v>
      </c>
      <c r="J356" s="53" t="s">
        <v>311</v>
      </c>
      <c r="K356" s="115">
        <v>7.5</v>
      </c>
      <c r="L356" s="111" t="s">
        <v>1719</v>
      </c>
      <c r="O356" s="116" t="s">
        <v>674</v>
      </c>
      <c r="Q356" s="23"/>
      <c r="R356" s="23"/>
    </row>
    <row r="357" spans="2:18" ht="15.75" customHeight="1" x14ac:dyDescent="0.15">
      <c r="B357" s="53" t="s">
        <v>26</v>
      </c>
      <c r="C357" s="263">
        <v>43959</v>
      </c>
      <c r="D357" s="53" t="s">
        <v>520</v>
      </c>
      <c r="E357" s="53" t="s">
        <v>34</v>
      </c>
      <c r="F357" s="147">
        <v>0.05</v>
      </c>
      <c r="G357" s="53" t="s">
        <v>1177</v>
      </c>
      <c r="H357" s="53" t="s">
        <v>1177</v>
      </c>
      <c r="I357" s="53" t="s">
        <v>340</v>
      </c>
      <c r="J357" s="53" t="s">
        <v>194</v>
      </c>
      <c r="K357" s="115">
        <v>7.5</v>
      </c>
      <c r="L357" s="111" t="s">
        <v>1730</v>
      </c>
      <c r="O357" s="116" t="s">
        <v>1731</v>
      </c>
      <c r="Q357" s="23"/>
      <c r="R357" s="23"/>
    </row>
    <row r="358" spans="2:18" ht="15.75" customHeight="1" x14ac:dyDescent="0.15">
      <c r="B358" s="53" t="s">
        <v>38</v>
      </c>
      <c r="C358" s="263">
        <v>43959</v>
      </c>
      <c r="D358" s="53" t="s">
        <v>521</v>
      </c>
      <c r="E358" s="53" t="s">
        <v>32</v>
      </c>
      <c r="F358" s="147">
        <v>0.375</v>
      </c>
      <c r="G358" s="53" t="s">
        <v>1177</v>
      </c>
      <c r="H358" s="53" t="s">
        <v>1177</v>
      </c>
      <c r="I358" s="53" t="s">
        <v>2202</v>
      </c>
      <c r="J358" s="53" t="s">
        <v>89</v>
      </c>
      <c r="K358" s="115">
        <v>2</v>
      </c>
      <c r="L358" s="111" t="s">
        <v>1733</v>
      </c>
      <c r="O358" s="116" t="s">
        <v>1732</v>
      </c>
      <c r="Q358" s="23"/>
      <c r="R358" s="23"/>
    </row>
    <row r="359" spans="2:18" ht="15.75" customHeight="1" x14ac:dyDescent="0.15">
      <c r="B359" s="53" t="s">
        <v>35</v>
      </c>
      <c r="C359" s="263">
        <v>43959</v>
      </c>
      <c r="D359" s="53" t="s">
        <v>1734</v>
      </c>
      <c r="E359" s="53" t="s">
        <v>27</v>
      </c>
      <c r="F359" s="147">
        <v>0.4</v>
      </c>
      <c r="G359" s="53" t="s">
        <v>1177</v>
      </c>
      <c r="H359" s="53" t="s">
        <v>1177</v>
      </c>
      <c r="I359" s="53" t="s">
        <v>523</v>
      </c>
      <c r="J359" s="53" t="s">
        <v>236</v>
      </c>
      <c r="K359" s="115">
        <v>5</v>
      </c>
      <c r="L359" s="111" t="s">
        <v>522</v>
      </c>
      <c r="O359" s="116" t="s">
        <v>1594</v>
      </c>
      <c r="Q359" s="23"/>
      <c r="R359" s="23"/>
    </row>
    <row r="360" spans="2:18" ht="15.75" customHeight="1" x14ac:dyDescent="0.15">
      <c r="B360" s="53" t="s">
        <v>73</v>
      </c>
      <c r="C360" s="263">
        <v>43959</v>
      </c>
      <c r="D360" s="53" t="s">
        <v>1631</v>
      </c>
      <c r="E360" s="53" t="s">
        <v>65</v>
      </c>
      <c r="F360" s="147">
        <v>0.375</v>
      </c>
      <c r="G360" s="53" t="s">
        <v>1177</v>
      </c>
      <c r="H360" s="53" t="s">
        <v>1177</v>
      </c>
      <c r="I360" s="53" t="s">
        <v>278</v>
      </c>
      <c r="J360" s="53" t="s">
        <v>416</v>
      </c>
      <c r="K360" s="115">
        <v>3</v>
      </c>
      <c r="L360" s="111" t="s">
        <v>1536</v>
      </c>
      <c r="O360" s="116" t="s">
        <v>1537</v>
      </c>
      <c r="Q360" s="23"/>
      <c r="R360" s="23"/>
    </row>
    <row r="361" spans="2:18" ht="15.75" customHeight="1" x14ac:dyDescent="0.15">
      <c r="B361" s="53" t="s">
        <v>26</v>
      </c>
      <c r="C361" s="263">
        <v>43959</v>
      </c>
      <c r="D361" s="53" t="s">
        <v>1735</v>
      </c>
      <c r="E361" s="53" t="s">
        <v>32</v>
      </c>
      <c r="F361" s="147">
        <v>0.38600000000000001</v>
      </c>
      <c r="G361" s="53" t="s">
        <v>1177</v>
      </c>
      <c r="H361" s="53" t="s">
        <v>1177</v>
      </c>
      <c r="I361" s="53" t="s">
        <v>791</v>
      </c>
      <c r="J361" s="53" t="s">
        <v>2391</v>
      </c>
      <c r="K361" s="115">
        <v>3</v>
      </c>
      <c r="L361" s="111" t="s">
        <v>1624</v>
      </c>
      <c r="O361" s="116" t="s">
        <v>1537</v>
      </c>
      <c r="Q361" s="23"/>
      <c r="R361" s="23"/>
    </row>
    <row r="362" spans="2:18" ht="15.75" customHeight="1" x14ac:dyDescent="0.15">
      <c r="B362" s="53" t="s">
        <v>61</v>
      </c>
      <c r="C362" s="263">
        <v>43959</v>
      </c>
      <c r="D362" s="53" t="s">
        <v>58</v>
      </c>
      <c r="E362" s="53" t="s">
        <v>27</v>
      </c>
      <c r="F362" s="147">
        <v>0.15</v>
      </c>
      <c r="G362" s="53" t="s">
        <v>1177</v>
      </c>
      <c r="H362" s="53" t="s">
        <v>1177</v>
      </c>
      <c r="I362" s="53" t="s">
        <v>33</v>
      </c>
      <c r="J362" s="53" t="s">
        <v>238</v>
      </c>
      <c r="K362" s="115">
        <v>8</v>
      </c>
      <c r="L362" s="111" t="s">
        <v>1470</v>
      </c>
      <c r="O362" s="112" t="s">
        <v>1462</v>
      </c>
      <c r="Q362" s="23"/>
      <c r="R362" s="23"/>
    </row>
    <row r="363" spans="2:18" ht="15.75" customHeight="1" x14ac:dyDescent="0.15">
      <c r="B363" s="53" t="s">
        <v>179</v>
      </c>
      <c r="C363" s="263">
        <v>43959</v>
      </c>
      <c r="D363" s="53" t="s">
        <v>58</v>
      </c>
      <c r="E363" s="53" t="s">
        <v>27</v>
      </c>
      <c r="F363" s="147">
        <v>0.15</v>
      </c>
      <c r="G363" s="53" t="s">
        <v>1177</v>
      </c>
      <c r="H363" s="53" t="s">
        <v>1177</v>
      </c>
      <c r="I363" s="53" t="s">
        <v>2321</v>
      </c>
      <c r="J363" s="53" t="s">
        <v>2392</v>
      </c>
      <c r="K363" s="115">
        <v>4</v>
      </c>
      <c r="L363" s="111" t="s">
        <v>1470</v>
      </c>
      <c r="O363" s="112" t="s">
        <v>1462</v>
      </c>
      <c r="Q363" s="23"/>
      <c r="R363" s="23"/>
    </row>
    <row r="364" spans="2:18" ht="15.75" customHeight="1" x14ac:dyDescent="0.15">
      <c r="B364" s="53" t="s">
        <v>18</v>
      </c>
      <c r="C364" s="263">
        <v>43959</v>
      </c>
      <c r="D364" s="53" t="s">
        <v>68</v>
      </c>
      <c r="E364" s="53" t="s">
        <v>32</v>
      </c>
      <c r="F364" s="147">
        <v>0.375</v>
      </c>
      <c r="G364" s="53" t="s">
        <v>1177</v>
      </c>
      <c r="H364" s="53" t="s">
        <v>1177</v>
      </c>
      <c r="I364" s="53" t="s">
        <v>851</v>
      </c>
      <c r="J364" s="53" t="s">
        <v>1428</v>
      </c>
      <c r="K364" s="115">
        <v>2</v>
      </c>
      <c r="L364" s="111" t="s">
        <v>766</v>
      </c>
      <c r="O364" s="116" t="s">
        <v>1516</v>
      </c>
      <c r="Q364" s="23"/>
      <c r="R364" s="23"/>
    </row>
    <row r="365" spans="2:18" ht="15.75" customHeight="1" x14ac:dyDescent="0.15">
      <c r="B365" s="53" t="s">
        <v>38</v>
      </c>
      <c r="C365" s="263">
        <v>43959</v>
      </c>
      <c r="D365" s="53" t="s">
        <v>470</v>
      </c>
      <c r="E365" s="53" t="s">
        <v>36</v>
      </c>
      <c r="F365" s="147">
        <v>0.35</v>
      </c>
      <c r="G365" s="53" t="s">
        <v>1177</v>
      </c>
      <c r="H365" s="53" t="s">
        <v>1177</v>
      </c>
      <c r="I365" s="53" t="s">
        <v>2203</v>
      </c>
      <c r="J365" s="53" t="s">
        <v>16</v>
      </c>
      <c r="K365" s="115">
        <v>8</v>
      </c>
      <c r="L365" s="111" t="s">
        <v>470</v>
      </c>
      <c r="O365" s="116" t="s">
        <v>1707</v>
      </c>
      <c r="Q365" s="23"/>
      <c r="R365" s="23"/>
    </row>
    <row r="366" spans="2:18" ht="15.75" customHeight="1" x14ac:dyDescent="0.15">
      <c r="B366" s="53" t="s">
        <v>35</v>
      </c>
      <c r="C366" s="263">
        <v>43959</v>
      </c>
      <c r="D366" s="53" t="s">
        <v>3467</v>
      </c>
      <c r="E366" s="53" t="s">
        <v>65</v>
      </c>
      <c r="F366" s="147">
        <v>0.35</v>
      </c>
      <c r="G366" s="53" t="s">
        <v>1177</v>
      </c>
      <c r="H366" s="53" t="s">
        <v>1177</v>
      </c>
      <c r="I366" s="53" t="s">
        <v>525</v>
      </c>
      <c r="J366" s="53" t="s">
        <v>86</v>
      </c>
      <c r="K366" s="115">
        <v>3</v>
      </c>
      <c r="L366" s="111" t="s">
        <v>1587</v>
      </c>
      <c r="O366" s="116" t="s">
        <v>1516</v>
      </c>
      <c r="Q366" s="23"/>
      <c r="R366" s="23"/>
    </row>
    <row r="367" spans="2:18" ht="15.75" customHeight="1" x14ac:dyDescent="0.15">
      <c r="B367" s="53" t="s">
        <v>73</v>
      </c>
      <c r="C367" s="263">
        <v>43959</v>
      </c>
      <c r="D367" s="53" t="s">
        <v>1661</v>
      </c>
      <c r="E367" s="53" t="s">
        <v>65</v>
      </c>
      <c r="F367" s="147">
        <v>0.375</v>
      </c>
      <c r="G367" s="53" t="s">
        <v>1177</v>
      </c>
      <c r="H367" s="53" t="s">
        <v>1177</v>
      </c>
      <c r="I367" s="53" t="s">
        <v>2204</v>
      </c>
      <c r="J367" s="53" t="s">
        <v>2393</v>
      </c>
      <c r="K367" s="115">
        <v>5</v>
      </c>
      <c r="L367" s="111" t="s">
        <v>1662</v>
      </c>
      <c r="O367" s="116" t="s">
        <v>1663</v>
      </c>
      <c r="Q367" s="23"/>
      <c r="R367" s="23"/>
    </row>
    <row r="368" spans="2:18" ht="15.75" customHeight="1" x14ac:dyDescent="0.15">
      <c r="B368" s="53" t="s">
        <v>26</v>
      </c>
      <c r="C368" s="263">
        <v>43959</v>
      </c>
      <c r="D368" s="53" t="s">
        <v>415</v>
      </c>
      <c r="E368" s="53" t="s">
        <v>65</v>
      </c>
      <c r="F368" s="147">
        <v>0.21</v>
      </c>
      <c r="G368" s="53" t="s">
        <v>1177</v>
      </c>
      <c r="H368" s="53" t="s">
        <v>1177</v>
      </c>
      <c r="I368" s="53" t="s">
        <v>2205</v>
      </c>
      <c r="J368" s="53" t="s">
        <v>2394</v>
      </c>
      <c r="K368" s="115">
        <v>8</v>
      </c>
      <c r="L368" s="111" t="s">
        <v>484</v>
      </c>
      <c r="O368" s="116" t="s">
        <v>1594</v>
      </c>
      <c r="Q368" s="23"/>
      <c r="R368" s="23"/>
    </row>
    <row r="369" spans="2:18" ht="15.75" customHeight="1" x14ac:dyDescent="0.15">
      <c r="B369" s="53" t="s">
        <v>179</v>
      </c>
      <c r="C369" s="263">
        <v>43959</v>
      </c>
      <c r="D369" s="53" t="s">
        <v>1180</v>
      </c>
      <c r="E369" s="53" t="s">
        <v>36</v>
      </c>
      <c r="F369" s="147">
        <v>0.43</v>
      </c>
      <c r="G369" s="53" t="s">
        <v>1177</v>
      </c>
      <c r="H369" s="53" t="s">
        <v>1177</v>
      </c>
      <c r="I369" s="53" t="s">
        <v>238</v>
      </c>
      <c r="J369" s="53" t="s">
        <v>2395</v>
      </c>
      <c r="K369" s="115">
        <v>8</v>
      </c>
      <c r="L369" s="111" t="s">
        <v>1736</v>
      </c>
      <c r="O369" s="116" t="s">
        <v>1516</v>
      </c>
      <c r="Q369" s="23"/>
      <c r="R369" s="23"/>
    </row>
    <row r="370" spans="2:18" ht="15.75" customHeight="1" x14ac:dyDescent="0.15">
      <c r="B370" s="53" t="s">
        <v>18</v>
      </c>
      <c r="C370" s="263">
        <v>43959</v>
      </c>
      <c r="D370" s="53" t="s">
        <v>524</v>
      </c>
      <c r="E370" s="53" t="s">
        <v>12</v>
      </c>
      <c r="F370" s="147">
        <v>0.4</v>
      </c>
      <c r="G370" s="53" t="s">
        <v>1177</v>
      </c>
      <c r="H370" s="53" t="s">
        <v>1177</v>
      </c>
      <c r="I370" s="53" t="s">
        <v>2206</v>
      </c>
      <c r="J370" s="53" t="s">
        <v>2396</v>
      </c>
      <c r="K370" s="115">
        <v>3</v>
      </c>
      <c r="L370" s="116" t="s">
        <v>1471</v>
      </c>
      <c r="M370" s="116"/>
      <c r="N370" s="116"/>
      <c r="O370" s="112" t="s">
        <v>1447</v>
      </c>
      <c r="Q370" s="23"/>
      <c r="R370" s="23"/>
    </row>
    <row r="371" spans="2:18" ht="15.75" customHeight="1" x14ac:dyDescent="0.15">
      <c r="B371" s="53" t="s">
        <v>35</v>
      </c>
      <c r="C371" s="263">
        <v>43959</v>
      </c>
      <c r="D371" s="53" t="s">
        <v>506</v>
      </c>
      <c r="E371" s="53" t="s">
        <v>12</v>
      </c>
      <c r="F371" s="147">
        <v>0.4</v>
      </c>
      <c r="G371" s="53" t="s">
        <v>526</v>
      </c>
      <c r="H371" s="53" t="s">
        <v>1177</v>
      </c>
      <c r="I371" s="53" t="s">
        <v>529</v>
      </c>
      <c r="J371" s="53" t="s">
        <v>201</v>
      </c>
      <c r="K371" s="115">
        <v>6</v>
      </c>
      <c r="L371" s="111" t="s">
        <v>1725</v>
      </c>
      <c r="O371" s="116" t="s">
        <v>1516</v>
      </c>
      <c r="Q371" s="23"/>
      <c r="R371" s="23"/>
    </row>
    <row r="372" spans="2:18" ht="15.75" customHeight="1" x14ac:dyDescent="0.15">
      <c r="B372" s="53" t="s">
        <v>73</v>
      </c>
      <c r="C372" s="263">
        <v>43959</v>
      </c>
      <c r="D372" s="53" t="s">
        <v>391</v>
      </c>
      <c r="E372" s="53" t="s">
        <v>65</v>
      </c>
      <c r="F372" s="147">
        <v>0.43</v>
      </c>
      <c r="G372" s="53" t="s">
        <v>527</v>
      </c>
      <c r="H372" s="53" t="s">
        <v>507</v>
      </c>
      <c r="I372" s="53" t="s">
        <v>223</v>
      </c>
      <c r="J372" s="53" t="s">
        <v>528</v>
      </c>
      <c r="K372" s="115">
        <v>7</v>
      </c>
      <c r="L372" s="111" t="s">
        <v>1647</v>
      </c>
      <c r="O372" s="116" t="s">
        <v>1648</v>
      </c>
      <c r="Q372" s="23"/>
      <c r="R372" s="23"/>
    </row>
    <row r="373" spans="2:18" ht="15.75" customHeight="1" x14ac:dyDescent="0.15">
      <c r="B373" s="53" t="s">
        <v>26</v>
      </c>
      <c r="C373" s="263">
        <v>43959</v>
      </c>
      <c r="D373" s="53" t="s">
        <v>531</v>
      </c>
      <c r="E373" s="53" t="s">
        <v>27</v>
      </c>
      <c r="F373" s="147">
        <v>0.15</v>
      </c>
      <c r="G373" s="53" t="s">
        <v>1177</v>
      </c>
      <c r="H373" s="53" t="s">
        <v>1177</v>
      </c>
      <c r="I373" s="53" t="s">
        <v>87</v>
      </c>
      <c r="J373" s="53" t="s">
        <v>618</v>
      </c>
      <c r="K373" s="115">
        <v>9</v>
      </c>
      <c r="L373" s="111" t="s">
        <v>1737</v>
      </c>
      <c r="O373" s="116" t="s">
        <v>1738</v>
      </c>
      <c r="Q373" s="23"/>
      <c r="R373" s="23"/>
    </row>
    <row r="374" spans="2:18" ht="15.75" customHeight="1" x14ac:dyDescent="0.15">
      <c r="B374" s="53" t="s">
        <v>35</v>
      </c>
      <c r="C374" s="263">
        <v>43959</v>
      </c>
      <c r="D374" s="53" t="s">
        <v>530</v>
      </c>
      <c r="E374" s="53" t="s">
        <v>27</v>
      </c>
      <c r="F374" s="147">
        <v>0.16500000000000001</v>
      </c>
      <c r="G374" s="53" t="s">
        <v>1177</v>
      </c>
      <c r="H374" s="53" t="s">
        <v>1177</v>
      </c>
      <c r="I374" s="53" t="s">
        <v>458</v>
      </c>
      <c r="J374" s="53" t="s">
        <v>229</v>
      </c>
      <c r="K374" s="115">
        <v>8</v>
      </c>
      <c r="L374" s="111" t="s">
        <v>530</v>
      </c>
      <c r="O374" s="116" t="s">
        <v>1739</v>
      </c>
      <c r="Q374" s="23"/>
      <c r="R374" s="23"/>
    </row>
    <row r="375" spans="2:18" ht="15.75" customHeight="1" x14ac:dyDescent="0.15">
      <c r="B375" s="53" t="s">
        <v>61</v>
      </c>
      <c r="C375" s="263">
        <v>43959</v>
      </c>
      <c r="D375" s="53" t="s">
        <v>373</v>
      </c>
      <c r="E375" s="53" t="s">
        <v>32</v>
      </c>
      <c r="F375" s="147">
        <v>0.38</v>
      </c>
      <c r="G375" s="53" t="s">
        <v>1177</v>
      </c>
      <c r="H375" s="53" t="s">
        <v>1177</v>
      </c>
      <c r="I375" s="53" t="s">
        <v>232</v>
      </c>
      <c r="J375" s="53" t="s">
        <v>321</v>
      </c>
      <c r="K375" s="115">
        <v>6</v>
      </c>
      <c r="L375" s="111" t="s">
        <v>1624</v>
      </c>
      <c r="O375" s="116" t="s">
        <v>1537</v>
      </c>
      <c r="Q375" s="23"/>
      <c r="R375" s="23"/>
    </row>
    <row r="376" spans="2:18" ht="15.75" customHeight="1" x14ac:dyDescent="0.15">
      <c r="B376" s="53" t="s">
        <v>73</v>
      </c>
      <c r="C376" s="263">
        <v>43959</v>
      </c>
      <c r="D376" s="53" t="s">
        <v>497</v>
      </c>
      <c r="E376" s="53" t="s">
        <v>65</v>
      </c>
      <c r="F376" s="147">
        <v>0.41299999999999998</v>
      </c>
      <c r="G376" s="53" t="s">
        <v>1177</v>
      </c>
      <c r="H376" s="53" t="s">
        <v>1177</v>
      </c>
      <c r="I376" s="53" t="s">
        <v>2207</v>
      </c>
      <c r="J376" s="53" t="s">
        <v>2397</v>
      </c>
      <c r="K376" s="115">
        <v>6.5</v>
      </c>
      <c r="L376" s="111" t="s">
        <v>1722</v>
      </c>
      <c r="O376" s="116" t="s">
        <v>1723</v>
      </c>
      <c r="Q376" s="23"/>
      <c r="R376" s="23"/>
    </row>
    <row r="377" spans="2:18" ht="15.75" customHeight="1" x14ac:dyDescent="0.15">
      <c r="B377" s="53" t="s">
        <v>38</v>
      </c>
      <c r="C377" s="263">
        <v>43959</v>
      </c>
      <c r="D377" s="53" t="s">
        <v>173</v>
      </c>
      <c r="E377" s="53" t="s">
        <v>90</v>
      </c>
      <c r="F377" s="147">
        <v>0</v>
      </c>
      <c r="G377" s="53" t="s">
        <v>1177</v>
      </c>
      <c r="H377" s="53" t="s">
        <v>1177</v>
      </c>
      <c r="I377" s="53" t="s">
        <v>960</v>
      </c>
      <c r="J377" s="53" t="s">
        <v>1287</v>
      </c>
      <c r="K377" s="115">
        <v>10</v>
      </c>
      <c r="L377" s="111" t="s">
        <v>1566</v>
      </c>
      <c r="O377" s="116" t="s">
        <v>1566</v>
      </c>
      <c r="Q377" s="23"/>
      <c r="R377" s="23"/>
    </row>
    <row r="378" spans="2:18" ht="15.75" customHeight="1" x14ac:dyDescent="0.15">
      <c r="B378" s="53" t="s">
        <v>179</v>
      </c>
      <c r="C378" s="263">
        <v>43959</v>
      </c>
      <c r="D378" s="53" t="s">
        <v>373</v>
      </c>
      <c r="E378" s="53" t="s">
        <v>32</v>
      </c>
      <c r="F378" s="147">
        <v>0.38</v>
      </c>
      <c r="G378" s="53" t="s">
        <v>1177</v>
      </c>
      <c r="H378" s="53" t="s">
        <v>1177</v>
      </c>
      <c r="I378" s="53" t="s">
        <v>2208</v>
      </c>
      <c r="J378" s="53" t="s">
        <v>295</v>
      </c>
      <c r="K378" s="115">
        <v>5</v>
      </c>
      <c r="L378" s="111" t="s">
        <v>1624</v>
      </c>
      <c r="O378" s="116" t="s">
        <v>1537</v>
      </c>
      <c r="Q378" s="23"/>
      <c r="R378" s="23"/>
    </row>
    <row r="379" spans="2:18" ht="15.75" customHeight="1" x14ac:dyDescent="0.15">
      <c r="B379" s="53" t="s">
        <v>38</v>
      </c>
      <c r="C379" s="263">
        <v>43959</v>
      </c>
      <c r="D379" s="53" t="s">
        <v>677</v>
      </c>
      <c r="E379" s="53" t="s">
        <v>6</v>
      </c>
      <c r="F379" s="147">
        <v>4.1000000000000002E-2</v>
      </c>
      <c r="G379" s="53" t="s">
        <v>1177</v>
      </c>
      <c r="H379" s="53" t="s">
        <v>1177</v>
      </c>
      <c r="I379" s="53" t="s">
        <v>577</v>
      </c>
      <c r="J379" s="53" t="s">
        <v>2398</v>
      </c>
      <c r="K379" s="115">
        <v>6.5</v>
      </c>
      <c r="L379" s="111" t="s">
        <v>1719</v>
      </c>
      <c r="O379" s="116" t="s">
        <v>674</v>
      </c>
      <c r="Q379" s="23"/>
      <c r="R379" s="23"/>
    </row>
    <row r="380" spans="2:18" ht="15.75" customHeight="1" x14ac:dyDescent="0.15">
      <c r="B380" s="53" t="s">
        <v>35</v>
      </c>
      <c r="C380" s="263">
        <v>43959</v>
      </c>
      <c r="D380" s="53" t="s">
        <v>3467</v>
      </c>
      <c r="E380" s="53" t="s">
        <v>65</v>
      </c>
      <c r="F380" s="147">
        <v>0.35</v>
      </c>
      <c r="G380" s="53" t="s">
        <v>530</v>
      </c>
      <c r="H380" s="53" t="s">
        <v>1177</v>
      </c>
      <c r="I380" s="53" t="s">
        <v>341</v>
      </c>
      <c r="J380" s="53" t="s">
        <v>2399</v>
      </c>
      <c r="K380" s="115">
        <v>4</v>
      </c>
      <c r="L380" s="111" t="s">
        <v>1587</v>
      </c>
      <c r="O380" s="116" t="s">
        <v>1516</v>
      </c>
      <c r="Q380" s="23"/>
      <c r="R380" s="23"/>
    </row>
    <row r="381" spans="2:18" ht="15.75" customHeight="1" x14ac:dyDescent="0.15">
      <c r="B381" s="53" t="s">
        <v>179</v>
      </c>
      <c r="C381" s="263">
        <v>43959</v>
      </c>
      <c r="D381" s="53" t="s">
        <v>532</v>
      </c>
      <c r="E381" s="53" t="s">
        <v>6</v>
      </c>
      <c r="F381" s="147">
        <v>4.4999999999999998E-2</v>
      </c>
      <c r="G381" s="53" t="s">
        <v>1177</v>
      </c>
      <c r="H381" s="53" t="s">
        <v>1177</v>
      </c>
      <c r="I381" s="53" t="s">
        <v>3541</v>
      </c>
      <c r="J381" s="53" t="s">
        <v>223</v>
      </c>
      <c r="K381" s="115">
        <v>8</v>
      </c>
      <c r="L381" s="111" t="s">
        <v>678</v>
      </c>
      <c r="O381" s="111" t="s">
        <v>678</v>
      </c>
      <c r="Q381" s="23"/>
      <c r="R381" s="23"/>
    </row>
    <row r="382" spans="2:18" ht="15.75" customHeight="1" x14ac:dyDescent="0.15">
      <c r="B382" s="53" t="s">
        <v>73</v>
      </c>
      <c r="C382" s="263">
        <v>43959</v>
      </c>
      <c r="D382" s="53" t="s">
        <v>391</v>
      </c>
      <c r="E382" s="53" t="s">
        <v>65</v>
      </c>
      <c r="F382" s="147">
        <v>0.43</v>
      </c>
      <c r="G382" s="53" t="s">
        <v>1177</v>
      </c>
      <c r="H382" s="53" t="s">
        <v>1177</v>
      </c>
      <c r="I382" s="53" t="s">
        <v>2209</v>
      </c>
      <c r="J382" s="53" t="s">
        <v>2400</v>
      </c>
      <c r="K382" s="115">
        <v>9</v>
      </c>
      <c r="L382" s="111" t="s">
        <v>1647</v>
      </c>
      <c r="O382" s="116" t="s">
        <v>1648</v>
      </c>
      <c r="Q382" s="23"/>
      <c r="R382" s="23"/>
    </row>
    <row r="383" spans="2:18" ht="15.75" customHeight="1" x14ac:dyDescent="0.15">
      <c r="B383" s="53" t="s">
        <v>26</v>
      </c>
      <c r="C383" s="263">
        <v>43959</v>
      </c>
      <c r="D383" s="53" t="s">
        <v>533</v>
      </c>
      <c r="E383" s="53" t="s">
        <v>48</v>
      </c>
      <c r="F383" s="147">
        <v>0.38</v>
      </c>
      <c r="G383" s="53" t="s">
        <v>1177</v>
      </c>
      <c r="H383" s="53" t="s">
        <v>1177</v>
      </c>
      <c r="I383" s="53" t="s">
        <v>2210</v>
      </c>
      <c r="J383" s="53" t="s">
        <v>534</v>
      </c>
      <c r="K383" s="115">
        <v>5.5</v>
      </c>
      <c r="L383" s="111" t="s">
        <v>533</v>
      </c>
      <c r="O383" s="116" t="s">
        <v>1490</v>
      </c>
      <c r="Q383" s="23"/>
      <c r="R383" s="23"/>
    </row>
    <row r="384" spans="2:18" ht="15.75" customHeight="1" x14ac:dyDescent="0.15">
      <c r="B384" s="53" t="s">
        <v>61</v>
      </c>
      <c r="C384" s="263">
        <v>43959</v>
      </c>
      <c r="D384" s="53" t="s">
        <v>532</v>
      </c>
      <c r="E384" s="53" t="s">
        <v>6</v>
      </c>
      <c r="F384" s="147">
        <v>4.4999999999999998E-2</v>
      </c>
      <c r="G384" s="53" t="s">
        <v>1177</v>
      </c>
      <c r="H384" s="53" t="s">
        <v>1177</v>
      </c>
      <c r="I384" s="53" t="s">
        <v>219</v>
      </c>
      <c r="J384" s="53" t="s">
        <v>238</v>
      </c>
      <c r="K384" s="115">
        <v>8</v>
      </c>
      <c r="L384" s="111" t="s">
        <v>678</v>
      </c>
      <c r="O384" s="111" t="s">
        <v>678</v>
      </c>
      <c r="Q384" s="23"/>
      <c r="R384" s="23"/>
    </row>
    <row r="385" spans="2:18" ht="15.75" customHeight="1" x14ac:dyDescent="0.15">
      <c r="B385" s="53" t="s">
        <v>35</v>
      </c>
      <c r="C385" s="263">
        <v>43959</v>
      </c>
      <c r="D385" s="53" t="s">
        <v>3467</v>
      </c>
      <c r="E385" s="53" t="s">
        <v>65</v>
      </c>
      <c r="F385" s="147">
        <v>0.35</v>
      </c>
      <c r="G385" s="53" t="s">
        <v>28</v>
      </c>
      <c r="H385" s="53" t="s">
        <v>1177</v>
      </c>
      <c r="I385" s="53" t="s">
        <v>282</v>
      </c>
      <c r="J385" s="53" t="s">
        <v>338</v>
      </c>
      <c r="K385" s="115">
        <v>6.5</v>
      </c>
      <c r="L385" s="111" t="s">
        <v>1587</v>
      </c>
      <c r="O385" s="116" t="s">
        <v>1516</v>
      </c>
      <c r="Q385" s="23"/>
      <c r="R385" s="23"/>
    </row>
    <row r="386" spans="2:18" ht="15.75" customHeight="1" x14ac:dyDescent="0.15">
      <c r="B386" s="53" t="s">
        <v>73</v>
      </c>
      <c r="C386" s="263">
        <v>43959</v>
      </c>
      <c r="D386" s="53" t="s">
        <v>1630</v>
      </c>
      <c r="E386" s="53" t="s">
        <v>65</v>
      </c>
      <c r="F386" s="147">
        <v>0.375</v>
      </c>
      <c r="G386" s="53" t="s">
        <v>1177</v>
      </c>
      <c r="H386" s="53" t="s">
        <v>1177</v>
      </c>
      <c r="I386" s="53" t="s">
        <v>636</v>
      </c>
      <c r="J386" s="53" t="s">
        <v>2401</v>
      </c>
      <c r="K386" s="115">
        <v>6</v>
      </c>
      <c r="L386" s="111" t="s">
        <v>1536</v>
      </c>
      <c r="O386" s="116" t="s">
        <v>1537</v>
      </c>
      <c r="Q386" s="23"/>
      <c r="R386" s="23"/>
    </row>
    <row r="387" spans="2:18" ht="15.75" customHeight="1" x14ac:dyDescent="0.15">
      <c r="B387" s="53" t="s">
        <v>73</v>
      </c>
      <c r="C387" s="263">
        <v>43959</v>
      </c>
      <c r="D387" s="53" t="s">
        <v>535</v>
      </c>
      <c r="E387" s="53" t="s">
        <v>12</v>
      </c>
      <c r="F387" s="147">
        <v>0.375</v>
      </c>
      <c r="G387" s="53" t="s">
        <v>1177</v>
      </c>
      <c r="H387" s="53" t="s">
        <v>1177</v>
      </c>
      <c r="I387" s="53" t="s">
        <v>2259</v>
      </c>
      <c r="J387" s="53" t="s">
        <v>851</v>
      </c>
      <c r="K387" s="115">
        <v>2.5</v>
      </c>
      <c r="L387" s="111" t="s">
        <v>767</v>
      </c>
      <c r="O387" s="116" t="s">
        <v>1516</v>
      </c>
      <c r="Q387" s="23"/>
      <c r="R387" s="23"/>
    </row>
    <row r="388" spans="2:18" ht="15.75" customHeight="1" x14ac:dyDescent="0.15">
      <c r="B388" s="53" t="s">
        <v>26</v>
      </c>
      <c r="C388" s="263">
        <v>43959</v>
      </c>
      <c r="D388" s="53" t="s">
        <v>1740</v>
      </c>
      <c r="E388" s="53" t="s">
        <v>65</v>
      </c>
      <c r="F388" s="147">
        <v>0.375</v>
      </c>
      <c r="G388" s="53" t="s">
        <v>161</v>
      </c>
      <c r="H388" s="53" t="s">
        <v>1177</v>
      </c>
      <c r="I388" s="53" t="s">
        <v>2211</v>
      </c>
      <c r="J388" s="53" t="s">
        <v>2402</v>
      </c>
      <c r="K388" s="115">
        <v>4</v>
      </c>
      <c r="L388" s="111" t="s">
        <v>1510</v>
      </c>
      <c r="O388" s="116" t="s">
        <v>1510</v>
      </c>
      <c r="Q388" s="23"/>
      <c r="R388" s="23"/>
    </row>
    <row r="389" spans="2:18" ht="15.75" customHeight="1" x14ac:dyDescent="0.15">
      <c r="B389" s="53" t="s">
        <v>35</v>
      </c>
      <c r="C389" s="263">
        <v>43959</v>
      </c>
      <c r="D389" s="53" t="s">
        <v>506</v>
      </c>
      <c r="E389" s="53" t="s">
        <v>12</v>
      </c>
      <c r="F389" s="147">
        <v>0.4</v>
      </c>
      <c r="G389" s="53" t="s">
        <v>537</v>
      </c>
      <c r="H389" s="53" t="s">
        <v>1177</v>
      </c>
      <c r="I389" s="53" t="s">
        <v>3542</v>
      </c>
      <c r="J389" s="53" t="s">
        <v>2403</v>
      </c>
      <c r="K389" s="115">
        <v>4</v>
      </c>
      <c r="L389" s="111" t="s">
        <v>1725</v>
      </c>
      <c r="O389" s="116" t="s">
        <v>1516</v>
      </c>
      <c r="Q389" s="23"/>
      <c r="R389" s="23"/>
    </row>
    <row r="390" spans="2:18" ht="15.75" customHeight="1" x14ac:dyDescent="0.15">
      <c r="B390" s="53" t="s">
        <v>35</v>
      </c>
      <c r="C390" s="263">
        <v>43959</v>
      </c>
      <c r="D390" s="53" t="s">
        <v>1734</v>
      </c>
      <c r="E390" s="53" t="s">
        <v>27</v>
      </c>
      <c r="F390" s="147">
        <v>0.4</v>
      </c>
      <c r="G390" s="53" t="s">
        <v>28</v>
      </c>
      <c r="H390" s="53" t="s">
        <v>1177</v>
      </c>
      <c r="I390" s="53" t="s">
        <v>523</v>
      </c>
      <c r="J390" s="53" t="s">
        <v>224</v>
      </c>
      <c r="K390" s="115">
        <v>2.5</v>
      </c>
      <c r="L390" s="111" t="s">
        <v>522</v>
      </c>
      <c r="O390" s="116" t="s">
        <v>1594</v>
      </c>
      <c r="Q390" s="23"/>
      <c r="R390" s="23"/>
    </row>
    <row r="391" spans="2:18" ht="15.75" customHeight="1" x14ac:dyDescent="0.15">
      <c r="B391" s="53" t="s">
        <v>18</v>
      </c>
      <c r="C391" s="263">
        <v>43966</v>
      </c>
      <c r="D391" s="53" t="s">
        <v>538</v>
      </c>
      <c r="E391" s="53" t="s">
        <v>6</v>
      </c>
      <c r="F391" s="147">
        <v>8.5000000000000006E-2</v>
      </c>
      <c r="G391" s="53" t="s">
        <v>1177</v>
      </c>
      <c r="H391" s="53" t="s">
        <v>1177</v>
      </c>
      <c r="I391" s="53" t="s">
        <v>384</v>
      </c>
      <c r="J391" s="53" t="s">
        <v>2177</v>
      </c>
      <c r="K391" s="115">
        <v>8</v>
      </c>
      <c r="L391" s="111" t="s">
        <v>538</v>
      </c>
      <c r="O391" s="116" t="s">
        <v>1741</v>
      </c>
      <c r="Q391" s="23"/>
      <c r="R391" s="23"/>
    </row>
    <row r="392" spans="2:18" ht="15.75" customHeight="1" x14ac:dyDescent="0.15">
      <c r="B392" s="53" t="s">
        <v>35</v>
      </c>
      <c r="C392" s="263">
        <v>43966</v>
      </c>
      <c r="D392" s="53" t="s">
        <v>1579</v>
      </c>
      <c r="E392" s="53" t="s">
        <v>6</v>
      </c>
      <c r="F392" s="147">
        <v>4.7E-2</v>
      </c>
      <c r="G392" s="53" t="s">
        <v>1177</v>
      </c>
      <c r="H392" s="53" t="s">
        <v>1177</v>
      </c>
      <c r="I392" s="53" t="s">
        <v>2212</v>
      </c>
      <c r="J392" s="53" t="s">
        <v>321</v>
      </c>
      <c r="K392" s="115">
        <v>7</v>
      </c>
      <c r="L392" s="111" t="s">
        <v>1542</v>
      </c>
      <c r="O392" s="116" t="s">
        <v>1542</v>
      </c>
      <c r="Q392" s="23"/>
      <c r="R392" s="23"/>
    </row>
    <row r="393" spans="2:18" ht="15.75" customHeight="1" x14ac:dyDescent="0.15">
      <c r="B393" s="53" t="s">
        <v>75</v>
      </c>
      <c r="C393" s="263">
        <v>43966</v>
      </c>
      <c r="D393" s="53" t="s">
        <v>1742</v>
      </c>
      <c r="E393" s="53" t="s">
        <v>42</v>
      </c>
      <c r="F393" s="147">
        <v>0.11</v>
      </c>
      <c r="G393" s="53" t="s">
        <v>1177</v>
      </c>
      <c r="H393" s="53" t="s">
        <v>1177</v>
      </c>
      <c r="I393" s="53" t="s">
        <v>540</v>
      </c>
      <c r="J393" s="53" t="s">
        <v>2404</v>
      </c>
      <c r="K393" s="115">
        <v>7.5</v>
      </c>
      <c r="L393" s="111" t="s">
        <v>1744</v>
      </c>
      <c r="O393" s="116" t="s">
        <v>1743</v>
      </c>
      <c r="Q393" s="23"/>
      <c r="R393" s="23"/>
    </row>
    <row r="394" spans="2:18" ht="15.75" customHeight="1" x14ac:dyDescent="0.15">
      <c r="B394" s="53" t="s">
        <v>45</v>
      </c>
      <c r="C394" s="263">
        <v>43966</v>
      </c>
      <c r="D394" s="53" t="s">
        <v>496</v>
      </c>
      <c r="E394" s="53" t="s">
        <v>6</v>
      </c>
      <c r="F394" s="147">
        <v>0.05</v>
      </c>
      <c r="G394" s="53" t="s">
        <v>1177</v>
      </c>
      <c r="H394" s="53" t="s">
        <v>1177</v>
      </c>
      <c r="I394" s="53" t="s">
        <v>2213</v>
      </c>
      <c r="J394" s="53" t="s">
        <v>594</v>
      </c>
      <c r="K394" s="115">
        <v>8</v>
      </c>
      <c r="L394" s="111" t="s">
        <v>668</v>
      </c>
      <c r="O394" s="116" t="s">
        <v>668</v>
      </c>
      <c r="Q394" s="23"/>
      <c r="R394" s="23"/>
    </row>
    <row r="395" spans="2:18" ht="15.75" customHeight="1" x14ac:dyDescent="0.15">
      <c r="B395" s="53" t="s">
        <v>26</v>
      </c>
      <c r="C395" s="263">
        <v>43966</v>
      </c>
      <c r="D395" s="53" t="s">
        <v>539</v>
      </c>
      <c r="E395" s="53" t="s">
        <v>6</v>
      </c>
      <c r="F395" s="147">
        <v>4.5999999999999999E-2</v>
      </c>
      <c r="G395" s="53" t="s">
        <v>1177</v>
      </c>
      <c r="H395" s="53" t="s">
        <v>1177</v>
      </c>
      <c r="I395" s="53" t="s">
        <v>2214</v>
      </c>
      <c r="J395" s="53" t="s">
        <v>312</v>
      </c>
      <c r="K395" s="115">
        <v>7</v>
      </c>
      <c r="L395" s="111" t="s">
        <v>1717</v>
      </c>
      <c r="O395" s="116" t="s">
        <v>1717</v>
      </c>
      <c r="Q395" s="23"/>
      <c r="R395" s="23"/>
    </row>
    <row r="396" spans="2:18" ht="15.75" customHeight="1" x14ac:dyDescent="0.15">
      <c r="B396" s="53" t="s">
        <v>35</v>
      </c>
      <c r="C396" s="263">
        <v>43966</v>
      </c>
      <c r="D396" s="53" t="s">
        <v>539</v>
      </c>
      <c r="E396" s="53" t="s">
        <v>6</v>
      </c>
      <c r="F396" s="147">
        <v>4.5999999999999999E-2</v>
      </c>
      <c r="G396" s="53" t="s">
        <v>1177</v>
      </c>
      <c r="H396" s="53" t="s">
        <v>1177</v>
      </c>
      <c r="I396" s="53" t="s">
        <v>525</v>
      </c>
      <c r="J396" s="53" t="s">
        <v>784</v>
      </c>
      <c r="K396" s="115">
        <v>5</v>
      </c>
      <c r="L396" s="111" t="s">
        <v>1717</v>
      </c>
      <c r="O396" s="116" t="s">
        <v>1717</v>
      </c>
      <c r="Q396" s="23"/>
      <c r="R396" s="23"/>
    </row>
    <row r="397" spans="2:18" ht="15.75" customHeight="1" x14ac:dyDescent="0.15">
      <c r="B397" s="53" t="s">
        <v>361</v>
      </c>
      <c r="C397" s="263">
        <v>43966</v>
      </c>
      <c r="D397" s="53" t="s">
        <v>541</v>
      </c>
      <c r="E397" s="53" t="s">
        <v>190</v>
      </c>
      <c r="F397" s="147">
        <v>0.04</v>
      </c>
      <c r="G397" s="53" t="s">
        <v>1177</v>
      </c>
      <c r="H397" s="53" t="s">
        <v>1177</v>
      </c>
      <c r="I397" s="53" t="s">
        <v>331</v>
      </c>
      <c r="J397" s="53" t="s">
        <v>2405</v>
      </c>
      <c r="K397" s="115">
        <v>6</v>
      </c>
      <c r="L397" s="111" t="s">
        <v>1745</v>
      </c>
      <c r="O397" s="116" t="s">
        <v>1585</v>
      </c>
      <c r="Q397" s="23"/>
      <c r="R397" s="23"/>
    </row>
    <row r="398" spans="2:18" ht="15.75" customHeight="1" x14ac:dyDescent="0.15">
      <c r="B398" s="53" t="s">
        <v>73</v>
      </c>
      <c r="C398" s="263">
        <v>43966</v>
      </c>
      <c r="D398" s="53" t="s">
        <v>1746</v>
      </c>
      <c r="E398" s="53" t="s">
        <v>6</v>
      </c>
      <c r="F398" s="147">
        <v>4.8000000000000001E-2</v>
      </c>
      <c r="G398" s="53" t="s">
        <v>1177</v>
      </c>
      <c r="H398" s="53" t="s">
        <v>1177</v>
      </c>
      <c r="I398" s="53" t="s">
        <v>2215</v>
      </c>
      <c r="J398" s="53" t="s">
        <v>2406</v>
      </c>
      <c r="K398" s="115">
        <v>7</v>
      </c>
      <c r="L398" s="111" t="s">
        <v>1747</v>
      </c>
      <c r="O398" s="116" t="s">
        <v>1748</v>
      </c>
      <c r="Q398" s="23"/>
      <c r="R398" s="23"/>
    </row>
    <row r="399" spans="2:18" ht="15.75" customHeight="1" x14ac:dyDescent="0.15">
      <c r="B399" s="53" t="s">
        <v>38</v>
      </c>
      <c r="C399" s="263">
        <v>43966</v>
      </c>
      <c r="D399" s="53" t="s">
        <v>542</v>
      </c>
      <c r="E399" s="53" t="s">
        <v>6</v>
      </c>
      <c r="F399" s="147">
        <v>3.7999999999999999E-2</v>
      </c>
      <c r="G399" s="53" t="s">
        <v>1177</v>
      </c>
      <c r="H399" s="53" t="s">
        <v>1177</v>
      </c>
      <c r="I399" s="53" t="s">
        <v>2216</v>
      </c>
      <c r="J399" s="53" t="s">
        <v>2398</v>
      </c>
      <c r="K399" s="115">
        <v>6.5</v>
      </c>
      <c r="L399" s="111" t="s">
        <v>1749</v>
      </c>
      <c r="O399" s="111" t="s">
        <v>1749</v>
      </c>
      <c r="Q399" s="23"/>
      <c r="R399" s="23"/>
    </row>
    <row r="400" spans="2:18" ht="15.75" customHeight="1" x14ac:dyDescent="0.15">
      <c r="B400" s="53" t="s">
        <v>35</v>
      </c>
      <c r="C400" s="263">
        <v>43966</v>
      </c>
      <c r="D400" s="53" t="s">
        <v>543</v>
      </c>
      <c r="E400" s="53" t="s">
        <v>6</v>
      </c>
      <c r="F400" s="147">
        <v>4.3999999999999997E-2</v>
      </c>
      <c r="G400" s="53" t="s">
        <v>1177</v>
      </c>
      <c r="H400" s="53" t="s">
        <v>1177</v>
      </c>
      <c r="I400" s="53" t="s">
        <v>237</v>
      </c>
      <c r="J400" s="53" t="s">
        <v>551</v>
      </c>
      <c r="K400" s="115">
        <v>7</v>
      </c>
      <c r="L400" s="111" t="s">
        <v>679</v>
      </c>
      <c r="O400" s="116" t="s">
        <v>679</v>
      </c>
      <c r="Q400" s="23"/>
      <c r="R400" s="23"/>
    </row>
    <row r="401" spans="2:18" ht="15.75" customHeight="1" x14ac:dyDescent="0.15">
      <c r="B401" s="53" t="s">
        <v>9</v>
      </c>
      <c r="C401" s="263">
        <v>43966</v>
      </c>
      <c r="D401" s="53" t="s">
        <v>547</v>
      </c>
      <c r="E401" s="53" t="s">
        <v>12</v>
      </c>
      <c r="F401" s="147">
        <v>0.2</v>
      </c>
      <c r="G401" s="53" t="s">
        <v>401</v>
      </c>
      <c r="H401" s="53" t="s">
        <v>1177</v>
      </c>
      <c r="I401" s="53" t="s">
        <v>548</v>
      </c>
      <c r="J401" s="53" t="s">
        <v>222</v>
      </c>
      <c r="K401" s="115">
        <v>8</v>
      </c>
      <c r="L401" s="111" t="s">
        <v>3157</v>
      </c>
      <c r="O401" s="116" t="s">
        <v>1589</v>
      </c>
      <c r="P401" s="23" t="s">
        <v>3260</v>
      </c>
      <c r="Q401" s="23"/>
      <c r="R401" s="23"/>
    </row>
    <row r="402" spans="2:18" ht="15.75" customHeight="1" x14ac:dyDescent="0.15">
      <c r="B402" s="53" t="s">
        <v>75</v>
      </c>
      <c r="C402" s="263">
        <v>43966</v>
      </c>
      <c r="D402" s="53" t="s">
        <v>877</v>
      </c>
      <c r="E402" s="53" t="s">
        <v>12</v>
      </c>
      <c r="F402" s="147">
        <v>0.375</v>
      </c>
      <c r="G402" s="53" t="s">
        <v>544</v>
      </c>
      <c r="H402" s="53" t="s">
        <v>1177</v>
      </c>
      <c r="I402" s="53" t="s">
        <v>545</v>
      </c>
      <c r="J402" s="53" t="s">
        <v>546</v>
      </c>
      <c r="K402" s="115">
        <v>8</v>
      </c>
      <c r="L402" s="111" t="s">
        <v>767</v>
      </c>
      <c r="O402" s="116" t="s">
        <v>1516</v>
      </c>
      <c r="Q402" s="23"/>
      <c r="R402" s="23"/>
    </row>
    <row r="403" spans="2:18" ht="15.75" customHeight="1" x14ac:dyDescent="0.15">
      <c r="B403" s="53" t="s">
        <v>41</v>
      </c>
      <c r="C403" s="263">
        <v>43966</v>
      </c>
      <c r="D403" s="53" t="s">
        <v>160</v>
      </c>
      <c r="E403" s="53" t="s">
        <v>34</v>
      </c>
      <c r="F403" s="147">
        <v>0.04</v>
      </c>
      <c r="G403" s="53" t="s">
        <v>1177</v>
      </c>
      <c r="H403" s="53" t="s">
        <v>1177</v>
      </c>
      <c r="I403" s="53" t="s">
        <v>2217</v>
      </c>
      <c r="J403" s="53" t="s">
        <v>2407</v>
      </c>
      <c r="K403" s="115">
        <v>4</v>
      </c>
      <c r="L403" s="111" t="s">
        <v>1472</v>
      </c>
      <c r="O403" s="116" t="s">
        <v>1455</v>
      </c>
      <c r="Q403" s="23"/>
      <c r="R403" s="23"/>
    </row>
    <row r="404" spans="2:18" ht="15.75" customHeight="1" x14ac:dyDescent="0.15">
      <c r="B404" s="53" t="s">
        <v>61</v>
      </c>
      <c r="C404" s="263">
        <v>43966</v>
      </c>
      <c r="D404" s="53" t="s">
        <v>549</v>
      </c>
      <c r="E404" s="53" t="s">
        <v>6</v>
      </c>
      <c r="F404" s="147">
        <v>5.1999999999999998E-2</v>
      </c>
      <c r="G404" s="53" t="s">
        <v>1177</v>
      </c>
      <c r="H404" s="53" t="s">
        <v>1177</v>
      </c>
      <c r="I404" s="53" t="s">
        <v>550</v>
      </c>
      <c r="J404" s="53" t="s">
        <v>294</v>
      </c>
      <c r="K404" s="115">
        <v>7</v>
      </c>
      <c r="L404" s="111" t="s">
        <v>3400</v>
      </c>
      <c r="O404" s="116" t="s">
        <v>1750</v>
      </c>
      <c r="Q404" s="23"/>
      <c r="R404" s="23"/>
    </row>
    <row r="405" spans="2:18" ht="15.75" customHeight="1" x14ac:dyDescent="0.15">
      <c r="B405" s="53" t="s">
        <v>179</v>
      </c>
      <c r="C405" s="263">
        <v>43966</v>
      </c>
      <c r="D405" s="53" t="s">
        <v>549</v>
      </c>
      <c r="E405" s="53" t="s">
        <v>6</v>
      </c>
      <c r="F405" s="147">
        <v>5.1999999999999998E-2</v>
      </c>
      <c r="G405" s="53" t="s">
        <v>1177</v>
      </c>
      <c r="H405" s="53" t="s">
        <v>1177</v>
      </c>
      <c r="I405" s="53" t="s">
        <v>2218</v>
      </c>
      <c r="J405" s="53" t="s">
        <v>2408</v>
      </c>
      <c r="K405" s="115">
        <v>6.5</v>
      </c>
      <c r="L405" s="111" t="s">
        <v>3400</v>
      </c>
      <c r="O405" s="116" t="s">
        <v>1750</v>
      </c>
      <c r="Q405" s="23"/>
      <c r="R405" s="23"/>
    </row>
    <row r="406" spans="2:18" ht="15.75" customHeight="1" x14ac:dyDescent="0.15">
      <c r="B406" s="53" t="s">
        <v>45</v>
      </c>
      <c r="C406" s="263">
        <v>43966</v>
      </c>
      <c r="D406" s="53" t="s">
        <v>1751</v>
      </c>
      <c r="E406" s="53" t="s">
        <v>6</v>
      </c>
      <c r="F406" s="147">
        <v>8.5000000000000006E-2</v>
      </c>
      <c r="G406" s="53" t="s">
        <v>1177</v>
      </c>
      <c r="H406" s="53" t="s">
        <v>1177</v>
      </c>
      <c r="I406" s="53" t="s">
        <v>319</v>
      </c>
      <c r="J406" s="53" t="s">
        <v>25</v>
      </c>
      <c r="K406" s="115">
        <v>8.5</v>
      </c>
      <c r="L406" s="111" t="s">
        <v>2585</v>
      </c>
      <c r="M406" s="111" t="s">
        <v>2586</v>
      </c>
      <c r="O406" s="116" t="s">
        <v>1784</v>
      </c>
      <c r="Q406" s="23"/>
      <c r="R406" s="23"/>
    </row>
    <row r="407" spans="2:18" ht="15.75" customHeight="1" x14ac:dyDescent="0.15">
      <c r="B407" s="53" t="s">
        <v>361</v>
      </c>
      <c r="C407" s="263">
        <v>43966</v>
      </c>
      <c r="D407" s="53" t="s">
        <v>164</v>
      </c>
      <c r="E407" s="53" t="s">
        <v>6</v>
      </c>
      <c r="F407" s="147">
        <v>4.4999999999999998E-2</v>
      </c>
      <c r="G407" s="53" t="s">
        <v>1177</v>
      </c>
      <c r="H407" s="53" t="s">
        <v>1177</v>
      </c>
      <c r="I407" s="53" t="s">
        <v>552</v>
      </c>
      <c r="J407" s="53" t="s">
        <v>553</v>
      </c>
      <c r="K407" s="115">
        <v>7.5</v>
      </c>
      <c r="L407" s="111" t="s">
        <v>1570</v>
      </c>
      <c r="O407" s="116" t="s">
        <v>1565</v>
      </c>
      <c r="Q407" s="23"/>
      <c r="R407" s="23"/>
    </row>
    <row r="408" spans="2:18" ht="15.75" customHeight="1" x14ac:dyDescent="0.15">
      <c r="B408" s="53" t="s">
        <v>18</v>
      </c>
      <c r="C408" s="263">
        <v>43966</v>
      </c>
      <c r="D408" s="53" t="s">
        <v>554</v>
      </c>
      <c r="E408" s="53" t="s">
        <v>6</v>
      </c>
      <c r="F408" s="147">
        <v>4.3999999999999997E-2</v>
      </c>
      <c r="G408" s="53" t="s">
        <v>1177</v>
      </c>
      <c r="H408" s="53" t="s">
        <v>1177</v>
      </c>
      <c r="I408" s="53" t="s">
        <v>555</v>
      </c>
      <c r="J408" s="53" t="s">
        <v>87</v>
      </c>
      <c r="K408" s="115">
        <v>8</v>
      </c>
      <c r="L408" s="111" t="s">
        <v>1752</v>
      </c>
      <c r="O408" s="116" t="s">
        <v>1752</v>
      </c>
      <c r="Q408" s="23"/>
      <c r="R408" s="23"/>
    </row>
    <row r="409" spans="2:18" ht="15.75" customHeight="1" x14ac:dyDescent="0.15">
      <c r="B409" s="53" t="s">
        <v>73</v>
      </c>
      <c r="C409" s="263">
        <v>43966</v>
      </c>
      <c r="D409" s="53" t="s">
        <v>556</v>
      </c>
      <c r="E409" s="53" t="s">
        <v>6</v>
      </c>
      <c r="F409" s="147">
        <v>4.4999999999999998E-2</v>
      </c>
      <c r="G409" s="53" t="s">
        <v>1177</v>
      </c>
      <c r="H409" s="53" t="s">
        <v>1177</v>
      </c>
      <c r="I409" s="53" t="s">
        <v>384</v>
      </c>
      <c r="J409" s="53" t="s">
        <v>3563</v>
      </c>
      <c r="K409" s="115">
        <v>9</v>
      </c>
      <c r="L409" s="111" t="s">
        <v>1513</v>
      </c>
      <c r="O409" s="116" t="s">
        <v>1513</v>
      </c>
      <c r="Q409" s="23"/>
      <c r="R409" s="23"/>
    </row>
    <row r="410" spans="2:18" ht="15.75" customHeight="1" x14ac:dyDescent="0.15">
      <c r="B410" s="53" t="s">
        <v>38</v>
      </c>
      <c r="C410" s="263">
        <v>43966</v>
      </c>
      <c r="D410" s="53" t="s">
        <v>1753</v>
      </c>
      <c r="E410" s="53" t="s">
        <v>6</v>
      </c>
      <c r="F410" s="147">
        <v>0.04</v>
      </c>
      <c r="G410" s="53" t="s">
        <v>1177</v>
      </c>
      <c r="H410" s="53" t="s">
        <v>1177</v>
      </c>
      <c r="I410" s="53" t="s">
        <v>331</v>
      </c>
      <c r="J410" s="53" t="s">
        <v>2409</v>
      </c>
      <c r="K410" s="115">
        <v>8</v>
      </c>
      <c r="L410" s="111" t="s">
        <v>1542</v>
      </c>
      <c r="M410" s="111" t="s">
        <v>2451</v>
      </c>
      <c r="O410" s="111" t="s">
        <v>2008</v>
      </c>
      <c r="Q410" s="23"/>
      <c r="R410" s="23"/>
    </row>
    <row r="411" spans="2:18" ht="15.75" customHeight="1" x14ac:dyDescent="0.15">
      <c r="B411" s="53" t="s">
        <v>41</v>
      </c>
      <c r="C411" s="263">
        <v>43966</v>
      </c>
      <c r="D411" s="53" t="s">
        <v>557</v>
      </c>
      <c r="E411" s="53" t="s">
        <v>34</v>
      </c>
      <c r="F411" s="147">
        <v>0.04</v>
      </c>
      <c r="G411" s="53" t="s">
        <v>1177</v>
      </c>
      <c r="H411" s="53" t="s">
        <v>1177</v>
      </c>
      <c r="I411" s="53" t="s">
        <v>217</v>
      </c>
      <c r="J411" s="53" t="s">
        <v>1148</v>
      </c>
      <c r="K411" s="115">
        <v>4</v>
      </c>
      <c r="L411" s="111" t="s">
        <v>1472</v>
      </c>
      <c r="O411" s="116" t="s">
        <v>1455</v>
      </c>
      <c r="Q411" s="23"/>
      <c r="R411" s="23"/>
    </row>
    <row r="412" spans="2:18" ht="15.75" customHeight="1" x14ac:dyDescent="0.15">
      <c r="B412" s="53" t="s">
        <v>26</v>
      </c>
      <c r="C412" s="263">
        <v>43966</v>
      </c>
      <c r="D412" s="53" t="s">
        <v>558</v>
      </c>
      <c r="E412" s="53" t="s">
        <v>34</v>
      </c>
      <c r="F412" s="147">
        <v>6.8000000000000005E-2</v>
      </c>
      <c r="G412" s="53" t="s">
        <v>1177</v>
      </c>
      <c r="H412" s="53" t="s">
        <v>1177</v>
      </c>
      <c r="I412" s="53" t="s">
        <v>2219</v>
      </c>
      <c r="J412" s="53" t="s">
        <v>2266</v>
      </c>
      <c r="K412" s="115">
        <v>8</v>
      </c>
      <c r="L412" s="111" t="s">
        <v>1477</v>
      </c>
      <c r="O412" s="116" t="s">
        <v>1510</v>
      </c>
      <c r="Q412" s="23"/>
      <c r="R412" s="23"/>
    </row>
    <row r="413" spans="2:18" ht="15.75" customHeight="1" x14ac:dyDescent="0.15">
      <c r="B413" s="53" t="s">
        <v>18</v>
      </c>
      <c r="C413" s="263">
        <v>43966</v>
      </c>
      <c r="D413" s="53" t="s">
        <v>559</v>
      </c>
      <c r="E413" s="53" t="s">
        <v>6</v>
      </c>
      <c r="F413" s="147">
        <v>5.1999999999999998E-2</v>
      </c>
      <c r="G413" s="53" t="s">
        <v>1177</v>
      </c>
      <c r="H413" s="53" t="s">
        <v>1177</v>
      </c>
      <c r="I413" s="53" t="s">
        <v>582</v>
      </c>
      <c r="J413" s="53" t="s">
        <v>583</v>
      </c>
      <c r="K413" s="115">
        <v>6</v>
      </c>
      <c r="L413" s="111" t="s">
        <v>1669</v>
      </c>
      <c r="O413" s="116" t="s">
        <v>1634</v>
      </c>
      <c r="Q413" s="23"/>
      <c r="R413" s="23"/>
    </row>
    <row r="414" spans="2:18" ht="15.75" customHeight="1" x14ac:dyDescent="0.15">
      <c r="B414" s="53" t="s">
        <v>35</v>
      </c>
      <c r="C414" s="263">
        <v>43966</v>
      </c>
      <c r="D414" s="53" t="s">
        <v>560</v>
      </c>
      <c r="E414" s="53" t="s">
        <v>6</v>
      </c>
      <c r="F414" s="147">
        <v>5.6000000000000001E-2</v>
      </c>
      <c r="G414" s="53" t="s">
        <v>1177</v>
      </c>
      <c r="H414" s="53" t="s">
        <v>1177</v>
      </c>
      <c r="I414" s="53" t="s">
        <v>278</v>
      </c>
      <c r="J414" s="53" t="s">
        <v>225</v>
      </c>
      <c r="K414" s="115">
        <v>4</v>
      </c>
      <c r="L414" s="111" t="s">
        <v>1754</v>
      </c>
      <c r="O414" s="116" t="s">
        <v>1589</v>
      </c>
      <c r="Q414" s="23"/>
      <c r="R414" s="23"/>
    </row>
    <row r="415" spans="2:18" ht="15.75" customHeight="1" x14ac:dyDescent="0.15">
      <c r="B415" s="53" t="s">
        <v>35</v>
      </c>
      <c r="C415" s="263">
        <v>43966</v>
      </c>
      <c r="D415" s="53" t="s">
        <v>561</v>
      </c>
      <c r="E415" s="53" t="s">
        <v>32</v>
      </c>
      <c r="F415" s="147">
        <v>0.38</v>
      </c>
      <c r="G415" s="53" t="s">
        <v>1177</v>
      </c>
      <c r="H415" s="53" t="s">
        <v>1177</v>
      </c>
      <c r="I415" s="53" t="s">
        <v>565</v>
      </c>
      <c r="J415" s="53" t="s">
        <v>566</v>
      </c>
      <c r="K415" s="115">
        <v>6</v>
      </c>
      <c r="L415" s="111" t="s">
        <v>1624</v>
      </c>
      <c r="O415" s="116" t="s">
        <v>1537</v>
      </c>
      <c r="Q415" s="23"/>
      <c r="R415" s="23"/>
    </row>
    <row r="416" spans="2:18" ht="15.75" customHeight="1" x14ac:dyDescent="0.15">
      <c r="B416" s="53" t="s">
        <v>73</v>
      </c>
      <c r="C416" s="263">
        <v>43966</v>
      </c>
      <c r="D416" s="53" t="s">
        <v>2998</v>
      </c>
      <c r="E416" s="53" t="s">
        <v>12</v>
      </c>
      <c r="F416" s="232">
        <v>0.25</v>
      </c>
      <c r="G416" s="53" t="s">
        <v>1177</v>
      </c>
      <c r="H416" s="53" t="s">
        <v>1177</v>
      </c>
      <c r="I416" s="53" t="s">
        <v>567</v>
      </c>
      <c r="J416" s="53" t="s">
        <v>502</v>
      </c>
      <c r="K416" s="115">
        <v>9.5</v>
      </c>
      <c r="L416" s="111" t="s">
        <v>2999</v>
      </c>
      <c r="O416" s="116" t="s">
        <v>3000</v>
      </c>
      <c r="Q416" s="23"/>
      <c r="R416" s="23"/>
    </row>
    <row r="417" spans="2:18" ht="15.75" customHeight="1" x14ac:dyDescent="0.15">
      <c r="B417" s="53" t="s">
        <v>75</v>
      </c>
      <c r="C417" s="263">
        <v>43966</v>
      </c>
      <c r="D417" s="53" t="s">
        <v>2998</v>
      </c>
      <c r="E417" s="53" t="s">
        <v>12</v>
      </c>
      <c r="F417" s="232">
        <v>0.25</v>
      </c>
      <c r="G417" s="53" t="s">
        <v>1177</v>
      </c>
      <c r="H417" s="53" t="s">
        <v>1177</v>
      </c>
      <c r="I417" s="53" t="s">
        <v>568</v>
      </c>
      <c r="J417" s="53" t="s">
        <v>569</v>
      </c>
      <c r="K417" s="115">
        <v>9</v>
      </c>
      <c r="L417" s="111" t="s">
        <v>2999</v>
      </c>
      <c r="O417" s="116" t="s">
        <v>3000</v>
      </c>
      <c r="Q417" s="23"/>
      <c r="R417" s="23"/>
    </row>
    <row r="418" spans="2:18" ht="15.75" customHeight="1" x14ac:dyDescent="0.15">
      <c r="B418" s="53" t="s">
        <v>420</v>
      </c>
      <c r="C418" s="263">
        <v>43966</v>
      </c>
      <c r="D418" s="53" t="s">
        <v>530</v>
      </c>
      <c r="E418" s="53" t="s">
        <v>27</v>
      </c>
      <c r="F418" s="147">
        <v>0.16500000000000001</v>
      </c>
      <c r="G418" s="53" t="s">
        <v>1177</v>
      </c>
      <c r="H418" s="53" t="s">
        <v>1177</v>
      </c>
      <c r="I418" s="53" t="s">
        <v>572</v>
      </c>
      <c r="J418" s="53" t="s">
        <v>573</v>
      </c>
      <c r="K418" s="115">
        <v>4</v>
      </c>
      <c r="L418" s="111" t="s">
        <v>530</v>
      </c>
      <c r="O418" s="116" t="s">
        <v>1739</v>
      </c>
      <c r="Q418" s="23"/>
      <c r="R418" s="23"/>
    </row>
    <row r="419" spans="2:18" ht="15.75" customHeight="1" x14ac:dyDescent="0.15">
      <c r="B419" s="53" t="s">
        <v>45</v>
      </c>
      <c r="C419" s="263">
        <v>43966</v>
      </c>
      <c r="D419" s="53" t="s">
        <v>562</v>
      </c>
      <c r="E419" s="53" t="s">
        <v>65</v>
      </c>
      <c r="F419" s="147">
        <v>0.4</v>
      </c>
      <c r="G419" s="53" t="s">
        <v>1177</v>
      </c>
      <c r="H419" s="53" t="s">
        <v>1177</v>
      </c>
      <c r="I419" s="53" t="s">
        <v>278</v>
      </c>
      <c r="J419" s="53" t="s">
        <v>574</v>
      </c>
      <c r="K419" s="115">
        <v>4</v>
      </c>
      <c r="L419" s="111" t="s">
        <v>1755</v>
      </c>
      <c r="O419" s="116" t="s">
        <v>1490</v>
      </c>
      <c r="Q419" s="23"/>
      <c r="R419" s="23"/>
    </row>
    <row r="420" spans="2:18" ht="15.75" customHeight="1" x14ac:dyDescent="0.15">
      <c r="B420" s="53" t="s">
        <v>421</v>
      </c>
      <c r="C420" s="263">
        <v>43966</v>
      </c>
      <c r="D420" s="53" t="s">
        <v>530</v>
      </c>
      <c r="E420" s="53" t="s">
        <v>27</v>
      </c>
      <c r="F420" s="147">
        <v>0.16500000000000001</v>
      </c>
      <c r="G420" s="53" t="s">
        <v>1177</v>
      </c>
      <c r="H420" s="53" t="s">
        <v>1177</v>
      </c>
      <c r="I420" s="53" t="s">
        <v>570</v>
      </c>
      <c r="J420" s="53" t="s">
        <v>571</v>
      </c>
      <c r="K420" s="115">
        <v>7</v>
      </c>
      <c r="L420" s="111" t="s">
        <v>530</v>
      </c>
      <c r="O420" s="116" t="s">
        <v>1739</v>
      </c>
      <c r="Q420" s="23"/>
      <c r="R420" s="23"/>
    </row>
    <row r="421" spans="2:18" ht="15.75" customHeight="1" x14ac:dyDescent="0.15">
      <c r="B421" s="53" t="s">
        <v>18</v>
      </c>
      <c r="C421" s="263">
        <v>43966</v>
      </c>
      <c r="D421" s="53" t="s">
        <v>1456</v>
      </c>
      <c r="E421" s="53" t="s">
        <v>27</v>
      </c>
      <c r="F421" s="147">
        <v>0.25</v>
      </c>
      <c r="G421" s="53" t="s">
        <v>1177</v>
      </c>
      <c r="H421" s="53" t="s">
        <v>1177</v>
      </c>
      <c r="I421" s="53" t="s">
        <v>575</v>
      </c>
      <c r="J421" s="53" t="s">
        <v>555</v>
      </c>
      <c r="K421" s="115">
        <v>6</v>
      </c>
      <c r="L421" s="112" t="s">
        <v>1457</v>
      </c>
      <c r="M421" s="112"/>
      <c r="N421" s="112"/>
      <c r="O421" s="112" t="s">
        <v>1457</v>
      </c>
      <c r="Q421" s="23"/>
      <c r="R421" s="23"/>
    </row>
    <row r="422" spans="2:18" ht="15.75" customHeight="1" x14ac:dyDescent="0.15">
      <c r="B422" s="53" t="s">
        <v>26</v>
      </c>
      <c r="C422" s="263">
        <v>43966</v>
      </c>
      <c r="D422" s="53" t="s">
        <v>563</v>
      </c>
      <c r="E422" s="53" t="s">
        <v>12</v>
      </c>
      <c r="F422" s="147">
        <v>0.41</v>
      </c>
      <c r="G422" s="53" t="s">
        <v>1177</v>
      </c>
      <c r="H422" s="53" t="s">
        <v>1177</v>
      </c>
      <c r="I422" s="53" t="s">
        <v>576</v>
      </c>
      <c r="J422" s="53" t="s">
        <v>534</v>
      </c>
      <c r="K422" s="115">
        <v>7</v>
      </c>
      <c r="L422" s="111" t="s">
        <v>1756</v>
      </c>
      <c r="O422" s="116" t="s">
        <v>1594</v>
      </c>
      <c r="Q422" s="23"/>
      <c r="R422" s="23"/>
    </row>
    <row r="423" spans="2:18" ht="15.75" customHeight="1" x14ac:dyDescent="0.15">
      <c r="B423" s="53" t="s">
        <v>38</v>
      </c>
      <c r="C423" s="263">
        <v>43966</v>
      </c>
      <c r="D423" s="53" t="s">
        <v>1947</v>
      </c>
      <c r="E423" s="53" t="s">
        <v>27</v>
      </c>
      <c r="F423" s="147">
        <v>0.38</v>
      </c>
      <c r="G423" s="53" t="s">
        <v>1177</v>
      </c>
      <c r="H423" s="53" t="s">
        <v>1177</v>
      </c>
      <c r="I423" s="53" t="s">
        <v>577</v>
      </c>
      <c r="J423" s="53" t="s">
        <v>578</v>
      </c>
      <c r="K423" s="115">
        <v>3</v>
      </c>
      <c r="L423" s="111" t="s">
        <v>1966</v>
      </c>
      <c r="O423" s="116" t="s">
        <v>1468</v>
      </c>
      <c r="Q423" s="23"/>
      <c r="R423" s="23"/>
    </row>
    <row r="424" spans="2:18" ht="15.75" customHeight="1" x14ac:dyDescent="0.15">
      <c r="B424" s="53" t="s">
        <v>361</v>
      </c>
      <c r="C424" s="263">
        <v>43966</v>
      </c>
      <c r="D424" s="53" t="s">
        <v>1610</v>
      </c>
      <c r="E424" s="53" t="s">
        <v>36</v>
      </c>
      <c r="F424" s="147">
        <v>0.4</v>
      </c>
      <c r="G424" s="53" t="s">
        <v>1177</v>
      </c>
      <c r="H424" s="53" t="s">
        <v>1177</v>
      </c>
      <c r="I424" s="53" t="s">
        <v>435</v>
      </c>
      <c r="J424" s="53" t="s">
        <v>534</v>
      </c>
      <c r="K424" s="115">
        <v>7.5</v>
      </c>
      <c r="L424" s="111" t="s">
        <v>1610</v>
      </c>
      <c r="O424" s="116" t="s">
        <v>1594</v>
      </c>
      <c r="Q424" s="23"/>
      <c r="R424" s="23"/>
    </row>
    <row r="425" spans="2:18" ht="15.75" customHeight="1" x14ac:dyDescent="0.15">
      <c r="B425" s="53" t="s">
        <v>61</v>
      </c>
      <c r="C425" s="263">
        <v>43966</v>
      </c>
      <c r="D425" s="53" t="s">
        <v>1610</v>
      </c>
      <c r="E425" s="53" t="s">
        <v>36</v>
      </c>
      <c r="F425" s="147">
        <v>0.4</v>
      </c>
      <c r="G425" s="53" t="s">
        <v>564</v>
      </c>
      <c r="H425" s="53" t="s">
        <v>1177</v>
      </c>
      <c r="I425" s="53" t="s">
        <v>579</v>
      </c>
      <c r="J425" s="53" t="s">
        <v>580</v>
      </c>
      <c r="K425" s="115">
        <v>3</v>
      </c>
      <c r="L425" s="111" t="s">
        <v>1610</v>
      </c>
      <c r="O425" s="116" t="s">
        <v>1594</v>
      </c>
      <c r="Q425" s="23"/>
      <c r="R425" s="23"/>
    </row>
    <row r="426" spans="2:18" ht="15.75" customHeight="1" x14ac:dyDescent="0.15">
      <c r="B426" s="53" t="s">
        <v>179</v>
      </c>
      <c r="C426" s="263">
        <v>43966</v>
      </c>
      <c r="D426" s="53" t="s">
        <v>1610</v>
      </c>
      <c r="E426" s="53" t="s">
        <v>36</v>
      </c>
      <c r="F426" s="147">
        <v>0.4</v>
      </c>
      <c r="G426" s="53" t="s">
        <v>564</v>
      </c>
      <c r="H426" s="53" t="s">
        <v>1177</v>
      </c>
      <c r="I426" s="53" t="s">
        <v>581</v>
      </c>
      <c r="J426" s="53" t="s">
        <v>153</v>
      </c>
      <c r="K426" s="115">
        <v>5</v>
      </c>
      <c r="L426" s="111" t="s">
        <v>1610</v>
      </c>
      <c r="O426" s="116" t="s">
        <v>1594</v>
      </c>
      <c r="Q426" s="23"/>
      <c r="R426" s="23"/>
    </row>
    <row r="427" spans="2:18" ht="15.75" customHeight="1" x14ac:dyDescent="0.15">
      <c r="B427" s="53" t="s">
        <v>420</v>
      </c>
      <c r="C427" s="263">
        <v>43966</v>
      </c>
      <c r="D427" s="53" t="s">
        <v>3164</v>
      </c>
      <c r="E427" s="53" t="s">
        <v>6</v>
      </c>
      <c r="F427" s="147">
        <v>4.4999999999999998E-2</v>
      </c>
      <c r="G427" s="53" t="s">
        <v>1177</v>
      </c>
      <c r="H427" s="53" t="s">
        <v>1177</v>
      </c>
      <c r="I427" s="53" t="s">
        <v>198</v>
      </c>
      <c r="J427" s="53" t="s">
        <v>233</v>
      </c>
      <c r="K427" s="115">
        <v>6</v>
      </c>
      <c r="L427" s="116" t="s">
        <v>584</v>
      </c>
      <c r="M427" s="116"/>
      <c r="N427" s="116"/>
      <c r="O427" s="116" t="s">
        <v>1757</v>
      </c>
      <c r="Q427" s="23"/>
      <c r="R427" s="23"/>
    </row>
    <row r="428" spans="2:18" ht="15.75" customHeight="1" x14ac:dyDescent="0.15">
      <c r="B428" s="53" t="s">
        <v>75</v>
      </c>
      <c r="C428" s="263">
        <v>43966</v>
      </c>
      <c r="D428" s="53" t="s">
        <v>878</v>
      </c>
      <c r="E428" s="53" t="s">
        <v>12</v>
      </c>
      <c r="F428" s="147">
        <v>0.375</v>
      </c>
      <c r="G428" s="53" t="s">
        <v>3242</v>
      </c>
      <c r="H428" s="53" t="s">
        <v>1177</v>
      </c>
      <c r="I428" s="53" t="s">
        <v>2220</v>
      </c>
      <c r="J428" s="53" t="s">
        <v>14</v>
      </c>
      <c r="K428" s="115">
        <v>7</v>
      </c>
      <c r="L428" s="111" t="s">
        <v>767</v>
      </c>
      <c r="O428" s="116" t="s">
        <v>1516</v>
      </c>
      <c r="Q428" s="23"/>
      <c r="R428" s="23"/>
    </row>
    <row r="429" spans="2:18" ht="15.75" customHeight="1" x14ac:dyDescent="0.15">
      <c r="B429" s="53" t="s">
        <v>45</v>
      </c>
      <c r="C429" s="263">
        <v>43966</v>
      </c>
      <c r="D429" s="53" t="s">
        <v>585</v>
      </c>
      <c r="E429" s="53" t="s">
        <v>6</v>
      </c>
      <c r="F429" s="147">
        <v>7.1999999999999995E-2</v>
      </c>
      <c r="G429" s="53" t="s">
        <v>1177</v>
      </c>
      <c r="H429" s="53" t="s">
        <v>1177</v>
      </c>
      <c r="I429" s="53" t="s">
        <v>2221</v>
      </c>
      <c r="J429" s="53" t="s">
        <v>82</v>
      </c>
      <c r="K429" s="115">
        <v>7</v>
      </c>
      <c r="L429" s="111" t="s">
        <v>765</v>
      </c>
      <c r="O429" s="116" t="s">
        <v>1569</v>
      </c>
      <c r="Q429" s="23"/>
      <c r="R429" s="23"/>
    </row>
    <row r="430" spans="2:18" ht="15.75" customHeight="1" x14ac:dyDescent="0.15">
      <c r="B430" s="53" t="s">
        <v>361</v>
      </c>
      <c r="C430" s="263">
        <v>43966</v>
      </c>
      <c r="D430" s="53" t="s">
        <v>164</v>
      </c>
      <c r="E430" s="53" t="s">
        <v>6</v>
      </c>
      <c r="F430" s="147">
        <v>4.4999999999999998E-2</v>
      </c>
      <c r="G430" s="53" t="s">
        <v>541</v>
      </c>
      <c r="H430" s="53" t="s">
        <v>1177</v>
      </c>
      <c r="I430" s="53" t="s">
        <v>586</v>
      </c>
      <c r="J430" s="53" t="s">
        <v>587</v>
      </c>
      <c r="K430" s="115">
        <v>4</v>
      </c>
      <c r="L430" s="111" t="s">
        <v>1570</v>
      </c>
      <c r="O430" s="116" t="s">
        <v>1565</v>
      </c>
      <c r="P430" s="23" t="s">
        <v>3261</v>
      </c>
      <c r="Q430" s="23"/>
      <c r="R430" s="23"/>
    </row>
    <row r="431" spans="2:18" ht="15.75" customHeight="1" x14ac:dyDescent="0.15">
      <c r="B431" s="53" t="s">
        <v>26</v>
      </c>
      <c r="C431" s="263">
        <v>43966</v>
      </c>
      <c r="D431" s="53" t="s">
        <v>415</v>
      </c>
      <c r="E431" s="53" t="s">
        <v>65</v>
      </c>
      <c r="F431" s="147">
        <v>0.21</v>
      </c>
      <c r="G431" s="53" t="s">
        <v>588</v>
      </c>
      <c r="H431" s="53" t="s">
        <v>589</v>
      </c>
      <c r="I431" s="53" t="s">
        <v>596</v>
      </c>
      <c r="J431" s="53" t="s">
        <v>491</v>
      </c>
      <c r="K431" s="115">
        <v>8</v>
      </c>
      <c r="L431" s="111" t="s">
        <v>484</v>
      </c>
      <c r="O431" s="116" t="s">
        <v>1594</v>
      </c>
      <c r="Q431" s="23"/>
      <c r="R431" s="23"/>
    </row>
    <row r="432" spans="2:18" ht="15.75" customHeight="1" x14ac:dyDescent="0.15">
      <c r="B432" s="53" t="s">
        <v>35</v>
      </c>
      <c r="C432" s="263">
        <v>43966</v>
      </c>
      <c r="D432" s="53" t="s">
        <v>1405</v>
      </c>
      <c r="E432" s="53" t="s">
        <v>6</v>
      </c>
      <c r="F432" s="147">
        <v>0.04</v>
      </c>
      <c r="G432" s="53" t="s">
        <v>1177</v>
      </c>
      <c r="H432" s="53" t="s">
        <v>1177</v>
      </c>
      <c r="I432" s="53" t="s">
        <v>2222</v>
      </c>
      <c r="J432" s="53" t="s">
        <v>836</v>
      </c>
      <c r="K432" s="115">
        <v>5.5</v>
      </c>
      <c r="L432" s="111" t="s">
        <v>1542</v>
      </c>
      <c r="O432" s="116" t="s">
        <v>1542</v>
      </c>
      <c r="Q432" s="23"/>
      <c r="R432" s="23"/>
    </row>
    <row r="433" spans="2:18" ht="15.75" customHeight="1" x14ac:dyDescent="0.15">
      <c r="B433" s="53" t="s">
        <v>61</v>
      </c>
      <c r="C433" s="263">
        <v>43966</v>
      </c>
      <c r="D433" s="53" t="s">
        <v>1758</v>
      </c>
      <c r="E433" s="53" t="s">
        <v>6</v>
      </c>
      <c r="F433" s="147">
        <v>5.5E-2</v>
      </c>
      <c r="G433" s="53" t="s">
        <v>1177</v>
      </c>
      <c r="H433" s="53" t="s">
        <v>1177</v>
      </c>
      <c r="I433" s="53" t="s">
        <v>236</v>
      </c>
      <c r="J433" s="53" t="s">
        <v>70</v>
      </c>
      <c r="K433" s="115">
        <v>7</v>
      </c>
      <c r="L433" s="111" t="s">
        <v>1517</v>
      </c>
      <c r="O433" s="116" t="s">
        <v>1517</v>
      </c>
      <c r="Q433" s="23"/>
      <c r="R433" s="23"/>
    </row>
    <row r="434" spans="2:18" ht="15.75" customHeight="1" x14ac:dyDescent="0.15">
      <c r="B434" s="53" t="s">
        <v>38</v>
      </c>
      <c r="C434" s="263">
        <v>43966</v>
      </c>
      <c r="D434" s="53" t="s">
        <v>590</v>
      </c>
      <c r="E434" s="53" t="s">
        <v>6</v>
      </c>
      <c r="F434" s="147">
        <v>5.7000000000000002E-2</v>
      </c>
      <c r="G434" s="53" t="s">
        <v>1177</v>
      </c>
      <c r="H434" s="53" t="s">
        <v>1177</v>
      </c>
      <c r="I434" s="53" t="s">
        <v>591</v>
      </c>
      <c r="J434" s="53" t="s">
        <v>226</v>
      </c>
      <c r="K434" s="115">
        <v>8</v>
      </c>
      <c r="L434" s="111" t="s">
        <v>1749</v>
      </c>
      <c r="O434" s="116" t="s">
        <v>1749</v>
      </c>
      <c r="Q434" s="23"/>
      <c r="R434" s="23"/>
    </row>
    <row r="435" spans="2:18" ht="15.75" customHeight="1" x14ac:dyDescent="0.15">
      <c r="B435" s="53" t="s">
        <v>75</v>
      </c>
      <c r="C435" s="263">
        <v>43966</v>
      </c>
      <c r="D435" s="53" t="s">
        <v>876</v>
      </c>
      <c r="E435" s="53" t="s">
        <v>12</v>
      </c>
      <c r="F435" s="147">
        <v>0.375</v>
      </c>
      <c r="G435" s="53" t="s">
        <v>592</v>
      </c>
      <c r="H435" s="53" t="s">
        <v>1177</v>
      </c>
      <c r="I435" s="53" t="s">
        <v>2223</v>
      </c>
      <c r="J435" s="53" t="s">
        <v>232</v>
      </c>
      <c r="K435" s="115">
        <v>6</v>
      </c>
      <c r="L435" s="111" t="s">
        <v>767</v>
      </c>
      <c r="O435" s="116" t="s">
        <v>1516</v>
      </c>
      <c r="Q435" s="23"/>
      <c r="R435" s="23"/>
    </row>
    <row r="436" spans="2:18" ht="15.75" customHeight="1" x14ac:dyDescent="0.15">
      <c r="B436" s="53" t="s">
        <v>179</v>
      </c>
      <c r="C436" s="263">
        <v>43966</v>
      </c>
      <c r="D436" s="53" t="s">
        <v>1758</v>
      </c>
      <c r="E436" s="53" t="s">
        <v>6</v>
      </c>
      <c r="F436" s="147">
        <v>5.5E-2</v>
      </c>
      <c r="G436" s="53" t="s">
        <v>1177</v>
      </c>
      <c r="H436" s="53" t="s">
        <v>1177</v>
      </c>
      <c r="I436" s="53" t="s">
        <v>2224</v>
      </c>
      <c r="J436" s="53" t="s">
        <v>2410</v>
      </c>
      <c r="K436" s="115">
        <v>6</v>
      </c>
      <c r="L436" s="111" t="s">
        <v>1517</v>
      </c>
      <c r="O436" s="116" t="s">
        <v>1517</v>
      </c>
      <c r="Q436" s="23"/>
      <c r="R436" s="23"/>
    </row>
    <row r="437" spans="2:18" ht="15.75" customHeight="1" x14ac:dyDescent="0.15">
      <c r="B437" s="53" t="s">
        <v>361</v>
      </c>
      <c r="C437" s="263">
        <v>43966</v>
      </c>
      <c r="D437" s="53" t="s">
        <v>593</v>
      </c>
      <c r="E437" s="53" t="s">
        <v>34</v>
      </c>
      <c r="F437" s="147">
        <v>5.5E-2</v>
      </c>
      <c r="G437" s="53" t="s">
        <v>1177</v>
      </c>
      <c r="H437" s="53" t="s">
        <v>1177</v>
      </c>
      <c r="I437" s="53" t="s">
        <v>594</v>
      </c>
      <c r="J437" s="53" t="s">
        <v>595</v>
      </c>
      <c r="K437" s="115">
        <v>9.5</v>
      </c>
      <c r="L437" s="111" t="s">
        <v>1616</v>
      </c>
      <c r="O437" s="116" t="s">
        <v>1586</v>
      </c>
      <c r="Q437" s="23"/>
      <c r="R437" s="23"/>
    </row>
    <row r="438" spans="2:18" ht="15.75" customHeight="1" x14ac:dyDescent="0.15">
      <c r="B438" s="53" t="s">
        <v>41</v>
      </c>
      <c r="C438" s="263">
        <v>43966</v>
      </c>
      <c r="D438" s="53" t="s">
        <v>597</v>
      </c>
      <c r="E438" s="53" t="s">
        <v>6</v>
      </c>
      <c r="F438" s="147">
        <v>4.2999999999999997E-2</v>
      </c>
      <c r="G438" s="53" t="s">
        <v>1177</v>
      </c>
      <c r="H438" s="53" t="s">
        <v>1177</v>
      </c>
      <c r="I438" s="53" t="s">
        <v>232</v>
      </c>
      <c r="J438" s="53" t="s">
        <v>1944</v>
      </c>
      <c r="K438" s="115">
        <v>7</v>
      </c>
      <c r="L438" s="111" t="s">
        <v>765</v>
      </c>
      <c r="O438" s="116" t="s">
        <v>1569</v>
      </c>
      <c r="Q438" s="23"/>
      <c r="R438" s="23"/>
    </row>
    <row r="439" spans="2:18" ht="15.75" customHeight="1" x14ac:dyDescent="0.15">
      <c r="B439" s="53" t="s">
        <v>73</v>
      </c>
      <c r="C439" s="263">
        <v>43966</v>
      </c>
      <c r="D439" s="53" t="s">
        <v>598</v>
      </c>
      <c r="E439" s="53" t="s">
        <v>6</v>
      </c>
      <c r="F439" s="147">
        <v>8.1000000000000003E-2</v>
      </c>
      <c r="G439" s="53" t="s">
        <v>1177</v>
      </c>
      <c r="H439" s="53" t="s">
        <v>1177</v>
      </c>
      <c r="I439" s="53" t="s">
        <v>1121</v>
      </c>
      <c r="J439" s="53" t="s">
        <v>268</v>
      </c>
      <c r="K439" s="115">
        <v>8</v>
      </c>
      <c r="L439" s="111" t="s">
        <v>1759</v>
      </c>
      <c r="O439" s="116" t="s">
        <v>1759</v>
      </c>
      <c r="Q439" s="23"/>
      <c r="R439" s="23"/>
    </row>
    <row r="440" spans="2:18" ht="15.75" customHeight="1" x14ac:dyDescent="0.15">
      <c r="B440" s="53" t="s">
        <v>420</v>
      </c>
      <c r="C440" s="263">
        <v>43966</v>
      </c>
      <c r="D440" s="237" t="s">
        <v>3192</v>
      </c>
      <c r="E440" s="53" t="s">
        <v>32</v>
      </c>
      <c r="F440" s="232">
        <v>0.4</v>
      </c>
      <c r="G440" s="53" t="s">
        <v>1177</v>
      </c>
      <c r="H440" s="53" t="s">
        <v>1177</v>
      </c>
      <c r="I440" s="53" t="s">
        <v>599</v>
      </c>
      <c r="J440" s="53" t="s">
        <v>548</v>
      </c>
      <c r="K440" s="115">
        <v>4</v>
      </c>
      <c r="L440" s="111" t="s">
        <v>1546</v>
      </c>
      <c r="O440" s="116" t="s">
        <v>1594</v>
      </c>
      <c r="P440" s="23" t="s">
        <v>3191</v>
      </c>
      <c r="Q440" s="23"/>
      <c r="R440" s="23"/>
    </row>
    <row r="441" spans="2:18" ht="15.75" customHeight="1" x14ac:dyDescent="0.15">
      <c r="B441" s="53" t="s">
        <v>45</v>
      </c>
      <c r="C441" s="263">
        <v>43966</v>
      </c>
      <c r="D441" s="53" t="s">
        <v>894</v>
      </c>
      <c r="E441" s="53" t="s">
        <v>6</v>
      </c>
      <c r="F441" s="147">
        <v>5.8999999999999997E-2</v>
      </c>
      <c r="G441" s="53" t="s">
        <v>1177</v>
      </c>
      <c r="H441" s="53" t="s">
        <v>1177</v>
      </c>
      <c r="I441" s="53" t="s">
        <v>3486</v>
      </c>
      <c r="J441" s="53" t="s">
        <v>699</v>
      </c>
      <c r="K441" s="115">
        <v>5.5</v>
      </c>
      <c r="L441" s="111" t="s">
        <v>1845</v>
      </c>
      <c r="O441" s="111" t="s">
        <v>1845</v>
      </c>
      <c r="Q441" s="23"/>
      <c r="R441" s="23"/>
    </row>
    <row r="442" spans="2:18" ht="15.75" customHeight="1" x14ac:dyDescent="0.15">
      <c r="B442" s="53" t="s">
        <v>35</v>
      </c>
      <c r="C442" s="263">
        <v>43966</v>
      </c>
      <c r="D442" s="53" t="s">
        <v>600</v>
      </c>
      <c r="E442" s="53" t="s">
        <v>6</v>
      </c>
      <c r="F442" s="147">
        <v>5.1999999999999998E-2</v>
      </c>
      <c r="G442" s="53" t="s">
        <v>1177</v>
      </c>
      <c r="H442" s="53" t="s">
        <v>1177</v>
      </c>
      <c r="I442" s="53" t="s">
        <v>2225</v>
      </c>
      <c r="J442" s="53" t="s">
        <v>2267</v>
      </c>
      <c r="K442" s="115">
        <v>6.5</v>
      </c>
      <c r="L442" s="111" t="s">
        <v>1754</v>
      </c>
      <c r="O442" s="116" t="s">
        <v>1589</v>
      </c>
      <c r="Q442" s="23"/>
      <c r="R442" s="23"/>
    </row>
    <row r="443" spans="2:18" ht="15.75" customHeight="1" x14ac:dyDescent="0.15">
      <c r="B443" s="53" t="s">
        <v>41</v>
      </c>
      <c r="C443" s="263">
        <v>43966</v>
      </c>
      <c r="D443" s="53" t="s">
        <v>597</v>
      </c>
      <c r="E443" s="53" t="s">
        <v>6</v>
      </c>
      <c r="F443" s="147">
        <v>4.2999999999999997E-2</v>
      </c>
      <c r="G443" s="53" t="s">
        <v>601</v>
      </c>
      <c r="H443" s="53" t="s">
        <v>1177</v>
      </c>
      <c r="I443" s="53" t="s">
        <v>16</v>
      </c>
      <c r="J443" s="53" t="s">
        <v>224</v>
      </c>
      <c r="K443" s="115">
        <v>3.5</v>
      </c>
      <c r="L443" s="111" t="s">
        <v>765</v>
      </c>
      <c r="O443" s="116" t="s">
        <v>1569</v>
      </c>
      <c r="Q443" s="23"/>
      <c r="R443" s="23"/>
    </row>
    <row r="444" spans="2:18" ht="15.75" customHeight="1" x14ac:dyDescent="0.15">
      <c r="B444" s="53" t="s">
        <v>18</v>
      </c>
      <c r="C444" s="263">
        <v>43966</v>
      </c>
      <c r="D444" s="53" t="s">
        <v>602</v>
      </c>
      <c r="E444" s="53" t="s">
        <v>34</v>
      </c>
      <c r="F444" s="147">
        <v>0.04</v>
      </c>
      <c r="G444" s="53" t="s">
        <v>1177</v>
      </c>
      <c r="H444" s="53" t="s">
        <v>1177</v>
      </c>
      <c r="I444" s="53" t="s">
        <v>603</v>
      </c>
      <c r="J444" s="53" t="s">
        <v>604</v>
      </c>
      <c r="K444" s="115">
        <v>7</v>
      </c>
      <c r="L444" s="111" t="s">
        <v>1472</v>
      </c>
      <c r="O444" s="116" t="s">
        <v>1455</v>
      </c>
      <c r="Q444" s="23"/>
      <c r="R444" s="23"/>
    </row>
    <row r="445" spans="2:18" ht="15.75" customHeight="1" x14ac:dyDescent="0.15">
      <c r="B445" s="53" t="s">
        <v>38</v>
      </c>
      <c r="C445" s="263">
        <v>43966</v>
      </c>
      <c r="D445" s="53" t="s">
        <v>605</v>
      </c>
      <c r="E445" s="53" t="s">
        <v>6</v>
      </c>
      <c r="F445" s="147">
        <v>0.04</v>
      </c>
      <c r="G445" s="53" t="s">
        <v>1177</v>
      </c>
      <c r="H445" s="53" t="s">
        <v>1177</v>
      </c>
      <c r="I445" s="53" t="s">
        <v>3543</v>
      </c>
      <c r="J445" s="53" t="s">
        <v>606</v>
      </c>
      <c r="K445" s="115">
        <v>4</v>
      </c>
      <c r="L445" s="111" t="s">
        <v>1760</v>
      </c>
      <c r="O445" s="116" t="s">
        <v>1761</v>
      </c>
      <c r="Q445" s="23"/>
      <c r="R445" s="23"/>
    </row>
    <row r="446" spans="2:18" ht="15.75" customHeight="1" x14ac:dyDescent="0.15">
      <c r="B446" s="53" t="s">
        <v>361</v>
      </c>
      <c r="C446" s="263">
        <v>43966</v>
      </c>
      <c r="D446" s="53" t="s">
        <v>520</v>
      </c>
      <c r="E446" s="53" t="s">
        <v>34</v>
      </c>
      <c r="F446" s="147">
        <v>0.05</v>
      </c>
      <c r="G446" s="53" t="s">
        <v>1177</v>
      </c>
      <c r="H446" s="53" t="s">
        <v>1177</v>
      </c>
      <c r="I446" s="53" t="s">
        <v>297</v>
      </c>
      <c r="J446" s="53" t="s">
        <v>2411</v>
      </c>
      <c r="K446" s="115">
        <v>8</v>
      </c>
      <c r="L446" s="111" t="s">
        <v>1730</v>
      </c>
      <c r="O446" s="116" t="s">
        <v>1731</v>
      </c>
      <c r="Q446" s="23"/>
      <c r="R446" s="23"/>
    </row>
    <row r="447" spans="2:18" ht="15.75" customHeight="1" x14ac:dyDescent="0.15">
      <c r="B447" s="53" t="s">
        <v>61</v>
      </c>
      <c r="C447" s="263">
        <v>43966</v>
      </c>
      <c r="D447" s="53" t="s">
        <v>178</v>
      </c>
      <c r="E447" s="53" t="s">
        <v>6</v>
      </c>
      <c r="F447" s="147">
        <v>3.7999999999999999E-2</v>
      </c>
      <c r="G447" s="53" t="s">
        <v>1177</v>
      </c>
      <c r="H447" s="53" t="s">
        <v>1177</v>
      </c>
      <c r="I447" s="53" t="s">
        <v>16</v>
      </c>
      <c r="J447" s="53" t="s">
        <v>836</v>
      </c>
      <c r="K447" s="115">
        <v>6</v>
      </c>
      <c r="L447" s="111" t="s">
        <v>666</v>
      </c>
      <c r="O447" s="116" t="s">
        <v>666</v>
      </c>
      <c r="Q447" s="23"/>
      <c r="R447" s="23"/>
    </row>
    <row r="448" spans="2:18" ht="15.75" customHeight="1" x14ac:dyDescent="0.15">
      <c r="B448" s="53" t="s">
        <v>179</v>
      </c>
      <c r="C448" s="263">
        <v>43966</v>
      </c>
      <c r="D448" s="53" t="s">
        <v>178</v>
      </c>
      <c r="E448" s="53" t="s">
        <v>6</v>
      </c>
      <c r="F448" s="147">
        <v>3.7999999999999999E-2</v>
      </c>
      <c r="G448" s="53" t="s">
        <v>1177</v>
      </c>
      <c r="H448" s="53" t="s">
        <v>1177</v>
      </c>
      <c r="I448" s="53" t="s">
        <v>345</v>
      </c>
      <c r="J448" s="53" t="s">
        <v>2378</v>
      </c>
      <c r="K448" s="115">
        <v>5.5</v>
      </c>
      <c r="L448" s="111" t="s">
        <v>666</v>
      </c>
      <c r="O448" s="116" t="s">
        <v>666</v>
      </c>
      <c r="Q448" s="23"/>
      <c r="R448" s="23"/>
    </row>
    <row r="449" spans="2:18" ht="15.75" customHeight="1" x14ac:dyDescent="0.15">
      <c r="B449" s="53" t="s">
        <v>26</v>
      </c>
      <c r="C449" s="263">
        <v>43966</v>
      </c>
      <c r="D449" s="53" t="s">
        <v>607</v>
      </c>
      <c r="E449" s="53" t="s">
        <v>34</v>
      </c>
      <c r="F449" s="147">
        <v>6.8000000000000005E-2</v>
      </c>
      <c r="G449" s="53" t="s">
        <v>1177</v>
      </c>
      <c r="H449" s="53" t="s">
        <v>1177</v>
      </c>
      <c r="I449" s="53" t="s">
        <v>2226</v>
      </c>
      <c r="J449" s="53" t="s">
        <v>2412</v>
      </c>
      <c r="K449" s="115">
        <v>7</v>
      </c>
      <c r="L449" s="111" t="s">
        <v>1627</v>
      </c>
      <c r="O449" s="116" t="s">
        <v>1626</v>
      </c>
      <c r="Q449" s="23"/>
      <c r="R449" s="23"/>
    </row>
    <row r="450" spans="2:18" ht="15.75" customHeight="1" x14ac:dyDescent="0.15">
      <c r="B450" s="53" t="s">
        <v>35</v>
      </c>
      <c r="C450" s="263">
        <v>43966</v>
      </c>
      <c r="D450" s="53" t="s">
        <v>608</v>
      </c>
      <c r="E450" s="53" t="s">
        <v>42</v>
      </c>
      <c r="F450" s="147">
        <v>0.125</v>
      </c>
      <c r="G450" s="53" t="s">
        <v>1177</v>
      </c>
      <c r="H450" s="53" t="s">
        <v>1177</v>
      </c>
      <c r="I450" s="53" t="s">
        <v>204</v>
      </c>
      <c r="J450" s="53" t="s">
        <v>2413</v>
      </c>
      <c r="K450" s="115">
        <v>7</v>
      </c>
      <c r="L450" s="111" t="s">
        <v>1477</v>
      </c>
      <c r="O450" s="116" t="s">
        <v>1510</v>
      </c>
      <c r="Q450" s="23"/>
      <c r="R450" s="23"/>
    </row>
    <row r="451" spans="2:18" ht="15.75" customHeight="1" x14ac:dyDescent="0.15">
      <c r="B451" s="53" t="s">
        <v>18</v>
      </c>
      <c r="C451" s="263">
        <v>43966</v>
      </c>
      <c r="D451" s="53" t="s">
        <v>609</v>
      </c>
      <c r="E451" s="53" t="s">
        <v>12</v>
      </c>
      <c r="F451" s="147">
        <v>0.41599999999999998</v>
      </c>
      <c r="G451" s="53" t="s">
        <v>547</v>
      </c>
      <c r="H451" s="53" t="s">
        <v>401</v>
      </c>
      <c r="I451" s="53" t="s">
        <v>197</v>
      </c>
      <c r="J451" s="53" t="s">
        <v>2414</v>
      </c>
      <c r="K451" s="115">
        <v>7.5</v>
      </c>
      <c r="L451" s="116" t="s">
        <v>11</v>
      </c>
      <c r="M451" s="116"/>
      <c r="N451" s="116"/>
      <c r="O451" s="116" t="s">
        <v>11</v>
      </c>
      <c r="Q451" s="23"/>
      <c r="R451" s="23"/>
    </row>
    <row r="452" spans="2:18" ht="15.75" customHeight="1" x14ac:dyDescent="0.15">
      <c r="B452" s="53" t="s">
        <v>420</v>
      </c>
      <c r="C452" s="263">
        <v>43966</v>
      </c>
      <c r="D452" s="53" t="s">
        <v>681</v>
      </c>
      <c r="E452" s="53" t="s">
        <v>6</v>
      </c>
      <c r="F452" s="147">
        <v>6.5000000000000002E-2</v>
      </c>
      <c r="G452" s="53" t="s">
        <v>1177</v>
      </c>
      <c r="H452" s="53" t="s">
        <v>1177</v>
      </c>
      <c r="I452" s="53" t="s">
        <v>93</v>
      </c>
      <c r="J452" s="53" t="s">
        <v>49</v>
      </c>
      <c r="K452" s="115">
        <v>8</v>
      </c>
      <c r="L452" s="111" t="s">
        <v>1535</v>
      </c>
      <c r="O452" s="116" t="s">
        <v>1535</v>
      </c>
      <c r="Q452" s="23"/>
      <c r="R452" s="23"/>
    </row>
    <row r="453" spans="2:18" ht="15.75" customHeight="1" x14ac:dyDescent="0.15">
      <c r="B453" s="53" t="s">
        <v>421</v>
      </c>
      <c r="C453" s="263">
        <v>43966</v>
      </c>
      <c r="D453" s="237" t="s">
        <v>3192</v>
      </c>
      <c r="E453" s="53" t="s">
        <v>32</v>
      </c>
      <c r="F453" s="232">
        <v>0.4</v>
      </c>
      <c r="G453" s="53" t="s">
        <v>1177</v>
      </c>
      <c r="H453" s="53" t="s">
        <v>1177</v>
      </c>
      <c r="I453" s="53" t="s">
        <v>610</v>
      </c>
      <c r="J453" s="53" t="s">
        <v>3482</v>
      </c>
      <c r="K453" s="115">
        <v>4</v>
      </c>
      <c r="L453" s="111" t="s">
        <v>1546</v>
      </c>
      <c r="O453" s="116" t="s">
        <v>1594</v>
      </c>
      <c r="P453" s="23" t="s">
        <v>3191</v>
      </c>
      <c r="Q453" s="23"/>
      <c r="R453" s="23"/>
    </row>
    <row r="454" spans="2:18" ht="15.75" customHeight="1" x14ac:dyDescent="0.15">
      <c r="B454" s="53" t="s">
        <v>421</v>
      </c>
      <c r="C454" s="263">
        <v>43966</v>
      </c>
      <c r="D454" s="237" t="s">
        <v>3192</v>
      </c>
      <c r="E454" s="53" t="s">
        <v>32</v>
      </c>
      <c r="F454" s="232">
        <v>0.4</v>
      </c>
      <c r="G454" s="53" t="s">
        <v>3009</v>
      </c>
      <c r="H454" s="53" t="s">
        <v>1177</v>
      </c>
      <c r="I454" s="53" t="s">
        <v>311</v>
      </c>
      <c r="J454" s="53" t="s">
        <v>3482</v>
      </c>
      <c r="K454" s="115">
        <v>5</v>
      </c>
      <c r="L454" s="111" t="s">
        <v>1546</v>
      </c>
      <c r="O454" s="116" t="s">
        <v>1594</v>
      </c>
      <c r="P454" s="23" t="s">
        <v>3191</v>
      </c>
      <c r="Q454" s="23"/>
      <c r="R454" s="23"/>
    </row>
    <row r="455" spans="2:18" ht="15.75" customHeight="1" x14ac:dyDescent="0.15">
      <c r="B455" s="53" t="s">
        <v>420</v>
      </c>
      <c r="C455" s="263">
        <v>43966</v>
      </c>
      <c r="D455" s="237" t="s">
        <v>3192</v>
      </c>
      <c r="E455" s="53" t="s">
        <v>32</v>
      </c>
      <c r="F455" s="232">
        <v>0.4</v>
      </c>
      <c r="G455" s="53" t="s">
        <v>3009</v>
      </c>
      <c r="H455" s="53" t="s">
        <v>1177</v>
      </c>
      <c r="I455" s="53" t="s">
        <v>613</v>
      </c>
      <c r="J455" s="53" t="s">
        <v>614</v>
      </c>
      <c r="K455" s="115">
        <v>5</v>
      </c>
      <c r="L455" s="111" t="s">
        <v>1546</v>
      </c>
      <c r="O455" s="116" t="s">
        <v>1594</v>
      </c>
      <c r="P455" s="23" t="s">
        <v>3191</v>
      </c>
      <c r="Q455" s="23"/>
      <c r="R455" s="23"/>
    </row>
    <row r="456" spans="2:18" ht="15.75" customHeight="1" x14ac:dyDescent="0.15">
      <c r="B456" s="53" t="s">
        <v>61</v>
      </c>
      <c r="C456" s="263">
        <v>43966</v>
      </c>
      <c r="D456" s="53" t="s">
        <v>107</v>
      </c>
      <c r="E456" s="53" t="s">
        <v>6</v>
      </c>
      <c r="F456" s="147">
        <v>0.05</v>
      </c>
      <c r="G456" s="53" t="s">
        <v>1177</v>
      </c>
      <c r="H456" s="53" t="s">
        <v>1177</v>
      </c>
      <c r="I456" s="53" t="s">
        <v>611</v>
      </c>
      <c r="J456" s="53" t="s">
        <v>612</v>
      </c>
      <c r="K456" s="115">
        <v>6</v>
      </c>
      <c r="L456" s="111" t="s">
        <v>1513</v>
      </c>
      <c r="O456" s="116" t="s">
        <v>1513</v>
      </c>
      <c r="Q456" s="23"/>
      <c r="R456" s="23"/>
    </row>
    <row r="457" spans="2:18" ht="15.75" customHeight="1" x14ac:dyDescent="0.15">
      <c r="B457" s="53" t="s">
        <v>179</v>
      </c>
      <c r="C457" s="263">
        <v>43966</v>
      </c>
      <c r="D457" s="53" t="s">
        <v>107</v>
      </c>
      <c r="E457" s="53" t="s">
        <v>6</v>
      </c>
      <c r="F457" s="147">
        <v>0.05</v>
      </c>
      <c r="G457" s="53" t="s">
        <v>1177</v>
      </c>
      <c r="H457" s="53" t="s">
        <v>1177</v>
      </c>
      <c r="I457" s="53" t="s">
        <v>272</v>
      </c>
      <c r="J457" s="53" t="s">
        <v>2378</v>
      </c>
      <c r="K457" s="115">
        <v>7</v>
      </c>
      <c r="L457" s="111" t="s">
        <v>1513</v>
      </c>
      <c r="O457" s="116" t="s">
        <v>1513</v>
      </c>
      <c r="Q457" s="23"/>
      <c r="R457" s="23"/>
    </row>
    <row r="458" spans="2:18" ht="15.75" customHeight="1" x14ac:dyDescent="0.15">
      <c r="B458" s="53" t="s">
        <v>38</v>
      </c>
      <c r="C458" s="263">
        <v>43966</v>
      </c>
      <c r="D458" s="53" t="s">
        <v>1406</v>
      </c>
      <c r="E458" s="53" t="s">
        <v>6</v>
      </c>
      <c r="F458" s="147">
        <v>0.04</v>
      </c>
      <c r="G458" s="53" t="s">
        <v>1177</v>
      </c>
      <c r="H458" s="53" t="s">
        <v>1177</v>
      </c>
      <c r="I458" s="53" t="s">
        <v>237</v>
      </c>
      <c r="J458" s="53" t="s">
        <v>615</v>
      </c>
      <c r="K458" s="115">
        <v>4.5</v>
      </c>
      <c r="L458" s="111" t="s">
        <v>1542</v>
      </c>
      <c r="O458" s="116" t="s">
        <v>1542</v>
      </c>
      <c r="Q458" s="23"/>
      <c r="R458" s="23"/>
    </row>
    <row r="459" spans="2:18" ht="15.75" customHeight="1" x14ac:dyDescent="0.15">
      <c r="B459" s="53" t="s">
        <v>26</v>
      </c>
      <c r="C459" s="263">
        <v>43966</v>
      </c>
      <c r="D459" s="53" t="s">
        <v>616</v>
      </c>
      <c r="E459" s="53" t="s">
        <v>65</v>
      </c>
      <c r="F459" s="147">
        <v>0.4</v>
      </c>
      <c r="G459" s="53" t="s">
        <v>1177</v>
      </c>
      <c r="H459" s="53" t="s">
        <v>1177</v>
      </c>
      <c r="I459" s="53" t="s">
        <v>2227</v>
      </c>
      <c r="J459" s="53" t="s">
        <v>2415</v>
      </c>
      <c r="K459" s="115">
        <v>5.5</v>
      </c>
      <c r="L459" s="111" t="s">
        <v>1495</v>
      </c>
      <c r="O459" s="116" t="s">
        <v>1494</v>
      </c>
      <c r="Q459" s="23"/>
      <c r="R459" s="23"/>
    </row>
    <row r="460" spans="2:18" ht="15.75" customHeight="1" x14ac:dyDescent="0.15">
      <c r="B460" s="53" t="s">
        <v>35</v>
      </c>
      <c r="C460" s="263">
        <v>43966</v>
      </c>
      <c r="D460" s="53" t="s">
        <v>617</v>
      </c>
      <c r="E460" s="53" t="s">
        <v>54</v>
      </c>
      <c r="F460" s="147">
        <v>0.15</v>
      </c>
      <c r="G460" s="53" t="s">
        <v>1177</v>
      </c>
      <c r="H460" s="53" t="s">
        <v>1177</v>
      </c>
      <c r="I460" s="53" t="s">
        <v>618</v>
      </c>
      <c r="J460" s="53" t="s">
        <v>619</v>
      </c>
      <c r="K460" s="115">
        <v>2</v>
      </c>
      <c r="L460" s="111" t="s">
        <v>1762</v>
      </c>
      <c r="O460" s="116" t="s">
        <v>816</v>
      </c>
      <c r="Q460" s="23"/>
      <c r="R460" s="23"/>
    </row>
    <row r="461" spans="2:18" ht="15.75" customHeight="1" x14ac:dyDescent="0.15">
      <c r="B461" s="53" t="s">
        <v>18</v>
      </c>
      <c r="C461" s="263">
        <v>43966</v>
      </c>
      <c r="D461" s="53" t="s">
        <v>620</v>
      </c>
      <c r="E461" s="53" t="s">
        <v>36</v>
      </c>
      <c r="F461" s="147">
        <v>0.4</v>
      </c>
      <c r="G461" s="53" t="s">
        <v>1177</v>
      </c>
      <c r="H461" s="53" t="s">
        <v>1177</v>
      </c>
      <c r="I461" s="53" t="s">
        <v>257</v>
      </c>
      <c r="J461" s="53" t="s">
        <v>621</v>
      </c>
      <c r="K461" s="115">
        <v>6</v>
      </c>
      <c r="L461" s="111" t="s">
        <v>1763</v>
      </c>
      <c r="O461" s="116" t="s">
        <v>1490</v>
      </c>
      <c r="Q461" s="23"/>
      <c r="R461" s="23"/>
    </row>
    <row r="462" spans="2:18" ht="15.75" customHeight="1" x14ac:dyDescent="0.15">
      <c r="B462" s="53" t="s">
        <v>73</v>
      </c>
      <c r="C462" s="263">
        <v>43966</v>
      </c>
      <c r="D462" s="53" t="s">
        <v>1764</v>
      </c>
      <c r="E462" s="53" t="s">
        <v>36</v>
      </c>
      <c r="F462" s="147">
        <v>0.43</v>
      </c>
      <c r="G462" s="53" t="s">
        <v>1177</v>
      </c>
      <c r="H462" s="53" t="s">
        <v>1177</v>
      </c>
      <c r="I462" s="53" t="s">
        <v>16</v>
      </c>
      <c r="J462" s="53" t="s">
        <v>509</v>
      </c>
      <c r="K462" s="115">
        <v>8</v>
      </c>
      <c r="L462" s="111" t="s">
        <v>1765</v>
      </c>
      <c r="O462" s="116" t="s">
        <v>1490</v>
      </c>
      <c r="Q462" s="23"/>
      <c r="R462" s="23"/>
    </row>
    <row r="463" spans="2:18" ht="15.75" customHeight="1" x14ac:dyDescent="0.15">
      <c r="B463" s="53" t="s">
        <v>45</v>
      </c>
      <c r="C463" s="263">
        <v>43966</v>
      </c>
      <c r="D463" s="53" t="s">
        <v>415</v>
      </c>
      <c r="E463" s="53" t="s">
        <v>65</v>
      </c>
      <c r="F463" s="147">
        <v>0.21</v>
      </c>
      <c r="G463" s="53" t="s">
        <v>1177</v>
      </c>
      <c r="H463" s="53" t="s">
        <v>1177</v>
      </c>
      <c r="I463" s="53" t="s">
        <v>622</v>
      </c>
      <c r="J463" s="53" t="s">
        <v>623</v>
      </c>
      <c r="K463" s="115">
        <v>6.5</v>
      </c>
      <c r="L463" s="111" t="s">
        <v>484</v>
      </c>
      <c r="O463" s="116" t="s">
        <v>1594</v>
      </c>
      <c r="Q463" s="23"/>
      <c r="R463" s="23"/>
    </row>
    <row r="464" spans="2:18" ht="15.75" customHeight="1" x14ac:dyDescent="0.15">
      <c r="B464" s="53" t="s">
        <v>361</v>
      </c>
      <c r="C464" s="263">
        <v>43966</v>
      </c>
      <c r="D464" s="53" t="s">
        <v>624</v>
      </c>
      <c r="E464" s="53" t="s">
        <v>36</v>
      </c>
      <c r="F464" s="147">
        <v>0.4</v>
      </c>
      <c r="G464" s="53" t="s">
        <v>1177</v>
      </c>
      <c r="H464" s="53" t="s">
        <v>1177</v>
      </c>
      <c r="I464" s="53" t="s">
        <v>625</v>
      </c>
      <c r="J464" s="53" t="s">
        <v>191</v>
      </c>
      <c r="K464" s="115">
        <v>2</v>
      </c>
      <c r="L464" s="111" t="s">
        <v>1766</v>
      </c>
      <c r="O464" s="120" t="s">
        <v>1767</v>
      </c>
      <c r="Q464" s="23"/>
      <c r="R464" s="23"/>
    </row>
    <row r="465" spans="2:18" ht="15.75" customHeight="1" x14ac:dyDescent="0.15">
      <c r="B465" s="53" t="s">
        <v>61</v>
      </c>
      <c r="C465" s="263">
        <v>43966</v>
      </c>
      <c r="D465" s="53" t="s">
        <v>58</v>
      </c>
      <c r="E465" s="53" t="s">
        <v>27</v>
      </c>
      <c r="F465" s="147">
        <v>0.15</v>
      </c>
      <c r="G465" s="53" t="s">
        <v>626</v>
      </c>
      <c r="H465" s="53" t="s">
        <v>1177</v>
      </c>
      <c r="I465" s="53" t="s">
        <v>627</v>
      </c>
      <c r="J465" s="53" t="s">
        <v>628</v>
      </c>
      <c r="K465" s="115">
        <v>6</v>
      </c>
      <c r="L465" s="111" t="s">
        <v>1470</v>
      </c>
      <c r="O465" s="112" t="s">
        <v>1462</v>
      </c>
      <c r="Q465" s="23"/>
      <c r="R465" s="23"/>
    </row>
    <row r="466" spans="2:18" ht="15.75" customHeight="1" x14ac:dyDescent="0.15">
      <c r="B466" s="53" t="s">
        <v>179</v>
      </c>
      <c r="C466" s="263">
        <v>43966</v>
      </c>
      <c r="D466" s="53" t="s">
        <v>58</v>
      </c>
      <c r="E466" s="53" t="s">
        <v>27</v>
      </c>
      <c r="F466" s="147">
        <v>0.15</v>
      </c>
      <c r="G466" s="53" t="s">
        <v>1177</v>
      </c>
      <c r="H466" s="53" t="s">
        <v>1177</v>
      </c>
      <c r="I466" s="53" t="s">
        <v>629</v>
      </c>
      <c r="J466" s="53" t="s">
        <v>630</v>
      </c>
      <c r="K466" s="115">
        <v>7</v>
      </c>
      <c r="L466" s="111" t="s">
        <v>1470</v>
      </c>
      <c r="O466" s="112" t="s">
        <v>1462</v>
      </c>
      <c r="Q466" s="23"/>
      <c r="R466" s="23"/>
    </row>
    <row r="467" spans="2:18" ht="15.75" customHeight="1" x14ac:dyDescent="0.15">
      <c r="B467" s="53" t="s">
        <v>38</v>
      </c>
      <c r="C467" s="263">
        <v>43966</v>
      </c>
      <c r="D467" s="53" t="s">
        <v>631</v>
      </c>
      <c r="E467" s="53" t="s">
        <v>54</v>
      </c>
      <c r="F467" s="147">
        <v>0.14499999999999999</v>
      </c>
      <c r="G467" s="53" t="s">
        <v>1177</v>
      </c>
      <c r="H467" s="53" t="s">
        <v>1177</v>
      </c>
      <c r="I467" s="53" t="s">
        <v>632</v>
      </c>
      <c r="J467" s="53" t="s">
        <v>633</v>
      </c>
      <c r="K467" s="115">
        <v>2</v>
      </c>
      <c r="L467" s="111" t="s">
        <v>1768</v>
      </c>
      <c r="O467" s="116" t="s">
        <v>1496</v>
      </c>
      <c r="Q467" s="23"/>
      <c r="R467" s="23"/>
    </row>
    <row r="468" spans="2:18" ht="15.75" customHeight="1" x14ac:dyDescent="0.15">
      <c r="B468" s="53" t="s">
        <v>18</v>
      </c>
      <c r="C468" s="263">
        <v>43966</v>
      </c>
      <c r="D468" s="53" t="s">
        <v>634</v>
      </c>
      <c r="E468" s="53" t="s">
        <v>6</v>
      </c>
      <c r="F468" s="147">
        <v>4.1000000000000002E-2</v>
      </c>
      <c r="G468" s="53" t="s">
        <v>1177</v>
      </c>
      <c r="H468" s="53" t="s">
        <v>1177</v>
      </c>
      <c r="I468" s="53" t="s">
        <v>16</v>
      </c>
      <c r="J468" s="53" t="s">
        <v>2416</v>
      </c>
      <c r="K468" s="115">
        <v>6.5</v>
      </c>
      <c r="L468" s="111" t="s">
        <v>1769</v>
      </c>
      <c r="O468" s="116" t="s">
        <v>1634</v>
      </c>
      <c r="Q468" s="23"/>
      <c r="R468" s="23"/>
    </row>
    <row r="469" spans="2:18" ht="15.75" customHeight="1" x14ac:dyDescent="0.15">
      <c r="B469" s="53" t="s">
        <v>45</v>
      </c>
      <c r="C469" s="263">
        <v>43966</v>
      </c>
      <c r="D469" s="53" t="s">
        <v>562</v>
      </c>
      <c r="E469" s="53" t="s">
        <v>65</v>
      </c>
      <c r="F469" s="147">
        <v>0.4</v>
      </c>
      <c r="G469" s="53" t="s">
        <v>28</v>
      </c>
      <c r="H469" s="53" t="s">
        <v>1177</v>
      </c>
      <c r="I469" s="53" t="s">
        <v>291</v>
      </c>
      <c r="J469" s="53" t="s">
        <v>638</v>
      </c>
      <c r="K469" s="115">
        <v>6.5</v>
      </c>
      <c r="L469" s="111" t="s">
        <v>1755</v>
      </c>
      <c r="O469" s="116" t="s">
        <v>1490</v>
      </c>
      <c r="Q469" s="23"/>
      <c r="R469" s="23"/>
    </row>
    <row r="470" spans="2:18" ht="15.75" customHeight="1" x14ac:dyDescent="0.15">
      <c r="B470" s="53" t="s">
        <v>420</v>
      </c>
      <c r="C470" s="263">
        <v>43966</v>
      </c>
      <c r="D470" s="53" t="s">
        <v>635</v>
      </c>
      <c r="E470" s="53" t="s">
        <v>6</v>
      </c>
      <c r="F470" s="147">
        <v>4.4999999999999998E-2</v>
      </c>
      <c r="G470" s="53" t="s">
        <v>1177</v>
      </c>
      <c r="H470" s="53" t="s">
        <v>1177</v>
      </c>
      <c r="I470" s="53" t="s">
        <v>636</v>
      </c>
      <c r="J470" s="53" t="s">
        <v>637</v>
      </c>
      <c r="K470" s="115">
        <v>10</v>
      </c>
      <c r="L470" s="111" t="s">
        <v>1771</v>
      </c>
      <c r="O470" s="116" t="s">
        <v>1770</v>
      </c>
      <c r="Q470" s="23"/>
      <c r="R470" s="23"/>
    </row>
    <row r="471" spans="2:18" ht="15.75" customHeight="1" x14ac:dyDescent="0.15">
      <c r="B471" s="53" t="s">
        <v>73</v>
      </c>
      <c r="C471" s="263">
        <v>43966</v>
      </c>
      <c r="D471" s="53" t="s">
        <v>3467</v>
      </c>
      <c r="E471" s="53" t="s">
        <v>65</v>
      </c>
      <c r="F471" s="147">
        <v>0.35</v>
      </c>
      <c r="G471" s="53" t="s">
        <v>639</v>
      </c>
      <c r="H471" s="53" t="s">
        <v>1177</v>
      </c>
      <c r="I471" s="53" t="s">
        <v>112</v>
      </c>
      <c r="J471" s="53" t="s">
        <v>262</v>
      </c>
      <c r="K471" s="115">
        <v>6</v>
      </c>
      <c r="L471" s="111" t="s">
        <v>1587</v>
      </c>
      <c r="O471" s="116" t="s">
        <v>1516</v>
      </c>
      <c r="Q471" s="23"/>
      <c r="R471" s="23"/>
    </row>
    <row r="472" spans="2:18" ht="15.75" customHeight="1" x14ac:dyDescent="0.15">
      <c r="B472" s="53" t="s">
        <v>361</v>
      </c>
      <c r="C472" s="263">
        <v>43966</v>
      </c>
      <c r="D472" s="53" t="s">
        <v>2671</v>
      </c>
      <c r="E472" s="53" t="s">
        <v>34</v>
      </c>
      <c r="F472" s="147">
        <v>4.8000000000000001E-2</v>
      </c>
      <c r="G472" s="53" t="s">
        <v>1177</v>
      </c>
      <c r="H472" s="53" t="s">
        <v>1177</v>
      </c>
      <c r="I472" s="53" t="s">
        <v>640</v>
      </c>
      <c r="J472" s="53" t="s">
        <v>641</v>
      </c>
      <c r="K472" s="115">
        <v>6.5</v>
      </c>
      <c r="L472" s="111" t="s">
        <v>1483</v>
      </c>
      <c r="O472" s="116" t="s">
        <v>1483</v>
      </c>
      <c r="Q472" s="23"/>
      <c r="R472" s="23"/>
    </row>
    <row r="473" spans="2:18" ht="15.75" customHeight="1" x14ac:dyDescent="0.15">
      <c r="B473" s="53" t="s">
        <v>179</v>
      </c>
      <c r="C473" s="263">
        <v>43966</v>
      </c>
      <c r="D473" s="53" t="s">
        <v>682</v>
      </c>
      <c r="E473" s="53" t="s">
        <v>6</v>
      </c>
      <c r="F473" s="147">
        <v>7.1999999999999995E-2</v>
      </c>
      <c r="G473" s="53" t="s">
        <v>1177</v>
      </c>
      <c r="H473" s="53" t="s">
        <v>1177</v>
      </c>
      <c r="I473" s="53" t="s">
        <v>642</v>
      </c>
      <c r="J473" s="53" t="s">
        <v>643</v>
      </c>
      <c r="K473" s="115">
        <v>7</v>
      </c>
      <c r="L473" s="111" t="s">
        <v>1535</v>
      </c>
      <c r="O473" s="116" t="s">
        <v>1535</v>
      </c>
      <c r="Q473" s="23"/>
      <c r="R473" s="23"/>
    </row>
    <row r="474" spans="2:18" ht="15.75" customHeight="1" x14ac:dyDescent="0.15">
      <c r="B474" s="53" t="s">
        <v>73</v>
      </c>
      <c r="C474" s="263">
        <v>43966</v>
      </c>
      <c r="D474" s="53" t="s">
        <v>3467</v>
      </c>
      <c r="E474" s="53" t="s">
        <v>65</v>
      </c>
      <c r="F474" s="147">
        <v>0.35</v>
      </c>
      <c r="G474" s="53" t="s">
        <v>644</v>
      </c>
      <c r="H474" s="53" t="s">
        <v>1177</v>
      </c>
      <c r="I474" s="53" t="s">
        <v>3051</v>
      </c>
      <c r="J474" s="53" t="s">
        <v>645</v>
      </c>
      <c r="K474" s="115">
        <v>8</v>
      </c>
      <c r="L474" s="111" t="s">
        <v>1587</v>
      </c>
      <c r="O474" s="116" t="s">
        <v>1516</v>
      </c>
      <c r="Q474" s="23"/>
      <c r="R474" s="23"/>
    </row>
    <row r="475" spans="2:18" ht="15.75" customHeight="1" x14ac:dyDescent="0.15">
      <c r="B475" s="53" t="s">
        <v>420</v>
      </c>
      <c r="C475" s="263">
        <v>43966</v>
      </c>
      <c r="D475" s="53" t="s">
        <v>646</v>
      </c>
      <c r="E475" s="53" t="s">
        <v>6</v>
      </c>
      <c r="F475" s="147">
        <v>4.4999999999999998E-2</v>
      </c>
      <c r="G475" s="53" t="s">
        <v>1177</v>
      </c>
      <c r="H475" s="53" t="s">
        <v>1177</v>
      </c>
      <c r="I475" s="53" t="s">
        <v>2203</v>
      </c>
      <c r="J475" s="53" t="s">
        <v>647</v>
      </c>
      <c r="K475" s="115">
        <v>7</v>
      </c>
      <c r="L475" s="111" t="s">
        <v>1477</v>
      </c>
      <c r="O475" s="116" t="s">
        <v>1510</v>
      </c>
      <c r="Q475" s="23"/>
      <c r="R475" s="23"/>
    </row>
    <row r="476" spans="2:18" ht="15.75" customHeight="1" x14ac:dyDescent="0.15">
      <c r="B476" s="53" t="s">
        <v>26</v>
      </c>
      <c r="C476" s="263">
        <v>43966</v>
      </c>
      <c r="D476" s="53" t="s">
        <v>1772</v>
      </c>
      <c r="E476" s="53" t="s">
        <v>34</v>
      </c>
      <c r="F476" s="147">
        <v>0.04</v>
      </c>
      <c r="G476" s="53" t="s">
        <v>1177</v>
      </c>
      <c r="H476" s="53" t="s">
        <v>1177</v>
      </c>
      <c r="I476" s="53" t="s">
        <v>2228</v>
      </c>
      <c r="J476" s="53" t="s">
        <v>648</v>
      </c>
      <c r="K476" s="115">
        <v>6.5</v>
      </c>
      <c r="L476" s="111" t="s">
        <v>1534</v>
      </c>
      <c r="O476" s="116" t="s">
        <v>1533</v>
      </c>
      <c r="Q476" s="23"/>
      <c r="R476" s="23"/>
    </row>
    <row r="477" spans="2:18" ht="15.75" customHeight="1" x14ac:dyDescent="0.15">
      <c r="B477" s="53" t="s">
        <v>45</v>
      </c>
      <c r="C477" s="263">
        <v>43966</v>
      </c>
      <c r="D477" s="53" t="s">
        <v>562</v>
      </c>
      <c r="E477" s="53" t="s">
        <v>65</v>
      </c>
      <c r="F477" s="147">
        <v>0.4</v>
      </c>
      <c r="G477" s="53" t="s">
        <v>2919</v>
      </c>
      <c r="H477" s="53" t="s">
        <v>1177</v>
      </c>
      <c r="I477" s="53" t="s">
        <v>1422</v>
      </c>
      <c r="J477" s="53" t="s">
        <v>649</v>
      </c>
      <c r="K477" s="115">
        <v>4.5</v>
      </c>
      <c r="L477" s="111" t="s">
        <v>1755</v>
      </c>
      <c r="O477" s="116" t="s">
        <v>1490</v>
      </c>
      <c r="Q477" s="23"/>
      <c r="R477" s="23"/>
    </row>
    <row r="478" spans="2:18" ht="15.75" customHeight="1" x14ac:dyDescent="0.15">
      <c r="B478" s="53" t="s">
        <v>35</v>
      </c>
      <c r="C478" s="263">
        <v>43966</v>
      </c>
      <c r="D478" s="53" t="s">
        <v>561</v>
      </c>
      <c r="E478" s="53" t="s">
        <v>32</v>
      </c>
      <c r="F478" s="147">
        <v>0.38</v>
      </c>
      <c r="G478" s="53" t="s">
        <v>650</v>
      </c>
      <c r="H478" s="53" t="s">
        <v>1177</v>
      </c>
      <c r="I478" s="53" t="s">
        <v>322</v>
      </c>
      <c r="J478" s="53" t="s">
        <v>229</v>
      </c>
      <c r="K478" s="115">
        <v>4.5</v>
      </c>
      <c r="L478" s="111" t="s">
        <v>1624</v>
      </c>
      <c r="O478" s="116" t="s">
        <v>1537</v>
      </c>
      <c r="Q478" s="23"/>
      <c r="R478" s="23"/>
    </row>
    <row r="479" spans="2:18" ht="15.75" customHeight="1" x14ac:dyDescent="0.15">
      <c r="B479" s="53" t="s">
        <v>73</v>
      </c>
      <c r="C479" s="263">
        <v>43966</v>
      </c>
      <c r="D479" s="53" t="s">
        <v>651</v>
      </c>
      <c r="E479" s="53" t="s">
        <v>90</v>
      </c>
      <c r="F479" s="147">
        <v>0</v>
      </c>
      <c r="G479" s="53" t="s">
        <v>1177</v>
      </c>
      <c r="H479" s="53" t="s">
        <v>1177</v>
      </c>
      <c r="I479" s="53" t="s">
        <v>2229</v>
      </c>
      <c r="J479" s="53" t="s">
        <v>188</v>
      </c>
      <c r="K479" s="115">
        <v>7</v>
      </c>
      <c r="L479" s="111" t="s">
        <v>1773</v>
      </c>
      <c r="O479" s="116" t="s">
        <v>1774</v>
      </c>
      <c r="Q479" s="23"/>
      <c r="R479" s="23"/>
    </row>
    <row r="480" spans="2:18" ht="15.75" customHeight="1" x14ac:dyDescent="0.15">
      <c r="B480" s="53" t="s">
        <v>420</v>
      </c>
      <c r="C480" s="263">
        <v>43966</v>
      </c>
      <c r="D480" s="53" t="s">
        <v>138</v>
      </c>
      <c r="E480" s="53" t="s">
        <v>6</v>
      </c>
      <c r="F480" s="147">
        <v>5.6000000000000001E-2</v>
      </c>
      <c r="G480" s="53" t="s">
        <v>1177</v>
      </c>
      <c r="H480" s="53" t="s">
        <v>1177</v>
      </c>
      <c r="I480" s="53" t="s">
        <v>901</v>
      </c>
      <c r="J480" s="53" t="s">
        <v>2417</v>
      </c>
      <c r="K480" s="115">
        <v>8</v>
      </c>
      <c r="L480" s="111" t="s">
        <v>1535</v>
      </c>
      <c r="O480" s="116" t="s">
        <v>1535</v>
      </c>
      <c r="Q480" s="23"/>
      <c r="R480" s="23"/>
    </row>
    <row r="481" spans="2:18" ht="15.75" customHeight="1" x14ac:dyDescent="0.15">
      <c r="B481" s="53" t="s">
        <v>361</v>
      </c>
      <c r="C481" s="263">
        <v>43966</v>
      </c>
      <c r="D481" s="53" t="s">
        <v>1482</v>
      </c>
      <c r="E481" s="53" t="s">
        <v>34</v>
      </c>
      <c r="F481" s="147">
        <v>0.06</v>
      </c>
      <c r="G481" s="53" t="s">
        <v>1177</v>
      </c>
      <c r="H481" s="53" t="s">
        <v>1177</v>
      </c>
      <c r="I481" s="53" t="s">
        <v>974</v>
      </c>
      <c r="J481" s="53" t="s">
        <v>652</v>
      </c>
      <c r="K481" s="115">
        <v>5</v>
      </c>
      <c r="L481" s="111" t="s">
        <v>1482</v>
      </c>
      <c r="O481" s="116" t="s">
        <v>1481</v>
      </c>
      <c r="Q481" s="23"/>
      <c r="R481" s="23"/>
    </row>
    <row r="482" spans="2:18" ht="15.75" customHeight="1" x14ac:dyDescent="0.15">
      <c r="B482" s="53" t="s">
        <v>45</v>
      </c>
      <c r="C482" s="263">
        <v>43966</v>
      </c>
      <c r="D482" s="53" t="s">
        <v>105</v>
      </c>
      <c r="E482" s="53" t="s">
        <v>12</v>
      </c>
      <c r="F482" s="147">
        <v>0.4</v>
      </c>
      <c r="G482" s="53" t="s">
        <v>1177</v>
      </c>
      <c r="H482" s="53" t="s">
        <v>1177</v>
      </c>
      <c r="I482" s="53" t="s">
        <v>653</v>
      </c>
      <c r="J482" s="53" t="s">
        <v>654</v>
      </c>
      <c r="K482" s="115">
        <v>2</v>
      </c>
      <c r="L482" s="111" t="s">
        <v>1506</v>
      </c>
      <c r="O482" s="116" t="s">
        <v>1507</v>
      </c>
      <c r="Q482" s="23"/>
      <c r="R482" s="23"/>
    </row>
    <row r="483" spans="2:18" ht="15.75" customHeight="1" x14ac:dyDescent="0.15">
      <c r="B483" s="53" t="s">
        <v>26</v>
      </c>
      <c r="C483" s="263">
        <v>43966</v>
      </c>
      <c r="D483" s="53" t="s">
        <v>655</v>
      </c>
      <c r="E483" s="53" t="s">
        <v>34</v>
      </c>
      <c r="F483" s="147">
        <v>0.06</v>
      </c>
      <c r="G483" s="53" t="s">
        <v>1177</v>
      </c>
      <c r="H483" s="53" t="s">
        <v>1177</v>
      </c>
      <c r="I483" s="53" t="s">
        <v>660</v>
      </c>
      <c r="J483" s="53" t="s">
        <v>661</v>
      </c>
      <c r="K483" s="115">
        <v>4.5</v>
      </c>
      <c r="L483" s="111" t="s">
        <v>1775</v>
      </c>
      <c r="O483" s="116" t="s">
        <v>1776</v>
      </c>
      <c r="Q483" s="23"/>
      <c r="R483" s="23"/>
    </row>
    <row r="484" spans="2:18" ht="15.75" customHeight="1" x14ac:dyDescent="0.15">
      <c r="B484" s="53" t="s">
        <v>73</v>
      </c>
      <c r="C484" s="263">
        <v>43966</v>
      </c>
      <c r="D484" s="53" t="s">
        <v>184</v>
      </c>
      <c r="E484" s="53" t="s">
        <v>27</v>
      </c>
      <c r="F484" s="147">
        <v>0.4</v>
      </c>
      <c r="G484" s="53" t="s">
        <v>1177</v>
      </c>
      <c r="H484" s="53" t="s">
        <v>1177</v>
      </c>
      <c r="I484" s="53" t="s">
        <v>223</v>
      </c>
      <c r="J484" s="53" t="s">
        <v>2418</v>
      </c>
      <c r="K484" s="115">
        <v>7</v>
      </c>
      <c r="L484" s="111" t="s">
        <v>365</v>
      </c>
      <c r="O484" s="116" t="s">
        <v>1558</v>
      </c>
      <c r="Q484" s="23"/>
      <c r="R484" s="23"/>
    </row>
    <row r="485" spans="2:18" ht="15.75" customHeight="1" x14ac:dyDescent="0.15">
      <c r="B485" s="53" t="s">
        <v>179</v>
      </c>
      <c r="C485" s="263">
        <v>43966</v>
      </c>
      <c r="D485" s="53" t="s">
        <v>682</v>
      </c>
      <c r="E485" s="53" t="s">
        <v>6</v>
      </c>
      <c r="F485" s="147">
        <v>7.1999999999999995E-2</v>
      </c>
      <c r="G485" s="53" t="s">
        <v>3241</v>
      </c>
      <c r="H485" s="53" t="s">
        <v>1177</v>
      </c>
      <c r="I485" s="53" t="s">
        <v>46</v>
      </c>
      <c r="J485" s="53" t="s">
        <v>3486</v>
      </c>
      <c r="K485" s="115">
        <v>3</v>
      </c>
      <c r="L485" s="111" t="s">
        <v>1535</v>
      </c>
      <c r="O485" s="116" t="s">
        <v>1535</v>
      </c>
      <c r="Q485" s="23"/>
      <c r="R485" s="23"/>
    </row>
    <row r="486" spans="2:18" ht="15.75" customHeight="1" x14ac:dyDescent="0.15">
      <c r="B486" s="53" t="s">
        <v>45</v>
      </c>
      <c r="C486" s="263">
        <v>43966</v>
      </c>
      <c r="D486" s="53" t="s">
        <v>682</v>
      </c>
      <c r="E486" s="53" t="s">
        <v>6</v>
      </c>
      <c r="F486" s="147">
        <v>7.1999999999999995E-2</v>
      </c>
      <c r="G486" s="53" t="s">
        <v>1177</v>
      </c>
      <c r="H486" s="53" t="s">
        <v>1177</v>
      </c>
      <c r="I486" s="53" t="s">
        <v>658</v>
      </c>
      <c r="J486" s="53" t="s">
        <v>465</v>
      </c>
      <c r="K486" s="115">
        <v>7</v>
      </c>
      <c r="L486" s="111" t="s">
        <v>1535</v>
      </c>
      <c r="O486" s="116" t="s">
        <v>1535</v>
      </c>
      <c r="Q486" s="23"/>
      <c r="R486" s="23"/>
    </row>
    <row r="487" spans="2:18" ht="15.75" customHeight="1" x14ac:dyDescent="0.15">
      <c r="B487" s="53" t="s">
        <v>361</v>
      </c>
      <c r="C487" s="263">
        <v>43966</v>
      </c>
      <c r="D487" s="53" t="s">
        <v>558</v>
      </c>
      <c r="E487" s="53" t="s">
        <v>34</v>
      </c>
      <c r="F487" s="147">
        <v>6.8000000000000005E-2</v>
      </c>
      <c r="G487" s="53" t="s">
        <v>1177</v>
      </c>
      <c r="H487" s="53" t="s">
        <v>1177</v>
      </c>
      <c r="I487" s="53" t="s">
        <v>656</v>
      </c>
      <c r="J487" s="53" t="s">
        <v>657</v>
      </c>
      <c r="K487" s="115">
        <v>2</v>
      </c>
      <c r="L487" s="111" t="s">
        <v>1477</v>
      </c>
      <c r="O487" s="116" t="s">
        <v>1510</v>
      </c>
      <c r="Q487" s="23"/>
      <c r="R487" s="23"/>
    </row>
    <row r="488" spans="2:18" ht="15.75" customHeight="1" x14ac:dyDescent="0.15">
      <c r="B488" s="53" t="s">
        <v>18</v>
      </c>
      <c r="C488" s="263">
        <v>43966</v>
      </c>
      <c r="D488" s="53" t="s">
        <v>609</v>
      </c>
      <c r="E488" s="53" t="s">
        <v>12</v>
      </c>
      <c r="F488" s="147">
        <v>0.41599999999999998</v>
      </c>
      <c r="G488" s="53" t="s">
        <v>1177</v>
      </c>
      <c r="H488" s="53" t="s">
        <v>1177</v>
      </c>
      <c r="I488" s="53" t="s">
        <v>274</v>
      </c>
      <c r="J488" s="53" t="s">
        <v>659</v>
      </c>
      <c r="K488" s="115">
        <v>5.5</v>
      </c>
      <c r="L488" s="116" t="s">
        <v>11</v>
      </c>
      <c r="M488" s="116"/>
      <c r="N488" s="116"/>
      <c r="O488" s="116" t="s">
        <v>11</v>
      </c>
      <c r="Q488" s="23"/>
      <c r="R488" s="23"/>
    </row>
    <row r="489" spans="2:18" ht="15.75" customHeight="1" x14ac:dyDescent="0.15">
      <c r="B489" s="53" t="s">
        <v>420</v>
      </c>
      <c r="C489" s="263">
        <v>43966</v>
      </c>
      <c r="D489" s="53" t="s">
        <v>68</v>
      </c>
      <c r="E489" s="53" t="s">
        <v>32</v>
      </c>
      <c r="F489" s="147">
        <v>0.375</v>
      </c>
      <c r="G489" s="53" t="s">
        <v>1777</v>
      </c>
      <c r="H489" s="53" t="s">
        <v>394</v>
      </c>
      <c r="I489" s="53" t="s">
        <v>16</v>
      </c>
      <c r="J489" s="53" t="s">
        <v>662</v>
      </c>
      <c r="K489" s="115">
        <v>7.5</v>
      </c>
      <c r="L489" s="111" t="s">
        <v>766</v>
      </c>
      <c r="O489" s="116" t="s">
        <v>1516</v>
      </c>
      <c r="P489" s="23" t="s">
        <v>3262</v>
      </c>
      <c r="Q489" s="23"/>
      <c r="R489" s="23"/>
    </row>
    <row r="490" spans="2:18" ht="15.75" customHeight="1" x14ac:dyDescent="0.15">
      <c r="B490" s="53" t="s">
        <v>35</v>
      </c>
      <c r="C490" s="263">
        <v>43966</v>
      </c>
      <c r="D490" s="53" t="s">
        <v>561</v>
      </c>
      <c r="E490" s="53" t="s">
        <v>32</v>
      </c>
      <c r="F490" s="147">
        <v>0.38</v>
      </c>
      <c r="G490" s="53" t="s">
        <v>97</v>
      </c>
      <c r="H490" s="53" t="s">
        <v>1177</v>
      </c>
      <c r="I490" s="53" t="s">
        <v>2230</v>
      </c>
      <c r="J490" s="53" t="s">
        <v>243</v>
      </c>
      <c r="K490" s="115">
        <v>7.5</v>
      </c>
      <c r="L490" s="111" t="s">
        <v>1624</v>
      </c>
      <c r="O490" s="116" t="s">
        <v>1537</v>
      </c>
      <c r="Q490" s="23"/>
      <c r="R490" s="23"/>
    </row>
    <row r="491" spans="2:18" ht="15.75" customHeight="1" x14ac:dyDescent="0.15">
      <c r="B491" s="53" t="s">
        <v>361</v>
      </c>
      <c r="C491" s="263">
        <v>43966</v>
      </c>
      <c r="D491" s="53" t="s">
        <v>663</v>
      </c>
      <c r="E491" s="53" t="s">
        <v>27</v>
      </c>
      <c r="F491" s="147">
        <v>0.2</v>
      </c>
      <c r="G491" s="53" t="s">
        <v>1177</v>
      </c>
      <c r="H491" s="53" t="s">
        <v>1177</v>
      </c>
      <c r="I491" s="53" t="s">
        <v>16</v>
      </c>
      <c r="J491" s="53" t="s">
        <v>25</v>
      </c>
      <c r="K491" s="115">
        <v>6</v>
      </c>
      <c r="L491" s="111" t="s">
        <v>1777</v>
      </c>
      <c r="O491" s="116" t="s">
        <v>1594</v>
      </c>
      <c r="Q491" s="23"/>
      <c r="R491" s="23"/>
    </row>
    <row r="492" spans="2:18" ht="15.75" customHeight="1" x14ac:dyDescent="0.15">
      <c r="B492" s="53" t="s">
        <v>35</v>
      </c>
      <c r="C492" s="263">
        <v>43973</v>
      </c>
      <c r="D492" s="53" t="s">
        <v>683</v>
      </c>
      <c r="E492" s="53" t="s">
        <v>6</v>
      </c>
      <c r="F492" s="147">
        <v>0.04</v>
      </c>
      <c r="G492" s="53" t="s">
        <v>1177</v>
      </c>
      <c r="H492" s="53" t="s">
        <v>1177</v>
      </c>
      <c r="I492" s="53" t="s">
        <v>229</v>
      </c>
      <c r="J492" s="53" t="s">
        <v>686</v>
      </c>
      <c r="K492" s="115">
        <v>6.5</v>
      </c>
      <c r="L492" s="111" t="s">
        <v>1717</v>
      </c>
      <c r="O492" s="116" t="s">
        <v>1717</v>
      </c>
      <c r="Q492" s="23"/>
      <c r="R492" s="23"/>
    </row>
    <row r="493" spans="2:18" ht="15.75" customHeight="1" x14ac:dyDescent="0.15">
      <c r="B493" s="53" t="s">
        <v>26</v>
      </c>
      <c r="C493" s="263">
        <v>43973</v>
      </c>
      <c r="D493" s="53" t="s">
        <v>760</v>
      </c>
      <c r="E493" s="53" t="s">
        <v>34</v>
      </c>
      <c r="F493" s="147">
        <v>0.04</v>
      </c>
      <c r="G493" s="53" t="s">
        <v>1177</v>
      </c>
      <c r="H493" s="53" t="s">
        <v>1177</v>
      </c>
      <c r="I493" s="53" t="s">
        <v>688</v>
      </c>
      <c r="J493" s="53" t="s">
        <v>689</v>
      </c>
      <c r="K493" s="115">
        <v>8.5</v>
      </c>
      <c r="L493" s="111" t="s">
        <v>1576</v>
      </c>
      <c r="O493" s="116" t="s">
        <v>1533</v>
      </c>
      <c r="Q493" s="23"/>
      <c r="R493" s="23"/>
    </row>
    <row r="494" spans="2:18" ht="15.75" customHeight="1" x14ac:dyDescent="0.15">
      <c r="B494" s="53" t="s">
        <v>45</v>
      </c>
      <c r="C494" s="263">
        <v>43973</v>
      </c>
      <c r="D494" s="53" t="s">
        <v>684</v>
      </c>
      <c r="E494" s="53" t="s">
        <v>6</v>
      </c>
      <c r="F494" s="147">
        <v>2.8000000000000001E-2</v>
      </c>
      <c r="G494" s="53" t="s">
        <v>1177</v>
      </c>
      <c r="H494" s="53" t="s">
        <v>1177</v>
      </c>
      <c r="I494" s="53" t="s">
        <v>321</v>
      </c>
      <c r="J494" s="53" t="s">
        <v>2419</v>
      </c>
      <c r="K494" s="115">
        <v>6</v>
      </c>
      <c r="L494" s="111" t="s">
        <v>765</v>
      </c>
      <c r="O494" s="116" t="s">
        <v>1569</v>
      </c>
      <c r="Q494" s="23"/>
      <c r="R494" s="23"/>
    </row>
    <row r="495" spans="2:18" ht="15.75" customHeight="1" x14ac:dyDescent="0.15">
      <c r="B495" s="53" t="s">
        <v>179</v>
      </c>
      <c r="C495" s="263">
        <v>43973</v>
      </c>
      <c r="D495" s="53" t="s">
        <v>1504</v>
      </c>
      <c r="E495" s="53" t="s">
        <v>6</v>
      </c>
      <c r="F495" s="147">
        <v>0.05</v>
      </c>
      <c r="G495" s="53" t="s">
        <v>1177</v>
      </c>
      <c r="H495" s="53" t="s">
        <v>1177</v>
      </c>
      <c r="I495" s="53" t="s">
        <v>2231</v>
      </c>
      <c r="J495" s="53" t="s">
        <v>232</v>
      </c>
      <c r="K495" s="115">
        <v>6</v>
      </c>
      <c r="L495" s="111" t="s">
        <v>2577</v>
      </c>
      <c r="O495" s="116" t="s">
        <v>1505</v>
      </c>
      <c r="Q495" s="23"/>
      <c r="R495" s="23"/>
    </row>
    <row r="496" spans="2:18" ht="15.75" customHeight="1" x14ac:dyDescent="0.15">
      <c r="B496" s="53" t="s">
        <v>61</v>
      </c>
      <c r="C496" s="263">
        <v>43973</v>
      </c>
      <c r="D496" s="53" t="s">
        <v>685</v>
      </c>
      <c r="E496" s="53" t="s">
        <v>6</v>
      </c>
      <c r="F496" s="147">
        <v>5.8999999999999997E-2</v>
      </c>
      <c r="G496" s="53" t="s">
        <v>1177</v>
      </c>
      <c r="H496" s="53" t="s">
        <v>1177</v>
      </c>
      <c r="I496" s="53" t="s">
        <v>25</v>
      </c>
      <c r="J496" s="53" t="s">
        <v>201</v>
      </c>
      <c r="K496" s="115">
        <v>4</v>
      </c>
      <c r="L496" s="111" t="s">
        <v>1747</v>
      </c>
      <c r="O496" s="116" t="s">
        <v>1748</v>
      </c>
      <c r="Q496" s="23"/>
      <c r="R496" s="23"/>
    </row>
    <row r="497" spans="2:18" ht="15.75" customHeight="1" x14ac:dyDescent="0.15">
      <c r="B497" s="53" t="s">
        <v>41</v>
      </c>
      <c r="C497" s="263">
        <v>43973</v>
      </c>
      <c r="D497" s="53" t="s">
        <v>684</v>
      </c>
      <c r="E497" s="53" t="s">
        <v>6</v>
      </c>
      <c r="F497" s="147">
        <v>2.8000000000000001E-2</v>
      </c>
      <c r="G497" s="53" t="s">
        <v>1177</v>
      </c>
      <c r="H497" s="53" t="s">
        <v>1177</v>
      </c>
      <c r="I497" s="53" t="s">
        <v>194</v>
      </c>
      <c r="J497" s="53" t="s">
        <v>321</v>
      </c>
      <c r="K497" s="115">
        <v>7</v>
      </c>
      <c r="L497" s="111" t="s">
        <v>765</v>
      </c>
      <c r="O497" s="116" t="s">
        <v>1569</v>
      </c>
      <c r="Q497" s="23"/>
      <c r="R497" s="23"/>
    </row>
    <row r="498" spans="2:18" ht="15.75" customHeight="1" x14ac:dyDescent="0.15">
      <c r="B498" s="53" t="s">
        <v>687</v>
      </c>
      <c r="C498" s="263">
        <v>43973</v>
      </c>
      <c r="D498" s="53" t="s">
        <v>68</v>
      </c>
      <c r="E498" s="53" t="s">
        <v>32</v>
      </c>
      <c r="F498" s="147">
        <v>0.375</v>
      </c>
      <c r="G498" s="53" t="s">
        <v>691</v>
      </c>
      <c r="H498" s="53" t="s">
        <v>692</v>
      </c>
      <c r="I498" s="53" t="s">
        <v>232</v>
      </c>
      <c r="J498" s="53" t="s">
        <v>2420</v>
      </c>
      <c r="K498" s="115">
        <v>8.5</v>
      </c>
      <c r="L498" s="111" t="s">
        <v>766</v>
      </c>
      <c r="O498" s="116" t="s">
        <v>1516</v>
      </c>
      <c r="Q498" s="23"/>
      <c r="R498" s="23"/>
    </row>
    <row r="499" spans="2:18" ht="15.75" customHeight="1" x14ac:dyDescent="0.15">
      <c r="B499" s="53" t="s">
        <v>690</v>
      </c>
      <c r="C499" s="263">
        <v>43973</v>
      </c>
      <c r="D499" s="53" t="s">
        <v>695</v>
      </c>
      <c r="E499" s="53" t="s">
        <v>36</v>
      </c>
      <c r="F499" s="147">
        <v>0.43</v>
      </c>
      <c r="G499" s="53" t="s">
        <v>1177</v>
      </c>
      <c r="H499" s="53" t="s">
        <v>1177</v>
      </c>
      <c r="I499" s="53" t="s">
        <v>193</v>
      </c>
      <c r="J499" s="53" t="s">
        <v>303</v>
      </c>
      <c r="K499" s="115">
        <v>9</v>
      </c>
      <c r="L499" s="111" t="s">
        <v>1778</v>
      </c>
      <c r="O499" s="116" t="s">
        <v>1516</v>
      </c>
      <c r="Q499" s="23"/>
      <c r="R499" s="23"/>
    </row>
    <row r="500" spans="2:18" ht="15.75" customHeight="1" x14ac:dyDescent="0.15">
      <c r="B500" s="53" t="s">
        <v>18</v>
      </c>
      <c r="C500" s="263">
        <v>43973</v>
      </c>
      <c r="D500" s="53" t="s">
        <v>2069</v>
      </c>
      <c r="E500" s="53" t="s">
        <v>6</v>
      </c>
      <c r="F500" s="147">
        <v>0.04</v>
      </c>
      <c r="G500" s="53" t="s">
        <v>1177</v>
      </c>
      <c r="H500" s="53" t="s">
        <v>1177</v>
      </c>
      <c r="I500" s="53" t="s">
        <v>3054</v>
      </c>
      <c r="J500" s="53" t="s">
        <v>2421</v>
      </c>
      <c r="K500" s="115">
        <v>6.5</v>
      </c>
      <c r="L500" s="111" t="s">
        <v>1515</v>
      </c>
      <c r="O500" s="116" t="s">
        <v>1515</v>
      </c>
      <c r="Q500" s="23"/>
      <c r="R500" s="23"/>
    </row>
    <row r="501" spans="2:18" ht="15.75" customHeight="1" x14ac:dyDescent="0.15">
      <c r="B501" s="53" t="s">
        <v>35</v>
      </c>
      <c r="C501" s="263">
        <v>43973</v>
      </c>
      <c r="D501" s="53" t="s">
        <v>1407</v>
      </c>
      <c r="E501" s="53" t="s">
        <v>6</v>
      </c>
      <c r="F501" s="147">
        <v>4.2000000000000003E-2</v>
      </c>
      <c r="G501" s="53" t="s">
        <v>1177</v>
      </c>
      <c r="H501" s="53" t="s">
        <v>1177</v>
      </c>
      <c r="I501" s="53" t="s">
        <v>195</v>
      </c>
      <c r="J501" s="53" t="s">
        <v>553</v>
      </c>
      <c r="K501" s="115">
        <v>7</v>
      </c>
      <c r="L501" s="111" t="s">
        <v>1542</v>
      </c>
      <c r="O501" s="116" t="s">
        <v>1542</v>
      </c>
      <c r="Q501" s="23"/>
      <c r="R501" s="23"/>
    </row>
    <row r="502" spans="2:18" ht="15.75" customHeight="1" x14ac:dyDescent="0.15">
      <c r="B502" s="53" t="s">
        <v>38</v>
      </c>
      <c r="C502" s="263">
        <v>43973</v>
      </c>
      <c r="D502" s="53" t="s">
        <v>761</v>
      </c>
      <c r="E502" s="53" t="s">
        <v>6</v>
      </c>
      <c r="F502" s="147">
        <v>4.2000000000000003E-2</v>
      </c>
      <c r="G502" s="53" t="s">
        <v>1177</v>
      </c>
      <c r="H502" s="53" t="s">
        <v>1177</v>
      </c>
      <c r="I502" s="53" t="s">
        <v>230</v>
      </c>
      <c r="J502" s="53" t="s">
        <v>2422</v>
      </c>
      <c r="K502" s="115">
        <v>9</v>
      </c>
      <c r="L502" s="116" t="s">
        <v>2866</v>
      </c>
      <c r="M502" s="116" t="s">
        <v>2867</v>
      </c>
      <c r="N502" s="116"/>
      <c r="O502" s="116" t="s">
        <v>1783</v>
      </c>
      <c r="Q502" s="23"/>
      <c r="R502" s="23"/>
    </row>
    <row r="503" spans="2:18" ht="15.75" customHeight="1" x14ac:dyDescent="0.15">
      <c r="B503" s="53" t="s">
        <v>45</v>
      </c>
      <c r="C503" s="263">
        <v>43973</v>
      </c>
      <c r="D503" s="53" t="s">
        <v>693</v>
      </c>
      <c r="E503" s="53" t="s">
        <v>6</v>
      </c>
      <c r="F503" s="147">
        <v>5.7000000000000002E-2</v>
      </c>
      <c r="G503" s="53" t="s">
        <v>1177</v>
      </c>
      <c r="H503" s="53" t="s">
        <v>1177</v>
      </c>
      <c r="I503" s="53" t="s">
        <v>2220</v>
      </c>
      <c r="J503" s="53" t="s">
        <v>2295</v>
      </c>
      <c r="K503" s="115">
        <v>7.5</v>
      </c>
      <c r="L503" s="111" t="s">
        <v>765</v>
      </c>
      <c r="O503" s="116" t="s">
        <v>1569</v>
      </c>
      <c r="Q503" s="23"/>
      <c r="R503" s="23"/>
    </row>
    <row r="504" spans="2:18" ht="15.75" customHeight="1" x14ac:dyDescent="0.15">
      <c r="B504" s="53" t="s">
        <v>687</v>
      </c>
      <c r="C504" s="263">
        <v>43973</v>
      </c>
      <c r="D504" s="53" t="s">
        <v>694</v>
      </c>
      <c r="E504" s="53" t="s">
        <v>6</v>
      </c>
      <c r="F504" s="147">
        <v>0.05</v>
      </c>
      <c r="G504" s="53" t="s">
        <v>1177</v>
      </c>
      <c r="H504" s="53" t="s">
        <v>1177</v>
      </c>
      <c r="I504" s="53" t="s">
        <v>25</v>
      </c>
      <c r="J504" s="53" t="s">
        <v>2423</v>
      </c>
      <c r="K504" s="115">
        <v>7</v>
      </c>
      <c r="L504" s="111" t="s">
        <v>694</v>
      </c>
      <c r="O504" s="116" t="s">
        <v>1701</v>
      </c>
      <c r="Q504" s="23"/>
      <c r="R504" s="23"/>
    </row>
    <row r="505" spans="2:18" ht="15.75" customHeight="1" x14ac:dyDescent="0.15">
      <c r="B505" s="53" t="s">
        <v>18</v>
      </c>
      <c r="C505" s="263">
        <v>43973</v>
      </c>
      <c r="D505" s="53" t="s">
        <v>1758</v>
      </c>
      <c r="E505" s="53" t="s">
        <v>6</v>
      </c>
      <c r="F505" s="147">
        <v>5.5E-2</v>
      </c>
      <c r="G505" s="53" t="s">
        <v>1177</v>
      </c>
      <c r="H505" s="53" t="s">
        <v>1177</v>
      </c>
      <c r="I505" s="53" t="s">
        <v>306</v>
      </c>
      <c r="J505" s="53" t="s">
        <v>323</v>
      </c>
      <c r="K505" s="115">
        <v>7</v>
      </c>
      <c r="L505" s="111" t="s">
        <v>1517</v>
      </c>
      <c r="O505" s="116" t="s">
        <v>1517</v>
      </c>
      <c r="Q505" s="23"/>
      <c r="R505" s="23"/>
    </row>
    <row r="506" spans="2:18" ht="15.75" customHeight="1" x14ac:dyDescent="0.15">
      <c r="B506" s="53" t="s">
        <v>35</v>
      </c>
      <c r="C506" s="263">
        <v>43973</v>
      </c>
      <c r="D506" s="53" t="s">
        <v>696</v>
      </c>
      <c r="E506" s="53" t="s">
        <v>6</v>
      </c>
      <c r="F506" s="147">
        <v>4.7E-2</v>
      </c>
      <c r="G506" s="53" t="s">
        <v>1177</v>
      </c>
      <c r="H506" s="53" t="s">
        <v>1177</v>
      </c>
      <c r="I506" s="53" t="s">
        <v>723</v>
      </c>
      <c r="J506" s="53" t="s">
        <v>490</v>
      </c>
      <c r="K506" s="115">
        <v>4.5</v>
      </c>
      <c r="L506" s="111" t="s">
        <v>1535</v>
      </c>
      <c r="O506" s="116" t="s">
        <v>1535</v>
      </c>
      <c r="Q506" s="23"/>
      <c r="R506" s="23"/>
    </row>
    <row r="507" spans="2:18" ht="15.75" customHeight="1" x14ac:dyDescent="0.15">
      <c r="B507" s="53" t="s">
        <v>41</v>
      </c>
      <c r="C507" s="263">
        <v>43973</v>
      </c>
      <c r="D507" s="53" t="s">
        <v>3466</v>
      </c>
      <c r="E507" s="53" t="s">
        <v>65</v>
      </c>
      <c r="F507" s="147">
        <v>0.35</v>
      </c>
      <c r="G507" s="53" t="s">
        <v>697</v>
      </c>
      <c r="H507" s="53" t="s">
        <v>1177</v>
      </c>
      <c r="I507" s="53" t="s">
        <v>16</v>
      </c>
      <c r="J507" s="53" t="s">
        <v>238</v>
      </c>
      <c r="K507" s="115">
        <v>8</v>
      </c>
      <c r="L507" s="111" t="s">
        <v>1587</v>
      </c>
      <c r="O507" s="116" t="s">
        <v>1516</v>
      </c>
      <c r="Q507" s="23"/>
      <c r="R507" s="23"/>
    </row>
    <row r="508" spans="2:18" ht="15.75" customHeight="1" x14ac:dyDescent="0.15">
      <c r="B508" s="53" t="s">
        <v>41</v>
      </c>
      <c r="C508" s="263">
        <v>43973</v>
      </c>
      <c r="D508" s="53" t="s">
        <v>2997</v>
      </c>
      <c r="E508" s="53" t="s">
        <v>190</v>
      </c>
      <c r="F508" s="147">
        <v>0.1</v>
      </c>
      <c r="G508" s="53" t="s">
        <v>1177</v>
      </c>
      <c r="H508" s="53" t="s">
        <v>1177</v>
      </c>
      <c r="I508" s="53" t="s">
        <v>2232</v>
      </c>
      <c r="J508" s="53" t="s">
        <v>2424</v>
      </c>
      <c r="K508" s="115">
        <v>3</v>
      </c>
      <c r="L508" s="111" t="s">
        <v>1779</v>
      </c>
      <c r="O508" s="116" t="s">
        <v>1780</v>
      </c>
      <c r="Q508" s="23"/>
      <c r="R508" s="23"/>
    </row>
    <row r="509" spans="2:18" ht="15.75" customHeight="1" x14ac:dyDescent="0.15">
      <c r="B509" s="53" t="s">
        <v>690</v>
      </c>
      <c r="C509" s="263">
        <v>43973</v>
      </c>
      <c r="D509" s="53" t="s">
        <v>694</v>
      </c>
      <c r="E509" s="53" t="s">
        <v>6</v>
      </c>
      <c r="F509" s="147">
        <v>0.05</v>
      </c>
      <c r="G509" s="53" t="s">
        <v>1177</v>
      </c>
      <c r="H509" s="53" t="s">
        <v>1177</v>
      </c>
      <c r="I509" s="53" t="s">
        <v>483</v>
      </c>
      <c r="J509" s="53" t="s">
        <v>2425</v>
      </c>
      <c r="K509" s="115">
        <v>7</v>
      </c>
      <c r="L509" s="111" t="s">
        <v>694</v>
      </c>
      <c r="O509" s="116" t="s">
        <v>1701</v>
      </c>
      <c r="Q509" s="23"/>
      <c r="R509" s="23"/>
    </row>
    <row r="510" spans="2:18" ht="15.75" customHeight="1" x14ac:dyDescent="0.15">
      <c r="B510" s="53" t="s">
        <v>26</v>
      </c>
      <c r="C510" s="263">
        <v>43973</v>
      </c>
      <c r="D510" s="53" t="s">
        <v>698</v>
      </c>
      <c r="E510" s="53" t="s">
        <v>34</v>
      </c>
      <c r="F510" s="147">
        <v>5.8000000000000003E-2</v>
      </c>
      <c r="G510" s="53" t="s">
        <v>1177</v>
      </c>
      <c r="H510" s="53" t="s">
        <v>1177</v>
      </c>
      <c r="I510" s="53" t="s">
        <v>2233</v>
      </c>
      <c r="J510" s="53" t="s">
        <v>2182</v>
      </c>
      <c r="K510" s="115">
        <v>6</v>
      </c>
      <c r="L510" s="111" t="s">
        <v>1614</v>
      </c>
      <c r="O510" s="116" t="s">
        <v>1615</v>
      </c>
      <c r="Q510" s="23"/>
      <c r="R510" s="23"/>
    </row>
    <row r="511" spans="2:18" ht="15.75" customHeight="1" x14ac:dyDescent="0.15">
      <c r="B511" s="53" t="s">
        <v>61</v>
      </c>
      <c r="C511" s="263">
        <v>43973</v>
      </c>
      <c r="D511" s="53" t="s">
        <v>1781</v>
      </c>
      <c r="E511" s="53" t="s">
        <v>6</v>
      </c>
      <c r="F511" s="147">
        <v>4.3999999999999997E-2</v>
      </c>
      <c r="G511" s="53" t="s">
        <v>1177</v>
      </c>
      <c r="H511" s="53" t="s">
        <v>1177</v>
      </c>
      <c r="I511" s="53" t="s">
        <v>699</v>
      </c>
      <c r="J511" s="53" t="s">
        <v>234</v>
      </c>
      <c r="K511" s="115">
        <v>4</v>
      </c>
      <c r="L511" s="111" t="s">
        <v>1747</v>
      </c>
      <c r="O511" s="116" t="s">
        <v>1748</v>
      </c>
      <c r="Q511" s="23"/>
      <c r="R511" s="23"/>
    </row>
    <row r="512" spans="2:18" ht="15.75" customHeight="1" x14ac:dyDescent="0.15">
      <c r="B512" s="53" t="s">
        <v>38</v>
      </c>
      <c r="C512" s="263">
        <v>43973</v>
      </c>
      <c r="D512" s="53" t="s">
        <v>700</v>
      </c>
      <c r="E512" s="53" t="s">
        <v>36</v>
      </c>
      <c r="F512" s="147">
        <v>0.4</v>
      </c>
      <c r="G512" s="53" t="s">
        <v>1177</v>
      </c>
      <c r="H512" s="53" t="s">
        <v>1177</v>
      </c>
      <c r="I512" s="53" t="s">
        <v>710</v>
      </c>
      <c r="J512" s="53" t="s">
        <v>2426</v>
      </c>
      <c r="K512" s="115">
        <v>8.5</v>
      </c>
      <c r="L512" s="111" t="s">
        <v>1782</v>
      </c>
      <c r="O512" s="116" t="s">
        <v>1713</v>
      </c>
      <c r="Q512" s="23"/>
      <c r="R512" s="23"/>
    </row>
    <row r="513" spans="2:18" ht="15.75" customHeight="1" x14ac:dyDescent="0.15">
      <c r="B513" s="53" t="s">
        <v>38</v>
      </c>
      <c r="C513" s="263">
        <v>43973</v>
      </c>
      <c r="D513" s="53" t="s">
        <v>701</v>
      </c>
      <c r="E513" s="53" t="s">
        <v>6</v>
      </c>
      <c r="F513" s="147">
        <v>0.04</v>
      </c>
      <c r="G513" s="53" t="s">
        <v>1177</v>
      </c>
      <c r="H513" s="53" t="s">
        <v>1177</v>
      </c>
      <c r="I513" s="53" t="s">
        <v>716</v>
      </c>
      <c r="J513" s="53" t="s">
        <v>717</v>
      </c>
      <c r="K513" s="115">
        <v>8</v>
      </c>
      <c r="L513" s="116" t="s">
        <v>2866</v>
      </c>
      <c r="M513" s="116" t="s">
        <v>2867</v>
      </c>
      <c r="N513" s="116"/>
      <c r="O513" s="116" t="s">
        <v>1783</v>
      </c>
      <c r="Q513" s="23"/>
      <c r="R513" s="23"/>
    </row>
    <row r="514" spans="2:18" ht="15.75" customHeight="1" x14ac:dyDescent="0.15">
      <c r="B514" s="53" t="s">
        <v>45</v>
      </c>
      <c r="C514" s="263">
        <v>43973</v>
      </c>
      <c r="D514" s="53" t="s">
        <v>702</v>
      </c>
      <c r="E514" s="53" t="s">
        <v>6</v>
      </c>
      <c r="F514" s="147">
        <v>0.05</v>
      </c>
      <c r="G514" s="53" t="s">
        <v>1177</v>
      </c>
      <c r="H514" s="53" t="s">
        <v>1177</v>
      </c>
      <c r="I514" s="53" t="s">
        <v>722</v>
      </c>
      <c r="J514" s="53" t="s">
        <v>25</v>
      </c>
      <c r="K514" s="115">
        <v>8.5</v>
      </c>
      <c r="L514" s="111" t="s">
        <v>1785</v>
      </c>
      <c r="O514" s="116" t="s">
        <v>1785</v>
      </c>
      <c r="Q514" s="23"/>
      <c r="R514" s="23"/>
    </row>
    <row r="515" spans="2:18" ht="15.75" customHeight="1" x14ac:dyDescent="0.15">
      <c r="B515" s="53" t="s">
        <v>26</v>
      </c>
      <c r="C515" s="263">
        <v>43973</v>
      </c>
      <c r="D515" s="53" t="s">
        <v>703</v>
      </c>
      <c r="E515" s="53" t="s">
        <v>27</v>
      </c>
      <c r="F515" s="147">
        <v>0.2</v>
      </c>
      <c r="G515" s="53" t="s">
        <v>1177</v>
      </c>
      <c r="H515" s="53" t="s">
        <v>1177</v>
      </c>
      <c r="I515" s="53" t="s">
        <v>1246</v>
      </c>
      <c r="J515" s="53" t="s">
        <v>2427</v>
      </c>
      <c r="K515" s="115">
        <v>9.5</v>
      </c>
      <c r="L515" s="111" t="s">
        <v>703</v>
      </c>
      <c r="O515" s="116" t="s">
        <v>1508</v>
      </c>
      <c r="Q515" s="23"/>
      <c r="R515" s="23"/>
    </row>
    <row r="516" spans="2:18" ht="15.75" customHeight="1" x14ac:dyDescent="0.15">
      <c r="B516" s="53" t="s">
        <v>35</v>
      </c>
      <c r="C516" s="263">
        <v>43973</v>
      </c>
      <c r="D516" s="53" t="s">
        <v>704</v>
      </c>
      <c r="E516" s="53" t="s">
        <v>12</v>
      </c>
      <c r="F516" s="147">
        <v>0.4</v>
      </c>
      <c r="G516" s="53" t="s">
        <v>1177</v>
      </c>
      <c r="H516" s="53" t="s">
        <v>1177</v>
      </c>
      <c r="I516" s="53" t="s">
        <v>231</v>
      </c>
      <c r="J516" s="53" t="s">
        <v>2428</v>
      </c>
      <c r="K516" s="115">
        <v>6</v>
      </c>
      <c r="L516" s="111" t="s">
        <v>704</v>
      </c>
      <c r="O516" s="116" t="s">
        <v>1875</v>
      </c>
      <c r="Q516" s="23"/>
      <c r="R516" s="23"/>
    </row>
    <row r="517" spans="2:18" ht="15.75" customHeight="1" x14ac:dyDescent="0.15">
      <c r="B517" s="53" t="s">
        <v>45</v>
      </c>
      <c r="C517" s="263">
        <v>43973</v>
      </c>
      <c r="D517" s="53" t="s">
        <v>1990</v>
      </c>
      <c r="E517" s="53" t="s">
        <v>27</v>
      </c>
      <c r="F517" s="147">
        <v>0.3</v>
      </c>
      <c r="G517" s="53" t="s">
        <v>1177</v>
      </c>
      <c r="H517" s="53" t="s">
        <v>1177</v>
      </c>
      <c r="I517" s="53" t="s">
        <v>705</v>
      </c>
      <c r="J517" s="53" t="s">
        <v>706</v>
      </c>
      <c r="K517" s="115">
        <v>8.5</v>
      </c>
      <c r="L517" s="111" t="s">
        <v>1786</v>
      </c>
      <c r="O517" s="111" t="s">
        <v>1786</v>
      </c>
      <c r="Q517" s="23"/>
      <c r="R517" s="23"/>
    </row>
    <row r="518" spans="2:18" ht="15.75" customHeight="1" x14ac:dyDescent="0.15">
      <c r="B518" s="53" t="s">
        <v>179</v>
      </c>
      <c r="C518" s="263">
        <v>43973</v>
      </c>
      <c r="D518" s="53" t="s">
        <v>707</v>
      </c>
      <c r="E518" s="53" t="s">
        <v>32</v>
      </c>
      <c r="F518" s="147">
        <v>0.4</v>
      </c>
      <c r="G518" s="53" t="s">
        <v>504</v>
      </c>
      <c r="H518" s="53" t="s">
        <v>1177</v>
      </c>
      <c r="I518" s="53" t="s">
        <v>207</v>
      </c>
      <c r="J518" s="53" t="s">
        <v>2429</v>
      </c>
      <c r="K518" s="115">
        <v>5</v>
      </c>
      <c r="L518" s="111" t="s">
        <v>1787</v>
      </c>
      <c r="O518" s="116" t="s">
        <v>1788</v>
      </c>
      <c r="Q518" s="23"/>
      <c r="R518" s="23"/>
    </row>
    <row r="519" spans="2:18" ht="15.75" customHeight="1" x14ac:dyDescent="0.15">
      <c r="B519" s="53" t="s">
        <v>61</v>
      </c>
      <c r="C519" s="263">
        <v>43973</v>
      </c>
      <c r="D519" s="53" t="s">
        <v>707</v>
      </c>
      <c r="E519" s="53" t="s">
        <v>32</v>
      </c>
      <c r="F519" s="147">
        <v>0.4</v>
      </c>
      <c r="G519" s="53" t="s">
        <v>504</v>
      </c>
      <c r="H519" s="53" t="s">
        <v>1177</v>
      </c>
      <c r="I519" s="53" t="s">
        <v>565</v>
      </c>
      <c r="J519" s="53" t="s">
        <v>853</v>
      </c>
      <c r="K519" s="115">
        <v>4</v>
      </c>
      <c r="L519" s="111" t="s">
        <v>1787</v>
      </c>
      <c r="O519" s="116" t="s">
        <v>1788</v>
      </c>
      <c r="Q519" s="23"/>
      <c r="R519" s="23"/>
    </row>
    <row r="520" spans="2:18" ht="15.75" customHeight="1" x14ac:dyDescent="0.15">
      <c r="B520" s="53" t="s">
        <v>18</v>
      </c>
      <c r="C520" s="263">
        <v>43973</v>
      </c>
      <c r="D520" s="53" t="s">
        <v>708</v>
      </c>
      <c r="E520" s="53" t="s">
        <v>27</v>
      </c>
      <c r="F520" s="147">
        <v>0.15</v>
      </c>
      <c r="G520" s="53" t="s">
        <v>1177</v>
      </c>
      <c r="H520" s="53" t="s">
        <v>1177</v>
      </c>
      <c r="I520" s="53" t="s">
        <v>2234</v>
      </c>
      <c r="J520" s="53" t="s">
        <v>743</v>
      </c>
      <c r="K520" s="115">
        <v>2.5</v>
      </c>
      <c r="L520" s="111" t="s">
        <v>1470</v>
      </c>
      <c r="O520" s="116" t="s">
        <v>1462</v>
      </c>
      <c r="Q520" s="23"/>
      <c r="R520" s="23"/>
    </row>
    <row r="521" spans="2:18" ht="15.75" customHeight="1" x14ac:dyDescent="0.15">
      <c r="B521" s="53" t="s">
        <v>41</v>
      </c>
      <c r="C521" s="263">
        <v>43973</v>
      </c>
      <c r="D521" s="53" t="s">
        <v>2995</v>
      </c>
      <c r="E521" s="53" t="s">
        <v>190</v>
      </c>
      <c r="F521" s="147">
        <v>0.1</v>
      </c>
      <c r="G521" s="53" t="s">
        <v>1177</v>
      </c>
      <c r="H521" s="53" t="s">
        <v>1177</v>
      </c>
      <c r="I521" s="53" t="s">
        <v>2235</v>
      </c>
      <c r="J521" s="53" t="s">
        <v>2430</v>
      </c>
      <c r="K521" s="115">
        <v>2</v>
      </c>
      <c r="L521" s="111" t="s">
        <v>1779</v>
      </c>
      <c r="O521" s="116" t="s">
        <v>1780</v>
      </c>
      <c r="Q521" s="23"/>
      <c r="R521" s="23"/>
    </row>
    <row r="522" spans="2:18" ht="15.75" customHeight="1" x14ac:dyDescent="0.15">
      <c r="B522" s="53" t="s">
        <v>687</v>
      </c>
      <c r="C522" s="263">
        <v>43973</v>
      </c>
      <c r="D522" s="53" t="s">
        <v>68</v>
      </c>
      <c r="E522" s="53" t="s">
        <v>32</v>
      </c>
      <c r="F522" s="147">
        <v>0.375</v>
      </c>
      <c r="G522" s="53" t="s">
        <v>1177</v>
      </c>
      <c r="H522" s="53" t="s">
        <v>1177</v>
      </c>
      <c r="I522" s="53" t="s">
        <v>709</v>
      </c>
      <c r="J522" s="53" t="s">
        <v>303</v>
      </c>
      <c r="K522" s="115">
        <v>4</v>
      </c>
      <c r="L522" s="111" t="s">
        <v>766</v>
      </c>
      <c r="O522" s="116" t="s">
        <v>1516</v>
      </c>
      <c r="Q522" s="23"/>
      <c r="R522" s="23"/>
    </row>
    <row r="523" spans="2:18" ht="15.75" customHeight="1" x14ac:dyDescent="0.15">
      <c r="B523" s="53" t="s">
        <v>75</v>
      </c>
      <c r="C523" s="263">
        <v>43973</v>
      </c>
      <c r="D523" s="53" t="s">
        <v>1789</v>
      </c>
      <c r="E523" s="53" t="s">
        <v>12</v>
      </c>
      <c r="F523" s="147">
        <v>0.375</v>
      </c>
      <c r="G523" s="53" t="s">
        <v>1177</v>
      </c>
      <c r="H523" s="53" t="s">
        <v>1177</v>
      </c>
      <c r="I523" s="53" t="s">
        <v>3544</v>
      </c>
      <c r="J523" s="53" t="s">
        <v>495</v>
      </c>
      <c r="K523" s="115">
        <v>8</v>
      </c>
      <c r="L523" s="111" t="s">
        <v>1790</v>
      </c>
      <c r="O523" s="116" t="s">
        <v>1791</v>
      </c>
      <c r="Q523" s="23"/>
      <c r="R523" s="23"/>
    </row>
    <row r="524" spans="2:18" ht="15.75" customHeight="1" x14ac:dyDescent="0.15">
      <c r="B524" s="53" t="s">
        <v>73</v>
      </c>
      <c r="C524" s="263">
        <v>43973</v>
      </c>
      <c r="D524" s="53" t="s">
        <v>712</v>
      </c>
      <c r="E524" s="53" t="s">
        <v>65</v>
      </c>
      <c r="F524" s="147">
        <v>0.47</v>
      </c>
      <c r="G524" s="53" t="s">
        <v>1177</v>
      </c>
      <c r="H524" s="53" t="s">
        <v>1177</v>
      </c>
      <c r="I524" s="53" t="s">
        <v>2236</v>
      </c>
      <c r="J524" s="53" t="s">
        <v>24</v>
      </c>
      <c r="K524" s="115">
        <v>6.5</v>
      </c>
      <c r="L524" s="111" t="s">
        <v>1792</v>
      </c>
      <c r="O524" s="116" t="s">
        <v>1792</v>
      </c>
      <c r="Q524" s="23"/>
      <c r="R524" s="23"/>
    </row>
    <row r="525" spans="2:18" ht="15.75" customHeight="1" x14ac:dyDescent="0.15">
      <c r="B525" s="53" t="s">
        <v>41</v>
      </c>
      <c r="C525" s="263">
        <v>43973</v>
      </c>
      <c r="D525" s="53" t="s">
        <v>3689</v>
      </c>
      <c r="E525" s="53" t="s">
        <v>6</v>
      </c>
      <c r="F525" s="147">
        <v>6.7000000000000004E-2</v>
      </c>
      <c r="G525" s="53" t="s">
        <v>1177</v>
      </c>
      <c r="H525" s="53" t="s">
        <v>1177</v>
      </c>
      <c r="I525" s="53" t="s">
        <v>272</v>
      </c>
      <c r="J525" s="53" t="s">
        <v>86</v>
      </c>
      <c r="K525" s="115">
        <v>5</v>
      </c>
      <c r="L525" s="111" t="s">
        <v>1544</v>
      </c>
      <c r="O525" s="116" t="s">
        <v>1544</v>
      </c>
      <c r="Q525" s="23"/>
      <c r="R525" s="23"/>
    </row>
    <row r="526" spans="2:18" ht="15.75" customHeight="1" x14ac:dyDescent="0.15">
      <c r="B526" s="53" t="s">
        <v>179</v>
      </c>
      <c r="C526" s="263">
        <v>43973</v>
      </c>
      <c r="D526" s="53" t="s">
        <v>713</v>
      </c>
      <c r="E526" s="53" t="s">
        <v>6</v>
      </c>
      <c r="F526" s="147">
        <v>5.2999999999999999E-2</v>
      </c>
      <c r="G526" s="53" t="s">
        <v>1177</v>
      </c>
      <c r="H526" s="53" t="s">
        <v>1177</v>
      </c>
      <c r="I526" s="53" t="s">
        <v>2237</v>
      </c>
      <c r="J526" s="53" t="s">
        <v>2431</v>
      </c>
      <c r="K526" s="115">
        <v>7</v>
      </c>
      <c r="L526" s="111" t="s">
        <v>763</v>
      </c>
      <c r="O526" s="116" t="s">
        <v>1701</v>
      </c>
      <c r="Q526" s="23"/>
      <c r="R526" s="23"/>
    </row>
    <row r="527" spans="2:18" ht="15.75" customHeight="1" x14ac:dyDescent="0.15">
      <c r="B527" s="53" t="s">
        <v>26</v>
      </c>
      <c r="C527" s="263">
        <v>43973</v>
      </c>
      <c r="D527" s="53" t="s">
        <v>1793</v>
      </c>
      <c r="E527" s="53" t="s">
        <v>34</v>
      </c>
      <c r="F527" s="147">
        <v>5.1999999999999998E-2</v>
      </c>
      <c r="G527" s="53" t="s">
        <v>1177</v>
      </c>
      <c r="H527" s="53" t="s">
        <v>1177</v>
      </c>
      <c r="I527" s="53" t="s">
        <v>47</v>
      </c>
      <c r="J527" s="53" t="s">
        <v>2432</v>
      </c>
      <c r="K527" s="115">
        <v>7.5</v>
      </c>
      <c r="L527" s="111" t="s">
        <v>714</v>
      </c>
      <c r="O527" s="116" t="s">
        <v>1794</v>
      </c>
      <c r="Q527" s="23"/>
      <c r="R527" s="23"/>
    </row>
    <row r="528" spans="2:18" ht="15.75" customHeight="1" x14ac:dyDescent="0.15">
      <c r="B528" s="53" t="s">
        <v>18</v>
      </c>
      <c r="C528" s="263">
        <v>43973</v>
      </c>
      <c r="D528" s="53" t="s">
        <v>762</v>
      </c>
      <c r="E528" s="53" t="s">
        <v>36</v>
      </c>
      <c r="F528" s="147">
        <v>0.43</v>
      </c>
      <c r="G528" s="53" t="s">
        <v>715</v>
      </c>
      <c r="H528" s="53" t="s">
        <v>1177</v>
      </c>
      <c r="I528" s="53" t="s">
        <v>882</v>
      </c>
      <c r="J528" s="53" t="s">
        <v>2433</v>
      </c>
      <c r="K528" s="115">
        <v>9</v>
      </c>
      <c r="L528" s="111" t="s">
        <v>1765</v>
      </c>
      <c r="O528" s="116" t="s">
        <v>1490</v>
      </c>
      <c r="P528" s="23" t="s">
        <v>3263</v>
      </c>
      <c r="Q528" s="23"/>
      <c r="R528" s="23"/>
    </row>
    <row r="529" spans="2:18" ht="15.75" customHeight="1" x14ac:dyDescent="0.15">
      <c r="B529" s="53" t="s">
        <v>75</v>
      </c>
      <c r="C529" s="263">
        <v>43973</v>
      </c>
      <c r="D529" s="53" t="s">
        <v>415</v>
      </c>
      <c r="E529" s="53" t="s">
        <v>65</v>
      </c>
      <c r="F529" s="147">
        <v>0.21</v>
      </c>
      <c r="G529" s="53" t="s">
        <v>588</v>
      </c>
      <c r="H529" s="53" t="s">
        <v>374</v>
      </c>
      <c r="I529" s="53" t="s">
        <v>718</v>
      </c>
      <c r="J529" s="53" t="s">
        <v>719</v>
      </c>
      <c r="K529" s="115">
        <v>8</v>
      </c>
      <c r="L529" s="111" t="s">
        <v>484</v>
      </c>
      <c r="O529" s="116" t="s">
        <v>1594</v>
      </c>
      <c r="Q529" s="23"/>
      <c r="R529" s="23"/>
    </row>
    <row r="530" spans="2:18" ht="15.75" customHeight="1" x14ac:dyDescent="0.15">
      <c r="B530" s="53" t="s">
        <v>61</v>
      </c>
      <c r="C530" s="263">
        <v>43973</v>
      </c>
      <c r="D530" s="53" t="s">
        <v>170</v>
      </c>
      <c r="E530" s="53" t="s">
        <v>6</v>
      </c>
      <c r="F530" s="147">
        <v>5.8999999999999997E-2</v>
      </c>
      <c r="G530" s="53" t="s">
        <v>1177</v>
      </c>
      <c r="H530" s="53" t="s">
        <v>1177</v>
      </c>
      <c r="I530" s="53" t="s">
        <v>720</v>
      </c>
      <c r="J530" s="53" t="s">
        <v>721</v>
      </c>
      <c r="K530" s="115">
        <v>8</v>
      </c>
      <c r="L530" s="111" t="s">
        <v>170</v>
      </c>
      <c r="O530" s="116" t="s">
        <v>1533</v>
      </c>
      <c r="Q530" s="23"/>
      <c r="R530" s="23"/>
    </row>
    <row r="531" spans="2:18" ht="15.75" customHeight="1" x14ac:dyDescent="0.15">
      <c r="B531" s="53" t="s">
        <v>18</v>
      </c>
      <c r="C531" s="263">
        <v>43973</v>
      </c>
      <c r="D531" s="53" t="s">
        <v>724</v>
      </c>
      <c r="E531" s="53" t="s">
        <v>12</v>
      </c>
      <c r="F531" s="147">
        <v>0.2</v>
      </c>
      <c r="G531" s="53" t="s">
        <v>725</v>
      </c>
      <c r="H531" s="53" t="s">
        <v>1177</v>
      </c>
      <c r="I531" s="53" t="s">
        <v>2238</v>
      </c>
      <c r="J531" s="53" t="s">
        <v>2434</v>
      </c>
      <c r="K531" s="115">
        <v>8</v>
      </c>
      <c r="L531" s="111" t="s">
        <v>3157</v>
      </c>
      <c r="O531" s="116" t="s">
        <v>1589</v>
      </c>
      <c r="P531" s="23" t="s">
        <v>3264</v>
      </c>
      <c r="Q531" s="23"/>
      <c r="R531" s="23"/>
    </row>
    <row r="532" spans="2:18" ht="15.75" customHeight="1" x14ac:dyDescent="0.15">
      <c r="B532" s="53" t="s">
        <v>38</v>
      </c>
      <c r="C532" s="263">
        <v>43973</v>
      </c>
      <c r="D532" s="53" t="s">
        <v>726</v>
      </c>
      <c r="E532" s="53" t="s">
        <v>42</v>
      </c>
      <c r="F532" s="147">
        <v>0.125</v>
      </c>
      <c r="G532" s="53" t="s">
        <v>1177</v>
      </c>
      <c r="H532" s="53" t="s">
        <v>1177</v>
      </c>
      <c r="I532" s="53" t="s">
        <v>2239</v>
      </c>
      <c r="J532" s="53" t="s">
        <v>2435</v>
      </c>
      <c r="K532" s="115">
        <v>1.5</v>
      </c>
      <c r="L532" s="111" t="s">
        <v>1796</v>
      </c>
      <c r="O532" s="116" t="s">
        <v>1795</v>
      </c>
      <c r="Q532" s="23"/>
      <c r="R532" s="23"/>
    </row>
    <row r="533" spans="2:18" ht="15.75" customHeight="1" x14ac:dyDescent="0.15">
      <c r="B533" s="53" t="s">
        <v>35</v>
      </c>
      <c r="C533" s="263">
        <v>43973</v>
      </c>
      <c r="D533" s="53" t="s">
        <v>727</v>
      </c>
      <c r="E533" s="53" t="s">
        <v>6</v>
      </c>
      <c r="F533" s="147">
        <v>4.2000000000000003E-2</v>
      </c>
      <c r="G533" s="53" t="s">
        <v>1177</v>
      </c>
      <c r="H533" s="53" t="s">
        <v>1177</v>
      </c>
      <c r="I533" s="53" t="s">
        <v>2240</v>
      </c>
      <c r="J533" s="53" t="s">
        <v>3486</v>
      </c>
      <c r="K533" s="115">
        <v>3.5</v>
      </c>
      <c r="L533" s="111" t="s">
        <v>1797</v>
      </c>
      <c r="O533" s="116" t="s">
        <v>1797</v>
      </c>
      <c r="Q533" s="23"/>
      <c r="R533" s="23"/>
    </row>
    <row r="534" spans="2:18" ht="15.75" customHeight="1" x14ac:dyDescent="0.15">
      <c r="B534" s="53" t="s">
        <v>73</v>
      </c>
      <c r="C534" s="263">
        <v>43973</v>
      </c>
      <c r="D534" s="53" t="s">
        <v>3527</v>
      </c>
      <c r="E534" s="53" t="s">
        <v>6</v>
      </c>
      <c r="F534" s="147">
        <v>0.08</v>
      </c>
      <c r="G534" s="53" t="s">
        <v>1177</v>
      </c>
      <c r="H534" s="53" t="s">
        <v>1177</v>
      </c>
      <c r="I534" s="53" t="s">
        <v>82</v>
      </c>
      <c r="J534" s="53" t="s">
        <v>728</v>
      </c>
      <c r="K534" s="115">
        <v>7</v>
      </c>
      <c r="L534" s="111" t="s">
        <v>3528</v>
      </c>
      <c r="M534" s="111" t="s">
        <v>2591</v>
      </c>
      <c r="O534" s="116" t="s">
        <v>3427</v>
      </c>
      <c r="Q534" s="23"/>
      <c r="R534" s="23"/>
    </row>
    <row r="535" spans="2:18" ht="15.75" customHeight="1" x14ac:dyDescent="0.15">
      <c r="B535" s="53" t="s">
        <v>41</v>
      </c>
      <c r="C535" s="263">
        <v>43973</v>
      </c>
      <c r="D535" s="53" t="s">
        <v>729</v>
      </c>
      <c r="E535" s="53" t="s">
        <v>6</v>
      </c>
      <c r="F535" s="147">
        <v>4.4999999999999998E-2</v>
      </c>
      <c r="G535" s="53" t="s">
        <v>1177</v>
      </c>
      <c r="H535" s="53" t="s">
        <v>1177</v>
      </c>
      <c r="I535" s="53" t="s">
        <v>2241</v>
      </c>
      <c r="J535" s="53" t="s">
        <v>856</v>
      </c>
      <c r="K535" s="115">
        <v>8</v>
      </c>
      <c r="L535" s="111" t="s">
        <v>1090</v>
      </c>
      <c r="O535" s="116" t="s">
        <v>1798</v>
      </c>
      <c r="Q535" s="23"/>
      <c r="R535" s="23"/>
    </row>
    <row r="536" spans="2:18" ht="15.75" customHeight="1" x14ac:dyDescent="0.15">
      <c r="B536" s="53" t="s">
        <v>189</v>
      </c>
      <c r="C536" s="263">
        <v>43973</v>
      </c>
      <c r="D536" s="53" t="s">
        <v>1799</v>
      </c>
      <c r="E536" s="53" t="s">
        <v>6</v>
      </c>
      <c r="F536" s="147">
        <v>0.06</v>
      </c>
      <c r="G536" s="53" t="s">
        <v>1177</v>
      </c>
      <c r="H536" s="53" t="s">
        <v>1177</v>
      </c>
      <c r="I536" s="53" t="s">
        <v>495</v>
      </c>
      <c r="J536" s="53" t="s">
        <v>287</v>
      </c>
      <c r="K536" s="115">
        <v>7.5</v>
      </c>
      <c r="L536" s="111" t="s">
        <v>1093</v>
      </c>
      <c r="O536" s="116" t="s">
        <v>1800</v>
      </c>
      <c r="Q536" s="23"/>
      <c r="R536" s="23"/>
    </row>
    <row r="537" spans="2:18" ht="15.75" customHeight="1" x14ac:dyDescent="0.15">
      <c r="B537" s="53" t="s">
        <v>73</v>
      </c>
      <c r="C537" s="263">
        <v>43973</v>
      </c>
      <c r="D537" s="53" t="s">
        <v>730</v>
      </c>
      <c r="E537" s="53" t="s">
        <v>6</v>
      </c>
      <c r="F537" s="147">
        <v>7.1999999999999995E-2</v>
      </c>
      <c r="G537" s="53" t="s">
        <v>1177</v>
      </c>
      <c r="H537" s="53" t="s">
        <v>1177</v>
      </c>
      <c r="I537" s="53" t="s">
        <v>2242</v>
      </c>
      <c r="J537" s="53" t="s">
        <v>2436</v>
      </c>
      <c r="K537" s="115">
        <v>5.5</v>
      </c>
      <c r="L537" s="111" t="s">
        <v>1801</v>
      </c>
      <c r="O537" s="116" t="s">
        <v>1801</v>
      </c>
      <c r="Q537" s="23"/>
      <c r="R537" s="23"/>
    </row>
    <row r="538" spans="2:18" ht="15.75" customHeight="1" x14ac:dyDescent="0.15">
      <c r="B538" s="53" t="s">
        <v>179</v>
      </c>
      <c r="C538" s="263">
        <v>43973</v>
      </c>
      <c r="D538" s="53" t="s">
        <v>170</v>
      </c>
      <c r="E538" s="53" t="s">
        <v>6</v>
      </c>
      <c r="F538" s="147">
        <v>5.8999999999999997E-2</v>
      </c>
      <c r="G538" s="53" t="s">
        <v>1177</v>
      </c>
      <c r="H538" s="53" t="s">
        <v>1177</v>
      </c>
      <c r="I538" s="53" t="s">
        <v>2243</v>
      </c>
      <c r="J538" s="53" t="s">
        <v>2437</v>
      </c>
      <c r="K538" s="115">
        <v>6.5</v>
      </c>
      <c r="L538" s="111" t="s">
        <v>170</v>
      </c>
      <c r="O538" s="116" t="s">
        <v>1533</v>
      </c>
      <c r="Q538" s="23"/>
      <c r="R538" s="23"/>
    </row>
    <row r="539" spans="2:18" ht="15.75" customHeight="1" x14ac:dyDescent="0.15">
      <c r="B539" s="53" t="s">
        <v>45</v>
      </c>
      <c r="C539" s="263">
        <v>43973</v>
      </c>
      <c r="D539" s="53" t="s">
        <v>1682</v>
      </c>
      <c r="E539" s="53" t="s">
        <v>6</v>
      </c>
      <c r="F539" s="147">
        <v>7.0000000000000007E-2</v>
      </c>
      <c r="G539" s="53" t="s">
        <v>1177</v>
      </c>
      <c r="H539" s="53" t="s">
        <v>1177</v>
      </c>
      <c r="I539" s="53" t="s">
        <v>215</v>
      </c>
      <c r="J539" s="53" t="s">
        <v>738</v>
      </c>
      <c r="K539" s="115">
        <v>9</v>
      </c>
      <c r="L539" s="111" t="s">
        <v>765</v>
      </c>
      <c r="O539" s="116" t="s">
        <v>1569</v>
      </c>
      <c r="Q539" s="23"/>
      <c r="R539" s="23"/>
    </row>
    <row r="540" spans="2:18" ht="15.75" customHeight="1" x14ac:dyDescent="0.15">
      <c r="B540" s="53" t="s">
        <v>690</v>
      </c>
      <c r="C540" s="263">
        <v>43973</v>
      </c>
      <c r="D540" s="53" t="s">
        <v>144</v>
      </c>
      <c r="E540" s="53" t="s">
        <v>12</v>
      </c>
      <c r="F540" s="147">
        <v>0.375</v>
      </c>
      <c r="G540" s="53" t="s">
        <v>731</v>
      </c>
      <c r="H540" s="53" t="s">
        <v>1177</v>
      </c>
      <c r="I540" s="53" t="s">
        <v>2244</v>
      </c>
      <c r="J540" s="53" t="s">
        <v>2438</v>
      </c>
      <c r="K540" s="115">
        <v>7</v>
      </c>
      <c r="L540" s="111" t="s">
        <v>767</v>
      </c>
      <c r="O540" s="116" t="s">
        <v>1516</v>
      </c>
      <c r="P540" s="23" t="s">
        <v>3265</v>
      </c>
      <c r="Q540" s="23"/>
      <c r="R540" s="23"/>
    </row>
    <row r="541" spans="2:18" ht="15.75" customHeight="1" x14ac:dyDescent="0.15">
      <c r="B541" s="53" t="s">
        <v>38</v>
      </c>
      <c r="C541" s="263">
        <v>43973</v>
      </c>
      <c r="D541" s="53" t="s">
        <v>732</v>
      </c>
      <c r="E541" s="53" t="s">
        <v>6</v>
      </c>
      <c r="F541" s="147">
        <v>4.8000000000000001E-2</v>
      </c>
      <c r="G541" s="53" t="s">
        <v>1177</v>
      </c>
      <c r="H541" s="53" t="s">
        <v>1177</v>
      </c>
      <c r="I541" s="53" t="s">
        <v>733</v>
      </c>
      <c r="J541" s="53" t="s">
        <v>734</v>
      </c>
      <c r="K541" s="115">
        <v>4</v>
      </c>
      <c r="L541" s="111" t="s">
        <v>1802</v>
      </c>
      <c r="O541" s="116" t="s">
        <v>1802</v>
      </c>
      <c r="Q541" s="23"/>
      <c r="R541" s="23"/>
    </row>
    <row r="542" spans="2:18" ht="15.75" customHeight="1" x14ac:dyDescent="0.15">
      <c r="B542" s="53" t="s">
        <v>18</v>
      </c>
      <c r="C542" s="263">
        <v>43973</v>
      </c>
      <c r="D542" s="53" t="s">
        <v>1803</v>
      </c>
      <c r="E542" s="53" t="s">
        <v>36</v>
      </c>
      <c r="F542" s="147">
        <v>0.43</v>
      </c>
      <c r="G542" s="53" t="s">
        <v>735</v>
      </c>
      <c r="H542" s="53" t="s">
        <v>1177</v>
      </c>
      <c r="I542" s="53" t="s">
        <v>2245</v>
      </c>
      <c r="J542" s="53" t="s">
        <v>1294</v>
      </c>
      <c r="K542" s="115">
        <v>7</v>
      </c>
      <c r="L542" s="111" t="s">
        <v>1765</v>
      </c>
      <c r="O542" s="116" t="s">
        <v>1490</v>
      </c>
      <c r="P542" s="23" t="s">
        <v>3266</v>
      </c>
      <c r="Q542" s="23"/>
      <c r="R542" s="23"/>
    </row>
    <row r="543" spans="2:18" ht="15.75" customHeight="1" x14ac:dyDescent="0.15">
      <c r="B543" s="53" t="s">
        <v>38</v>
      </c>
      <c r="C543" s="263">
        <v>43973</v>
      </c>
      <c r="D543" s="53" t="s">
        <v>736</v>
      </c>
      <c r="E543" s="53" t="s">
        <v>6</v>
      </c>
      <c r="F543" s="147">
        <v>3.7999999999999999E-2</v>
      </c>
      <c r="G543" s="53" t="s">
        <v>1177</v>
      </c>
      <c r="H543" s="53" t="s">
        <v>1177</v>
      </c>
      <c r="I543" s="53" t="s">
        <v>742</v>
      </c>
      <c r="J543" s="53" t="s">
        <v>237</v>
      </c>
      <c r="K543" s="115">
        <v>6.5</v>
      </c>
      <c r="L543" s="116" t="s">
        <v>2866</v>
      </c>
      <c r="M543" s="116" t="s">
        <v>2867</v>
      </c>
      <c r="N543" s="116"/>
      <c r="O543" s="116" t="s">
        <v>1783</v>
      </c>
      <c r="Q543" s="23"/>
      <c r="R543" s="23"/>
    </row>
    <row r="544" spans="2:18" ht="15.75" customHeight="1" x14ac:dyDescent="0.15">
      <c r="B544" s="53" t="s">
        <v>18</v>
      </c>
      <c r="C544" s="263">
        <v>43973</v>
      </c>
      <c r="D544" s="53" t="s">
        <v>3687</v>
      </c>
      <c r="E544" s="53" t="s">
        <v>6</v>
      </c>
      <c r="F544" s="147">
        <v>5.5E-2</v>
      </c>
      <c r="G544" s="53" t="s">
        <v>609</v>
      </c>
      <c r="H544" s="53" t="s">
        <v>1177</v>
      </c>
      <c r="I544" s="53" t="s">
        <v>973</v>
      </c>
      <c r="J544" s="53" t="s">
        <v>2439</v>
      </c>
      <c r="K544" s="115">
        <v>4.5</v>
      </c>
      <c r="L544" s="111" t="s">
        <v>1544</v>
      </c>
      <c r="O544" s="116" t="s">
        <v>1544</v>
      </c>
      <c r="Q544" s="23"/>
      <c r="R544" s="23"/>
    </row>
    <row r="545" spans="2:18" ht="15.75" customHeight="1" x14ac:dyDescent="0.15">
      <c r="B545" s="53" t="s">
        <v>41</v>
      </c>
      <c r="C545" s="263">
        <v>43973</v>
      </c>
      <c r="D545" s="53" t="s">
        <v>737</v>
      </c>
      <c r="E545" s="53" t="s">
        <v>6</v>
      </c>
      <c r="F545" s="147">
        <v>5.2999999999999999E-2</v>
      </c>
      <c r="G545" s="53" t="s">
        <v>1177</v>
      </c>
      <c r="H545" s="53" t="s">
        <v>1177</v>
      </c>
      <c r="I545" s="53" t="s">
        <v>15</v>
      </c>
      <c r="J545" s="53" t="s">
        <v>751</v>
      </c>
      <c r="K545" s="115">
        <v>8.5</v>
      </c>
      <c r="L545" s="111" t="s">
        <v>668</v>
      </c>
      <c r="O545" s="116" t="s">
        <v>668</v>
      </c>
      <c r="Q545" s="23"/>
      <c r="R545" s="23"/>
    </row>
    <row r="546" spans="2:18" ht="15.75" customHeight="1" x14ac:dyDescent="0.15">
      <c r="B546" s="53" t="s">
        <v>35</v>
      </c>
      <c r="C546" s="263">
        <v>43973</v>
      </c>
      <c r="D546" s="53" t="s">
        <v>1804</v>
      </c>
      <c r="E546" s="53" t="s">
        <v>6</v>
      </c>
      <c r="F546" s="147">
        <v>5.6000000000000001E-2</v>
      </c>
      <c r="G546" s="53" t="s">
        <v>1177</v>
      </c>
      <c r="H546" s="53" t="s">
        <v>1177</v>
      </c>
      <c r="I546" s="53" t="s">
        <v>643</v>
      </c>
      <c r="J546" s="53" t="s">
        <v>168</v>
      </c>
      <c r="K546" s="115">
        <v>6.5</v>
      </c>
      <c r="L546" s="111" t="s">
        <v>1717</v>
      </c>
      <c r="O546" s="116" t="s">
        <v>1717</v>
      </c>
      <c r="Q546" s="23"/>
      <c r="R546" s="23"/>
    </row>
    <row r="547" spans="2:18" ht="15.75" customHeight="1" x14ac:dyDescent="0.15">
      <c r="B547" s="53" t="s">
        <v>61</v>
      </c>
      <c r="C547" s="263">
        <v>43973</v>
      </c>
      <c r="D547" s="53" t="s">
        <v>739</v>
      </c>
      <c r="E547" s="53" t="s">
        <v>6</v>
      </c>
      <c r="F547" s="147">
        <v>5.2999999999999999E-2</v>
      </c>
      <c r="G547" s="53" t="s">
        <v>1177</v>
      </c>
      <c r="H547" s="53" t="s">
        <v>1177</v>
      </c>
      <c r="I547" s="53" t="s">
        <v>740</v>
      </c>
      <c r="J547" s="53" t="s">
        <v>3510</v>
      </c>
      <c r="K547" s="115">
        <v>6</v>
      </c>
      <c r="L547" s="111" t="s">
        <v>1447</v>
      </c>
      <c r="O547" s="116" t="s">
        <v>1447</v>
      </c>
      <c r="Q547" s="23"/>
      <c r="R547" s="23"/>
    </row>
    <row r="548" spans="2:18" ht="15.75" customHeight="1" x14ac:dyDescent="0.15">
      <c r="B548" s="53" t="s">
        <v>189</v>
      </c>
      <c r="C548" s="263">
        <v>43973</v>
      </c>
      <c r="D548" s="53" t="s">
        <v>741</v>
      </c>
      <c r="E548" s="53" t="s">
        <v>6</v>
      </c>
      <c r="F548" s="147">
        <v>0.05</v>
      </c>
      <c r="G548" s="53" t="s">
        <v>1177</v>
      </c>
      <c r="H548" s="53" t="s">
        <v>1177</v>
      </c>
      <c r="I548" s="53" t="s">
        <v>749</v>
      </c>
      <c r="J548" s="53" t="s">
        <v>192</v>
      </c>
      <c r="K548" s="115">
        <v>8</v>
      </c>
      <c r="L548" s="111" t="s">
        <v>1805</v>
      </c>
      <c r="O548" s="116" t="s">
        <v>1806</v>
      </c>
      <c r="Q548" s="23"/>
      <c r="R548" s="23"/>
    </row>
    <row r="549" spans="2:18" ht="15.75" customHeight="1" x14ac:dyDescent="0.15">
      <c r="B549" s="53" t="s">
        <v>73</v>
      </c>
      <c r="C549" s="263">
        <v>43973</v>
      </c>
      <c r="D549" s="53" t="s">
        <v>771</v>
      </c>
      <c r="E549" s="53" t="s">
        <v>6</v>
      </c>
      <c r="F549" s="147">
        <v>4.4999999999999998E-2</v>
      </c>
      <c r="G549" s="53" t="s">
        <v>1177</v>
      </c>
      <c r="H549" s="53" t="s">
        <v>1177</v>
      </c>
      <c r="I549" s="53" t="s">
        <v>750</v>
      </c>
      <c r="J549" s="53" t="s">
        <v>238</v>
      </c>
      <c r="K549" s="115">
        <v>9</v>
      </c>
      <c r="L549" s="111" t="s">
        <v>668</v>
      </c>
      <c r="O549" s="116" t="s">
        <v>668</v>
      </c>
      <c r="Q549" s="23"/>
      <c r="R549" s="23"/>
    </row>
    <row r="550" spans="2:18" ht="15.75" customHeight="1" x14ac:dyDescent="0.15">
      <c r="B550" s="53" t="s">
        <v>26</v>
      </c>
      <c r="C550" s="263">
        <v>43973</v>
      </c>
      <c r="D550" s="53" t="s">
        <v>1575</v>
      </c>
      <c r="E550" s="53" t="s">
        <v>34</v>
      </c>
      <c r="F550" s="147">
        <v>0.04</v>
      </c>
      <c r="G550" s="53" t="s">
        <v>1177</v>
      </c>
      <c r="H550" s="53" t="s">
        <v>1177</v>
      </c>
      <c r="I550" s="53" t="s">
        <v>1957</v>
      </c>
      <c r="J550" s="53" t="s">
        <v>112</v>
      </c>
      <c r="K550" s="115">
        <v>8.5</v>
      </c>
      <c r="L550" s="111" t="s">
        <v>1576</v>
      </c>
      <c r="O550" s="116" t="s">
        <v>1533</v>
      </c>
      <c r="Q550" s="23"/>
      <c r="R550" s="23"/>
    </row>
    <row r="551" spans="2:18" ht="15.75" customHeight="1" x14ac:dyDescent="0.15">
      <c r="B551" s="53" t="s">
        <v>26</v>
      </c>
      <c r="C551" s="263">
        <v>43973</v>
      </c>
      <c r="D551" s="53" t="s">
        <v>423</v>
      </c>
      <c r="E551" s="53" t="s">
        <v>34</v>
      </c>
      <c r="F551" s="147">
        <v>4.4999999999999998E-2</v>
      </c>
      <c r="G551" s="53" t="s">
        <v>1177</v>
      </c>
      <c r="H551" s="53" t="s">
        <v>1177</v>
      </c>
      <c r="I551" s="53" t="s">
        <v>2246</v>
      </c>
      <c r="J551" s="53" t="s">
        <v>2440</v>
      </c>
      <c r="K551" s="115">
        <v>6</v>
      </c>
      <c r="L551" s="111" t="s">
        <v>1480</v>
      </c>
      <c r="O551" s="116" t="s">
        <v>1479</v>
      </c>
      <c r="Q551" s="23"/>
      <c r="R551" s="23"/>
    </row>
    <row r="552" spans="2:18" ht="15.75" customHeight="1" x14ac:dyDescent="0.15">
      <c r="B552" s="53" t="s">
        <v>26</v>
      </c>
      <c r="C552" s="263">
        <v>43973</v>
      </c>
      <c r="D552" s="53" t="s">
        <v>123</v>
      </c>
      <c r="E552" s="53" t="s">
        <v>27</v>
      </c>
      <c r="F552" s="147">
        <v>0.35</v>
      </c>
      <c r="G552" s="53" t="s">
        <v>1177</v>
      </c>
      <c r="H552" s="53" t="s">
        <v>1177</v>
      </c>
      <c r="I552" s="53" t="s">
        <v>2247</v>
      </c>
      <c r="J552" s="53" t="s">
        <v>734</v>
      </c>
      <c r="K552" s="115">
        <v>2.5</v>
      </c>
      <c r="L552" s="111" t="s">
        <v>123</v>
      </c>
      <c r="O552" s="116" t="s">
        <v>1525</v>
      </c>
      <c r="Q552" s="23"/>
      <c r="R552" s="23"/>
    </row>
    <row r="553" spans="2:18" ht="15.75" customHeight="1" x14ac:dyDescent="0.15">
      <c r="B553" s="53" t="s">
        <v>35</v>
      </c>
      <c r="C553" s="263">
        <v>43973</v>
      </c>
      <c r="D553" s="53" t="s">
        <v>115</v>
      </c>
      <c r="E553" s="53" t="s">
        <v>190</v>
      </c>
      <c r="F553" s="147">
        <v>0.375</v>
      </c>
      <c r="G553" s="53" t="s">
        <v>704</v>
      </c>
      <c r="H553" s="53" t="s">
        <v>1177</v>
      </c>
      <c r="I553" s="53" t="s">
        <v>743</v>
      </c>
      <c r="J553" s="53" t="s">
        <v>744</v>
      </c>
      <c r="K553" s="115">
        <v>1.5</v>
      </c>
      <c r="L553" s="111" t="s">
        <v>1519</v>
      </c>
      <c r="O553" s="116" t="s">
        <v>1519</v>
      </c>
      <c r="Q553" s="23"/>
      <c r="R553" s="23"/>
    </row>
    <row r="554" spans="2:18" ht="15.75" customHeight="1" x14ac:dyDescent="0.15">
      <c r="B554" s="53" t="s">
        <v>61</v>
      </c>
      <c r="C554" s="263">
        <v>43973</v>
      </c>
      <c r="D554" s="53" t="s">
        <v>1610</v>
      </c>
      <c r="E554" s="53" t="s">
        <v>36</v>
      </c>
      <c r="F554" s="147">
        <v>0.4</v>
      </c>
      <c r="G554" s="53" t="s">
        <v>1177</v>
      </c>
      <c r="H554" s="53" t="s">
        <v>1177</v>
      </c>
      <c r="I554" s="53" t="s">
        <v>657</v>
      </c>
      <c r="J554" s="53" t="s">
        <v>2441</v>
      </c>
      <c r="K554" s="115">
        <v>3</v>
      </c>
      <c r="L554" s="111" t="s">
        <v>1610</v>
      </c>
      <c r="O554" s="116" t="s">
        <v>1594</v>
      </c>
      <c r="Q554" s="23"/>
      <c r="R554" s="23"/>
    </row>
    <row r="555" spans="2:18" ht="15.75" customHeight="1" x14ac:dyDescent="0.15">
      <c r="B555" s="53" t="s">
        <v>45</v>
      </c>
      <c r="C555" s="263">
        <v>43973</v>
      </c>
      <c r="D555" s="53" t="s">
        <v>745</v>
      </c>
      <c r="E555" s="53" t="s">
        <v>32</v>
      </c>
      <c r="F555" s="147">
        <v>0.4</v>
      </c>
      <c r="G555" s="53" t="s">
        <v>1177</v>
      </c>
      <c r="H555" s="53" t="s">
        <v>1177</v>
      </c>
      <c r="I555" s="53" t="s">
        <v>16</v>
      </c>
      <c r="J555" s="53" t="s">
        <v>853</v>
      </c>
      <c r="K555" s="115">
        <v>3</v>
      </c>
      <c r="L555" s="111" t="s">
        <v>1893</v>
      </c>
      <c r="O555" s="116" t="s">
        <v>1893</v>
      </c>
      <c r="Q555" s="23"/>
      <c r="R555" s="23"/>
    </row>
    <row r="556" spans="2:18" ht="15.75" customHeight="1" x14ac:dyDescent="0.15">
      <c r="B556" s="53" t="s">
        <v>18</v>
      </c>
      <c r="C556" s="263">
        <v>43973</v>
      </c>
      <c r="D556" s="53" t="s">
        <v>40</v>
      </c>
      <c r="E556" s="53" t="s">
        <v>12</v>
      </c>
      <c r="F556" s="147">
        <v>0.41399999999999998</v>
      </c>
      <c r="G556" s="53" t="s">
        <v>1177</v>
      </c>
      <c r="H556" s="53" t="s">
        <v>1177</v>
      </c>
      <c r="I556" s="53" t="s">
        <v>746</v>
      </c>
      <c r="J556" s="53" t="s">
        <v>574</v>
      </c>
      <c r="K556" s="115">
        <v>3</v>
      </c>
      <c r="L556" s="111" t="s">
        <v>1454</v>
      </c>
      <c r="O556" s="111" t="s">
        <v>1454</v>
      </c>
      <c r="Q556" s="23"/>
      <c r="R556" s="23"/>
    </row>
    <row r="557" spans="2:18" ht="15.75" customHeight="1" x14ac:dyDescent="0.15">
      <c r="B557" s="53" t="s">
        <v>189</v>
      </c>
      <c r="C557" s="263">
        <v>43973</v>
      </c>
      <c r="D557" s="53" t="s">
        <v>123</v>
      </c>
      <c r="E557" s="53" t="s">
        <v>27</v>
      </c>
      <c r="F557" s="147">
        <v>0.35</v>
      </c>
      <c r="G557" s="53" t="s">
        <v>741</v>
      </c>
      <c r="H557" s="53" t="s">
        <v>1177</v>
      </c>
      <c r="I557" s="53" t="s">
        <v>747</v>
      </c>
      <c r="J557" s="53" t="s">
        <v>149</v>
      </c>
      <c r="K557" s="115">
        <v>4</v>
      </c>
      <c r="L557" s="111" t="s">
        <v>123</v>
      </c>
      <c r="O557" s="116" t="s">
        <v>1525</v>
      </c>
      <c r="Q557" s="23"/>
      <c r="R557" s="23"/>
    </row>
    <row r="558" spans="2:18" ht="15.75" customHeight="1" x14ac:dyDescent="0.15">
      <c r="B558" s="53" t="s">
        <v>73</v>
      </c>
      <c r="C558" s="263">
        <v>43973</v>
      </c>
      <c r="D558" s="53" t="s">
        <v>1807</v>
      </c>
      <c r="E558" s="53" t="s">
        <v>190</v>
      </c>
      <c r="F558" s="147">
        <v>0.4</v>
      </c>
      <c r="G558" s="53" t="s">
        <v>1177</v>
      </c>
      <c r="H558" s="53" t="s">
        <v>1177</v>
      </c>
      <c r="I558" s="53" t="s">
        <v>2248</v>
      </c>
      <c r="J558" s="53" t="s">
        <v>748</v>
      </c>
      <c r="K558" s="115">
        <v>5</v>
      </c>
      <c r="L558" s="111" t="s">
        <v>1808</v>
      </c>
      <c r="O558" s="116" t="s">
        <v>1808</v>
      </c>
      <c r="Q558" s="23"/>
      <c r="R558" s="23"/>
    </row>
    <row r="559" spans="2:18" ht="15.75" customHeight="1" x14ac:dyDescent="0.15">
      <c r="B559" s="53" t="s">
        <v>35</v>
      </c>
      <c r="C559" s="263">
        <v>43973</v>
      </c>
      <c r="D559" s="53" t="s">
        <v>1402</v>
      </c>
      <c r="E559" s="53" t="s">
        <v>6</v>
      </c>
      <c r="F559" s="147">
        <v>5.8999999999999997E-2</v>
      </c>
      <c r="G559" s="53" t="s">
        <v>1177</v>
      </c>
      <c r="H559" s="53" t="s">
        <v>1177</v>
      </c>
      <c r="I559" s="53" t="s">
        <v>243</v>
      </c>
      <c r="J559" s="53" t="s">
        <v>2442</v>
      </c>
      <c r="K559" s="115">
        <v>5</v>
      </c>
      <c r="L559" s="111" t="s">
        <v>1542</v>
      </c>
      <c r="O559" s="116" t="s">
        <v>1542</v>
      </c>
      <c r="Q559" s="23"/>
      <c r="R559" s="23"/>
    </row>
    <row r="560" spans="2:18" ht="15.75" customHeight="1" x14ac:dyDescent="0.15">
      <c r="B560" s="53" t="s">
        <v>18</v>
      </c>
      <c r="C560" s="263">
        <v>43973</v>
      </c>
      <c r="D560" s="53" t="s">
        <v>386</v>
      </c>
      <c r="E560" s="53" t="s">
        <v>6</v>
      </c>
      <c r="F560" s="147">
        <v>0.05</v>
      </c>
      <c r="G560" s="53" t="s">
        <v>1177</v>
      </c>
      <c r="H560" s="53" t="s">
        <v>1177</v>
      </c>
      <c r="I560" s="53" t="s">
        <v>1078</v>
      </c>
      <c r="J560" s="53" t="s">
        <v>2214</v>
      </c>
      <c r="K560" s="115">
        <v>6.5</v>
      </c>
      <c r="L560" s="111" t="s">
        <v>2698</v>
      </c>
      <c r="O560" s="116" t="s">
        <v>1461</v>
      </c>
      <c r="Q560" s="23"/>
      <c r="R560" s="23"/>
    </row>
    <row r="561" spans="2:18" ht="15.75" customHeight="1" x14ac:dyDescent="0.15">
      <c r="B561" s="53" t="s">
        <v>38</v>
      </c>
      <c r="C561" s="263">
        <v>43973</v>
      </c>
      <c r="D561" s="53" t="s">
        <v>1884</v>
      </c>
      <c r="E561" s="53" t="s">
        <v>6</v>
      </c>
      <c r="F561" s="147">
        <v>4.4999999999999998E-2</v>
      </c>
      <c r="G561" s="53" t="s">
        <v>1177</v>
      </c>
      <c r="H561" s="53" t="s">
        <v>1177</v>
      </c>
      <c r="I561" s="53" t="s">
        <v>2249</v>
      </c>
      <c r="J561" s="53" t="s">
        <v>2443</v>
      </c>
      <c r="K561" s="115">
        <v>6.5</v>
      </c>
      <c r="L561" s="116" t="s">
        <v>2866</v>
      </c>
      <c r="M561" s="116" t="s">
        <v>2867</v>
      </c>
      <c r="N561" s="116"/>
      <c r="O561" s="116" t="s">
        <v>1783</v>
      </c>
      <c r="Q561" s="23"/>
      <c r="R561" s="23"/>
    </row>
    <row r="562" spans="2:18" ht="15.75" customHeight="1" x14ac:dyDescent="0.15">
      <c r="B562" s="53" t="s">
        <v>73</v>
      </c>
      <c r="C562" s="263">
        <v>43973</v>
      </c>
      <c r="D562" s="53" t="s">
        <v>712</v>
      </c>
      <c r="E562" s="53" t="s">
        <v>65</v>
      </c>
      <c r="F562" s="147">
        <v>0.47</v>
      </c>
      <c r="G562" s="53" t="s">
        <v>374</v>
      </c>
      <c r="H562" s="53" t="s">
        <v>1177</v>
      </c>
      <c r="I562" s="53" t="s">
        <v>2250</v>
      </c>
      <c r="J562" s="53" t="s">
        <v>2444</v>
      </c>
      <c r="K562" s="115">
        <v>7</v>
      </c>
      <c r="L562" s="111" t="s">
        <v>1792</v>
      </c>
      <c r="O562" s="116" t="s">
        <v>1792</v>
      </c>
      <c r="Q562" s="23"/>
      <c r="R562" s="23"/>
    </row>
    <row r="563" spans="2:18" ht="15.75" customHeight="1" x14ac:dyDescent="0.15">
      <c r="B563" s="53" t="s">
        <v>45</v>
      </c>
      <c r="C563" s="263">
        <v>43973</v>
      </c>
      <c r="D563" s="53" t="s">
        <v>562</v>
      </c>
      <c r="E563" s="53" t="s">
        <v>65</v>
      </c>
      <c r="F563" s="147">
        <v>0.4</v>
      </c>
      <c r="G563" s="53" t="s">
        <v>374</v>
      </c>
      <c r="H563" s="53" t="s">
        <v>1177</v>
      </c>
      <c r="I563" s="53" t="s">
        <v>752</v>
      </c>
      <c r="J563" s="53" t="s">
        <v>574</v>
      </c>
      <c r="K563" s="115">
        <v>3.5</v>
      </c>
      <c r="L563" s="111" t="s">
        <v>1755</v>
      </c>
      <c r="O563" s="116" t="s">
        <v>1490</v>
      </c>
      <c r="Q563" s="23"/>
      <c r="R563" s="23"/>
    </row>
    <row r="564" spans="2:18" ht="15.75" customHeight="1" x14ac:dyDescent="0.15">
      <c r="B564" s="53" t="s">
        <v>18</v>
      </c>
      <c r="C564" s="263">
        <v>43973</v>
      </c>
      <c r="D564" s="53" t="s">
        <v>58</v>
      </c>
      <c r="E564" s="53" t="s">
        <v>27</v>
      </c>
      <c r="F564" s="147">
        <v>0.15</v>
      </c>
      <c r="G564" s="53" t="s">
        <v>1177</v>
      </c>
      <c r="H564" s="53" t="s">
        <v>1177</v>
      </c>
      <c r="I564" s="53" t="s">
        <v>753</v>
      </c>
      <c r="J564" s="53" t="s">
        <v>16</v>
      </c>
      <c r="K564" s="115">
        <v>5</v>
      </c>
      <c r="L564" s="111" t="s">
        <v>1470</v>
      </c>
      <c r="O564" s="112" t="s">
        <v>1462</v>
      </c>
      <c r="Q564" s="23"/>
      <c r="R564" s="23"/>
    </row>
    <row r="565" spans="2:18" ht="15.75" customHeight="1" x14ac:dyDescent="0.15">
      <c r="B565" s="53" t="s">
        <v>61</v>
      </c>
      <c r="C565" s="263">
        <v>43973</v>
      </c>
      <c r="D565" s="53" t="s">
        <v>754</v>
      </c>
      <c r="E565" s="53" t="s">
        <v>6</v>
      </c>
      <c r="F565" s="147">
        <v>0.06</v>
      </c>
      <c r="G565" s="53" t="s">
        <v>1177</v>
      </c>
      <c r="H565" s="53" t="s">
        <v>1177</v>
      </c>
      <c r="I565" s="53" t="s">
        <v>2251</v>
      </c>
      <c r="J565" s="53" t="s">
        <v>2445</v>
      </c>
      <c r="K565" s="115">
        <v>6.5</v>
      </c>
      <c r="L565" s="111" t="s">
        <v>1773</v>
      </c>
      <c r="O565" s="116" t="s">
        <v>1683</v>
      </c>
      <c r="Q565" s="23"/>
      <c r="R565" s="23"/>
    </row>
    <row r="566" spans="2:18" ht="15.75" customHeight="1" x14ac:dyDescent="0.15">
      <c r="B566" s="53" t="s">
        <v>73</v>
      </c>
      <c r="C566" s="263">
        <v>43973</v>
      </c>
      <c r="D566" s="53" t="s">
        <v>755</v>
      </c>
      <c r="E566" s="53" t="s">
        <v>65</v>
      </c>
      <c r="F566" s="147">
        <v>0.65</v>
      </c>
      <c r="G566" s="53" t="s">
        <v>1177</v>
      </c>
      <c r="H566" s="53" t="s">
        <v>374</v>
      </c>
      <c r="I566" s="53" t="s">
        <v>489</v>
      </c>
      <c r="J566" s="53" t="s">
        <v>2446</v>
      </c>
      <c r="K566" s="115">
        <v>8</v>
      </c>
      <c r="L566" s="111" t="s">
        <v>1809</v>
      </c>
      <c r="O566" s="116" t="s">
        <v>1809</v>
      </c>
      <c r="Q566" s="23"/>
      <c r="R566" s="23"/>
    </row>
    <row r="567" spans="2:18" ht="15.75" customHeight="1" x14ac:dyDescent="0.15">
      <c r="B567" s="53" t="s">
        <v>189</v>
      </c>
      <c r="C567" s="263">
        <v>43973</v>
      </c>
      <c r="D567" s="53" t="s">
        <v>756</v>
      </c>
      <c r="E567" s="53" t="s">
        <v>6</v>
      </c>
      <c r="F567" s="147">
        <v>3.9E-2</v>
      </c>
      <c r="G567" s="53" t="s">
        <v>1177</v>
      </c>
      <c r="H567" s="53" t="s">
        <v>1177</v>
      </c>
      <c r="I567" s="53" t="s">
        <v>311</v>
      </c>
      <c r="J567" s="53" t="s">
        <v>545</v>
      </c>
      <c r="K567" s="115">
        <v>5</v>
      </c>
      <c r="L567" s="111" t="s">
        <v>1805</v>
      </c>
      <c r="O567" s="116" t="s">
        <v>1806</v>
      </c>
      <c r="Q567" s="23"/>
      <c r="R567" s="23"/>
    </row>
    <row r="568" spans="2:18" ht="15.75" customHeight="1" x14ac:dyDescent="0.15">
      <c r="B568" s="53" t="s">
        <v>35</v>
      </c>
      <c r="C568" s="263">
        <v>43973</v>
      </c>
      <c r="D568" s="53" t="s">
        <v>561</v>
      </c>
      <c r="E568" s="53" t="s">
        <v>32</v>
      </c>
      <c r="F568" s="147">
        <v>0.38</v>
      </c>
      <c r="G568" s="53" t="s">
        <v>28</v>
      </c>
      <c r="H568" s="53" t="s">
        <v>1177</v>
      </c>
      <c r="I568" s="53" t="s">
        <v>2252</v>
      </c>
      <c r="J568" s="53" t="s">
        <v>217</v>
      </c>
      <c r="K568" s="115">
        <v>5</v>
      </c>
      <c r="L568" s="111" t="s">
        <v>1624</v>
      </c>
      <c r="O568" s="116" t="s">
        <v>1537</v>
      </c>
      <c r="Q568" s="23"/>
      <c r="R568" s="23"/>
    </row>
    <row r="569" spans="2:18" ht="15.75" customHeight="1" x14ac:dyDescent="0.15">
      <c r="B569" s="53" t="s">
        <v>73</v>
      </c>
      <c r="C569" s="263">
        <v>43973</v>
      </c>
      <c r="D569" s="53" t="s">
        <v>184</v>
      </c>
      <c r="E569" s="53" t="s">
        <v>27</v>
      </c>
      <c r="F569" s="147">
        <v>0.4</v>
      </c>
      <c r="G569" s="53" t="s">
        <v>433</v>
      </c>
      <c r="H569" s="53" t="s">
        <v>1177</v>
      </c>
      <c r="I569" s="53" t="s">
        <v>33</v>
      </c>
      <c r="J569" s="53" t="s">
        <v>333</v>
      </c>
      <c r="K569" s="115">
        <v>10</v>
      </c>
      <c r="L569" s="111" t="s">
        <v>365</v>
      </c>
      <c r="O569" s="116" t="s">
        <v>1558</v>
      </c>
      <c r="Q569" s="23"/>
      <c r="R569" s="23"/>
    </row>
    <row r="570" spans="2:18" ht="15.75" customHeight="1" x14ac:dyDescent="0.15">
      <c r="B570" s="53" t="s">
        <v>189</v>
      </c>
      <c r="C570" s="263">
        <v>43973</v>
      </c>
      <c r="D570" s="53" t="s">
        <v>1947</v>
      </c>
      <c r="E570" s="53" t="s">
        <v>27</v>
      </c>
      <c r="F570" s="147">
        <v>0.38</v>
      </c>
      <c r="G570" s="53" t="s">
        <v>1177</v>
      </c>
      <c r="H570" s="53" t="s">
        <v>1177</v>
      </c>
      <c r="I570" s="53" t="s">
        <v>2253</v>
      </c>
      <c r="J570" s="53" t="s">
        <v>328</v>
      </c>
      <c r="K570" s="115">
        <v>3.5</v>
      </c>
      <c r="L570" s="111" t="s">
        <v>1966</v>
      </c>
      <c r="O570" s="116" t="s">
        <v>1468</v>
      </c>
      <c r="Q570" s="23"/>
      <c r="R570" s="23"/>
    </row>
    <row r="571" spans="2:18" ht="15.75" customHeight="1" x14ac:dyDescent="0.15">
      <c r="B571" s="53" t="s">
        <v>189</v>
      </c>
      <c r="C571" s="263">
        <v>43973</v>
      </c>
      <c r="D571" s="53" t="s">
        <v>757</v>
      </c>
      <c r="E571" s="53" t="s">
        <v>6</v>
      </c>
      <c r="F571" s="147">
        <v>0.04</v>
      </c>
      <c r="G571" s="53" t="s">
        <v>1177</v>
      </c>
      <c r="H571" s="53" t="s">
        <v>1177</v>
      </c>
      <c r="I571" s="53" t="s">
        <v>2254</v>
      </c>
      <c r="J571" s="53" t="s">
        <v>2447</v>
      </c>
      <c r="K571" s="115">
        <v>7</v>
      </c>
      <c r="L571" s="111" t="s">
        <v>3528</v>
      </c>
      <c r="O571" s="116" t="s">
        <v>1810</v>
      </c>
      <c r="Q571" s="23"/>
      <c r="R571" s="23"/>
    </row>
    <row r="572" spans="2:18" ht="15.75" customHeight="1" x14ac:dyDescent="0.15">
      <c r="B572" s="53" t="s">
        <v>35</v>
      </c>
      <c r="C572" s="263">
        <v>43973</v>
      </c>
      <c r="D572" s="53" t="s">
        <v>758</v>
      </c>
      <c r="E572" s="53" t="s">
        <v>6</v>
      </c>
      <c r="F572" s="147">
        <v>0.04</v>
      </c>
      <c r="G572" s="53" t="s">
        <v>1177</v>
      </c>
      <c r="H572" s="53" t="s">
        <v>1177</v>
      </c>
      <c r="I572" s="53" t="s">
        <v>272</v>
      </c>
      <c r="J572" s="53" t="s">
        <v>243</v>
      </c>
      <c r="K572" s="115">
        <v>7</v>
      </c>
      <c r="L572" s="111" t="s">
        <v>3528</v>
      </c>
      <c r="O572" s="116" t="s">
        <v>1810</v>
      </c>
      <c r="Q572" s="23"/>
      <c r="R572" s="23"/>
    </row>
    <row r="573" spans="2:18" ht="15.75" customHeight="1" x14ac:dyDescent="0.15">
      <c r="B573" s="53" t="s">
        <v>38</v>
      </c>
      <c r="C573" s="263">
        <v>43973</v>
      </c>
      <c r="D573" s="53" t="s">
        <v>759</v>
      </c>
      <c r="E573" s="53" t="s">
        <v>6</v>
      </c>
      <c r="F573" s="147">
        <v>4.4999999999999998E-2</v>
      </c>
      <c r="G573" s="53" t="s">
        <v>1177</v>
      </c>
      <c r="H573" s="53" t="s">
        <v>1177</v>
      </c>
      <c r="I573" s="53" t="s">
        <v>233</v>
      </c>
      <c r="J573" s="53" t="s">
        <v>1165</v>
      </c>
      <c r="K573" s="115">
        <v>7.5</v>
      </c>
      <c r="L573" s="111" t="s">
        <v>1802</v>
      </c>
      <c r="O573" s="116" t="s">
        <v>1802</v>
      </c>
      <c r="Q573" s="23"/>
      <c r="R573" s="23"/>
    </row>
    <row r="574" spans="2:18" ht="15.75" customHeight="1" x14ac:dyDescent="0.15">
      <c r="B574" s="53" t="s">
        <v>45</v>
      </c>
      <c r="C574" s="263">
        <v>43980</v>
      </c>
      <c r="D574" s="53" t="s">
        <v>2671</v>
      </c>
      <c r="E574" s="53" t="s">
        <v>34</v>
      </c>
      <c r="F574" s="147">
        <v>4.8000000000000001E-2</v>
      </c>
      <c r="G574" s="53" t="s">
        <v>1177</v>
      </c>
      <c r="H574" s="53" t="s">
        <v>1177</v>
      </c>
      <c r="I574" s="53" t="s">
        <v>772</v>
      </c>
      <c r="J574" s="53" t="s">
        <v>2378</v>
      </c>
      <c r="K574" s="115">
        <v>7.5</v>
      </c>
      <c r="L574" s="111" t="s">
        <v>1483</v>
      </c>
      <c r="O574" s="116" t="s">
        <v>1483</v>
      </c>
      <c r="Q574" s="23"/>
      <c r="R574" s="23"/>
    </row>
    <row r="575" spans="2:18" ht="15.75" customHeight="1" x14ac:dyDescent="0.15">
      <c r="B575" s="53" t="s">
        <v>35</v>
      </c>
      <c r="C575" s="263">
        <v>43980</v>
      </c>
      <c r="D575" s="53" t="s">
        <v>773</v>
      </c>
      <c r="E575" s="53" t="s">
        <v>42</v>
      </c>
      <c r="F575" s="147">
        <v>0.13</v>
      </c>
      <c r="G575" s="53" t="s">
        <v>1177</v>
      </c>
      <c r="H575" s="53" t="s">
        <v>1177</v>
      </c>
      <c r="I575" s="53" t="s">
        <v>525</v>
      </c>
      <c r="J575" s="53" t="s">
        <v>2448</v>
      </c>
      <c r="K575" s="115">
        <v>6.5</v>
      </c>
      <c r="L575" s="111" t="s">
        <v>1447</v>
      </c>
      <c r="O575" s="116" t="s">
        <v>1447</v>
      </c>
      <c r="Q575" s="23"/>
      <c r="R575" s="23"/>
    </row>
    <row r="576" spans="2:18" ht="16" customHeight="1" x14ac:dyDescent="0.15">
      <c r="B576" s="53" t="s">
        <v>9</v>
      </c>
      <c r="C576" s="263">
        <v>43980</v>
      </c>
      <c r="D576" s="53" t="s">
        <v>3021</v>
      </c>
      <c r="E576" s="53" t="s">
        <v>65</v>
      </c>
      <c r="F576" s="232">
        <v>0.05</v>
      </c>
      <c r="G576" s="53"/>
      <c r="H576" s="53" t="s">
        <v>1177</v>
      </c>
      <c r="I576" s="53" t="s">
        <v>2255</v>
      </c>
      <c r="J576" s="53" t="s">
        <v>311</v>
      </c>
      <c r="K576" s="115">
        <v>7</v>
      </c>
      <c r="L576" s="111" t="s">
        <v>1868</v>
      </c>
      <c r="O576" s="116" t="s">
        <v>1867</v>
      </c>
      <c r="Q576" s="23"/>
      <c r="R576" s="23"/>
    </row>
    <row r="577" spans="2:18" ht="15.75" customHeight="1" x14ac:dyDescent="0.15">
      <c r="B577" s="53" t="s">
        <v>18</v>
      </c>
      <c r="C577" s="263">
        <v>43980</v>
      </c>
      <c r="D577" s="53" t="s">
        <v>3021</v>
      </c>
      <c r="E577" s="53" t="s">
        <v>65</v>
      </c>
      <c r="F577" s="232">
        <v>0.05</v>
      </c>
      <c r="G577" s="53"/>
      <c r="H577" s="53" t="s">
        <v>1177</v>
      </c>
      <c r="I577" s="53" t="s">
        <v>2256</v>
      </c>
      <c r="J577" s="53" t="s">
        <v>2449</v>
      </c>
      <c r="K577" s="115">
        <v>6</v>
      </c>
      <c r="L577" s="111" t="s">
        <v>1868</v>
      </c>
      <c r="O577" s="116" t="s">
        <v>1867</v>
      </c>
      <c r="Q577" s="23"/>
      <c r="R577" s="23"/>
    </row>
    <row r="578" spans="2:18" ht="15.75" customHeight="1" x14ac:dyDescent="0.15">
      <c r="B578" s="53" t="s">
        <v>26</v>
      </c>
      <c r="C578" s="263">
        <v>43980</v>
      </c>
      <c r="D578" s="53" t="s">
        <v>774</v>
      </c>
      <c r="E578" s="53" t="s">
        <v>34</v>
      </c>
      <c r="F578" s="147">
        <v>0.04</v>
      </c>
      <c r="G578" s="53" t="s">
        <v>1177</v>
      </c>
      <c r="H578" s="53" t="s">
        <v>1177</v>
      </c>
      <c r="I578" s="53" t="s">
        <v>25</v>
      </c>
      <c r="J578" s="53" t="s">
        <v>495</v>
      </c>
      <c r="K578" s="115">
        <v>4.5</v>
      </c>
      <c r="L578" s="111" t="s">
        <v>1813</v>
      </c>
      <c r="O578" s="116" t="s">
        <v>1813</v>
      </c>
      <c r="Q578" s="23"/>
      <c r="R578" s="23"/>
    </row>
    <row r="579" spans="2:18" ht="15.75" customHeight="1" x14ac:dyDescent="0.15">
      <c r="B579" s="53" t="s">
        <v>73</v>
      </c>
      <c r="C579" s="263">
        <v>43980</v>
      </c>
      <c r="D579" s="53" t="s">
        <v>1814</v>
      </c>
      <c r="E579" s="53" t="s">
        <v>6</v>
      </c>
      <c r="F579" s="147">
        <v>4.4999999999999998E-2</v>
      </c>
      <c r="G579" s="53" t="s">
        <v>1177</v>
      </c>
      <c r="H579" s="53" t="s">
        <v>1177</v>
      </c>
      <c r="I579" s="53" t="s">
        <v>775</v>
      </c>
      <c r="J579" s="53" t="s">
        <v>198</v>
      </c>
      <c r="K579" s="115">
        <v>4</v>
      </c>
      <c r="L579" s="111" t="s">
        <v>2864</v>
      </c>
      <c r="M579" s="111" t="s">
        <v>2863</v>
      </c>
      <c r="O579" s="116" t="s">
        <v>1815</v>
      </c>
      <c r="Q579" s="23"/>
      <c r="R579" s="23"/>
    </row>
    <row r="580" spans="2:18" ht="15.75" customHeight="1" x14ac:dyDescent="0.15">
      <c r="B580" s="53" t="s">
        <v>50</v>
      </c>
      <c r="C580" s="263">
        <v>43980</v>
      </c>
      <c r="D580" s="53" t="s">
        <v>144</v>
      </c>
      <c r="E580" s="53" t="s">
        <v>12</v>
      </c>
      <c r="F580" s="147">
        <v>0.375</v>
      </c>
      <c r="G580" s="53" t="s">
        <v>588</v>
      </c>
      <c r="H580" s="53" t="s">
        <v>374</v>
      </c>
      <c r="I580" s="53" t="s">
        <v>2257</v>
      </c>
      <c r="J580" s="53" t="s">
        <v>2450</v>
      </c>
      <c r="K580" s="115">
        <v>7</v>
      </c>
      <c r="L580" s="111" t="s">
        <v>767</v>
      </c>
      <c r="O580" s="116" t="s">
        <v>1516</v>
      </c>
      <c r="Q580" s="23"/>
      <c r="R580" s="23"/>
    </row>
    <row r="581" spans="2:18" ht="15.75" customHeight="1" x14ac:dyDescent="0.15">
      <c r="B581" s="53" t="s">
        <v>73</v>
      </c>
      <c r="C581" s="263">
        <v>43980</v>
      </c>
      <c r="D581" s="53" t="s">
        <v>776</v>
      </c>
      <c r="E581" s="53" t="s">
        <v>6</v>
      </c>
      <c r="F581" s="147">
        <v>6.5000000000000002E-2</v>
      </c>
      <c r="G581" s="53" t="s">
        <v>1177</v>
      </c>
      <c r="H581" s="53" t="s">
        <v>1177</v>
      </c>
      <c r="I581" s="53" t="s">
        <v>331</v>
      </c>
      <c r="J581" s="53" t="s">
        <v>25</v>
      </c>
      <c r="K581" s="115">
        <v>7</v>
      </c>
      <c r="L581" s="111" t="s">
        <v>898</v>
      </c>
      <c r="O581" s="116" t="s">
        <v>1817</v>
      </c>
      <c r="Q581" s="23"/>
      <c r="R581" s="23"/>
    </row>
    <row r="582" spans="2:18" ht="15.75" customHeight="1" x14ac:dyDescent="0.15">
      <c r="B582" s="53" t="s">
        <v>73</v>
      </c>
      <c r="C582" s="263">
        <v>43980</v>
      </c>
      <c r="D582" s="53" t="s">
        <v>1816</v>
      </c>
      <c r="E582" s="53" t="s">
        <v>6</v>
      </c>
      <c r="F582" s="147">
        <v>4.4999999999999998E-2</v>
      </c>
      <c r="G582" s="53" t="s">
        <v>1177</v>
      </c>
      <c r="H582" s="53" t="s">
        <v>1177</v>
      </c>
      <c r="I582" s="53" t="s">
        <v>14</v>
      </c>
      <c r="J582" s="53" t="s">
        <v>784</v>
      </c>
      <c r="K582" s="115">
        <v>8</v>
      </c>
      <c r="L582" s="111" t="s">
        <v>898</v>
      </c>
      <c r="O582" s="116" t="s">
        <v>1817</v>
      </c>
      <c r="Q582" s="23"/>
      <c r="R582" s="23"/>
    </row>
    <row r="583" spans="2:18" ht="15.75" customHeight="1" x14ac:dyDescent="0.15">
      <c r="B583" s="53" t="s">
        <v>73</v>
      </c>
      <c r="C583" s="263">
        <v>43980</v>
      </c>
      <c r="D583" s="53" t="s">
        <v>777</v>
      </c>
      <c r="E583" s="53" t="s">
        <v>6</v>
      </c>
      <c r="F583" s="147">
        <v>5.5E-2</v>
      </c>
      <c r="G583" s="53" t="s">
        <v>1177</v>
      </c>
      <c r="H583" s="53" t="s">
        <v>1177</v>
      </c>
      <c r="I583" s="53" t="s">
        <v>528</v>
      </c>
      <c r="J583" s="53" t="s">
        <v>1145</v>
      </c>
      <c r="K583" s="115">
        <v>8</v>
      </c>
      <c r="L583" s="111" t="s">
        <v>898</v>
      </c>
      <c r="O583" s="116" t="s">
        <v>1817</v>
      </c>
      <c r="Q583" s="23"/>
      <c r="R583" s="23"/>
    </row>
    <row r="584" spans="2:18" ht="15.75" customHeight="1" x14ac:dyDescent="0.15">
      <c r="B584" s="53" t="s">
        <v>35</v>
      </c>
      <c r="C584" s="263">
        <v>43980</v>
      </c>
      <c r="D584" s="53" t="s">
        <v>778</v>
      </c>
      <c r="E584" s="53" t="s">
        <v>6</v>
      </c>
      <c r="F584" s="147">
        <v>4.2000000000000003E-2</v>
      </c>
      <c r="G584" s="53" t="s">
        <v>1177</v>
      </c>
      <c r="H584" s="53" t="s">
        <v>1177</v>
      </c>
      <c r="I584" s="53" t="s">
        <v>2258</v>
      </c>
      <c r="J584" s="53" t="s">
        <v>229</v>
      </c>
      <c r="K584" s="115">
        <v>7.5</v>
      </c>
      <c r="L584" s="111" t="s">
        <v>1541</v>
      </c>
      <c r="O584" s="116" t="s">
        <v>1541</v>
      </c>
      <c r="Q584" s="23"/>
      <c r="R584" s="23"/>
    </row>
    <row r="585" spans="2:18" ht="15.75" customHeight="1" x14ac:dyDescent="0.15">
      <c r="B585" s="53" t="s">
        <v>45</v>
      </c>
      <c r="C585" s="263">
        <v>43980</v>
      </c>
      <c r="D585" s="53" t="s">
        <v>1818</v>
      </c>
      <c r="E585" s="53" t="s">
        <v>6</v>
      </c>
      <c r="F585" s="147">
        <v>0.105</v>
      </c>
      <c r="G585" s="53" t="s">
        <v>1177</v>
      </c>
      <c r="H585" s="53" t="s">
        <v>1177</v>
      </c>
      <c r="I585" s="53" t="s">
        <v>33</v>
      </c>
      <c r="J585" s="53" t="s">
        <v>16</v>
      </c>
      <c r="K585" s="115">
        <v>6</v>
      </c>
      <c r="L585" s="111" t="s">
        <v>1819</v>
      </c>
      <c r="O585" s="116" t="s">
        <v>1819</v>
      </c>
      <c r="Q585" s="23"/>
      <c r="R585" s="23"/>
    </row>
    <row r="586" spans="2:18" ht="15.75" customHeight="1" x14ac:dyDescent="0.15">
      <c r="B586" s="53" t="s">
        <v>18</v>
      </c>
      <c r="C586" s="263">
        <v>43980</v>
      </c>
      <c r="D586" s="53" t="s">
        <v>779</v>
      </c>
      <c r="E586" s="53" t="s">
        <v>42</v>
      </c>
      <c r="F586" s="147">
        <v>5.5E-2</v>
      </c>
      <c r="G586" s="53" t="s">
        <v>1177</v>
      </c>
      <c r="H586" s="53" t="s">
        <v>1177</v>
      </c>
      <c r="I586" s="53" t="s">
        <v>780</v>
      </c>
      <c r="J586" s="53" t="s">
        <v>781</v>
      </c>
      <c r="K586" s="115">
        <v>3.5</v>
      </c>
      <c r="L586" s="111" t="s">
        <v>1820</v>
      </c>
      <c r="O586" s="116" t="s">
        <v>1820</v>
      </c>
      <c r="Q586" s="23"/>
      <c r="R586" s="23"/>
    </row>
    <row r="587" spans="2:18" ht="15.75" customHeight="1" x14ac:dyDescent="0.15">
      <c r="B587" s="53" t="s">
        <v>9</v>
      </c>
      <c r="C587" s="263">
        <v>43980</v>
      </c>
      <c r="D587" s="53" t="s">
        <v>788</v>
      </c>
      <c r="E587" s="53" t="s">
        <v>12</v>
      </c>
      <c r="F587" s="147">
        <v>0.41299999999999998</v>
      </c>
      <c r="G587" s="53" t="s">
        <v>2919</v>
      </c>
      <c r="H587" s="53" t="s">
        <v>1177</v>
      </c>
      <c r="I587" s="53" t="s">
        <v>259</v>
      </c>
      <c r="J587" s="53" t="s">
        <v>198</v>
      </c>
      <c r="K587" s="115">
        <v>4</v>
      </c>
      <c r="L587" s="111" t="s">
        <v>1821</v>
      </c>
      <c r="O587" s="116" t="s">
        <v>1821</v>
      </c>
      <c r="P587" s="23" t="s">
        <v>3247</v>
      </c>
      <c r="Q587" s="23"/>
      <c r="R587" s="23"/>
    </row>
    <row r="588" spans="2:18" ht="15.75" customHeight="1" x14ac:dyDescent="0.15">
      <c r="B588" s="53" t="s">
        <v>75</v>
      </c>
      <c r="C588" s="263">
        <v>43980</v>
      </c>
      <c r="D588" s="53" t="s">
        <v>415</v>
      </c>
      <c r="E588" s="53" t="s">
        <v>65</v>
      </c>
      <c r="F588" s="147">
        <v>0.21</v>
      </c>
      <c r="G588" s="53" t="s">
        <v>374</v>
      </c>
      <c r="H588" s="53" t="s">
        <v>782</v>
      </c>
      <c r="I588" s="53" t="s">
        <v>265</v>
      </c>
      <c r="J588" s="53" t="s">
        <v>2177</v>
      </c>
      <c r="K588" s="115">
        <v>6.5</v>
      </c>
      <c r="L588" s="111" t="s">
        <v>484</v>
      </c>
      <c r="O588" s="116" t="s">
        <v>1594</v>
      </c>
      <c r="Q588" s="23"/>
      <c r="R588" s="23"/>
    </row>
    <row r="589" spans="2:18" ht="15.75" customHeight="1" x14ac:dyDescent="0.15">
      <c r="B589" s="53" t="s">
        <v>26</v>
      </c>
      <c r="C589" s="263">
        <v>43980</v>
      </c>
      <c r="D589" s="53" t="s">
        <v>3719</v>
      </c>
      <c r="E589" s="53" t="s">
        <v>34</v>
      </c>
      <c r="F589" s="147">
        <v>0.04</v>
      </c>
      <c r="G589" s="53" t="s">
        <v>1177</v>
      </c>
      <c r="H589" s="53" t="s">
        <v>1177</v>
      </c>
      <c r="I589" s="53" t="s">
        <v>298</v>
      </c>
      <c r="J589" s="53" t="s">
        <v>783</v>
      </c>
      <c r="K589" s="115">
        <v>4</v>
      </c>
      <c r="L589" s="111" t="s">
        <v>1813</v>
      </c>
      <c r="O589" s="116" t="s">
        <v>1813</v>
      </c>
      <c r="Q589" s="23"/>
      <c r="R589" s="23"/>
    </row>
    <row r="590" spans="2:18" ht="15.75" customHeight="1" x14ac:dyDescent="0.15">
      <c r="B590" s="53" t="s">
        <v>41</v>
      </c>
      <c r="C590" s="263">
        <v>43980</v>
      </c>
      <c r="D590" s="53" t="s">
        <v>1181</v>
      </c>
      <c r="E590" s="53" t="s">
        <v>34</v>
      </c>
      <c r="F590" s="147">
        <v>5.5E-2</v>
      </c>
      <c r="G590" s="53" t="s">
        <v>1177</v>
      </c>
      <c r="H590" s="53" t="s">
        <v>1177</v>
      </c>
      <c r="I590" s="53" t="s">
        <v>194</v>
      </c>
      <c r="J590" s="53" t="s">
        <v>192</v>
      </c>
      <c r="K590" s="115">
        <v>7</v>
      </c>
      <c r="L590" s="111" t="s">
        <v>1668</v>
      </c>
      <c r="O590" s="116" t="s">
        <v>1668</v>
      </c>
      <c r="Q590" s="23"/>
      <c r="R590" s="23"/>
    </row>
    <row r="591" spans="2:18" ht="15.75" customHeight="1" x14ac:dyDescent="0.15">
      <c r="B591" s="53" t="s">
        <v>35</v>
      </c>
      <c r="C591" s="263">
        <v>43980</v>
      </c>
      <c r="D591" s="53" t="s">
        <v>785</v>
      </c>
      <c r="E591" s="53" t="s">
        <v>6</v>
      </c>
      <c r="F591" s="147">
        <v>4.7E-2</v>
      </c>
      <c r="G591" s="53" t="s">
        <v>1177</v>
      </c>
      <c r="H591" s="53" t="s">
        <v>1177</v>
      </c>
      <c r="I591" s="53" t="s">
        <v>194</v>
      </c>
      <c r="J591" s="53" t="s">
        <v>2451</v>
      </c>
      <c r="K591" s="115">
        <v>7</v>
      </c>
      <c r="L591" s="111" t="s">
        <v>1819</v>
      </c>
      <c r="O591" s="116" t="s">
        <v>1819</v>
      </c>
      <c r="Q591" s="23"/>
      <c r="R591" s="23"/>
    </row>
    <row r="592" spans="2:18" ht="15.75" customHeight="1" x14ac:dyDescent="0.15">
      <c r="B592" s="53" t="s">
        <v>38</v>
      </c>
      <c r="C592" s="263">
        <v>43980</v>
      </c>
      <c r="D592" s="53" t="s">
        <v>757</v>
      </c>
      <c r="E592" s="53" t="s">
        <v>6</v>
      </c>
      <c r="F592" s="147">
        <v>0.04</v>
      </c>
      <c r="G592" s="53" t="s">
        <v>1177</v>
      </c>
      <c r="H592" s="53" t="s">
        <v>1177</v>
      </c>
      <c r="I592" s="53" t="s">
        <v>791</v>
      </c>
      <c r="J592" s="53" t="s">
        <v>792</v>
      </c>
      <c r="K592" s="115">
        <v>8</v>
      </c>
      <c r="L592" s="111" t="s">
        <v>3528</v>
      </c>
      <c r="O592" s="116" t="s">
        <v>1810</v>
      </c>
      <c r="Q592" s="23"/>
      <c r="R592" s="23"/>
    </row>
    <row r="593" spans="2:18" ht="15.75" customHeight="1" x14ac:dyDescent="0.15">
      <c r="B593" s="53" t="s">
        <v>45</v>
      </c>
      <c r="C593" s="263">
        <v>43980</v>
      </c>
      <c r="D593" s="53" t="s">
        <v>2053</v>
      </c>
      <c r="E593" s="53" t="s">
        <v>6</v>
      </c>
      <c r="F593" s="147">
        <v>7.0000000000000007E-2</v>
      </c>
      <c r="G593" s="53" t="s">
        <v>1177</v>
      </c>
      <c r="H593" s="53" t="s">
        <v>1177</v>
      </c>
      <c r="I593" s="53" t="s">
        <v>786</v>
      </c>
      <c r="J593" s="53" t="s">
        <v>787</v>
      </c>
      <c r="K593" s="115">
        <v>8</v>
      </c>
      <c r="L593" s="111" t="s">
        <v>1822</v>
      </c>
      <c r="O593" s="116" t="s">
        <v>1823</v>
      </c>
      <c r="Q593" s="23"/>
      <c r="R593" s="23"/>
    </row>
    <row r="594" spans="2:18" ht="15.75" customHeight="1" x14ac:dyDescent="0.15">
      <c r="B594" s="53" t="s">
        <v>18</v>
      </c>
      <c r="C594" s="263">
        <v>43980</v>
      </c>
      <c r="D594" s="53" t="s">
        <v>789</v>
      </c>
      <c r="E594" s="53" t="s">
        <v>6</v>
      </c>
      <c r="F594" s="147">
        <v>4.4999999999999998E-2</v>
      </c>
      <c r="G594" s="53" t="s">
        <v>1177</v>
      </c>
      <c r="H594" s="53" t="s">
        <v>1177</v>
      </c>
      <c r="I594" s="53" t="s">
        <v>192</v>
      </c>
      <c r="J594" s="53" t="s">
        <v>2452</v>
      </c>
      <c r="K594" s="115">
        <v>7</v>
      </c>
      <c r="L594" s="111" t="s">
        <v>1757</v>
      </c>
      <c r="O594" s="116" t="s">
        <v>1757</v>
      </c>
      <c r="Q594" s="23"/>
      <c r="R594" s="23"/>
    </row>
    <row r="595" spans="2:18" ht="15.75" customHeight="1" x14ac:dyDescent="0.15">
      <c r="B595" s="53" t="s">
        <v>67</v>
      </c>
      <c r="C595" s="263">
        <v>43980</v>
      </c>
      <c r="D595" s="53" t="s">
        <v>1824</v>
      </c>
      <c r="E595" s="53" t="s">
        <v>42</v>
      </c>
      <c r="F595" s="147">
        <v>0.12</v>
      </c>
      <c r="G595" s="53" t="s">
        <v>1177</v>
      </c>
      <c r="H595" s="53" t="s">
        <v>1177</v>
      </c>
      <c r="I595" s="53" t="s">
        <v>2259</v>
      </c>
      <c r="J595" s="53" t="s">
        <v>2453</v>
      </c>
      <c r="K595" s="115">
        <v>7</v>
      </c>
      <c r="L595" s="111" t="s">
        <v>1825</v>
      </c>
      <c r="O595" s="116" t="s">
        <v>1826</v>
      </c>
      <c r="Q595" s="23"/>
      <c r="R595" s="23"/>
    </row>
    <row r="596" spans="2:18" ht="15.75" customHeight="1" x14ac:dyDescent="0.15">
      <c r="B596" s="53" t="s">
        <v>41</v>
      </c>
      <c r="C596" s="263">
        <v>43980</v>
      </c>
      <c r="D596" s="53" t="s">
        <v>897</v>
      </c>
      <c r="E596" s="53" t="s">
        <v>6</v>
      </c>
      <c r="F596" s="147">
        <v>6.4000000000000001E-2</v>
      </c>
      <c r="G596" s="53" t="s">
        <v>1177</v>
      </c>
      <c r="H596" s="53" t="s">
        <v>1177</v>
      </c>
      <c r="I596" s="53" t="s">
        <v>2260</v>
      </c>
      <c r="J596" s="53" t="s">
        <v>25</v>
      </c>
      <c r="K596" s="115">
        <v>4.5</v>
      </c>
      <c r="L596" s="111" t="s">
        <v>1827</v>
      </c>
      <c r="O596" s="116" t="s">
        <v>1827</v>
      </c>
      <c r="Q596" s="23"/>
      <c r="R596" s="23"/>
    </row>
    <row r="597" spans="2:18" ht="15.75" customHeight="1" x14ac:dyDescent="0.15">
      <c r="B597" s="53" t="s">
        <v>26</v>
      </c>
      <c r="C597" s="263">
        <v>43980</v>
      </c>
      <c r="D597" s="53" t="s">
        <v>826</v>
      </c>
      <c r="E597" s="53" t="s">
        <v>34</v>
      </c>
      <c r="F597" s="147">
        <v>0.04</v>
      </c>
      <c r="G597" s="53" t="s">
        <v>1177</v>
      </c>
      <c r="H597" s="53" t="s">
        <v>1177</v>
      </c>
      <c r="I597" s="53" t="s">
        <v>1046</v>
      </c>
      <c r="J597" s="53" t="s">
        <v>234</v>
      </c>
      <c r="K597" s="115">
        <v>5</v>
      </c>
      <c r="L597" s="111" t="s">
        <v>1828</v>
      </c>
      <c r="M597" s="111" t="s">
        <v>2587</v>
      </c>
      <c r="O597" s="116" t="s">
        <v>1828</v>
      </c>
      <c r="Q597" s="23"/>
      <c r="R597" s="23"/>
    </row>
    <row r="598" spans="2:18" ht="15.75" customHeight="1" x14ac:dyDescent="0.15">
      <c r="B598" s="53" t="s">
        <v>61</v>
      </c>
      <c r="C598" s="263">
        <v>43980</v>
      </c>
      <c r="D598" s="53" t="s">
        <v>790</v>
      </c>
      <c r="E598" s="53" t="s">
        <v>6</v>
      </c>
      <c r="F598" s="147">
        <v>4.8000000000000001E-2</v>
      </c>
      <c r="G598" s="53" t="s">
        <v>1177</v>
      </c>
      <c r="H598" s="53" t="s">
        <v>1177</v>
      </c>
      <c r="I598" s="53" t="s">
        <v>806</v>
      </c>
      <c r="J598" s="53" t="s">
        <v>483</v>
      </c>
      <c r="K598" s="115">
        <v>8</v>
      </c>
      <c r="L598" s="111" t="s">
        <v>1829</v>
      </c>
      <c r="O598" s="116" t="s">
        <v>1829</v>
      </c>
      <c r="Q598" s="23"/>
      <c r="R598" s="23"/>
    </row>
    <row r="599" spans="2:18" ht="15.75" customHeight="1" x14ac:dyDescent="0.15">
      <c r="B599" s="53" t="s">
        <v>38</v>
      </c>
      <c r="C599" s="263">
        <v>43980</v>
      </c>
      <c r="D599" s="53" t="s">
        <v>793</v>
      </c>
      <c r="E599" s="53" t="s">
        <v>6</v>
      </c>
      <c r="F599" s="147">
        <v>4.1000000000000002E-2</v>
      </c>
      <c r="G599" s="53" t="s">
        <v>1177</v>
      </c>
      <c r="H599" s="53" t="s">
        <v>1177</v>
      </c>
      <c r="I599" s="53" t="s">
        <v>798</v>
      </c>
      <c r="J599" s="53" t="s">
        <v>272</v>
      </c>
      <c r="K599" s="115">
        <v>8</v>
      </c>
      <c r="L599" s="111" t="s">
        <v>1749</v>
      </c>
      <c r="O599" s="116" t="s">
        <v>1749</v>
      </c>
      <c r="Q599" s="23"/>
      <c r="R599" s="23"/>
    </row>
    <row r="600" spans="2:18" ht="15.75" customHeight="1" x14ac:dyDescent="0.15">
      <c r="B600" s="53" t="s">
        <v>18</v>
      </c>
      <c r="C600" s="263">
        <v>43980</v>
      </c>
      <c r="D600" s="53" t="s">
        <v>794</v>
      </c>
      <c r="E600" s="53" t="s">
        <v>6</v>
      </c>
      <c r="F600" s="147">
        <v>5.0999999999999997E-2</v>
      </c>
      <c r="G600" s="53" t="s">
        <v>1177</v>
      </c>
      <c r="H600" s="53" t="s">
        <v>1177</v>
      </c>
      <c r="I600" s="53" t="s">
        <v>540</v>
      </c>
      <c r="J600" s="53" t="s">
        <v>16</v>
      </c>
      <c r="K600" s="115">
        <v>5</v>
      </c>
      <c r="L600" s="111" t="s">
        <v>794</v>
      </c>
      <c r="O600" s="116" t="s">
        <v>1701</v>
      </c>
      <c r="Q600" s="23"/>
      <c r="R600" s="23"/>
    </row>
    <row r="601" spans="2:18" ht="15.75" customHeight="1" x14ac:dyDescent="0.15">
      <c r="B601" s="53" t="s">
        <v>26</v>
      </c>
      <c r="C601" s="263">
        <v>43980</v>
      </c>
      <c r="D601" s="53" t="s">
        <v>795</v>
      </c>
      <c r="E601" s="53" t="s">
        <v>42</v>
      </c>
      <c r="F601" s="147">
        <v>0.13500000000000001</v>
      </c>
      <c r="G601" s="53" t="s">
        <v>1177</v>
      </c>
      <c r="H601" s="53" t="s">
        <v>1177</v>
      </c>
      <c r="I601" s="53" t="s">
        <v>93</v>
      </c>
      <c r="J601" s="53" t="s">
        <v>2454</v>
      </c>
      <c r="K601" s="115">
        <v>7.5</v>
      </c>
      <c r="L601" s="111" t="s">
        <v>1830</v>
      </c>
      <c r="O601" s="116" t="s">
        <v>1828</v>
      </c>
      <c r="Q601" s="23"/>
      <c r="R601" s="23"/>
    </row>
    <row r="602" spans="2:18" ht="15.75" customHeight="1" x14ac:dyDescent="0.15">
      <c r="B602" s="53" t="s">
        <v>35</v>
      </c>
      <c r="C602" s="263">
        <v>43980</v>
      </c>
      <c r="D602" s="53" t="s">
        <v>796</v>
      </c>
      <c r="E602" s="53" t="s">
        <v>12</v>
      </c>
      <c r="F602" s="147">
        <v>0.2</v>
      </c>
      <c r="G602" s="53" t="s">
        <v>1177</v>
      </c>
      <c r="H602" s="53" t="s">
        <v>1177</v>
      </c>
      <c r="I602" s="53" t="s">
        <v>16</v>
      </c>
      <c r="J602" s="53" t="s">
        <v>797</v>
      </c>
      <c r="K602" s="115">
        <v>6</v>
      </c>
      <c r="L602" s="111" t="s">
        <v>1277</v>
      </c>
      <c r="O602" s="116" t="s">
        <v>1573</v>
      </c>
      <c r="Q602" s="23"/>
      <c r="R602" s="23"/>
    </row>
    <row r="603" spans="2:18" ht="15.75" customHeight="1" x14ac:dyDescent="0.15">
      <c r="B603" s="53" t="s">
        <v>45</v>
      </c>
      <c r="C603" s="263">
        <v>43980</v>
      </c>
      <c r="D603" s="53" t="s">
        <v>1630</v>
      </c>
      <c r="E603" s="53" t="s">
        <v>65</v>
      </c>
      <c r="F603" s="147">
        <v>0.375</v>
      </c>
      <c r="G603" s="53" t="s">
        <v>1177</v>
      </c>
      <c r="H603" s="53" t="s">
        <v>1177</v>
      </c>
      <c r="I603" s="53" t="s">
        <v>1379</v>
      </c>
      <c r="J603" s="53" t="s">
        <v>2455</v>
      </c>
      <c r="K603" s="115">
        <v>7</v>
      </c>
      <c r="L603" s="111" t="s">
        <v>1536</v>
      </c>
      <c r="O603" s="116" t="s">
        <v>1537</v>
      </c>
      <c r="Q603" s="23"/>
      <c r="R603" s="23"/>
    </row>
    <row r="604" spans="2:18" ht="15.75" customHeight="1" x14ac:dyDescent="0.15">
      <c r="B604" s="53" t="s">
        <v>18</v>
      </c>
      <c r="C604" s="263">
        <v>43980</v>
      </c>
      <c r="D604" s="53" t="s">
        <v>1764</v>
      </c>
      <c r="E604" s="53" t="s">
        <v>36</v>
      </c>
      <c r="F604" s="147">
        <v>0.43</v>
      </c>
      <c r="G604" s="53" t="s">
        <v>1177</v>
      </c>
      <c r="H604" s="53" t="s">
        <v>1177</v>
      </c>
      <c r="I604" s="53" t="s">
        <v>204</v>
      </c>
      <c r="J604" s="53" t="s">
        <v>2456</v>
      </c>
      <c r="K604" s="115">
        <v>7.5</v>
      </c>
      <c r="L604" s="111" t="s">
        <v>1765</v>
      </c>
      <c r="O604" s="116" t="s">
        <v>1490</v>
      </c>
      <c r="Q604" s="23"/>
      <c r="R604" s="23"/>
    </row>
    <row r="605" spans="2:18" ht="15.75" customHeight="1" x14ac:dyDescent="0.15">
      <c r="B605" s="53" t="s">
        <v>73</v>
      </c>
      <c r="C605" s="263">
        <v>43980</v>
      </c>
      <c r="D605" s="53" t="s">
        <v>755</v>
      </c>
      <c r="E605" s="53" t="s">
        <v>65</v>
      </c>
      <c r="F605" s="147">
        <v>0.65</v>
      </c>
      <c r="G605" s="53" t="s">
        <v>1177</v>
      </c>
      <c r="H605" s="53" t="s">
        <v>1177</v>
      </c>
      <c r="I605" s="53" t="s">
        <v>2261</v>
      </c>
      <c r="J605" s="53" t="s">
        <v>973</v>
      </c>
      <c r="K605" s="115">
        <v>8</v>
      </c>
      <c r="L605" s="111" t="s">
        <v>1809</v>
      </c>
      <c r="O605" s="116" t="s">
        <v>1809</v>
      </c>
      <c r="Q605" s="23"/>
      <c r="R605" s="23"/>
    </row>
    <row r="606" spans="2:18" ht="15.75" customHeight="1" x14ac:dyDescent="0.15">
      <c r="B606" s="53" t="s">
        <v>41</v>
      </c>
      <c r="C606" s="263">
        <v>43980</v>
      </c>
      <c r="D606" s="53" t="s">
        <v>2996</v>
      </c>
      <c r="E606" s="53" t="s">
        <v>190</v>
      </c>
      <c r="F606" s="147">
        <v>0.1</v>
      </c>
      <c r="G606" s="53" t="s">
        <v>1177</v>
      </c>
      <c r="H606" s="53" t="s">
        <v>1177</v>
      </c>
      <c r="I606" s="53" t="s">
        <v>2321</v>
      </c>
      <c r="J606" s="53" t="s">
        <v>2457</v>
      </c>
      <c r="K606" s="115">
        <v>2</v>
      </c>
      <c r="L606" s="111" t="s">
        <v>1779</v>
      </c>
      <c r="O606" s="116" t="s">
        <v>1780</v>
      </c>
      <c r="Q606" s="23"/>
      <c r="R606" s="23"/>
    </row>
    <row r="607" spans="2:18" ht="15.75" customHeight="1" x14ac:dyDescent="0.15">
      <c r="B607" s="53" t="s">
        <v>61</v>
      </c>
      <c r="C607" s="263">
        <v>43980</v>
      </c>
      <c r="D607" s="53" t="s">
        <v>799</v>
      </c>
      <c r="E607" s="53" t="s">
        <v>27</v>
      </c>
      <c r="F607" s="147">
        <v>0.27</v>
      </c>
      <c r="G607" s="53" t="s">
        <v>1177</v>
      </c>
      <c r="H607" s="53" t="s">
        <v>1177</v>
      </c>
      <c r="I607" s="53" t="s">
        <v>192</v>
      </c>
      <c r="J607" s="53" t="s">
        <v>540</v>
      </c>
      <c r="K607" s="115">
        <v>7.5</v>
      </c>
      <c r="L607" s="111" t="s">
        <v>1510</v>
      </c>
      <c r="O607" s="116" t="s">
        <v>1510</v>
      </c>
      <c r="Q607" s="23"/>
      <c r="R607" s="23"/>
    </row>
    <row r="608" spans="2:18" ht="15.75" customHeight="1" x14ac:dyDescent="0.15">
      <c r="B608" s="53" t="s">
        <v>73</v>
      </c>
      <c r="C608" s="263">
        <v>43980</v>
      </c>
      <c r="D608" s="53" t="s">
        <v>800</v>
      </c>
      <c r="E608" s="53" t="s">
        <v>6</v>
      </c>
      <c r="F608" s="147">
        <v>6.5000000000000002E-2</v>
      </c>
      <c r="G608" s="53" t="s">
        <v>1177</v>
      </c>
      <c r="H608" s="53" t="s">
        <v>1177</v>
      </c>
      <c r="I608" s="53" t="s">
        <v>807</v>
      </c>
      <c r="J608" s="53" t="s">
        <v>238</v>
      </c>
      <c r="K608" s="115">
        <v>8</v>
      </c>
      <c r="L608" s="111" t="s">
        <v>1819</v>
      </c>
      <c r="O608" s="116" t="s">
        <v>1819</v>
      </c>
      <c r="Q608" s="23"/>
      <c r="R608" s="23"/>
    </row>
    <row r="609" spans="2:18" ht="15.75" customHeight="1" x14ac:dyDescent="0.15">
      <c r="B609" s="53" t="s">
        <v>41</v>
      </c>
      <c r="C609" s="263">
        <v>43980</v>
      </c>
      <c r="D609" s="53" t="s">
        <v>801</v>
      </c>
      <c r="E609" s="53" t="s">
        <v>6</v>
      </c>
      <c r="F609" s="147">
        <v>5.5E-2</v>
      </c>
      <c r="G609" s="53" t="s">
        <v>1177</v>
      </c>
      <c r="H609" s="53" t="s">
        <v>1177</v>
      </c>
      <c r="I609" s="53" t="s">
        <v>2262</v>
      </c>
      <c r="J609" s="53" t="s">
        <v>147</v>
      </c>
      <c r="K609" s="115">
        <v>0</v>
      </c>
      <c r="L609" s="111" t="s">
        <v>668</v>
      </c>
      <c r="O609" s="116" t="s">
        <v>668</v>
      </c>
      <c r="Q609" s="23"/>
      <c r="R609" s="23"/>
    </row>
    <row r="610" spans="2:18" ht="15.75" customHeight="1" x14ac:dyDescent="0.15">
      <c r="B610" s="53" t="s">
        <v>35</v>
      </c>
      <c r="C610" s="263">
        <v>43980</v>
      </c>
      <c r="D610" s="53" t="s">
        <v>802</v>
      </c>
      <c r="E610" s="53" t="s">
        <v>6</v>
      </c>
      <c r="F610" s="147">
        <v>5.5E-2</v>
      </c>
      <c r="G610" s="53" t="s">
        <v>1177</v>
      </c>
      <c r="H610" s="53" t="s">
        <v>1177</v>
      </c>
      <c r="I610" s="53" t="s">
        <v>146</v>
      </c>
      <c r="J610" s="53" t="s">
        <v>2321</v>
      </c>
      <c r="K610" s="115">
        <v>5</v>
      </c>
      <c r="L610" s="111" t="s">
        <v>1544</v>
      </c>
      <c r="O610" s="116" t="s">
        <v>1544</v>
      </c>
      <c r="Q610" s="23"/>
      <c r="R610" s="23"/>
    </row>
    <row r="611" spans="2:18" ht="15.75" customHeight="1" x14ac:dyDescent="0.15">
      <c r="B611" s="53" t="s">
        <v>38</v>
      </c>
      <c r="C611" s="263">
        <v>43980</v>
      </c>
      <c r="D611" s="53" t="s">
        <v>803</v>
      </c>
      <c r="E611" s="53" t="s">
        <v>6</v>
      </c>
      <c r="F611" s="147">
        <v>4.8000000000000001E-2</v>
      </c>
      <c r="G611" s="53" t="s">
        <v>1177</v>
      </c>
      <c r="H611" s="53" t="s">
        <v>1177</v>
      </c>
      <c r="I611" s="53" t="s">
        <v>810</v>
      </c>
      <c r="J611" s="53" t="s">
        <v>811</v>
      </c>
      <c r="K611" s="115">
        <v>6.5</v>
      </c>
      <c r="L611" s="111" t="s">
        <v>2704</v>
      </c>
      <c r="O611" s="116" t="s">
        <v>1831</v>
      </c>
      <c r="Q611" s="23"/>
      <c r="R611" s="23"/>
    </row>
    <row r="612" spans="2:18" ht="15.75" customHeight="1" x14ac:dyDescent="0.15">
      <c r="B612" s="53" t="s">
        <v>41</v>
      </c>
      <c r="C612" s="263">
        <v>43980</v>
      </c>
      <c r="D612" s="53" t="s">
        <v>804</v>
      </c>
      <c r="E612" s="53" t="s">
        <v>190</v>
      </c>
      <c r="F612" s="147">
        <v>0.25</v>
      </c>
      <c r="G612" s="53" t="s">
        <v>805</v>
      </c>
      <c r="H612" s="53" t="s">
        <v>1177</v>
      </c>
      <c r="I612" s="53" t="s">
        <v>25</v>
      </c>
      <c r="J612" s="53" t="s">
        <v>2458</v>
      </c>
      <c r="K612" s="115">
        <v>7</v>
      </c>
      <c r="L612" s="111" t="s">
        <v>804</v>
      </c>
      <c r="O612" s="116" t="s">
        <v>1465</v>
      </c>
      <c r="P612" s="23" t="s">
        <v>3260</v>
      </c>
      <c r="Q612" s="23"/>
      <c r="R612" s="23"/>
    </row>
    <row r="613" spans="2:18" ht="15.75" customHeight="1" x14ac:dyDescent="0.15">
      <c r="B613" s="53" t="s">
        <v>18</v>
      </c>
      <c r="C613" s="263">
        <v>43980</v>
      </c>
      <c r="D613" s="53" t="s">
        <v>1832</v>
      </c>
      <c r="E613" s="53" t="s">
        <v>6</v>
      </c>
      <c r="F613" s="147">
        <v>6.6000000000000003E-2</v>
      </c>
      <c r="G613" s="53" t="s">
        <v>1177</v>
      </c>
      <c r="H613" s="53" t="s">
        <v>1177</v>
      </c>
      <c r="I613" s="53" t="s">
        <v>49</v>
      </c>
      <c r="J613" s="53" t="s">
        <v>2414</v>
      </c>
      <c r="K613" s="115">
        <v>8</v>
      </c>
      <c r="L613" s="111" t="s">
        <v>1446</v>
      </c>
      <c r="O613" s="116" t="s">
        <v>1565</v>
      </c>
      <c r="Q613" s="23"/>
      <c r="R613" s="23"/>
    </row>
    <row r="614" spans="2:18" ht="15.75" customHeight="1" x14ac:dyDescent="0.15">
      <c r="B614" s="53" t="s">
        <v>45</v>
      </c>
      <c r="C614" s="263">
        <v>43980</v>
      </c>
      <c r="D614" s="53" t="s">
        <v>1182</v>
      </c>
      <c r="E614" s="53" t="s">
        <v>6</v>
      </c>
      <c r="F614" s="147">
        <v>0.04</v>
      </c>
      <c r="G614" s="53" t="s">
        <v>1177</v>
      </c>
      <c r="H614" s="53" t="s">
        <v>1177</v>
      </c>
      <c r="I614" s="53" t="s">
        <v>813</v>
      </c>
      <c r="J614" s="53" t="s">
        <v>1419</v>
      </c>
      <c r="K614" s="115">
        <v>7</v>
      </c>
      <c r="L614" s="111" t="s">
        <v>896</v>
      </c>
      <c r="O614" s="116" t="s">
        <v>1833</v>
      </c>
      <c r="Q614" s="23"/>
      <c r="R614" s="23"/>
    </row>
    <row r="615" spans="2:18" ht="15.75" customHeight="1" x14ac:dyDescent="0.15">
      <c r="B615" s="53" t="s">
        <v>26</v>
      </c>
      <c r="C615" s="263">
        <v>43980</v>
      </c>
      <c r="D615" s="53" t="s">
        <v>808</v>
      </c>
      <c r="E615" s="53" t="s">
        <v>34</v>
      </c>
      <c r="F615" s="147">
        <v>0.04</v>
      </c>
      <c r="G615" s="53" t="s">
        <v>1177</v>
      </c>
      <c r="H615" s="53" t="s">
        <v>1177</v>
      </c>
      <c r="I615" s="53" t="s">
        <v>809</v>
      </c>
      <c r="J615" s="53" t="s">
        <v>2420</v>
      </c>
      <c r="K615" s="115">
        <v>8</v>
      </c>
      <c r="L615" s="111" t="s">
        <v>1576</v>
      </c>
      <c r="O615" s="116" t="s">
        <v>1533</v>
      </c>
      <c r="Q615" s="23"/>
      <c r="R615" s="23"/>
    </row>
    <row r="616" spans="2:18" ht="15.75" customHeight="1" x14ac:dyDescent="0.15">
      <c r="B616" s="53" t="s">
        <v>18</v>
      </c>
      <c r="C616" s="263">
        <v>43980</v>
      </c>
      <c r="D616" s="53" t="s">
        <v>788</v>
      </c>
      <c r="E616" s="53" t="s">
        <v>12</v>
      </c>
      <c r="F616" s="147">
        <v>0.41299999999999998</v>
      </c>
      <c r="G616" s="53" t="s">
        <v>1177</v>
      </c>
      <c r="H616" s="53" t="s">
        <v>1177</v>
      </c>
      <c r="I616" s="53" t="s">
        <v>464</v>
      </c>
      <c r="J616" s="53" t="s">
        <v>812</v>
      </c>
      <c r="K616" s="115">
        <v>2.5</v>
      </c>
      <c r="L616" s="111" t="s">
        <v>1821</v>
      </c>
      <c r="O616" s="116" t="s">
        <v>1821</v>
      </c>
      <c r="Q616" s="23"/>
      <c r="R616" s="23"/>
    </row>
    <row r="617" spans="2:18" ht="15.75" customHeight="1" x14ac:dyDescent="0.15">
      <c r="B617" s="53" t="s">
        <v>18</v>
      </c>
      <c r="C617" s="263">
        <v>43980</v>
      </c>
      <c r="D617" s="53" t="s">
        <v>1834</v>
      </c>
      <c r="E617" s="53" t="s">
        <v>12</v>
      </c>
      <c r="F617" s="147">
        <v>0.375</v>
      </c>
      <c r="G617" s="53" t="s">
        <v>1177</v>
      </c>
      <c r="H617" s="53" t="s">
        <v>1177</v>
      </c>
      <c r="I617" s="53" t="s">
        <v>814</v>
      </c>
      <c r="J617" s="53" t="s">
        <v>815</v>
      </c>
      <c r="K617" s="115">
        <v>4</v>
      </c>
      <c r="L617" s="111" t="s">
        <v>1472</v>
      </c>
      <c r="O617" s="116" t="s">
        <v>1455</v>
      </c>
      <c r="Q617" s="23"/>
      <c r="R617" s="23"/>
    </row>
    <row r="618" spans="2:18" ht="15.75" customHeight="1" x14ac:dyDescent="0.15">
      <c r="B618" s="53" t="s">
        <v>38</v>
      </c>
      <c r="C618" s="263">
        <v>43980</v>
      </c>
      <c r="D618" s="53" t="s">
        <v>741</v>
      </c>
      <c r="E618" s="53" t="s">
        <v>6</v>
      </c>
      <c r="F618" s="147">
        <v>0.05</v>
      </c>
      <c r="G618" s="53" t="s">
        <v>1177</v>
      </c>
      <c r="H618" s="53" t="s">
        <v>1177</v>
      </c>
      <c r="I618" s="53" t="s">
        <v>824</v>
      </c>
      <c r="J618" s="53" t="s">
        <v>2459</v>
      </c>
      <c r="K618" s="115">
        <v>7</v>
      </c>
      <c r="L618" s="111" t="s">
        <v>1805</v>
      </c>
      <c r="O618" s="116" t="s">
        <v>1806</v>
      </c>
      <c r="Q618" s="23"/>
      <c r="R618" s="23"/>
    </row>
    <row r="619" spans="2:18" ht="15.75" customHeight="1" x14ac:dyDescent="0.15">
      <c r="B619" s="53" t="s">
        <v>18</v>
      </c>
      <c r="C619" s="263">
        <v>43980</v>
      </c>
      <c r="D619" s="53" t="s">
        <v>816</v>
      </c>
      <c r="E619" s="53" t="s">
        <v>65</v>
      </c>
      <c r="F619" s="147">
        <v>0.375</v>
      </c>
      <c r="G619" s="53" t="s">
        <v>1177</v>
      </c>
      <c r="H619" s="53" t="s">
        <v>1177</v>
      </c>
      <c r="I619" s="53" t="s">
        <v>2263</v>
      </c>
      <c r="J619" s="53" t="s">
        <v>49</v>
      </c>
      <c r="K619" s="115">
        <v>6</v>
      </c>
      <c r="L619" s="111" t="s">
        <v>816</v>
      </c>
      <c r="O619" s="116" t="s">
        <v>816</v>
      </c>
      <c r="Q619" s="23"/>
      <c r="R619" s="23"/>
    </row>
    <row r="620" spans="2:18" ht="15.75" customHeight="1" x14ac:dyDescent="0.15">
      <c r="B620" s="53" t="s">
        <v>26</v>
      </c>
      <c r="C620" s="263">
        <v>43980</v>
      </c>
      <c r="D620" s="53" t="s">
        <v>1835</v>
      </c>
      <c r="E620" s="53" t="s">
        <v>34</v>
      </c>
      <c r="F620" s="147">
        <v>0.04</v>
      </c>
      <c r="G620" s="53" t="s">
        <v>1177</v>
      </c>
      <c r="H620" s="53" t="s">
        <v>1177</v>
      </c>
      <c r="I620" s="53" t="s">
        <v>817</v>
      </c>
      <c r="J620" s="53" t="s">
        <v>818</v>
      </c>
      <c r="K620" s="115">
        <v>9</v>
      </c>
      <c r="L620" s="111" t="s">
        <v>1472</v>
      </c>
      <c r="O620" s="116" t="s">
        <v>1455</v>
      </c>
      <c r="Q620" s="23"/>
      <c r="R620" s="23"/>
    </row>
    <row r="621" spans="2:18" ht="15.75" customHeight="1" x14ac:dyDescent="0.15">
      <c r="B621" s="53" t="s">
        <v>18</v>
      </c>
      <c r="C621" s="263">
        <v>43980</v>
      </c>
      <c r="D621" s="53" t="s">
        <v>700</v>
      </c>
      <c r="E621" s="53" t="s">
        <v>36</v>
      </c>
      <c r="F621" s="147">
        <v>0.4</v>
      </c>
      <c r="G621" s="53" t="s">
        <v>1177</v>
      </c>
      <c r="H621" s="53" t="s">
        <v>1177</v>
      </c>
      <c r="I621" s="53" t="s">
        <v>163</v>
      </c>
      <c r="J621" s="53" t="s">
        <v>514</v>
      </c>
      <c r="K621" s="115">
        <v>6.5</v>
      </c>
      <c r="L621" s="111" t="s">
        <v>1782</v>
      </c>
      <c r="O621" s="116" t="s">
        <v>1713</v>
      </c>
      <c r="Q621" s="23"/>
      <c r="R621" s="23"/>
    </row>
    <row r="622" spans="2:18" ht="15.75" customHeight="1" x14ac:dyDescent="0.15">
      <c r="B622" s="53" t="s">
        <v>361</v>
      </c>
      <c r="C622" s="263">
        <v>43980</v>
      </c>
      <c r="D622" s="53" t="s">
        <v>819</v>
      </c>
      <c r="E622" s="53" t="s">
        <v>32</v>
      </c>
      <c r="F622" s="147">
        <v>0.375</v>
      </c>
      <c r="G622" s="53" t="s">
        <v>820</v>
      </c>
      <c r="H622" s="53" t="s">
        <v>1177</v>
      </c>
      <c r="I622" s="53" t="s">
        <v>2321</v>
      </c>
      <c r="J622" s="53" t="s">
        <v>219</v>
      </c>
      <c r="K622" s="115">
        <v>4</v>
      </c>
      <c r="L622" s="111" t="s">
        <v>766</v>
      </c>
      <c r="O622" s="116" t="s">
        <v>1516</v>
      </c>
      <c r="Q622" s="23"/>
      <c r="R622" s="23"/>
    </row>
    <row r="623" spans="2:18" ht="15.75" customHeight="1" x14ac:dyDescent="0.15">
      <c r="B623" s="53" t="s">
        <v>41</v>
      </c>
      <c r="C623" s="263">
        <v>43980</v>
      </c>
      <c r="D623" s="53" t="s">
        <v>821</v>
      </c>
      <c r="E623" s="53" t="s">
        <v>190</v>
      </c>
      <c r="F623" s="147">
        <v>0.04</v>
      </c>
      <c r="G623" s="53" t="s">
        <v>1177</v>
      </c>
      <c r="H623" s="53" t="s">
        <v>1177</v>
      </c>
      <c r="I623" s="53" t="s">
        <v>231</v>
      </c>
      <c r="J623" s="53" t="s">
        <v>832</v>
      </c>
      <c r="K623" s="115">
        <v>2</v>
      </c>
      <c r="L623" s="111" t="s">
        <v>1836</v>
      </c>
      <c r="O623" s="116" t="s">
        <v>1585</v>
      </c>
      <c r="Q623" s="23"/>
      <c r="R623" s="23"/>
    </row>
    <row r="624" spans="2:18" ht="15.75" customHeight="1" x14ac:dyDescent="0.15">
      <c r="B624" s="53" t="s">
        <v>822</v>
      </c>
      <c r="C624" s="263">
        <v>43980</v>
      </c>
      <c r="D624" s="53" t="s">
        <v>819</v>
      </c>
      <c r="E624" s="53" t="s">
        <v>32</v>
      </c>
      <c r="F624" s="147">
        <v>0.375</v>
      </c>
      <c r="G624" s="53" t="s">
        <v>820</v>
      </c>
      <c r="H624" s="53" t="s">
        <v>1177</v>
      </c>
      <c r="I624" s="53" t="s">
        <v>252</v>
      </c>
      <c r="J624" s="53" t="s">
        <v>288</v>
      </c>
      <c r="K624" s="115">
        <v>2.5</v>
      </c>
      <c r="L624" s="111" t="s">
        <v>766</v>
      </c>
      <c r="O624" s="116" t="s">
        <v>1516</v>
      </c>
      <c r="Q624" s="23"/>
      <c r="R624" s="23"/>
    </row>
    <row r="625" spans="2:18" ht="15.75" customHeight="1" x14ac:dyDescent="0.15">
      <c r="B625" s="53" t="s">
        <v>420</v>
      </c>
      <c r="C625" s="263">
        <v>43980</v>
      </c>
      <c r="D625" s="53" t="s">
        <v>823</v>
      </c>
      <c r="E625" s="53" t="s">
        <v>6</v>
      </c>
      <c r="F625" s="147">
        <v>5.5E-2</v>
      </c>
      <c r="G625" s="53" t="s">
        <v>1177</v>
      </c>
      <c r="H625" s="53" t="s">
        <v>1177</v>
      </c>
      <c r="I625" s="53" t="s">
        <v>3486</v>
      </c>
      <c r="J625" s="53" t="s">
        <v>2460</v>
      </c>
      <c r="K625" s="115">
        <v>4</v>
      </c>
      <c r="L625" s="111" t="s">
        <v>1590</v>
      </c>
      <c r="O625" s="116" t="s">
        <v>1590</v>
      </c>
      <c r="Q625" s="23"/>
      <c r="R625" s="23"/>
    </row>
    <row r="626" spans="2:18" ht="15.75" customHeight="1" x14ac:dyDescent="0.15">
      <c r="B626" s="53" t="s">
        <v>61</v>
      </c>
      <c r="C626" s="263">
        <v>43980</v>
      </c>
      <c r="D626" s="53" t="s">
        <v>110</v>
      </c>
      <c r="E626" s="53" t="s">
        <v>6</v>
      </c>
      <c r="F626" s="147">
        <v>6.7000000000000004E-2</v>
      </c>
      <c r="G626" s="53" t="s">
        <v>1177</v>
      </c>
      <c r="H626" s="53" t="s">
        <v>1177</v>
      </c>
      <c r="I626" s="53" t="s">
        <v>321</v>
      </c>
      <c r="J626" s="53" t="s">
        <v>218</v>
      </c>
      <c r="K626" s="115">
        <v>7.5</v>
      </c>
      <c r="L626" s="111" t="s">
        <v>1517</v>
      </c>
      <c r="O626" s="116" t="s">
        <v>1517</v>
      </c>
      <c r="Q626" s="23"/>
      <c r="R626" s="23"/>
    </row>
    <row r="627" spans="2:18" ht="15.75" customHeight="1" x14ac:dyDescent="0.15">
      <c r="B627" s="53" t="s">
        <v>38</v>
      </c>
      <c r="C627" s="263">
        <v>43980</v>
      </c>
      <c r="D627" s="53" t="s">
        <v>825</v>
      </c>
      <c r="E627" s="53" t="s">
        <v>6</v>
      </c>
      <c r="F627" s="147">
        <v>6.5000000000000002E-2</v>
      </c>
      <c r="G627" s="53" t="s">
        <v>1177</v>
      </c>
      <c r="H627" s="53" t="s">
        <v>1177</v>
      </c>
      <c r="I627" s="53" t="s">
        <v>835</v>
      </c>
      <c r="J627" s="53" t="s">
        <v>341</v>
      </c>
      <c r="K627" s="115">
        <v>6.5</v>
      </c>
      <c r="L627" s="111" t="s">
        <v>1749</v>
      </c>
      <c r="O627" s="116" t="s">
        <v>1749</v>
      </c>
      <c r="Q627" s="23"/>
      <c r="R627" s="23"/>
    </row>
    <row r="628" spans="2:18" ht="15.75" customHeight="1" x14ac:dyDescent="0.15">
      <c r="B628" s="53" t="s">
        <v>420</v>
      </c>
      <c r="C628" s="263">
        <v>43980</v>
      </c>
      <c r="D628" s="53" t="s">
        <v>1838</v>
      </c>
      <c r="E628" s="53" t="s">
        <v>6</v>
      </c>
      <c r="F628" s="147">
        <v>5.0999999999999997E-2</v>
      </c>
      <c r="G628" s="53" t="s">
        <v>1177</v>
      </c>
      <c r="H628" s="53" t="s">
        <v>1177</v>
      </c>
      <c r="I628" s="53" t="s">
        <v>837</v>
      </c>
      <c r="J628" s="53" t="s">
        <v>838</v>
      </c>
      <c r="K628" s="115">
        <v>5</v>
      </c>
      <c r="L628" s="111" t="s">
        <v>1658</v>
      </c>
      <c r="O628" s="116" t="s">
        <v>1659</v>
      </c>
      <c r="Q628" s="23"/>
      <c r="R628" s="23"/>
    </row>
    <row r="629" spans="2:18" ht="15.75" customHeight="1" x14ac:dyDescent="0.15">
      <c r="B629" s="53" t="s">
        <v>26</v>
      </c>
      <c r="C629" s="263">
        <v>43980</v>
      </c>
      <c r="D629" s="53" t="s">
        <v>1839</v>
      </c>
      <c r="E629" s="53" t="s">
        <v>34</v>
      </c>
      <c r="F629" s="147">
        <v>0.04</v>
      </c>
      <c r="G629" s="53" t="s">
        <v>1177</v>
      </c>
      <c r="H629" s="53" t="s">
        <v>1177</v>
      </c>
      <c r="I629" s="53" t="s">
        <v>810</v>
      </c>
      <c r="J629" s="53" t="s">
        <v>2461</v>
      </c>
      <c r="K629" s="115">
        <v>5</v>
      </c>
      <c r="L629" s="111" t="s">
        <v>1828</v>
      </c>
      <c r="M629" s="111" t="s">
        <v>2587</v>
      </c>
      <c r="O629" s="116" t="s">
        <v>1828</v>
      </c>
      <c r="Q629" s="23"/>
      <c r="R629" s="23"/>
    </row>
    <row r="630" spans="2:18" ht="15.75" customHeight="1" x14ac:dyDescent="0.15">
      <c r="B630" s="53" t="s">
        <v>18</v>
      </c>
      <c r="C630" s="263">
        <v>43980</v>
      </c>
      <c r="D630" s="53" t="s">
        <v>178</v>
      </c>
      <c r="E630" s="53" t="s">
        <v>6</v>
      </c>
      <c r="F630" s="147">
        <v>3.7999999999999999E-2</v>
      </c>
      <c r="G630" s="53" t="s">
        <v>1177</v>
      </c>
      <c r="H630" s="53" t="s">
        <v>1177</v>
      </c>
      <c r="I630" s="53" t="s">
        <v>838</v>
      </c>
      <c r="J630" s="53" t="s">
        <v>13</v>
      </c>
      <c r="K630" s="115">
        <v>7</v>
      </c>
      <c r="L630" s="111" t="s">
        <v>666</v>
      </c>
      <c r="O630" s="116" t="s">
        <v>666</v>
      </c>
      <c r="Q630" s="23"/>
      <c r="R630" s="23"/>
    </row>
    <row r="631" spans="2:18" ht="15.75" customHeight="1" x14ac:dyDescent="0.15">
      <c r="B631" s="53" t="s">
        <v>361</v>
      </c>
      <c r="C631" s="263">
        <v>43980</v>
      </c>
      <c r="D631" s="53" t="s">
        <v>827</v>
      </c>
      <c r="E631" s="53" t="s">
        <v>65</v>
      </c>
      <c r="F631" s="147">
        <v>0.38500000000000001</v>
      </c>
      <c r="G631" s="53" t="s">
        <v>828</v>
      </c>
      <c r="H631" s="53" t="s">
        <v>1177</v>
      </c>
      <c r="I631" s="53" t="s">
        <v>829</v>
      </c>
      <c r="J631" s="53" t="s">
        <v>830</v>
      </c>
      <c r="K631" s="115">
        <v>3</v>
      </c>
      <c r="L631" s="111" t="s">
        <v>1840</v>
      </c>
      <c r="O631" s="116" t="s">
        <v>1841</v>
      </c>
      <c r="Q631" s="23"/>
      <c r="R631" s="23"/>
    </row>
    <row r="632" spans="2:18" ht="15.75" customHeight="1" x14ac:dyDescent="0.15">
      <c r="B632" s="53" t="s">
        <v>822</v>
      </c>
      <c r="C632" s="263">
        <v>43980</v>
      </c>
      <c r="D632" s="53" t="s">
        <v>1842</v>
      </c>
      <c r="E632" s="53" t="s">
        <v>32</v>
      </c>
      <c r="F632" s="147">
        <v>0.375</v>
      </c>
      <c r="G632" s="53" t="s">
        <v>831</v>
      </c>
      <c r="H632" s="53" t="s">
        <v>1177</v>
      </c>
      <c r="I632" s="53" t="s">
        <v>430</v>
      </c>
      <c r="J632" s="53" t="s">
        <v>232</v>
      </c>
      <c r="K632" s="115">
        <v>8</v>
      </c>
      <c r="L632" s="111" t="s">
        <v>766</v>
      </c>
      <c r="O632" s="116" t="s">
        <v>1516</v>
      </c>
      <c r="Q632" s="23"/>
      <c r="R632" s="23"/>
    </row>
    <row r="633" spans="2:18" ht="15.75" customHeight="1" x14ac:dyDescent="0.15">
      <c r="B633" s="53" t="s">
        <v>361</v>
      </c>
      <c r="C633" s="263">
        <v>43980</v>
      </c>
      <c r="D633" s="53" t="s">
        <v>1842</v>
      </c>
      <c r="E633" s="53" t="s">
        <v>32</v>
      </c>
      <c r="F633" s="147">
        <v>0.375</v>
      </c>
      <c r="G633" s="53" t="s">
        <v>831</v>
      </c>
      <c r="H633" s="53" t="s">
        <v>1177</v>
      </c>
      <c r="I633" s="53" t="s">
        <v>298</v>
      </c>
      <c r="J633" s="53" t="s">
        <v>340</v>
      </c>
      <c r="K633" s="115">
        <v>6</v>
      </c>
      <c r="L633" s="111" t="s">
        <v>766</v>
      </c>
      <c r="O633" s="116" t="s">
        <v>1516</v>
      </c>
      <c r="Q633" s="23"/>
      <c r="R633" s="23"/>
    </row>
    <row r="634" spans="2:18" ht="15.75" customHeight="1" x14ac:dyDescent="0.15">
      <c r="B634" s="53" t="s">
        <v>41</v>
      </c>
      <c r="C634" s="263">
        <v>43980</v>
      </c>
      <c r="D634" s="53" t="s">
        <v>833</v>
      </c>
      <c r="E634" s="53" t="s">
        <v>6</v>
      </c>
      <c r="F634" s="147">
        <v>7.0000000000000007E-2</v>
      </c>
      <c r="G634" s="53" t="s">
        <v>1177</v>
      </c>
      <c r="H634" s="53" t="s">
        <v>1177</v>
      </c>
      <c r="I634" s="53" t="s">
        <v>70</v>
      </c>
      <c r="J634" s="53" t="s">
        <v>818</v>
      </c>
      <c r="K634" s="115">
        <v>6.5</v>
      </c>
      <c r="L634" s="111" t="s">
        <v>669</v>
      </c>
      <c r="O634" s="116" t="s">
        <v>1656</v>
      </c>
      <c r="Q634" s="23"/>
      <c r="R634" s="23"/>
    </row>
    <row r="635" spans="2:18" ht="15.75" customHeight="1" x14ac:dyDescent="0.15">
      <c r="B635" s="53" t="s">
        <v>35</v>
      </c>
      <c r="C635" s="263">
        <v>43980</v>
      </c>
      <c r="D635" s="53" t="s">
        <v>1843</v>
      </c>
      <c r="E635" s="53" t="s">
        <v>6</v>
      </c>
      <c r="F635" s="147">
        <v>4.5999999999999999E-2</v>
      </c>
      <c r="G635" s="53" t="s">
        <v>1177</v>
      </c>
      <c r="H635" s="53" t="s">
        <v>1177</v>
      </c>
      <c r="I635" s="53" t="s">
        <v>260</v>
      </c>
      <c r="J635" s="53" t="s">
        <v>2361</v>
      </c>
      <c r="K635" s="115">
        <v>6</v>
      </c>
      <c r="L635" s="111" t="s">
        <v>895</v>
      </c>
      <c r="O635" s="116" t="s">
        <v>1844</v>
      </c>
      <c r="Q635" s="23"/>
      <c r="R635" s="23"/>
    </row>
    <row r="636" spans="2:18" ht="15.75" customHeight="1" x14ac:dyDescent="0.15">
      <c r="B636" s="53" t="s">
        <v>45</v>
      </c>
      <c r="C636" s="263">
        <v>43980</v>
      </c>
      <c r="D636" s="53" t="s">
        <v>834</v>
      </c>
      <c r="E636" s="53" t="s">
        <v>6</v>
      </c>
      <c r="F636" s="147">
        <v>0.05</v>
      </c>
      <c r="G636" s="53" t="s">
        <v>1177</v>
      </c>
      <c r="H636" s="53" t="s">
        <v>1177</v>
      </c>
      <c r="I636" s="53" t="s">
        <v>217</v>
      </c>
      <c r="J636" s="53" t="s">
        <v>6</v>
      </c>
      <c r="K636" s="115">
        <v>6.5</v>
      </c>
      <c r="L636" s="111" t="s">
        <v>1845</v>
      </c>
      <c r="O636" s="111" t="s">
        <v>1845</v>
      </c>
      <c r="Q636" s="23"/>
      <c r="R636" s="23"/>
    </row>
    <row r="637" spans="2:18" ht="15.75" customHeight="1" x14ac:dyDescent="0.15">
      <c r="B637" s="53" t="s">
        <v>61</v>
      </c>
      <c r="C637" s="263">
        <v>43980</v>
      </c>
      <c r="D637" s="53" t="s">
        <v>1609</v>
      </c>
      <c r="E637" s="53" t="s">
        <v>6</v>
      </c>
      <c r="F637" s="147">
        <v>4.2999999999999997E-2</v>
      </c>
      <c r="G637" s="53" t="s">
        <v>1177</v>
      </c>
      <c r="H637" s="53" t="s">
        <v>1177</v>
      </c>
      <c r="I637" s="53" t="s">
        <v>836</v>
      </c>
      <c r="J637" s="53" t="s">
        <v>218</v>
      </c>
      <c r="K637" s="115">
        <v>7</v>
      </c>
      <c r="L637" s="111" t="s">
        <v>1517</v>
      </c>
      <c r="O637" s="116" t="s">
        <v>1517</v>
      </c>
      <c r="Q637" s="23"/>
      <c r="R637" s="23"/>
    </row>
    <row r="638" spans="2:18" ht="15.75" customHeight="1" x14ac:dyDescent="0.15">
      <c r="B638" s="53" t="s">
        <v>420</v>
      </c>
      <c r="C638" s="263">
        <v>43980</v>
      </c>
      <c r="D638" s="53" t="s">
        <v>2069</v>
      </c>
      <c r="E638" s="53" t="s">
        <v>6</v>
      </c>
      <c r="F638" s="147">
        <v>0.04</v>
      </c>
      <c r="G638" s="53" t="s">
        <v>1177</v>
      </c>
      <c r="H638" s="53" t="s">
        <v>1177</v>
      </c>
      <c r="I638" s="53" t="s">
        <v>857</v>
      </c>
      <c r="J638" s="53" t="s">
        <v>311</v>
      </c>
      <c r="K638" s="115">
        <v>9</v>
      </c>
      <c r="L638" s="111" t="s">
        <v>1515</v>
      </c>
      <c r="O638" s="116" t="s">
        <v>1515</v>
      </c>
      <c r="Q638" s="23"/>
      <c r="R638" s="23"/>
    </row>
    <row r="639" spans="2:18" ht="15.75" customHeight="1" x14ac:dyDescent="0.15">
      <c r="B639" s="53" t="s">
        <v>38</v>
      </c>
      <c r="C639" s="263">
        <v>43980</v>
      </c>
      <c r="D639" s="53" t="s">
        <v>756</v>
      </c>
      <c r="E639" s="53" t="s">
        <v>6</v>
      </c>
      <c r="F639" s="147">
        <v>3.9E-2</v>
      </c>
      <c r="G639" s="53" t="s">
        <v>1177</v>
      </c>
      <c r="H639" s="53" t="s">
        <v>1177</v>
      </c>
      <c r="I639" s="53" t="s">
        <v>859</v>
      </c>
      <c r="J639" s="53" t="s">
        <v>860</v>
      </c>
      <c r="K639" s="115">
        <v>6</v>
      </c>
      <c r="L639" s="111" t="s">
        <v>1805</v>
      </c>
      <c r="O639" s="116" t="s">
        <v>1806</v>
      </c>
      <c r="Q639" s="23"/>
      <c r="R639" s="23"/>
    </row>
    <row r="640" spans="2:18" ht="15.75" customHeight="1" x14ac:dyDescent="0.15">
      <c r="B640" s="53" t="s">
        <v>35</v>
      </c>
      <c r="C640" s="263">
        <v>43980</v>
      </c>
      <c r="D640" s="53" t="s">
        <v>440</v>
      </c>
      <c r="E640" s="53" t="s">
        <v>54</v>
      </c>
      <c r="F640" s="147">
        <v>0.2</v>
      </c>
      <c r="G640" s="53" t="s">
        <v>1177</v>
      </c>
      <c r="H640" s="53" t="s">
        <v>1177</v>
      </c>
      <c r="I640" s="53" t="s">
        <v>861</v>
      </c>
      <c r="J640" s="53" t="s">
        <v>2462</v>
      </c>
      <c r="K640" s="115">
        <v>4</v>
      </c>
      <c r="L640" s="111" t="s">
        <v>1685</v>
      </c>
      <c r="O640" s="116" t="s">
        <v>440</v>
      </c>
      <c r="Q640" s="23"/>
      <c r="R640" s="23"/>
    </row>
    <row r="641" spans="2:18" ht="15.75" customHeight="1" x14ac:dyDescent="0.15">
      <c r="B641" s="53" t="s">
        <v>26</v>
      </c>
      <c r="C641" s="263">
        <v>43980</v>
      </c>
      <c r="D641" s="53" t="s">
        <v>839</v>
      </c>
      <c r="E641" s="53" t="s">
        <v>27</v>
      </c>
      <c r="F641" s="147">
        <v>0.22</v>
      </c>
      <c r="G641" s="53" t="s">
        <v>1177</v>
      </c>
      <c r="H641" s="53" t="s">
        <v>1177</v>
      </c>
      <c r="I641" s="53" t="s">
        <v>238</v>
      </c>
      <c r="J641" s="53" t="s">
        <v>2463</v>
      </c>
      <c r="K641" s="115">
        <v>8.5</v>
      </c>
      <c r="L641" s="111" t="s">
        <v>1846</v>
      </c>
      <c r="O641" s="116" t="s">
        <v>1738</v>
      </c>
      <c r="Q641" s="23"/>
      <c r="R641" s="23"/>
    </row>
    <row r="642" spans="2:18" ht="15.75" customHeight="1" x14ac:dyDescent="0.15">
      <c r="B642" s="53" t="s">
        <v>35</v>
      </c>
      <c r="C642" s="263">
        <v>43980</v>
      </c>
      <c r="D642" s="53" t="s">
        <v>840</v>
      </c>
      <c r="E642" s="53" t="s">
        <v>27</v>
      </c>
      <c r="F642" s="147">
        <v>0.22</v>
      </c>
      <c r="G642" s="53" t="s">
        <v>1177</v>
      </c>
      <c r="H642" s="53" t="s">
        <v>1177</v>
      </c>
      <c r="I642" s="53" t="s">
        <v>841</v>
      </c>
      <c r="J642" s="53" t="s">
        <v>842</v>
      </c>
      <c r="K642" s="115">
        <v>8</v>
      </c>
      <c r="L642" s="111" t="s">
        <v>1847</v>
      </c>
      <c r="O642" s="116" t="s">
        <v>1447</v>
      </c>
      <c r="Q642" s="23"/>
      <c r="R642" s="23"/>
    </row>
    <row r="643" spans="2:18" ht="15.75" customHeight="1" x14ac:dyDescent="0.15">
      <c r="B643" s="53" t="s">
        <v>45</v>
      </c>
      <c r="C643" s="263">
        <v>43980</v>
      </c>
      <c r="D643" s="53" t="s">
        <v>843</v>
      </c>
      <c r="E643" s="53" t="s">
        <v>42</v>
      </c>
      <c r="F643" s="147">
        <v>0.12</v>
      </c>
      <c r="G643" s="53" t="s">
        <v>1177</v>
      </c>
      <c r="H643" s="53" t="s">
        <v>1177</v>
      </c>
      <c r="I643" s="53" t="s">
        <v>844</v>
      </c>
      <c r="J643" s="53" t="s">
        <v>845</v>
      </c>
      <c r="K643" s="115">
        <v>5</v>
      </c>
      <c r="L643" s="111" t="s">
        <v>1848</v>
      </c>
      <c r="O643" s="116" t="s">
        <v>1849</v>
      </c>
      <c r="Q643" s="23"/>
      <c r="R643" s="23"/>
    </row>
    <row r="644" spans="2:18" ht="15.75" customHeight="1" x14ac:dyDescent="0.15">
      <c r="B644" s="53" t="s">
        <v>38</v>
      </c>
      <c r="C644" s="263">
        <v>43980</v>
      </c>
      <c r="D644" s="53" t="s">
        <v>846</v>
      </c>
      <c r="E644" s="53" t="s">
        <v>42</v>
      </c>
      <c r="F644" s="147">
        <v>5.5E-2</v>
      </c>
      <c r="G644" s="53" t="s">
        <v>1177</v>
      </c>
      <c r="H644" s="53" t="s">
        <v>1177</v>
      </c>
      <c r="I644" s="53" t="s">
        <v>847</v>
      </c>
      <c r="J644" s="53" t="s">
        <v>15</v>
      </c>
      <c r="K644" s="115">
        <v>4.5</v>
      </c>
      <c r="L644" s="111" t="s">
        <v>1850</v>
      </c>
      <c r="O644" s="116" t="s">
        <v>1851</v>
      </c>
      <c r="Q644" s="23"/>
      <c r="R644" s="23"/>
    </row>
    <row r="645" spans="2:18" ht="15.75" customHeight="1" x14ac:dyDescent="0.15">
      <c r="B645" s="53" t="s">
        <v>822</v>
      </c>
      <c r="C645" s="263">
        <v>43980</v>
      </c>
      <c r="D645" s="53" t="s">
        <v>415</v>
      </c>
      <c r="E645" s="53" t="s">
        <v>65</v>
      </c>
      <c r="F645" s="147">
        <v>0.21</v>
      </c>
      <c r="G645" s="53" t="s">
        <v>1177</v>
      </c>
      <c r="H645" s="53" t="s">
        <v>1177</v>
      </c>
      <c r="I645" s="53" t="s">
        <v>848</v>
      </c>
      <c r="J645" s="53" t="s">
        <v>192</v>
      </c>
      <c r="K645" s="115">
        <v>10</v>
      </c>
      <c r="L645" s="111" t="s">
        <v>484</v>
      </c>
      <c r="O645" s="116" t="s">
        <v>1594</v>
      </c>
      <c r="Q645" s="23"/>
      <c r="R645" s="23"/>
    </row>
    <row r="646" spans="2:18" ht="15.75" customHeight="1" x14ac:dyDescent="0.15">
      <c r="B646" s="53" t="s">
        <v>361</v>
      </c>
      <c r="C646" s="263">
        <v>43980</v>
      </c>
      <c r="D646" s="53" t="s">
        <v>415</v>
      </c>
      <c r="E646" s="53" t="s">
        <v>65</v>
      </c>
      <c r="F646" s="147">
        <v>0.21</v>
      </c>
      <c r="G646" s="53" t="s">
        <v>1177</v>
      </c>
      <c r="H646" s="53" t="s">
        <v>1177</v>
      </c>
      <c r="I646" s="53" t="s">
        <v>265</v>
      </c>
      <c r="J646" s="53" t="s">
        <v>849</v>
      </c>
      <c r="K646" s="115">
        <v>8</v>
      </c>
      <c r="L646" s="111" t="s">
        <v>484</v>
      </c>
      <c r="O646" s="116" t="s">
        <v>1594</v>
      </c>
      <c r="Q646" s="23"/>
      <c r="R646" s="23"/>
    </row>
    <row r="647" spans="2:18" ht="15.75" customHeight="1" x14ac:dyDescent="0.15">
      <c r="B647" s="53" t="s">
        <v>420</v>
      </c>
      <c r="C647" s="263">
        <v>43980</v>
      </c>
      <c r="D647" s="53" t="s">
        <v>142</v>
      </c>
      <c r="E647" s="53" t="s">
        <v>32</v>
      </c>
      <c r="F647" s="147">
        <v>0.4</v>
      </c>
      <c r="G647" s="53" t="s">
        <v>1177</v>
      </c>
      <c r="H647" s="53" t="s">
        <v>1177</v>
      </c>
      <c r="I647" s="53" t="s">
        <v>850</v>
      </c>
      <c r="J647" s="53" t="s">
        <v>851</v>
      </c>
      <c r="K647" s="115">
        <v>2</v>
      </c>
      <c r="L647" s="111" t="s">
        <v>1546</v>
      </c>
      <c r="O647" s="116" t="s">
        <v>1594</v>
      </c>
      <c r="Q647" s="23"/>
      <c r="R647" s="23"/>
    </row>
    <row r="648" spans="2:18" ht="15.75" customHeight="1" x14ac:dyDescent="0.15">
      <c r="B648" s="53" t="s">
        <v>61</v>
      </c>
      <c r="C648" s="263">
        <v>43980</v>
      </c>
      <c r="D648" s="53" t="s">
        <v>796</v>
      </c>
      <c r="E648" s="53" t="s">
        <v>12</v>
      </c>
      <c r="F648" s="147">
        <v>0.2</v>
      </c>
      <c r="G648" s="53" t="s">
        <v>1177</v>
      </c>
      <c r="H648" s="53" t="s">
        <v>1177</v>
      </c>
      <c r="I648" s="53" t="s">
        <v>852</v>
      </c>
      <c r="J648" s="53" t="s">
        <v>853</v>
      </c>
      <c r="K648" s="115">
        <v>3</v>
      </c>
      <c r="L648" s="111" t="s">
        <v>1277</v>
      </c>
      <c r="O648" s="116" t="s">
        <v>1573</v>
      </c>
      <c r="Q648" s="23"/>
      <c r="R648" s="23"/>
    </row>
    <row r="649" spans="2:18" ht="15.75" customHeight="1" x14ac:dyDescent="0.15">
      <c r="B649" s="53" t="s">
        <v>41</v>
      </c>
      <c r="C649" s="263">
        <v>43980</v>
      </c>
      <c r="D649" s="53" t="s">
        <v>3466</v>
      </c>
      <c r="E649" s="53" t="s">
        <v>65</v>
      </c>
      <c r="F649" s="147">
        <v>0.35</v>
      </c>
      <c r="G649" s="53" t="s">
        <v>1177</v>
      </c>
      <c r="H649" s="53" t="s">
        <v>1177</v>
      </c>
      <c r="I649" s="53" t="s">
        <v>854</v>
      </c>
      <c r="J649" s="53" t="s">
        <v>247</v>
      </c>
      <c r="K649" s="115">
        <v>7</v>
      </c>
      <c r="L649" s="111" t="s">
        <v>1587</v>
      </c>
      <c r="O649" s="116" t="s">
        <v>1516</v>
      </c>
      <c r="Q649" s="23"/>
      <c r="R649" s="23"/>
    </row>
    <row r="650" spans="2:18" ht="15.75" customHeight="1" x14ac:dyDescent="0.15">
      <c r="B650" s="53" t="s">
        <v>41</v>
      </c>
      <c r="C650" s="263">
        <v>43980</v>
      </c>
      <c r="D650" s="237" t="s">
        <v>855</v>
      </c>
      <c r="E650" s="237" t="s">
        <v>54</v>
      </c>
      <c r="F650" s="232">
        <v>0.04</v>
      </c>
      <c r="G650" s="53" t="s">
        <v>3188</v>
      </c>
      <c r="H650" s="53" t="s">
        <v>1177</v>
      </c>
      <c r="I650" s="53" t="s">
        <v>856</v>
      </c>
      <c r="J650" s="53" t="s">
        <v>503</v>
      </c>
      <c r="K650" s="115">
        <v>9</v>
      </c>
      <c r="L650" s="111" t="s">
        <v>3422</v>
      </c>
      <c r="O650" s="116" t="s">
        <v>3422</v>
      </c>
      <c r="Q650" s="23"/>
      <c r="R650" s="23"/>
    </row>
    <row r="651" spans="2:18" ht="15.75" customHeight="1" x14ac:dyDescent="0.15">
      <c r="B651" s="53" t="s">
        <v>420</v>
      </c>
      <c r="C651" s="263">
        <v>43980</v>
      </c>
      <c r="D651" s="53" t="s">
        <v>1609</v>
      </c>
      <c r="E651" s="53" t="s">
        <v>6</v>
      </c>
      <c r="F651" s="147">
        <v>4.2999999999999997E-2</v>
      </c>
      <c r="G651" s="53" t="s">
        <v>1177</v>
      </c>
      <c r="H651" s="53" t="s">
        <v>1177</v>
      </c>
      <c r="I651" s="53" t="s">
        <v>1183</v>
      </c>
      <c r="J651" s="53" t="s">
        <v>858</v>
      </c>
      <c r="K651" s="115">
        <v>3</v>
      </c>
      <c r="L651" s="111" t="s">
        <v>1517</v>
      </c>
      <c r="O651" s="116" t="s">
        <v>1517</v>
      </c>
      <c r="Q651" s="23"/>
      <c r="R651" s="23"/>
    </row>
    <row r="652" spans="2:18" ht="15.75" customHeight="1" x14ac:dyDescent="0.15">
      <c r="B652" s="53" t="s">
        <v>61</v>
      </c>
      <c r="C652" s="263">
        <v>43980</v>
      </c>
      <c r="D652" s="53" t="s">
        <v>862</v>
      </c>
      <c r="E652" s="53" t="s">
        <v>6</v>
      </c>
      <c r="F652" s="147">
        <v>0.05</v>
      </c>
      <c r="G652" s="53" t="s">
        <v>1177</v>
      </c>
      <c r="H652" s="53" t="s">
        <v>1177</v>
      </c>
      <c r="I652" s="53" t="s">
        <v>863</v>
      </c>
      <c r="J652" s="53" t="s">
        <v>435</v>
      </c>
      <c r="K652" s="115">
        <v>7.5</v>
      </c>
      <c r="L652" s="111" t="s">
        <v>1510</v>
      </c>
      <c r="O652" s="116" t="s">
        <v>1510</v>
      </c>
      <c r="Q652" s="23"/>
      <c r="R652" s="23"/>
    </row>
    <row r="653" spans="2:18" ht="15.75" customHeight="1" x14ac:dyDescent="0.15">
      <c r="B653" s="53" t="s">
        <v>38</v>
      </c>
      <c r="C653" s="263">
        <v>43980</v>
      </c>
      <c r="D653" s="53" t="s">
        <v>864</v>
      </c>
      <c r="E653" s="53" t="s">
        <v>6</v>
      </c>
      <c r="F653" s="147">
        <v>4.2999999999999997E-2</v>
      </c>
      <c r="G653" s="53" t="s">
        <v>1177</v>
      </c>
      <c r="H653" s="53" t="s">
        <v>1177</v>
      </c>
      <c r="I653" s="53" t="s">
        <v>464</v>
      </c>
      <c r="J653" s="53" t="s">
        <v>869</v>
      </c>
      <c r="K653" s="115">
        <v>6</v>
      </c>
      <c r="L653" s="111" t="s">
        <v>1749</v>
      </c>
      <c r="O653" s="116" t="s">
        <v>1749</v>
      </c>
      <c r="Q653" s="23"/>
      <c r="R653" s="23"/>
    </row>
    <row r="654" spans="2:18" ht="15.75" customHeight="1" x14ac:dyDescent="0.15">
      <c r="B654" s="53" t="s">
        <v>361</v>
      </c>
      <c r="C654" s="263">
        <v>43980</v>
      </c>
      <c r="D654" s="53" t="s">
        <v>415</v>
      </c>
      <c r="E654" s="53" t="s">
        <v>65</v>
      </c>
      <c r="F654" s="147">
        <v>0.21</v>
      </c>
      <c r="G654" s="53" t="s">
        <v>831</v>
      </c>
      <c r="H654" s="53" t="s">
        <v>1177</v>
      </c>
      <c r="I654" s="53" t="s">
        <v>3051</v>
      </c>
      <c r="J654" s="53" t="s">
        <v>868</v>
      </c>
      <c r="K654" s="115">
        <v>5</v>
      </c>
      <c r="L654" s="111" t="s">
        <v>484</v>
      </c>
      <c r="O654" s="116" t="s">
        <v>1594</v>
      </c>
      <c r="Q654" s="23"/>
      <c r="R654" s="23"/>
    </row>
    <row r="655" spans="2:18" ht="15.75" customHeight="1" x14ac:dyDescent="0.15">
      <c r="B655" s="53" t="s">
        <v>35</v>
      </c>
      <c r="C655" s="263">
        <v>43980</v>
      </c>
      <c r="D655" s="53" t="s">
        <v>3467</v>
      </c>
      <c r="E655" s="53" t="s">
        <v>65</v>
      </c>
      <c r="F655" s="147">
        <v>0.35</v>
      </c>
      <c r="G655" s="53" t="s">
        <v>865</v>
      </c>
      <c r="H655" s="53" t="s">
        <v>1177</v>
      </c>
      <c r="I655" s="53" t="s">
        <v>86</v>
      </c>
      <c r="J655" s="53" t="s">
        <v>837</v>
      </c>
      <c r="K655" s="115">
        <v>4.5</v>
      </c>
      <c r="L655" s="111" t="s">
        <v>1587</v>
      </c>
      <c r="O655" s="116" t="s">
        <v>1516</v>
      </c>
      <c r="Q655" s="23"/>
      <c r="R655" s="23"/>
    </row>
    <row r="656" spans="2:18" ht="15.75" customHeight="1" x14ac:dyDescent="0.15">
      <c r="B656" s="53" t="s">
        <v>26</v>
      </c>
      <c r="C656" s="263">
        <v>43980</v>
      </c>
      <c r="D656" s="53" t="s">
        <v>536</v>
      </c>
      <c r="E656" s="53" t="s">
        <v>65</v>
      </c>
      <c r="F656" s="147">
        <v>0.375</v>
      </c>
      <c r="G656" s="53" t="s">
        <v>380</v>
      </c>
      <c r="H656" s="53" t="s">
        <v>1177</v>
      </c>
      <c r="I656" s="53" t="s">
        <v>2264</v>
      </c>
      <c r="J656" s="53" t="s">
        <v>2464</v>
      </c>
      <c r="K656" s="115">
        <v>0.5</v>
      </c>
      <c r="L656" s="111" t="s">
        <v>1510</v>
      </c>
      <c r="O656" s="116" t="s">
        <v>1510</v>
      </c>
      <c r="P656" s="23" t="s">
        <v>3614</v>
      </c>
      <c r="Q656" s="23"/>
      <c r="R656" s="23"/>
    </row>
    <row r="657" spans="2:18" ht="15.75" customHeight="1" x14ac:dyDescent="0.15">
      <c r="B657" s="53" t="s">
        <v>45</v>
      </c>
      <c r="C657" s="263">
        <v>43980</v>
      </c>
      <c r="D657" s="53" t="s">
        <v>866</v>
      </c>
      <c r="E657" s="53" t="s">
        <v>6</v>
      </c>
      <c r="F657" s="147">
        <v>0.05</v>
      </c>
      <c r="G657" s="53" t="s">
        <v>1177</v>
      </c>
      <c r="H657" s="53" t="s">
        <v>1177</v>
      </c>
      <c r="I657" s="53" t="s">
        <v>217</v>
      </c>
      <c r="J657" s="53" t="s">
        <v>867</v>
      </c>
      <c r="K657" s="115">
        <v>5</v>
      </c>
      <c r="L657" s="111" t="s">
        <v>893</v>
      </c>
      <c r="O657" s="116" t="s">
        <v>1852</v>
      </c>
      <c r="Q657" s="23"/>
      <c r="R657" s="23"/>
    </row>
    <row r="658" spans="2:18" ht="15.75" customHeight="1" x14ac:dyDescent="0.15">
      <c r="B658" s="53" t="s">
        <v>420</v>
      </c>
      <c r="C658" s="263">
        <v>43980</v>
      </c>
      <c r="D658" s="53" t="s">
        <v>1853</v>
      </c>
      <c r="E658" s="53" t="s">
        <v>6</v>
      </c>
      <c r="F658" s="147">
        <v>4.2000000000000003E-2</v>
      </c>
      <c r="G658" s="53" t="s">
        <v>1177</v>
      </c>
      <c r="H658" s="53" t="s">
        <v>1177</v>
      </c>
      <c r="I658" s="53" t="s">
        <v>194</v>
      </c>
      <c r="J658" s="53" t="s">
        <v>232</v>
      </c>
      <c r="K658" s="115">
        <v>7.5</v>
      </c>
      <c r="L658" s="111" t="s">
        <v>1090</v>
      </c>
      <c r="O658" s="116" t="s">
        <v>1798</v>
      </c>
      <c r="Q658" s="23"/>
      <c r="R658" s="23"/>
    </row>
    <row r="659" spans="2:18" ht="15.75" customHeight="1" x14ac:dyDescent="0.15">
      <c r="B659" s="53" t="s">
        <v>35</v>
      </c>
      <c r="C659" s="263">
        <v>43980</v>
      </c>
      <c r="D659" s="53" t="s">
        <v>3467</v>
      </c>
      <c r="E659" s="53" t="s">
        <v>65</v>
      </c>
      <c r="F659" s="147">
        <v>0.35</v>
      </c>
      <c r="G659" s="53" t="s">
        <v>871</v>
      </c>
      <c r="H659" s="53" t="s">
        <v>1177</v>
      </c>
      <c r="I659" s="53" t="s">
        <v>2265</v>
      </c>
      <c r="J659" s="53" t="s">
        <v>2465</v>
      </c>
      <c r="K659" s="115">
        <v>2</v>
      </c>
      <c r="L659" s="111" t="s">
        <v>1587</v>
      </c>
      <c r="O659" s="116" t="s">
        <v>1516</v>
      </c>
      <c r="Q659" s="23"/>
      <c r="R659" s="23"/>
    </row>
    <row r="660" spans="2:18" ht="15.75" customHeight="1" x14ac:dyDescent="0.15">
      <c r="B660" s="53" t="s">
        <v>822</v>
      </c>
      <c r="C660" s="263">
        <v>43980</v>
      </c>
      <c r="D660" s="53" t="s">
        <v>1842</v>
      </c>
      <c r="E660" s="53" t="s">
        <v>32</v>
      </c>
      <c r="F660" s="147">
        <v>0.375</v>
      </c>
      <c r="G660" s="53" t="s">
        <v>870</v>
      </c>
      <c r="H660" s="53" t="s">
        <v>1177</v>
      </c>
      <c r="I660" s="53" t="s">
        <v>872</v>
      </c>
      <c r="J660" s="53" t="s">
        <v>873</v>
      </c>
      <c r="K660" s="115">
        <v>9</v>
      </c>
      <c r="L660" s="111" t="s">
        <v>766</v>
      </c>
      <c r="O660" s="116" t="s">
        <v>1516</v>
      </c>
      <c r="Q660" s="23"/>
      <c r="R660" s="23"/>
    </row>
    <row r="661" spans="2:18" ht="15.75" customHeight="1" x14ac:dyDescent="0.15">
      <c r="B661" s="53" t="s">
        <v>45</v>
      </c>
      <c r="C661" s="263">
        <v>43980</v>
      </c>
      <c r="D661" s="53" t="s">
        <v>843</v>
      </c>
      <c r="E661" s="53" t="s">
        <v>42</v>
      </c>
      <c r="F661" s="147">
        <v>0.12</v>
      </c>
      <c r="G661" s="53" t="s">
        <v>374</v>
      </c>
      <c r="H661" s="53" t="s">
        <v>1177</v>
      </c>
      <c r="I661" s="53" t="s">
        <v>636</v>
      </c>
      <c r="J661" s="53" t="s">
        <v>2373</v>
      </c>
      <c r="K661" s="115">
        <v>8</v>
      </c>
      <c r="L661" s="111" t="s">
        <v>1848</v>
      </c>
      <c r="O661" s="116" t="s">
        <v>1849</v>
      </c>
      <c r="Q661" s="23"/>
      <c r="R661" s="23"/>
    </row>
    <row r="662" spans="2:18" ht="15.75" customHeight="1" x14ac:dyDescent="0.15">
      <c r="B662" s="53" t="s">
        <v>38</v>
      </c>
      <c r="C662" s="263">
        <v>43980</v>
      </c>
      <c r="D662" s="53" t="s">
        <v>1854</v>
      </c>
      <c r="E662" s="53" t="s">
        <v>6</v>
      </c>
      <c r="F662" s="147">
        <v>4.8000000000000001E-2</v>
      </c>
      <c r="G662" s="53" t="s">
        <v>1177</v>
      </c>
      <c r="H662" s="53" t="s">
        <v>1177</v>
      </c>
      <c r="I662" s="53" t="s">
        <v>2266</v>
      </c>
      <c r="J662" s="53" t="s">
        <v>1136</v>
      </c>
      <c r="K662" s="115">
        <v>7</v>
      </c>
      <c r="L662" s="111" t="s">
        <v>1727</v>
      </c>
      <c r="O662" s="116" t="s">
        <v>1727</v>
      </c>
      <c r="Q662" s="23"/>
      <c r="R662" s="23"/>
    </row>
    <row r="663" spans="2:18" ht="15.75" customHeight="1" x14ac:dyDescent="0.15">
      <c r="B663" s="53" t="s">
        <v>35</v>
      </c>
      <c r="C663" s="263">
        <v>43980</v>
      </c>
      <c r="D663" s="53" t="s">
        <v>840</v>
      </c>
      <c r="E663" s="53" t="s">
        <v>27</v>
      </c>
      <c r="F663" s="147">
        <v>0.22</v>
      </c>
      <c r="G663" s="53" t="s">
        <v>871</v>
      </c>
      <c r="H663" s="53" t="s">
        <v>1177</v>
      </c>
      <c r="I663" s="53" t="s">
        <v>33</v>
      </c>
      <c r="J663" s="53" t="s">
        <v>238</v>
      </c>
      <c r="K663" s="115">
        <v>9.5</v>
      </c>
      <c r="L663" s="111" t="s">
        <v>1847</v>
      </c>
      <c r="O663" s="116" t="s">
        <v>1447</v>
      </c>
      <c r="Q663" s="23"/>
      <c r="R663" s="23"/>
    </row>
    <row r="664" spans="2:18" ht="15.75" customHeight="1" x14ac:dyDescent="0.15">
      <c r="B664" s="53" t="s">
        <v>420</v>
      </c>
      <c r="C664" s="263">
        <v>43980</v>
      </c>
      <c r="D664" s="53" t="s">
        <v>1856</v>
      </c>
      <c r="E664" s="53" t="s">
        <v>6</v>
      </c>
      <c r="F664" s="147">
        <v>0.06</v>
      </c>
      <c r="G664" s="53" t="s">
        <v>1177</v>
      </c>
      <c r="H664" s="53" t="s">
        <v>1177</v>
      </c>
      <c r="I664" s="53" t="s">
        <v>555</v>
      </c>
      <c r="J664" s="53" t="s">
        <v>173</v>
      </c>
      <c r="K664" s="115">
        <v>5.5</v>
      </c>
      <c r="L664" s="111" t="s">
        <v>1855</v>
      </c>
      <c r="O664" s="116" t="s">
        <v>1855</v>
      </c>
      <c r="Q664" s="23"/>
      <c r="R664" s="23"/>
    </row>
    <row r="665" spans="2:18" ht="15.75" customHeight="1" x14ac:dyDescent="0.15">
      <c r="B665" s="53" t="s">
        <v>26</v>
      </c>
      <c r="C665" s="263">
        <v>43980</v>
      </c>
      <c r="D665" s="53" t="s">
        <v>68</v>
      </c>
      <c r="E665" s="53" t="s">
        <v>32</v>
      </c>
      <c r="F665" s="147">
        <v>0.375</v>
      </c>
      <c r="G665" s="53" t="s">
        <v>874</v>
      </c>
      <c r="H665" s="53" t="s">
        <v>1177</v>
      </c>
      <c r="I665" s="53" t="s">
        <v>875</v>
      </c>
      <c r="J665" s="53" t="s">
        <v>2466</v>
      </c>
      <c r="K665" s="115">
        <v>8</v>
      </c>
      <c r="L665" s="111" t="s">
        <v>766</v>
      </c>
      <c r="O665" s="116" t="s">
        <v>1516</v>
      </c>
      <c r="Q665" s="23"/>
      <c r="R665" s="23"/>
    </row>
    <row r="666" spans="2:18" ht="15.75" customHeight="1" x14ac:dyDescent="0.15">
      <c r="B666" s="53" t="s">
        <v>35</v>
      </c>
      <c r="C666" s="263">
        <v>43980</v>
      </c>
      <c r="D666" s="53" t="s">
        <v>840</v>
      </c>
      <c r="E666" s="53" t="s">
        <v>27</v>
      </c>
      <c r="F666" s="147">
        <v>0.22</v>
      </c>
      <c r="G666" s="53" t="s">
        <v>865</v>
      </c>
      <c r="H666" s="53" t="s">
        <v>1177</v>
      </c>
      <c r="I666" s="53" t="s">
        <v>882</v>
      </c>
      <c r="J666" s="53" t="s">
        <v>16</v>
      </c>
      <c r="K666" s="115">
        <v>6</v>
      </c>
      <c r="L666" s="111" t="s">
        <v>1847</v>
      </c>
      <c r="O666" s="116" t="s">
        <v>1447</v>
      </c>
      <c r="Q666" s="23"/>
      <c r="R666" s="23"/>
    </row>
    <row r="667" spans="2:18" ht="15.75" customHeight="1" x14ac:dyDescent="0.15">
      <c r="B667" s="53" t="s">
        <v>420</v>
      </c>
      <c r="C667" s="263">
        <v>43980</v>
      </c>
      <c r="D667" s="53" t="s">
        <v>879</v>
      </c>
      <c r="E667" s="53" t="s">
        <v>6</v>
      </c>
      <c r="F667" s="147">
        <v>0.05</v>
      </c>
      <c r="G667" s="53" t="s">
        <v>1177</v>
      </c>
      <c r="H667" s="53" t="s">
        <v>1177</v>
      </c>
      <c r="I667" s="53" t="s">
        <v>199</v>
      </c>
      <c r="J667" s="53" t="s">
        <v>340</v>
      </c>
      <c r="K667" s="115">
        <v>4</v>
      </c>
      <c r="L667" s="111" t="s">
        <v>1857</v>
      </c>
      <c r="O667" s="116" t="s">
        <v>1857</v>
      </c>
      <c r="Q667" s="23"/>
      <c r="R667" s="23"/>
    </row>
    <row r="668" spans="2:18" ht="15.75" customHeight="1" x14ac:dyDescent="0.15">
      <c r="B668" s="53" t="s">
        <v>45</v>
      </c>
      <c r="C668" s="263">
        <v>43980</v>
      </c>
      <c r="D668" s="53" t="s">
        <v>144</v>
      </c>
      <c r="E668" s="53" t="s">
        <v>12</v>
      </c>
      <c r="F668" s="147">
        <v>0.375</v>
      </c>
      <c r="G668" s="53" t="s">
        <v>1177</v>
      </c>
      <c r="H668" s="53" t="s">
        <v>1177</v>
      </c>
      <c r="I668" s="53" t="s">
        <v>880</v>
      </c>
      <c r="J668" s="53" t="s">
        <v>881</v>
      </c>
      <c r="K668" s="115">
        <v>1</v>
      </c>
      <c r="L668" s="111" t="s">
        <v>767</v>
      </c>
      <c r="O668" s="116" t="s">
        <v>1516</v>
      </c>
      <c r="Q668" s="23"/>
      <c r="R668" s="23"/>
    </row>
    <row r="669" spans="2:18" ht="15.75" customHeight="1" x14ac:dyDescent="0.15">
      <c r="B669" s="53" t="s">
        <v>45</v>
      </c>
      <c r="C669" s="263">
        <v>43980</v>
      </c>
      <c r="D669" s="53" t="s">
        <v>144</v>
      </c>
      <c r="E669" s="53" t="s">
        <v>12</v>
      </c>
      <c r="F669" s="147">
        <v>0.375</v>
      </c>
      <c r="G669" s="53" t="s">
        <v>374</v>
      </c>
      <c r="H669" s="53" t="s">
        <v>1177</v>
      </c>
      <c r="I669" s="53" t="s">
        <v>1114</v>
      </c>
      <c r="J669" s="53" t="s">
        <v>889</v>
      </c>
      <c r="K669" s="115">
        <v>6</v>
      </c>
      <c r="L669" s="111" t="s">
        <v>767</v>
      </c>
      <c r="O669" s="116" t="s">
        <v>1516</v>
      </c>
      <c r="Q669" s="23"/>
      <c r="R669" s="23"/>
    </row>
    <row r="670" spans="2:18" ht="15.75" customHeight="1" x14ac:dyDescent="0.15">
      <c r="B670" s="53" t="s">
        <v>45</v>
      </c>
      <c r="C670" s="263">
        <v>43980</v>
      </c>
      <c r="D670" s="53" t="s">
        <v>415</v>
      </c>
      <c r="E670" s="53" t="s">
        <v>65</v>
      </c>
      <c r="F670" s="147">
        <v>0.21</v>
      </c>
      <c r="G670" s="53" t="s">
        <v>374</v>
      </c>
      <c r="H670" s="53" t="s">
        <v>1177</v>
      </c>
      <c r="I670" s="53" t="s">
        <v>1234</v>
      </c>
      <c r="J670" s="53" t="s">
        <v>2467</v>
      </c>
      <c r="K670" s="115">
        <v>6</v>
      </c>
      <c r="L670" s="111" t="s">
        <v>484</v>
      </c>
      <c r="O670" s="116" t="s">
        <v>1594</v>
      </c>
      <c r="Q670" s="23"/>
      <c r="R670" s="23"/>
    </row>
    <row r="671" spans="2:18" ht="15.75" customHeight="1" x14ac:dyDescent="0.15">
      <c r="B671" s="53" t="s">
        <v>26</v>
      </c>
      <c r="C671" s="263">
        <v>43980</v>
      </c>
      <c r="D671" s="53" t="s">
        <v>68</v>
      </c>
      <c r="E671" s="53" t="s">
        <v>32</v>
      </c>
      <c r="F671" s="147">
        <v>0.375</v>
      </c>
      <c r="G671" s="53" t="s">
        <v>1177</v>
      </c>
      <c r="H671" s="53" t="s">
        <v>1177</v>
      </c>
      <c r="I671" s="53" t="s">
        <v>884</v>
      </c>
      <c r="J671" s="53" t="s">
        <v>885</v>
      </c>
      <c r="K671" s="115">
        <v>0.5</v>
      </c>
      <c r="L671" s="111" t="s">
        <v>766</v>
      </c>
      <c r="O671" s="116" t="s">
        <v>1516</v>
      </c>
      <c r="Q671" s="23"/>
      <c r="R671" s="23"/>
    </row>
    <row r="672" spans="2:18" ht="15.75" customHeight="1" x14ac:dyDescent="0.15">
      <c r="B672" s="53" t="s">
        <v>35</v>
      </c>
      <c r="C672" s="263">
        <v>43980</v>
      </c>
      <c r="D672" s="53" t="s">
        <v>883</v>
      </c>
      <c r="E672" s="53" t="s">
        <v>54</v>
      </c>
      <c r="F672" s="147">
        <v>0.15</v>
      </c>
      <c r="G672" s="53" t="s">
        <v>1177</v>
      </c>
      <c r="H672" s="53" t="s">
        <v>1177</v>
      </c>
      <c r="I672" s="53" t="s">
        <v>225</v>
      </c>
      <c r="J672" s="53" t="s">
        <v>886</v>
      </c>
      <c r="K672" s="115">
        <v>1</v>
      </c>
      <c r="L672" s="111" t="s">
        <v>1510</v>
      </c>
      <c r="O672" s="116" t="s">
        <v>1510</v>
      </c>
      <c r="Q672" s="23"/>
      <c r="R672" s="23"/>
    </row>
    <row r="673" spans="2:18" ht="15.75" customHeight="1" x14ac:dyDescent="0.15">
      <c r="B673" s="53" t="s">
        <v>35</v>
      </c>
      <c r="C673" s="263">
        <v>43980</v>
      </c>
      <c r="D673" s="53" t="s">
        <v>840</v>
      </c>
      <c r="E673" s="53" t="s">
        <v>27</v>
      </c>
      <c r="F673" s="147">
        <v>0.22</v>
      </c>
      <c r="G673" s="53" t="s">
        <v>28</v>
      </c>
      <c r="H673" s="53" t="s">
        <v>1177</v>
      </c>
      <c r="I673" s="53" t="s">
        <v>320</v>
      </c>
      <c r="J673" s="53" t="s">
        <v>340</v>
      </c>
      <c r="K673" s="115">
        <v>6</v>
      </c>
      <c r="L673" s="111" t="s">
        <v>1847</v>
      </c>
      <c r="O673" s="116" t="s">
        <v>1447</v>
      </c>
      <c r="Q673" s="23"/>
      <c r="R673" s="23"/>
    </row>
    <row r="674" spans="2:18" ht="15.75" customHeight="1" x14ac:dyDescent="0.15">
      <c r="B674" s="53" t="s">
        <v>420</v>
      </c>
      <c r="C674" s="263">
        <v>43980</v>
      </c>
      <c r="D674" s="53" t="s">
        <v>887</v>
      </c>
      <c r="E674" s="53" t="s">
        <v>54</v>
      </c>
      <c r="F674" s="147">
        <v>0.2</v>
      </c>
      <c r="G674" s="53" t="s">
        <v>1177</v>
      </c>
      <c r="H674" s="53" t="s">
        <v>1177</v>
      </c>
      <c r="I674" s="53" t="s">
        <v>890</v>
      </c>
      <c r="J674" s="53" t="s">
        <v>891</v>
      </c>
      <c r="K674" s="115">
        <v>8</v>
      </c>
      <c r="L674" s="111" t="s">
        <v>1858</v>
      </c>
      <c r="O674" s="116" t="s">
        <v>1859</v>
      </c>
      <c r="Q674" s="23"/>
      <c r="R674" s="23"/>
    </row>
    <row r="675" spans="2:18" ht="15.75" customHeight="1" x14ac:dyDescent="0.15">
      <c r="B675" s="53" t="s">
        <v>420</v>
      </c>
      <c r="C675" s="263">
        <v>43980</v>
      </c>
      <c r="D675" s="53" t="s">
        <v>888</v>
      </c>
      <c r="E675" s="53" t="s">
        <v>36</v>
      </c>
      <c r="F675" s="147">
        <v>0.4</v>
      </c>
      <c r="G675" s="53" t="s">
        <v>1177</v>
      </c>
      <c r="H675" s="53" t="s">
        <v>1177</v>
      </c>
      <c r="I675" s="53" t="s">
        <v>132</v>
      </c>
      <c r="J675" s="53" t="s">
        <v>576</v>
      </c>
      <c r="K675" s="115">
        <v>8</v>
      </c>
      <c r="L675" s="111" t="s">
        <v>1860</v>
      </c>
      <c r="O675" s="116" t="s">
        <v>1594</v>
      </c>
      <c r="Q675" s="23"/>
      <c r="R675" s="23"/>
    </row>
    <row r="676" spans="2:18" ht="15.75" customHeight="1" x14ac:dyDescent="0.15">
      <c r="B676" s="53" t="s">
        <v>26</v>
      </c>
      <c r="C676" s="263">
        <v>43980</v>
      </c>
      <c r="D676" s="53" t="s">
        <v>415</v>
      </c>
      <c r="E676" s="53" t="s">
        <v>65</v>
      </c>
      <c r="F676" s="147">
        <v>0.21</v>
      </c>
      <c r="G676" s="53" t="s">
        <v>588</v>
      </c>
      <c r="H676" s="53" t="s">
        <v>1177</v>
      </c>
      <c r="I676" s="53" t="s">
        <v>892</v>
      </c>
      <c r="J676" s="53" t="s">
        <v>265</v>
      </c>
      <c r="K676" s="115">
        <v>8</v>
      </c>
      <c r="L676" s="111" t="s">
        <v>484</v>
      </c>
      <c r="O676" s="116" t="s">
        <v>1594</v>
      </c>
      <c r="Q676" s="23"/>
      <c r="R676" s="23"/>
    </row>
    <row r="677" spans="2:18" ht="15.75" customHeight="1" x14ac:dyDescent="0.15">
      <c r="B677" s="53" t="s">
        <v>35</v>
      </c>
      <c r="C677" s="263">
        <v>43980</v>
      </c>
      <c r="D677" s="53" t="s">
        <v>682</v>
      </c>
      <c r="E677" s="53" t="s">
        <v>6</v>
      </c>
      <c r="F677" s="147">
        <v>7.1999999999999995E-2</v>
      </c>
      <c r="G677" s="53" t="s">
        <v>1177</v>
      </c>
      <c r="H677" s="53" t="s">
        <v>1177</v>
      </c>
      <c r="I677" s="53" t="s">
        <v>208</v>
      </c>
      <c r="J677" s="53" t="s">
        <v>2468</v>
      </c>
      <c r="K677" s="115">
        <v>7</v>
      </c>
      <c r="L677" s="111" t="s">
        <v>1535</v>
      </c>
      <c r="O677" s="116" t="s">
        <v>1535</v>
      </c>
      <c r="Q677" s="23"/>
      <c r="R677" s="23"/>
    </row>
    <row r="678" spans="2:18" ht="15.75" customHeight="1" x14ac:dyDescent="0.15">
      <c r="B678" s="53" t="s">
        <v>35</v>
      </c>
      <c r="C678" s="263">
        <v>43987</v>
      </c>
      <c r="D678" s="53" t="s">
        <v>899</v>
      </c>
      <c r="E678" s="53" t="s">
        <v>6</v>
      </c>
      <c r="F678" s="147">
        <v>3.7999999999999999E-2</v>
      </c>
      <c r="G678" s="53" t="s">
        <v>1177</v>
      </c>
      <c r="H678" s="53" t="s">
        <v>1177</v>
      </c>
      <c r="I678" s="53" t="s">
        <v>901</v>
      </c>
      <c r="J678" s="53" t="s">
        <v>902</v>
      </c>
      <c r="K678" s="115">
        <v>7</v>
      </c>
      <c r="L678" s="111" t="s">
        <v>895</v>
      </c>
      <c r="O678" s="116" t="s">
        <v>1844</v>
      </c>
      <c r="Q678" s="23"/>
      <c r="R678" s="23"/>
    </row>
    <row r="679" spans="2:18" ht="15.75" customHeight="1" x14ac:dyDescent="0.15">
      <c r="B679" s="53" t="s">
        <v>38</v>
      </c>
      <c r="C679" s="263">
        <v>43987</v>
      </c>
      <c r="D679" s="53" t="s">
        <v>367</v>
      </c>
      <c r="E679" s="53" t="s">
        <v>6</v>
      </c>
      <c r="F679" s="147">
        <v>0.04</v>
      </c>
      <c r="G679" s="53" t="s">
        <v>1177</v>
      </c>
      <c r="H679" s="53" t="s">
        <v>1177</v>
      </c>
      <c r="I679" s="53" t="s">
        <v>86</v>
      </c>
      <c r="J679" s="53" t="s">
        <v>1065</v>
      </c>
      <c r="K679" s="115">
        <v>9</v>
      </c>
      <c r="L679" s="111" t="s">
        <v>1620</v>
      </c>
      <c r="O679" s="116" t="s">
        <v>1621</v>
      </c>
      <c r="Q679" s="23"/>
      <c r="R679" s="23"/>
    </row>
    <row r="680" spans="2:18" ht="15.75" customHeight="1" x14ac:dyDescent="0.15">
      <c r="B680" s="53" t="s">
        <v>26</v>
      </c>
      <c r="C680" s="263">
        <v>43987</v>
      </c>
      <c r="D680" s="53" t="s">
        <v>900</v>
      </c>
      <c r="E680" s="53" t="s">
        <v>34</v>
      </c>
      <c r="F680" s="147">
        <v>0.05</v>
      </c>
      <c r="G680" s="53" t="s">
        <v>1177</v>
      </c>
      <c r="H680" s="53" t="s">
        <v>1177</v>
      </c>
      <c r="I680" s="53" t="s">
        <v>2267</v>
      </c>
      <c r="J680" s="53" t="s">
        <v>2469</v>
      </c>
      <c r="K680" s="115">
        <v>6</v>
      </c>
      <c r="L680" s="111" t="s">
        <v>1492</v>
      </c>
      <c r="O680" s="116" t="s">
        <v>1492</v>
      </c>
      <c r="Q680" s="23"/>
      <c r="R680" s="23"/>
    </row>
    <row r="681" spans="2:18" ht="15.75" customHeight="1" x14ac:dyDescent="0.15">
      <c r="B681" s="53" t="s">
        <v>45</v>
      </c>
      <c r="C681" s="263">
        <v>43987</v>
      </c>
      <c r="D681" s="53" t="s">
        <v>1861</v>
      </c>
      <c r="E681" s="53" t="s">
        <v>6</v>
      </c>
      <c r="F681" s="147">
        <v>7.4999999999999997E-2</v>
      </c>
      <c r="G681" s="53" t="s">
        <v>1177</v>
      </c>
      <c r="H681" s="53" t="s">
        <v>1177</v>
      </c>
      <c r="I681" s="53" t="s">
        <v>272</v>
      </c>
      <c r="J681" s="53" t="s">
        <v>2470</v>
      </c>
      <c r="K681" s="115">
        <v>8</v>
      </c>
      <c r="L681" s="111" t="s">
        <v>1819</v>
      </c>
      <c r="O681" s="116" t="s">
        <v>1819</v>
      </c>
      <c r="Q681" s="23"/>
      <c r="R681" s="23"/>
    </row>
    <row r="682" spans="2:18" ht="15.75" customHeight="1" x14ac:dyDescent="0.15">
      <c r="B682" s="53" t="s">
        <v>35</v>
      </c>
      <c r="C682" s="263">
        <v>43987</v>
      </c>
      <c r="D682" s="53" t="s">
        <v>905</v>
      </c>
      <c r="E682" s="53" t="s">
        <v>6</v>
      </c>
      <c r="F682" s="147">
        <v>4.2000000000000003E-2</v>
      </c>
      <c r="G682" s="53" t="s">
        <v>1177</v>
      </c>
      <c r="H682" s="53" t="s">
        <v>1177</v>
      </c>
      <c r="I682" s="53" t="s">
        <v>208</v>
      </c>
      <c r="J682" s="53" t="s">
        <v>483</v>
      </c>
      <c r="K682" s="115">
        <v>7.5</v>
      </c>
      <c r="L682" s="111" t="s">
        <v>980</v>
      </c>
      <c r="O682" s="116" t="s">
        <v>1862</v>
      </c>
      <c r="Q682" s="23"/>
      <c r="R682" s="23"/>
    </row>
    <row r="683" spans="2:18" ht="15.75" customHeight="1" x14ac:dyDescent="0.15">
      <c r="B683" s="53" t="s">
        <v>38</v>
      </c>
      <c r="C683" s="263">
        <v>43987</v>
      </c>
      <c r="D683" s="53" t="s">
        <v>903</v>
      </c>
      <c r="E683" s="53" t="s">
        <v>6</v>
      </c>
      <c r="F683" s="147">
        <v>4.1000000000000002E-2</v>
      </c>
      <c r="G683" s="53" t="s">
        <v>1177</v>
      </c>
      <c r="H683" s="53" t="s">
        <v>1177</v>
      </c>
      <c r="I683" s="53" t="s">
        <v>404</v>
      </c>
      <c r="J683" s="53" t="s">
        <v>320</v>
      </c>
      <c r="K683" s="115">
        <v>6.5</v>
      </c>
      <c r="L683" s="111" t="s">
        <v>1747</v>
      </c>
      <c r="O683" s="116" t="s">
        <v>1748</v>
      </c>
      <c r="Q683" s="23"/>
      <c r="R683" s="23"/>
    </row>
    <row r="684" spans="2:18" ht="15.75" customHeight="1" x14ac:dyDescent="0.15">
      <c r="B684" s="53" t="s">
        <v>18</v>
      </c>
      <c r="C684" s="263">
        <v>43987</v>
      </c>
      <c r="D684" s="53" t="s">
        <v>1832</v>
      </c>
      <c r="E684" s="53" t="s">
        <v>6</v>
      </c>
      <c r="F684" s="147">
        <v>6.6000000000000003E-2</v>
      </c>
      <c r="G684" s="53" t="s">
        <v>907</v>
      </c>
      <c r="H684" s="53" t="s">
        <v>1177</v>
      </c>
      <c r="I684" s="53" t="s">
        <v>201</v>
      </c>
      <c r="J684" s="53" t="s">
        <v>908</v>
      </c>
      <c r="K684" s="115">
        <v>6</v>
      </c>
      <c r="L684" s="111" t="s">
        <v>1446</v>
      </c>
      <c r="O684" s="116" t="s">
        <v>1565</v>
      </c>
      <c r="Q684" s="23"/>
      <c r="R684" s="23"/>
    </row>
    <row r="685" spans="2:18" ht="15.75" customHeight="1" x14ac:dyDescent="0.15">
      <c r="B685" s="53" t="s">
        <v>61</v>
      </c>
      <c r="C685" s="263">
        <v>43987</v>
      </c>
      <c r="D685" s="53" t="s">
        <v>904</v>
      </c>
      <c r="E685" s="53" t="s">
        <v>34</v>
      </c>
      <c r="F685" s="147">
        <v>0.04</v>
      </c>
      <c r="G685" s="53" t="s">
        <v>1177</v>
      </c>
      <c r="H685" s="53" t="s">
        <v>1177</v>
      </c>
      <c r="I685" s="53" t="s">
        <v>2268</v>
      </c>
      <c r="J685" s="53" t="s">
        <v>202</v>
      </c>
      <c r="K685" s="115">
        <v>4.5</v>
      </c>
      <c r="L685" s="111" t="s">
        <v>1864</v>
      </c>
      <c r="O685" s="116" t="s">
        <v>1863</v>
      </c>
      <c r="Q685" s="23"/>
      <c r="R685" s="23"/>
    </row>
    <row r="686" spans="2:18" ht="15.75" customHeight="1" x14ac:dyDescent="0.15">
      <c r="B686" s="53" t="s">
        <v>26</v>
      </c>
      <c r="C686" s="263">
        <v>43987</v>
      </c>
      <c r="D686" s="53" t="s">
        <v>1865</v>
      </c>
      <c r="E686" s="53" t="s">
        <v>34</v>
      </c>
      <c r="F686" s="147">
        <v>0.04</v>
      </c>
      <c r="G686" s="53" t="s">
        <v>1177</v>
      </c>
      <c r="H686" s="53" t="s">
        <v>1177</v>
      </c>
      <c r="I686" s="53" t="s">
        <v>2269</v>
      </c>
      <c r="J686" s="53" t="s">
        <v>2471</v>
      </c>
      <c r="K686" s="115">
        <v>8.5</v>
      </c>
      <c r="L686" s="111" t="s">
        <v>1472</v>
      </c>
      <c r="O686" s="116" t="s">
        <v>1455</v>
      </c>
      <c r="Q686" s="23"/>
      <c r="R686" s="23"/>
    </row>
    <row r="687" spans="2:18" ht="15.75" customHeight="1" x14ac:dyDescent="0.15">
      <c r="B687" s="53" t="s">
        <v>26</v>
      </c>
      <c r="C687" s="263">
        <v>43987</v>
      </c>
      <c r="D687" s="53" t="s">
        <v>906</v>
      </c>
      <c r="E687" s="53" t="s">
        <v>32</v>
      </c>
      <c r="F687" s="147">
        <v>0.05</v>
      </c>
      <c r="G687" s="53" t="s">
        <v>1177</v>
      </c>
      <c r="H687" s="53" t="s">
        <v>1177</v>
      </c>
      <c r="I687" s="53" t="s">
        <v>912</v>
      </c>
      <c r="J687" s="53" t="s">
        <v>15</v>
      </c>
      <c r="K687" s="115">
        <v>7</v>
      </c>
      <c r="L687" s="111" t="s">
        <v>1546</v>
      </c>
      <c r="O687" s="116" t="s">
        <v>1594</v>
      </c>
      <c r="Q687" s="23"/>
      <c r="R687" s="23"/>
    </row>
    <row r="688" spans="2:18" ht="15.75" customHeight="1" x14ac:dyDescent="0.15">
      <c r="B688" s="53" t="s">
        <v>41</v>
      </c>
      <c r="C688" s="263">
        <v>43987</v>
      </c>
      <c r="D688" s="53" t="s">
        <v>909</v>
      </c>
      <c r="E688" s="53" t="s">
        <v>27</v>
      </c>
      <c r="F688" s="147">
        <v>4.4999999999999998E-2</v>
      </c>
      <c r="G688" s="53" t="s">
        <v>1177</v>
      </c>
      <c r="H688" s="53" t="s">
        <v>1177</v>
      </c>
      <c r="I688" s="53" t="s">
        <v>192</v>
      </c>
      <c r="J688" s="53" t="s">
        <v>2472</v>
      </c>
      <c r="K688" s="115">
        <v>3</v>
      </c>
      <c r="L688" s="111" t="s">
        <v>1777</v>
      </c>
      <c r="O688" s="116" t="s">
        <v>1594</v>
      </c>
      <c r="Q688" s="23"/>
      <c r="R688" s="23"/>
    </row>
    <row r="689" spans="2:18" ht="15.75" customHeight="1" x14ac:dyDescent="0.15">
      <c r="B689" s="53" t="s">
        <v>45</v>
      </c>
      <c r="C689" s="263">
        <v>43987</v>
      </c>
      <c r="D689" s="53" t="s">
        <v>3615</v>
      </c>
      <c r="E689" s="53" t="s">
        <v>6</v>
      </c>
      <c r="F689" s="147">
        <v>0.115</v>
      </c>
      <c r="G689" s="53" t="s">
        <v>1177</v>
      </c>
      <c r="H689" s="53" t="s">
        <v>1177</v>
      </c>
      <c r="I689" s="53" t="s">
        <v>264</v>
      </c>
      <c r="J689" s="53" t="s">
        <v>2473</v>
      </c>
      <c r="K689" s="115">
        <v>7</v>
      </c>
      <c r="L689" s="111" t="s">
        <v>1819</v>
      </c>
      <c r="O689" s="116" t="s">
        <v>1819</v>
      </c>
      <c r="Q689" s="23"/>
      <c r="R689" s="23"/>
    </row>
    <row r="690" spans="2:18" ht="15.75" customHeight="1" x14ac:dyDescent="0.15">
      <c r="B690" s="53" t="s">
        <v>73</v>
      </c>
      <c r="C690" s="263">
        <v>43987</v>
      </c>
      <c r="D690" s="53" t="s">
        <v>910</v>
      </c>
      <c r="E690" s="53" t="s">
        <v>6</v>
      </c>
      <c r="F690" s="147">
        <v>6.5000000000000002E-2</v>
      </c>
      <c r="G690" s="53" t="s">
        <v>1177</v>
      </c>
      <c r="H690" s="53" t="s">
        <v>1177</v>
      </c>
      <c r="I690" s="53" t="s">
        <v>272</v>
      </c>
      <c r="J690" s="53" t="s">
        <v>699</v>
      </c>
      <c r="K690" s="115">
        <v>5</v>
      </c>
      <c r="L690" s="111" t="s">
        <v>1089</v>
      </c>
      <c r="O690" s="116" t="s">
        <v>1866</v>
      </c>
      <c r="Q690" s="23"/>
      <c r="R690" s="23"/>
    </row>
    <row r="691" spans="2:18" ht="15.75" customHeight="1" x14ac:dyDescent="0.15">
      <c r="B691" s="53" t="s">
        <v>361</v>
      </c>
      <c r="C691" s="263">
        <v>43987</v>
      </c>
      <c r="D691" s="53" t="s">
        <v>911</v>
      </c>
      <c r="E691" s="53" t="s">
        <v>6</v>
      </c>
      <c r="F691" s="147">
        <v>4.1000000000000002E-2</v>
      </c>
      <c r="G691" s="53" t="s">
        <v>1177</v>
      </c>
      <c r="H691" s="53" t="s">
        <v>1177</v>
      </c>
      <c r="I691" s="53" t="s">
        <v>2270</v>
      </c>
      <c r="J691" s="53" t="s">
        <v>2474</v>
      </c>
      <c r="K691" s="115">
        <v>4</v>
      </c>
      <c r="L691" s="111" t="s">
        <v>911</v>
      </c>
      <c r="O691" s="116" t="s">
        <v>1533</v>
      </c>
      <c r="Q691" s="23"/>
      <c r="R691" s="23"/>
    </row>
    <row r="692" spans="2:18" ht="15.75" customHeight="1" x14ac:dyDescent="0.15">
      <c r="B692" s="53" t="s">
        <v>26</v>
      </c>
      <c r="C692" s="263">
        <v>43987</v>
      </c>
      <c r="D692" s="53" t="s">
        <v>913</v>
      </c>
      <c r="E692" s="53" t="s">
        <v>32</v>
      </c>
      <c r="F692" s="147">
        <v>0.05</v>
      </c>
      <c r="G692" s="53" t="s">
        <v>1177</v>
      </c>
      <c r="H692" s="53" t="s">
        <v>1177</v>
      </c>
      <c r="I692" s="53" t="s">
        <v>2271</v>
      </c>
      <c r="J692" s="53" t="s">
        <v>1373</v>
      </c>
      <c r="K692" s="115">
        <v>3.5</v>
      </c>
      <c r="L692" s="111" t="s">
        <v>1868</v>
      </c>
      <c r="O692" s="116" t="s">
        <v>1867</v>
      </c>
      <c r="Q692" s="23"/>
      <c r="R692" s="23"/>
    </row>
    <row r="693" spans="2:18" ht="15.75" customHeight="1" x14ac:dyDescent="0.15">
      <c r="B693" s="53" t="s">
        <v>35</v>
      </c>
      <c r="C693" s="263">
        <v>43987</v>
      </c>
      <c r="D693" s="53" t="s">
        <v>917</v>
      </c>
      <c r="E693" s="53" t="s">
        <v>6</v>
      </c>
      <c r="F693" s="147">
        <v>4.4999999999999998E-2</v>
      </c>
      <c r="G693" s="53" t="s">
        <v>1177</v>
      </c>
      <c r="H693" s="53" t="s">
        <v>1177</v>
      </c>
      <c r="I693" s="53" t="s">
        <v>350</v>
      </c>
      <c r="J693" s="53" t="s">
        <v>243</v>
      </c>
      <c r="K693" s="115">
        <v>6</v>
      </c>
      <c r="L693" s="111" t="s">
        <v>1544</v>
      </c>
      <c r="O693" s="116" t="s">
        <v>1544</v>
      </c>
      <c r="Q693" s="23"/>
      <c r="R693" s="23"/>
    </row>
    <row r="694" spans="2:18" ht="15.75" customHeight="1" x14ac:dyDescent="0.15">
      <c r="B694" s="53" t="s">
        <v>38</v>
      </c>
      <c r="C694" s="263">
        <v>43987</v>
      </c>
      <c r="D694" s="53" t="s">
        <v>914</v>
      </c>
      <c r="E694" s="53" t="s">
        <v>6</v>
      </c>
      <c r="F694" s="147">
        <v>5.8999999999999997E-2</v>
      </c>
      <c r="G694" s="53" t="s">
        <v>1177</v>
      </c>
      <c r="H694" s="53" t="s">
        <v>1177</v>
      </c>
      <c r="I694" s="53" t="s">
        <v>933</v>
      </c>
      <c r="J694" s="53" t="s">
        <v>934</v>
      </c>
      <c r="K694" s="115">
        <v>8</v>
      </c>
      <c r="L694" s="111" t="s">
        <v>1658</v>
      </c>
      <c r="O694" s="116" t="s">
        <v>1659</v>
      </c>
      <c r="Q694" s="23"/>
      <c r="R694" s="23"/>
    </row>
    <row r="695" spans="2:18" ht="15.75" customHeight="1" x14ac:dyDescent="0.15">
      <c r="B695" s="53" t="s">
        <v>18</v>
      </c>
      <c r="C695" s="263">
        <v>43987</v>
      </c>
      <c r="D695" s="53" t="s">
        <v>107</v>
      </c>
      <c r="E695" s="53" t="s">
        <v>6</v>
      </c>
      <c r="F695" s="147">
        <v>0.05</v>
      </c>
      <c r="G695" s="53" t="s">
        <v>1177</v>
      </c>
      <c r="H695" s="53" t="s">
        <v>1177</v>
      </c>
      <c r="I695" s="53" t="s">
        <v>972</v>
      </c>
      <c r="J695" s="53" t="s">
        <v>168</v>
      </c>
      <c r="K695" s="115">
        <v>6</v>
      </c>
      <c r="L695" s="111" t="s">
        <v>1513</v>
      </c>
      <c r="O695" s="116" t="s">
        <v>1513</v>
      </c>
      <c r="Q695" s="23"/>
      <c r="R695" s="23"/>
    </row>
    <row r="696" spans="2:18" ht="15.75" customHeight="1" x14ac:dyDescent="0.15">
      <c r="B696" s="53" t="s">
        <v>73</v>
      </c>
      <c r="C696" s="263">
        <v>43987</v>
      </c>
      <c r="D696" s="53" t="s">
        <v>918</v>
      </c>
      <c r="E696" s="53" t="s">
        <v>6</v>
      </c>
      <c r="F696" s="147">
        <v>6.5000000000000002E-2</v>
      </c>
      <c r="G696" s="53" t="s">
        <v>1177</v>
      </c>
      <c r="H696" s="53" t="s">
        <v>1177</v>
      </c>
      <c r="I696" s="53" t="s">
        <v>919</v>
      </c>
      <c r="J696" s="53" t="s">
        <v>920</v>
      </c>
      <c r="K696" s="115">
        <v>9</v>
      </c>
      <c r="L696" s="111" t="s">
        <v>1819</v>
      </c>
      <c r="O696" s="116" t="s">
        <v>1819</v>
      </c>
      <c r="Q696" s="23"/>
      <c r="R696" s="23"/>
    </row>
    <row r="697" spans="2:18" ht="15.75" customHeight="1" x14ac:dyDescent="0.15">
      <c r="B697" s="53" t="s">
        <v>41</v>
      </c>
      <c r="C697" s="263">
        <v>43987</v>
      </c>
      <c r="D697" s="53" t="s">
        <v>916</v>
      </c>
      <c r="E697" s="53" t="s">
        <v>6</v>
      </c>
      <c r="F697" s="147">
        <v>6.6000000000000003E-2</v>
      </c>
      <c r="G697" s="53" t="s">
        <v>1177</v>
      </c>
      <c r="H697" s="53" t="s">
        <v>1177</v>
      </c>
      <c r="I697" s="53" t="s">
        <v>185</v>
      </c>
      <c r="J697" s="53" t="s">
        <v>1145</v>
      </c>
      <c r="K697" s="115">
        <v>9</v>
      </c>
      <c r="L697" s="111" t="s">
        <v>765</v>
      </c>
      <c r="O697" s="116" t="s">
        <v>1569</v>
      </c>
      <c r="Q697" s="23"/>
      <c r="R697" s="23"/>
    </row>
    <row r="698" spans="2:18" ht="15.75" customHeight="1" x14ac:dyDescent="0.15">
      <c r="B698" s="53" t="s">
        <v>361</v>
      </c>
      <c r="C698" s="263">
        <v>43987</v>
      </c>
      <c r="D698" s="53" t="s">
        <v>915</v>
      </c>
      <c r="E698" s="53" t="s">
        <v>190</v>
      </c>
      <c r="F698" s="147">
        <v>0.08</v>
      </c>
      <c r="G698" s="53" t="s">
        <v>1177</v>
      </c>
      <c r="H698" s="53" t="s">
        <v>1177</v>
      </c>
      <c r="I698" s="53" t="s">
        <v>2272</v>
      </c>
      <c r="J698" s="53" t="s">
        <v>3532</v>
      </c>
      <c r="K698" s="115">
        <v>3.5</v>
      </c>
      <c r="L698" s="111" t="s">
        <v>1869</v>
      </c>
      <c r="O698" s="116" t="s">
        <v>1870</v>
      </c>
      <c r="Q698" s="23"/>
      <c r="R698" s="23"/>
    </row>
    <row r="699" spans="2:18" ht="15.75" customHeight="1" x14ac:dyDescent="0.15">
      <c r="B699" s="53" t="s">
        <v>61</v>
      </c>
      <c r="C699" s="263">
        <v>43987</v>
      </c>
      <c r="D699" s="53" t="s">
        <v>172</v>
      </c>
      <c r="E699" s="53" t="s">
        <v>6</v>
      </c>
      <c r="F699" s="147">
        <v>5.3999999999999999E-2</v>
      </c>
      <c r="G699" s="53" t="s">
        <v>1177</v>
      </c>
      <c r="H699" s="53" t="s">
        <v>1177</v>
      </c>
      <c r="I699" s="53" t="s">
        <v>232</v>
      </c>
      <c r="J699" s="53" t="s">
        <v>2214</v>
      </c>
      <c r="K699" s="115">
        <v>7.5</v>
      </c>
      <c r="L699" s="111" t="s">
        <v>172</v>
      </c>
      <c r="O699" s="116" t="s">
        <v>1586</v>
      </c>
      <c r="Q699" s="23"/>
      <c r="R699" s="23"/>
    </row>
    <row r="700" spans="2:18" ht="15.75" customHeight="1" x14ac:dyDescent="0.15">
      <c r="B700" s="53" t="s">
        <v>26</v>
      </c>
      <c r="C700" s="263">
        <v>43987</v>
      </c>
      <c r="D700" s="53" t="s">
        <v>921</v>
      </c>
      <c r="E700" s="53" t="s">
        <v>27</v>
      </c>
      <c r="F700" s="147">
        <v>0.15</v>
      </c>
      <c r="G700" s="53" t="s">
        <v>1177</v>
      </c>
      <c r="H700" s="53" t="s">
        <v>1177</v>
      </c>
      <c r="I700" s="53" t="s">
        <v>311</v>
      </c>
      <c r="J700" s="53" t="s">
        <v>2475</v>
      </c>
      <c r="K700" s="115">
        <v>9</v>
      </c>
      <c r="L700" s="111" t="s">
        <v>921</v>
      </c>
      <c r="O700" s="116" t="s">
        <v>1537</v>
      </c>
      <c r="Q700" s="23"/>
      <c r="R700" s="23"/>
    </row>
    <row r="701" spans="2:18" ht="15.75" customHeight="1" x14ac:dyDescent="0.15">
      <c r="B701" s="53" t="s">
        <v>35</v>
      </c>
      <c r="C701" s="263">
        <v>43987</v>
      </c>
      <c r="D701" s="53" t="s">
        <v>922</v>
      </c>
      <c r="E701" s="53" t="s">
        <v>65</v>
      </c>
      <c r="F701" s="147">
        <v>0.375</v>
      </c>
      <c r="G701" s="53" t="s">
        <v>1177</v>
      </c>
      <c r="H701" s="53" t="s">
        <v>1177</v>
      </c>
      <c r="I701" s="53" t="s">
        <v>923</v>
      </c>
      <c r="J701" s="53" t="s">
        <v>924</v>
      </c>
      <c r="K701" s="115">
        <v>2</v>
      </c>
      <c r="L701" s="111" t="s">
        <v>1828</v>
      </c>
      <c r="O701" s="116" t="s">
        <v>1828</v>
      </c>
      <c r="Q701" s="23"/>
      <c r="R701" s="23"/>
    </row>
    <row r="702" spans="2:18" ht="15.75" customHeight="1" x14ac:dyDescent="0.15">
      <c r="B702" s="53" t="s">
        <v>45</v>
      </c>
      <c r="C702" s="263">
        <v>43987</v>
      </c>
      <c r="D702" s="53" t="s">
        <v>925</v>
      </c>
      <c r="E702" s="53" t="s">
        <v>42</v>
      </c>
      <c r="F702" s="147">
        <v>0.12</v>
      </c>
      <c r="G702" s="53" t="s">
        <v>1177</v>
      </c>
      <c r="H702" s="53" t="s">
        <v>1177</v>
      </c>
      <c r="I702" s="53" t="s">
        <v>403</v>
      </c>
      <c r="J702" s="53" t="s">
        <v>42</v>
      </c>
      <c r="K702" s="115">
        <v>6.5</v>
      </c>
      <c r="L702" s="111" t="s">
        <v>1871</v>
      </c>
      <c r="O702" s="116" t="s">
        <v>1872</v>
      </c>
      <c r="Q702" s="23"/>
      <c r="R702" s="23"/>
    </row>
    <row r="703" spans="2:18" ht="15.75" customHeight="1" x14ac:dyDescent="0.15">
      <c r="B703" s="53" t="s">
        <v>18</v>
      </c>
      <c r="C703" s="263">
        <v>43987</v>
      </c>
      <c r="D703" s="53" t="s">
        <v>1873</v>
      </c>
      <c r="E703" s="53" t="s">
        <v>12</v>
      </c>
      <c r="F703" s="147">
        <v>0.4</v>
      </c>
      <c r="G703" s="53" t="s">
        <v>1177</v>
      </c>
      <c r="H703" s="53" t="s">
        <v>1177</v>
      </c>
      <c r="I703" s="53" t="s">
        <v>926</v>
      </c>
      <c r="J703" s="53" t="s">
        <v>70</v>
      </c>
      <c r="K703" s="115">
        <v>8</v>
      </c>
      <c r="L703" s="111" t="s">
        <v>1277</v>
      </c>
      <c r="O703" s="116" t="s">
        <v>1573</v>
      </c>
      <c r="Q703" s="23"/>
      <c r="R703" s="23"/>
    </row>
    <row r="704" spans="2:18" ht="15.75" customHeight="1" x14ac:dyDescent="0.15">
      <c r="B704" s="53" t="s">
        <v>61</v>
      </c>
      <c r="C704" s="263">
        <v>43987</v>
      </c>
      <c r="D704" s="53" t="s">
        <v>3190</v>
      </c>
      <c r="E704" s="53" t="s">
        <v>27</v>
      </c>
      <c r="F704" s="147">
        <v>0.2</v>
      </c>
      <c r="G704" s="53" t="s">
        <v>1177</v>
      </c>
      <c r="H704" s="53" t="s">
        <v>1177</v>
      </c>
      <c r="I704" s="53" t="s">
        <v>927</v>
      </c>
      <c r="J704" s="53" t="s">
        <v>356</v>
      </c>
      <c r="K704" s="115">
        <v>5</v>
      </c>
      <c r="L704" s="111" t="s">
        <v>1518</v>
      </c>
      <c r="O704" s="111" t="s">
        <v>1518</v>
      </c>
      <c r="Q704" s="23"/>
      <c r="R704" s="23"/>
    </row>
    <row r="705" spans="2:18" ht="15.75" customHeight="1" x14ac:dyDescent="0.15">
      <c r="B705" s="53" t="s">
        <v>361</v>
      </c>
      <c r="C705" s="263">
        <v>43987</v>
      </c>
      <c r="D705" s="53" t="s">
        <v>3606</v>
      </c>
      <c r="E705" s="53" t="s">
        <v>12</v>
      </c>
      <c r="F705" s="147">
        <v>0.375</v>
      </c>
      <c r="G705" s="53" t="s">
        <v>1177</v>
      </c>
      <c r="H705" s="53" t="s">
        <v>1177</v>
      </c>
      <c r="I705" s="53" t="s">
        <v>928</v>
      </c>
      <c r="J705" s="53" t="s">
        <v>929</v>
      </c>
      <c r="K705" s="115">
        <v>2</v>
      </c>
      <c r="L705" s="111" t="s">
        <v>1874</v>
      </c>
      <c r="O705" s="116" t="s">
        <v>1875</v>
      </c>
      <c r="Q705" s="23"/>
      <c r="R705" s="23"/>
    </row>
    <row r="706" spans="2:18" ht="15.75" customHeight="1" x14ac:dyDescent="0.15">
      <c r="B706" s="53" t="s">
        <v>41</v>
      </c>
      <c r="C706" s="263">
        <v>43987</v>
      </c>
      <c r="D706" s="53" t="s">
        <v>930</v>
      </c>
      <c r="E706" s="53" t="s">
        <v>32</v>
      </c>
      <c r="F706" s="147">
        <v>0.14499999999999999</v>
      </c>
      <c r="G706" s="53" t="s">
        <v>1177</v>
      </c>
      <c r="H706" s="53" t="s">
        <v>1177</v>
      </c>
      <c r="I706" s="53" t="s">
        <v>1242</v>
      </c>
      <c r="J706" s="53" t="s">
        <v>16</v>
      </c>
      <c r="K706" s="115">
        <v>3.5</v>
      </c>
      <c r="L706" s="111" t="s">
        <v>1876</v>
      </c>
      <c r="O706" s="116" t="s">
        <v>1876</v>
      </c>
      <c r="Q706" s="23"/>
      <c r="R706" s="23"/>
    </row>
    <row r="707" spans="2:18" ht="15.75" customHeight="1" x14ac:dyDescent="0.15">
      <c r="B707" s="53" t="s">
        <v>73</v>
      </c>
      <c r="C707" s="263">
        <v>43987</v>
      </c>
      <c r="D707" s="53" t="s">
        <v>530</v>
      </c>
      <c r="E707" s="53" t="s">
        <v>27</v>
      </c>
      <c r="F707" s="147">
        <v>0.16500000000000001</v>
      </c>
      <c r="G707" s="53" t="s">
        <v>1177</v>
      </c>
      <c r="H707" s="53" t="s">
        <v>1177</v>
      </c>
      <c r="I707" s="53" t="s">
        <v>931</v>
      </c>
      <c r="J707" s="53" t="s">
        <v>932</v>
      </c>
      <c r="K707" s="115">
        <v>6</v>
      </c>
      <c r="L707" s="111" t="s">
        <v>530</v>
      </c>
      <c r="O707" s="116" t="s">
        <v>1739</v>
      </c>
      <c r="Q707" s="23"/>
      <c r="R707" s="23"/>
    </row>
    <row r="708" spans="2:18" ht="15.75" customHeight="1" x14ac:dyDescent="0.15">
      <c r="B708" s="53" t="s">
        <v>45</v>
      </c>
      <c r="C708" s="263">
        <v>43987</v>
      </c>
      <c r="D708" s="53" t="s">
        <v>903</v>
      </c>
      <c r="E708" s="53" t="s">
        <v>6</v>
      </c>
      <c r="F708" s="147">
        <v>4.1000000000000002E-2</v>
      </c>
      <c r="G708" s="53" t="s">
        <v>1177</v>
      </c>
      <c r="H708" s="53" t="s">
        <v>1177</v>
      </c>
      <c r="I708" s="53" t="s">
        <v>938</v>
      </c>
      <c r="J708" s="53" t="s">
        <v>939</v>
      </c>
      <c r="K708" s="115">
        <v>5</v>
      </c>
      <c r="L708" s="111" t="s">
        <v>1747</v>
      </c>
      <c r="O708" s="116" t="s">
        <v>1748</v>
      </c>
      <c r="Q708" s="23"/>
      <c r="R708" s="23"/>
    </row>
    <row r="709" spans="2:18" ht="15.75" customHeight="1" x14ac:dyDescent="0.15">
      <c r="B709" s="53" t="s">
        <v>73</v>
      </c>
      <c r="C709" s="263">
        <v>43987</v>
      </c>
      <c r="D709" s="53" t="s">
        <v>935</v>
      </c>
      <c r="E709" s="53" t="s">
        <v>6</v>
      </c>
      <c r="F709" s="147">
        <v>5.5E-2</v>
      </c>
      <c r="G709" s="53" t="s">
        <v>1177</v>
      </c>
      <c r="H709" s="53" t="s">
        <v>1177</v>
      </c>
      <c r="I709" s="53" t="s">
        <v>112</v>
      </c>
      <c r="J709" s="53" t="s">
        <v>1051</v>
      </c>
      <c r="K709" s="115">
        <v>5.5</v>
      </c>
      <c r="L709" s="111" t="s">
        <v>1094</v>
      </c>
      <c r="O709" s="116" t="s">
        <v>1094</v>
      </c>
      <c r="Q709" s="23"/>
      <c r="R709" s="23"/>
    </row>
    <row r="710" spans="2:18" ht="15.75" customHeight="1" x14ac:dyDescent="0.15">
      <c r="B710" s="53" t="s">
        <v>38</v>
      </c>
      <c r="C710" s="263">
        <v>43987</v>
      </c>
      <c r="D710" s="53" t="s">
        <v>936</v>
      </c>
      <c r="E710" s="53" t="s">
        <v>6</v>
      </c>
      <c r="F710" s="147">
        <v>4.5999999999999999E-2</v>
      </c>
      <c r="G710" s="53" t="s">
        <v>1177</v>
      </c>
      <c r="H710" s="53" t="s">
        <v>1177</v>
      </c>
      <c r="I710" s="53" t="s">
        <v>3545</v>
      </c>
      <c r="J710" s="53" t="s">
        <v>968</v>
      </c>
      <c r="K710" s="115">
        <v>8.5</v>
      </c>
      <c r="L710" s="111" t="s">
        <v>1093</v>
      </c>
      <c r="O710" s="116" t="s">
        <v>1800</v>
      </c>
      <c r="Q710" s="23"/>
      <c r="R710" s="23"/>
    </row>
    <row r="711" spans="2:18" ht="15.75" customHeight="1" x14ac:dyDescent="0.15">
      <c r="B711" s="53" t="s">
        <v>61</v>
      </c>
      <c r="C711" s="263">
        <v>43987</v>
      </c>
      <c r="D711" s="53" t="s">
        <v>937</v>
      </c>
      <c r="E711" s="53" t="s">
        <v>6</v>
      </c>
      <c r="F711" s="147">
        <v>5.5E-2</v>
      </c>
      <c r="G711" s="53" t="s">
        <v>1177</v>
      </c>
      <c r="H711" s="53" t="s">
        <v>1177</v>
      </c>
      <c r="I711" s="53" t="s">
        <v>272</v>
      </c>
      <c r="J711" s="53" t="s">
        <v>234</v>
      </c>
      <c r="K711" s="115">
        <v>5</v>
      </c>
      <c r="L711" s="111" t="s">
        <v>1773</v>
      </c>
      <c r="O711" s="116" t="s">
        <v>1683</v>
      </c>
      <c r="Q711" s="23"/>
      <c r="R711" s="23"/>
    </row>
    <row r="712" spans="2:18" ht="15.75" customHeight="1" x14ac:dyDescent="0.15">
      <c r="B712" s="53" t="s">
        <v>35</v>
      </c>
      <c r="C712" s="263">
        <v>43987</v>
      </c>
      <c r="D712" s="53" t="s">
        <v>940</v>
      </c>
      <c r="E712" s="53" t="s">
        <v>6</v>
      </c>
      <c r="F712" s="147">
        <v>5.3999999999999999E-2</v>
      </c>
      <c r="G712" s="53" t="s">
        <v>1177</v>
      </c>
      <c r="H712" s="53" t="s">
        <v>1177</v>
      </c>
      <c r="I712" s="53" t="s">
        <v>948</v>
      </c>
      <c r="J712" s="53" t="s">
        <v>949</v>
      </c>
      <c r="K712" s="115">
        <v>6.5</v>
      </c>
      <c r="L712" s="111" t="s">
        <v>765</v>
      </c>
      <c r="O712" s="116" t="s">
        <v>1569</v>
      </c>
      <c r="Q712" s="23"/>
      <c r="R712" s="23"/>
    </row>
    <row r="713" spans="2:18" ht="15.75" customHeight="1" x14ac:dyDescent="0.15">
      <c r="B713" s="53" t="s">
        <v>18</v>
      </c>
      <c r="C713" s="263">
        <v>43987</v>
      </c>
      <c r="D713" s="53" t="s">
        <v>1657</v>
      </c>
      <c r="E713" s="53" t="s">
        <v>6</v>
      </c>
      <c r="F713" s="147">
        <v>5.0999999999999997E-2</v>
      </c>
      <c r="G713" s="53" t="s">
        <v>1177</v>
      </c>
      <c r="H713" s="53" t="s">
        <v>1177</v>
      </c>
      <c r="I713" s="53" t="s">
        <v>327</v>
      </c>
      <c r="J713" s="53" t="s">
        <v>70</v>
      </c>
      <c r="K713" s="115">
        <v>6.5</v>
      </c>
      <c r="L713" s="111" t="s">
        <v>1658</v>
      </c>
      <c r="O713" s="116" t="s">
        <v>1659</v>
      </c>
      <c r="Q713" s="23"/>
      <c r="R713" s="23"/>
    </row>
    <row r="714" spans="2:18" ht="15.75" customHeight="1" x14ac:dyDescent="0.15">
      <c r="B714" s="53" t="s">
        <v>41</v>
      </c>
      <c r="C714" s="263">
        <v>43987</v>
      </c>
      <c r="D714" s="53" t="s">
        <v>941</v>
      </c>
      <c r="E714" s="53" t="s">
        <v>6</v>
      </c>
      <c r="F714" s="147">
        <v>4.7E-2</v>
      </c>
      <c r="G714" s="53" t="s">
        <v>1177</v>
      </c>
      <c r="H714" s="53" t="s">
        <v>1177</v>
      </c>
      <c r="I714" s="53" t="s">
        <v>3486</v>
      </c>
      <c r="J714" s="53" t="s">
        <v>2476</v>
      </c>
      <c r="K714" s="115">
        <v>3</v>
      </c>
      <c r="L714" s="111" t="s">
        <v>669</v>
      </c>
      <c r="O714" s="116" t="s">
        <v>1656</v>
      </c>
      <c r="Q714" s="23"/>
      <c r="R714" s="23"/>
    </row>
    <row r="715" spans="2:18" ht="15.75" customHeight="1" x14ac:dyDescent="0.15">
      <c r="B715" s="53" t="s">
        <v>26</v>
      </c>
      <c r="C715" s="263">
        <v>43987</v>
      </c>
      <c r="D715" s="53" t="s">
        <v>1877</v>
      </c>
      <c r="E715" s="53" t="s">
        <v>34</v>
      </c>
      <c r="F715" s="147">
        <v>0.04</v>
      </c>
      <c r="G715" s="53" t="s">
        <v>1177</v>
      </c>
      <c r="H715" s="53" t="s">
        <v>1177</v>
      </c>
      <c r="I715" s="53" t="s">
        <v>16</v>
      </c>
      <c r="J715" s="53" t="s">
        <v>238</v>
      </c>
      <c r="K715" s="115">
        <v>9</v>
      </c>
      <c r="L715" s="111" t="s">
        <v>1472</v>
      </c>
      <c r="O715" s="116" t="s">
        <v>1455</v>
      </c>
      <c r="Q715" s="23"/>
      <c r="R715" s="23"/>
    </row>
    <row r="716" spans="2:18" ht="15.75" customHeight="1" x14ac:dyDescent="0.15">
      <c r="B716" s="53" t="s">
        <v>45</v>
      </c>
      <c r="C716" s="263">
        <v>43987</v>
      </c>
      <c r="D716" s="53" t="s">
        <v>942</v>
      </c>
      <c r="E716" s="53" t="s">
        <v>6</v>
      </c>
      <c r="F716" s="147">
        <v>4.8000000000000001E-2</v>
      </c>
      <c r="G716" s="53" t="s">
        <v>1177</v>
      </c>
      <c r="H716" s="53" t="s">
        <v>1177</v>
      </c>
      <c r="I716" s="53" t="s">
        <v>1899</v>
      </c>
      <c r="J716" s="53" t="s">
        <v>195</v>
      </c>
      <c r="K716" s="115">
        <v>3</v>
      </c>
      <c r="L716" s="111" t="s">
        <v>1530</v>
      </c>
      <c r="M716" s="111" t="s">
        <v>2451</v>
      </c>
      <c r="O716" s="111" t="s">
        <v>1878</v>
      </c>
      <c r="Q716" s="23"/>
      <c r="R716" s="23"/>
    </row>
    <row r="717" spans="2:18" ht="15.75" customHeight="1" x14ac:dyDescent="0.15">
      <c r="B717" s="53" t="s">
        <v>361</v>
      </c>
      <c r="C717" s="263">
        <v>43987</v>
      </c>
      <c r="D717" s="53" t="s">
        <v>943</v>
      </c>
      <c r="E717" s="53" t="s">
        <v>65</v>
      </c>
      <c r="F717" s="147">
        <v>0.04</v>
      </c>
      <c r="G717" s="53" t="s">
        <v>1177</v>
      </c>
      <c r="H717" s="53" t="s">
        <v>1177</v>
      </c>
      <c r="I717" s="53" t="s">
        <v>947</v>
      </c>
      <c r="J717" s="53" t="s">
        <v>2477</v>
      </c>
      <c r="K717" s="115">
        <v>2.5</v>
      </c>
      <c r="L717" s="111" t="s">
        <v>1879</v>
      </c>
      <c r="O717" s="116" t="s">
        <v>1585</v>
      </c>
      <c r="Q717" s="23"/>
      <c r="R717" s="23"/>
    </row>
    <row r="718" spans="2:18" ht="15.75" customHeight="1" x14ac:dyDescent="0.15">
      <c r="B718" s="53" t="s">
        <v>41</v>
      </c>
      <c r="C718" s="263">
        <v>43987</v>
      </c>
      <c r="D718" s="53" t="s">
        <v>944</v>
      </c>
      <c r="E718" s="53" t="s">
        <v>12</v>
      </c>
      <c r="F718" s="147">
        <v>0.05</v>
      </c>
      <c r="G718" s="53" t="s">
        <v>1177</v>
      </c>
      <c r="H718" s="53" t="s">
        <v>1177</v>
      </c>
      <c r="I718" s="53" t="s">
        <v>232</v>
      </c>
      <c r="J718" s="53" t="s">
        <v>2478</v>
      </c>
      <c r="K718" s="115">
        <v>4</v>
      </c>
      <c r="L718" s="111" t="s">
        <v>1881</v>
      </c>
      <c r="O718" s="116" t="s">
        <v>1880</v>
      </c>
      <c r="Q718" s="23"/>
      <c r="R718" s="23"/>
    </row>
    <row r="719" spans="2:18" ht="15.75" customHeight="1" x14ac:dyDescent="0.15">
      <c r="B719" s="53" t="s">
        <v>73</v>
      </c>
      <c r="C719" s="263">
        <v>43987</v>
      </c>
      <c r="D719" s="53" t="s">
        <v>945</v>
      </c>
      <c r="E719" s="53" t="s">
        <v>6</v>
      </c>
      <c r="F719" s="147">
        <v>6.5000000000000002E-2</v>
      </c>
      <c r="G719" s="53" t="s">
        <v>1177</v>
      </c>
      <c r="H719" s="53" t="s">
        <v>1177</v>
      </c>
      <c r="I719" s="53" t="s">
        <v>657</v>
      </c>
      <c r="J719" s="53" t="s">
        <v>2479</v>
      </c>
      <c r="K719" s="115">
        <v>3</v>
      </c>
      <c r="L719" s="111" t="s">
        <v>1092</v>
      </c>
      <c r="O719" s="111" t="s">
        <v>1092</v>
      </c>
      <c r="Q719" s="23"/>
      <c r="R719" s="23"/>
    </row>
    <row r="720" spans="2:18" ht="15.75" customHeight="1" x14ac:dyDescent="0.15">
      <c r="B720" s="53" t="s">
        <v>38</v>
      </c>
      <c r="C720" s="263">
        <v>43987</v>
      </c>
      <c r="D720" s="53" t="s">
        <v>946</v>
      </c>
      <c r="E720" s="53" t="s">
        <v>6</v>
      </c>
      <c r="F720" s="147">
        <v>2.8000000000000001E-2</v>
      </c>
      <c r="G720" s="53" t="s">
        <v>1177</v>
      </c>
      <c r="H720" s="53" t="s">
        <v>1177</v>
      </c>
      <c r="I720" s="53" t="s">
        <v>2273</v>
      </c>
      <c r="J720" s="53" t="s">
        <v>238</v>
      </c>
      <c r="K720" s="115">
        <v>8</v>
      </c>
      <c r="L720" s="111" t="s">
        <v>1754</v>
      </c>
      <c r="M720" s="111" t="s">
        <v>2451</v>
      </c>
      <c r="O720" s="111" t="s">
        <v>1882</v>
      </c>
      <c r="Q720" s="23"/>
      <c r="R720" s="23"/>
    </row>
    <row r="721" spans="2:18" ht="15.75" customHeight="1" x14ac:dyDescent="0.15">
      <c r="B721" s="53" t="s">
        <v>73</v>
      </c>
      <c r="C721" s="263">
        <v>43987</v>
      </c>
      <c r="D721" s="53" t="s">
        <v>1883</v>
      </c>
      <c r="E721" s="53" t="s">
        <v>6</v>
      </c>
      <c r="F721" s="147">
        <v>0.06</v>
      </c>
      <c r="G721" s="53" t="s">
        <v>1177</v>
      </c>
      <c r="H721" s="53" t="s">
        <v>1177</v>
      </c>
      <c r="I721" s="53" t="s">
        <v>468</v>
      </c>
      <c r="J721" s="53" t="s">
        <v>2480</v>
      </c>
      <c r="K721" s="115">
        <v>8</v>
      </c>
      <c r="L721" s="111" t="s">
        <v>1855</v>
      </c>
      <c r="O721" s="116" t="s">
        <v>1855</v>
      </c>
      <c r="Q721" s="23"/>
      <c r="R721" s="23"/>
    </row>
    <row r="722" spans="2:18" ht="15.75" customHeight="1" x14ac:dyDescent="0.15">
      <c r="B722" s="53" t="s">
        <v>45</v>
      </c>
      <c r="C722" s="263">
        <v>43987</v>
      </c>
      <c r="D722" s="53" t="s">
        <v>1753</v>
      </c>
      <c r="E722" s="53" t="s">
        <v>6</v>
      </c>
      <c r="F722" s="147">
        <v>0.04</v>
      </c>
      <c r="G722" s="53" t="s">
        <v>1177</v>
      </c>
      <c r="H722" s="53" t="s">
        <v>1177</v>
      </c>
      <c r="I722" s="53" t="s">
        <v>2274</v>
      </c>
      <c r="J722" s="53" t="s">
        <v>278</v>
      </c>
      <c r="K722" s="115">
        <v>6</v>
      </c>
      <c r="L722" s="111" t="s">
        <v>1542</v>
      </c>
      <c r="M722" s="111" t="s">
        <v>2451</v>
      </c>
      <c r="O722" s="116" t="s">
        <v>2008</v>
      </c>
      <c r="Q722" s="23"/>
      <c r="R722" s="23"/>
    </row>
    <row r="723" spans="2:18" ht="15.75" customHeight="1" x14ac:dyDescent="0.15">
      <c r="B723" s="53" t="s">
        <v>61</v>
      </c>
      <c r="C723" s="263">
        <v>43987</v>
      </c>
      <c r="D723" s="53" t="s">
        <v>950</v>
      </c>
      <c r="E723" s="53" t="s">
        <v>6</v>
      </c>
      <c r="F723" s="147">
        <v>0.05</v>
      </c>
      <c r="G723" s="53" t="s">
        <v>1177</v>
      </c>
      <c r="H723" s="53" t="s">
        <v>1177</v>
      </c>
      <c r="I723" s="53" t="s">
        <v>2275</v>
      </c>
      <c r="J723" s="53" t="s">
        <v>2481</v>
      </c>
      <c r="K723" s="115">
        <v>2</v>
      </c>
      <c r="L723" s="111" t="s">
        <v>1088</v>
      </c>
      <c r="O723" s="116" t="s">
        <v>1565</v>
      </c>
      <c r="Q723" s="23"/>
      <c r="R723" s="23"/>
    </row>
    <row r="724" spans="2:18" ht="15.75" customHeight="1" x14ac:dyDescent="0.15">
      <c r="B724" s="53" t="s">
        <v>45</v>
      </c>
      <c r="C724" s="263">
        <v>43987</v>
      </c>
      <c r="D724" s="53" t="s">
        <v>1883</v>
      </c>
      <c r="E724" s="53" t="s">
        <v>6</v>
      </c>
      <c r="F724" s="147">
        <v>0.06</v>
      </c>
      <c r="G724" s="53" t="s">
        <v>1177</v>
      </c>
      <c r="H724" s="53" t="s">
        <v>1177</v>
      </c>
      <c r="I724" s="53" t="s">
        <v>168</v>
      </c>
      <c r="J724" s="53" t="s">
        <v>2482</v>
      </c>
      <c r="K724" s="115">
        <v>6</v>
      </c>
      <c r="L724" s="111" t="s">
        <v>1855</v>
      </c>
      <c r="O724" s="116" t="s">
        <v>1855</v>
      </c>
      <c r="Q724" s="23"/>
      <c r="R724" s="23"/>
    </row>
    <row r="725" spans="2:18" ht="15.75" customHeight="1" x14ac:dyDescent="0.15">
      <c r="B725" s="53" t="s">
        <v>41</v>
      </c>
      <c r="C725" s="263">
        <v>43987</v>
      </c>
      <c r="D725" s="53" t="s">
        <v>951</v>
      </c>
      <c r="E725" s="53" t="s">
        <v>6</v>
      </c>
      <c r="F725" s="147">
        <v>0.06</v>
      </c>
      <c r="G725" s="53" t="s">
        <v>1177</v>
      </c>
      <c r="H725" s="53" t="s">
        <v>1177</v>
      </c>
      <c r="I725" s="53" t="s">
        <v>2276</v>
      </c>
      <c r="J725" s="53" t="s">
        <v>340</v>
      </c>
      <c r="K725" s="115">
        <v>5</v>
      </c>
      <c r="L725" s="111" t="s">
        <v>1885</v>
      </c>
      <c r="O725" s="116" t="s">
        <v>1886</v>
      </c>
      <c r="Q725" s="23"/>
      <c r="R725" s="23"/>
    </row>
    <row r="726" spans="2:18" ht="15.75" customHeight="1" x14ac:dyDescent="0.15">
      <c r="B726" s="53" t="s">
        <v>35</v>
      </c>
      <c r="C726" s="263">
        <v>43987</v>
      </c>
      <c r="D726" s="53" t="s">
        <v>55</v>
      </c>
      <c r="E726" s="53" t="s">
        <v>6</v>
      </c>
      <c r="F726" s="147">
        <v>5.5E-2</v>
      </c>
      <c r="G726" s="53" t="s">
        <v>1177</v>
      </c>
      <c r="H726" s="53" t="s">
        <v>1177</v>
      </c>
      <c r="I726" s="53" t="s">
        <v>265</v>
      </c>
      <c r="J726" s="53" t="s">
        <v>1944</v>
      </c>
      <c r="K726" s="115">
        <v>6</v>
      </c>
      <c r="L726" s="111" t="s">
        <v>2698</v>
      </c>
      <c r="O726" s="116" t="s">
        <v>1461</v>
      </c>
      <c r="Q726" s="23"/>
      <c r="R726" s="23"/>
    </row>
    <row r="727" spans="2:18" ht="15.75" customHeight="1" x14ac:dyDescent="0.15">
      <c r="B727" s="53" t="s">
        <v>38</v>
      </c>
      <c r="C727" s="263">
        <v>43987</v>
      </c>
      <c r="D727" s="53" t="s">
        <v>952</v>
      </c>
      <c r="E727" s="53" t="s">
        <v>6</v>
      </c>
      <c r="F727" s="147">
        <v>3.9E-2</v>
      </c>
      <c r="G727" s="53" t="s">
        <v>1177</v>
      </c>
      <c r="H727" s="53" t="s">
        <v>1177</v>
      </c>
      <c r="I727" s="53" t="s">
        <v>2277</v>
      </c>
      <c r="J727" s="53" t="s">
        <v>604</v>
      </c>
      <c r="K727" s="115">
        <v>8</v>
      </c>
      <c r="L727" s="111" t="s">
        <v>1658</v>
      </c>
      <c r="O727" s="116" t="s">
        <v>1659</v>
      </c>
      <c r="Q727" s="23"/>
      <c r="R727" s="23"/>
    </row>
    <row r="728" spans="2:18" ht="15.75" customHeight="1" x14ac:dyDescent="0.15">
      <c r="B728" s="53" t="s">
        <v>26</v>
      </c>
      <c r="C728" s="263">
        <v>43987</v>
      </c>
      <c r="D728" s="53" t="s">
        <v>1888</v>
      </c>
      <c r="E728" s="53" t="s">
        <v>34</v>
      </c>
      <c r="F728" s="147">
        <v>4.4999999999999998E-2</v>
      </c>
      <c r="G728" s="53" t="s">
        <v>1177</v>
      </c>
      <c r="H728" s="53" t="s">
        <v>1177</v>
      </c>
      <c r="I728" s="53" t="s">
        <v>2278</v>
      </c>
      <c r="J728" s="53" t="s">
        <v>499</v>
      </c>
      <c r="K728" s="115">
        <v>5</v>
      </c>
      <c r="L728" s="111" t="s">
        <v>1607</v>
      </c>
      <c r="O728" s="116" t="s">
        <v>1828</v>
      </c>
      <c r="Q728" s="23"/>
      <c r="R728" s="23"/>
    </row>
    <row r="729" spans="2:18" ht="15.75" customHeight="1" x14ac:dyDescent="0.15">
      <c r="B729" s="53" t="s">
        <v>361</v>
      </c>
      <c r="C729" s="263">
        <v>43987</v>
      </c>
      <c r="D729" s="53" t="s">
        <v>794</v>
      </c>
      <c r="E729" s="53" t="s">
        <v>6</v>
      </c>
      <c r="F729" s="147">
        <v>5.0999999999999997E-2</v>
      </c>
      <c r="G729" s="53" t="s">
        <v>1177</v>
      </c>
      <c r="H729" s="53" t="s">
        <v>1177</v>
      </c>
      <c r="I729" s="53" t="s">
        <v>353</v>
      </c>
      <c r="J729" s="53" t="s">
        <v>2483</v>
      </c>
      <c r="K729" s="115">
        <v>7.5</v>
      </c>
      <c r="L729" s="111" t="s">
        <v>794</v>
      </c>
      <c r="O729" s="116" t="s">
        <v>1701</v>
      </c>
      <c r="Q729" s="23"/>
      <c r="R729" s="23"/>
    </row>
    <row r="730" spans="2:18" ht="15.75" customHeight="1" x14ac:dyDescent="0.15">
      <c r="B730" s="53" t="s">
        <v>41</v>
      </c>
      <c r="C730" s="263">
        <v>43987</v>
      </c>
      <c r="D730" s="53" t="s">
        <v>3616</v>
      </c>
      <c r="E730" s="53" t="s">
        <v>12</v>
      </c>
      <c r="F730" s="147">
        <v>5.3999999999999999E-2</v>
      </c>
      <c r="G730" s="53" t="s">
        <v>1177</v>
      </c>
      <c r="H730" s="53" t="s">
        <v>1177</v>
      </c>
      <c r="I730" s="53" t="s">
        <v>430</v>
      </c>
      <c r="J730" s="53" t="s">
        <v>1901</v>
      </c>
      <c r="K730" s="115">
        <v>5</v>
      </c>
      <c r="L730" s="111" t="s">
        <v>953</v>
      </c>
      <c r="O730" s="116" t="s">
        <v>1516</v>
      </c>
      <c r="Q730" s="23"/>
      <c r="R730" s="23"/>
    </row>
    <row r="731" spans="2:18" ht="15.75" customHeight="1" x14ac:dyDescent="0.15">
      <c r="B731" s="53" t="s">
        <v>73</v>
      </c>
      <c r="C731" s="263">
        <v>43987</v>
      </c>
      <c r="D731" s="53" t="s">
        <v>1991</v>
      </c>
      <c r="E731" s="53" t="s">
        <v>6</v>
      </c>
      <c r="F731" s="147">
        <v>4.9000000000000002E-2</v>
      </c>
      <c r="G731" s="53" t="s">
        <v>1177</v>
      </c>
      <c r="H731" s="53" t="s">
        <v>1177</v>
      </c>
      <c r="I731" s="53" t="s">
        <v>1433</v>
      </c>
      <c r="J731" s="53" t="s">
        <v>2484</v>
      </c>
      <c r="K731" s="115">
        <v>1.5</v>
      </c>
      <c r="L731" s="111" t="s">
        <v>1992</v>
      </c>
      <c r="O731" s="116" t="s">
        <v>1992</v>
      </c>
      <c r="Q731" s="23"/>
      <c r="R731" s="23"/>
    </row>
    <row r="732" spans="2:18" ht="15.75" customHeight="1" x14ac:dyDescent="0.15">
      <c r="B732" s="53" t="s">
        <v>45</v>
      </c>
      <c r="C732" s="263">
        <v>43987</v>
      </c>
      <c r="D732" s="53" t="s">
        <v>1991</v>
      </c>
      <c r="E732" s="53" t="s">
        <v>6</v>
      </c>
      <c r="F732" s="147">
        <v>4.9000000000000002E-2</v>
      </c>
      <c r="G732" s="53" t="s">
        <v>1177</v>
      </c>
      <c r="H732" s="53" t="s">
        <v>1177</v>
      </c>
      <c r="I732" s="53" t="s">
        <v>653</v>
      </c>
      <c r="J732" s="53" t="s">
        <v>2485</v>
      </c>
      <c r="K732" s="115">
        <v>3</v>
      </c>
      <c r="L732" s="111" t="s">
        <v>1992</v>
      </c>
      <c r="O732" s="116" t="s">
        <v>1992</v>
      </c>
      <c r="Q732" s="23"/>
      <c r="R732" s="23"/>
    </row>
    <row r="733" spans="2:18" ht="15.75" customHeight="1" x14ac:dyDescent="0.15">
      <c r="B733" s="53" t="s">
        <v>73</v>
      </c>
      <c r="C733" s="263">
        <v>43987</v>
      </c>
      <c r="D733" s="53" t="s">
        <v>712</v>
      </c>
      <c r="E733" s="53" t="s">
        <v>65</v>
      </c>
      <c r="F733" s="147">
        <v>0.47</v>
      </c>
      <c r="G733" s="53" t="s">
        <v>3193</v>
      </c>
      <c r="H733" s="53" t="s">
        <v>1177</v>
      </c>
      <c r="I733" s="53" t="s">
        <v>2279</v>
      </c>
      <c r="J733" s="53" t="s">
        <v>2486</v>
      </c>
      <c r="K733" s="115">
        <v>8</v>
      </c>
      <c r="L733" s="111" t="s">
        <v>1792</v>
      </c>
      <c r="O733" s="116" t="s">
        <v>1792</v>
      </c>
      <c r="Q733" s="23"/>
      <c r="R733" s="23"/>
    </row>
    <row r="734" spans="2:18" ht="15.75" customHeight="1" x14ac:dyDescent="0.15">
      <c r="B734" s="53" t="s">
        <v>38</v>
      </c>
      <c r="C734" s="263">
        <v>43987</v>
      </c>
      <c r="D734" s="53" t="s">
        <v>954</v>
      </c>
      <c r="E734" s="53" t="s">
        <v>6</v>
      </c>
      <c r="F734" s="147">
        <v>4.5999999999999999E-2</v>
      </c>
      <c r="G734" s="53" t="s">
        <v>1177</v>
      </c>
      <c r="H734" s="53" t="s">
        <v>1177</v>
      </c>
      <c r="I734" s="53" t="s">
        <v>468</v>
      </c>
      <c r="J734" s="53" t="s">
        <v>2487</v>
      </c>
      <c r="K734" s="115">
        <v>5</v>
      </c>
      <c r="L734" s="111" t="s">
        <v>1719</v>
      </c>
      <c r="O734" s="116" t="s">
        <v>674</v>
      </c>
      <c r="Q734" s="23"/>
      <c r="R734" s="23"/>
    </row>
    <row r="735" spans="2:18" ht="15.75" customHeight="1" x14ac:dyDescent="0.15">
      <c r="B735" s="53" t="s">
        <v>45</v>
      </c>
      <c r="C735" s="263">
        <v>43987</v>
      </c>
      <c r="D735" s="53" t="s">
        <v>803</v>
      </c>
      <c r="E735" s="53" t="s">
        <v>6</v>
      </c>
      <c r="F735" s="147">
        <v>4.8000000000000001E-2</v>
      </c>
      <c r="G735" s="53" t="s">
        <v>1177</v>
      </c>
      <c r="H735" s="53" t="s">
        <v>1177</v>
      </c>
      <c r="I735" s="53" t="s">
        <v>2280</v>
      </c>
      <c r="J735" s="53" t="s">
        <v>195</v>
      </c>
      <c r="K735" s="115">
        <v>2</v>
      </c>
      <c r="L735" s="111" t="s">
        <v>2704</v>
      </c>
      <c r="O735" s="116" t="s">
        <v>1831</v>
      </c>
      <c r="Q735" s="23"/>
      <c r="R735" s="23"/>
    </row>
    <row r="736" spans="2:18" ht="15.75" customHeight="1" x14ac:dyDescent="0.15">
      <c r="B736" s="53" t="s">
        <v>61</v>
      </c>
      <c r="C736" s="263">
        <v>43987</v>
      </c>
      <c r="D736" s="53" t="s">
        <v>955</v>
      </c>
      <c r="E736" s="53" t="s">
        <v>6</v>
      </c>
      <c r="F736" s="147">
        <v>2.8000000000000001E-2</v>
      </c>
      <c r="G736" s="53" t="s">
        <v>1177</v>
      </c>
      <c r="H736" s="53" t="s">
        <v>1177</v>
      </c>
      <c r="I736" s="53" t="s">
        <v>24</v>
      </c>
      <c r="J736" s="53" t="s">
        <v>16</v>
      </c>
      <c r="K736" s="115">
        <v>8</v>
      </c>
      <c r="L736" s="111" t="s">
        <v>1517</v>
      </c>
      <c r="O736" s="116" t="s">
        <v>1517</v>
      </c>
      <c r="Q736" s="23"/>
      <c r="R736" s="23"/>
    </row>
    <row r="737" spans="2:18" ht="15.75" customHeight="1" x14ac:dyDescent="0.15">
      <c r="B737" s="53" t="s">
        <v>26</v>
      </c>
      <c r="C737" s="263">
        <v>43987</v>
      </c>
      <c r="D737" s="53" t="s">
        <v>921</v>
      </c>
      <c r="E737" s="53" t="s">
        <v>27</v>
      </c>
      <c r="F737" s="147">
        <v>0.15</v>
      </c>
      <c r="G737" s="53" t="s">
        <v>956</v>
      </c>
      <c r="H737" s="53" t="s">
        <v>394</v>
      </c>
      <c r="I737" s="53" t="s">
        <v>509</v>
      </c>
      <c r="J737" s="53" t="s">
        <v>2488</v>
      </c>
      <c r="K737" s="115">
        <v>9</v>
      </c>
      <c r="L737" s="111" t="s">
        <v>921</v>
      </c>
      <c r="O737" s="116" t="s">
        <v>1537</v>
      </c>
      <c r="P737" s="23" t="s">
        <v>3291</v>
      </c>
      <c r="Q737" s="23"/>
      <c r="R737" s="23"/>
    </row>
    <row r="738" spans="2:18" ht="15.75" customHeight="1" x14ac:dyDescent="0.15">
      <c r="B738" s="53" t="s">
        <v>41</v>
      </c>
      <c r="C738" s="263">
        <v>43987</v>
      </c>
      <c r="D738" s="53" t="s">
        <v>1993</v>
      </c>
      <c r="E738" s="53" t="s">
        <v>32</v>
      </c>
      <c r="F738" s="147">
        <v>0.14499999999999999</v>
      </c>
      <c r="G738" s="53" t="s">
        <v>1177</v>
      </c>
      <c r="H738" s="53" t="s">
        <v>1177</v>
      </c>
      <c r="I738" s="53" t="s">
        <v>957</v>
      </c>
      <c r="J738" s="53" t="s">
        <v>3546</v>
      </c>
      <c r="K738" s="115">
        <v>7</v>
      </c>
      <c r="L738" s="111" t="s">
        <v>1876</v>
      </c>
      <c r="O738" s="116" t="s">
        <v>1876</v>
      </c>
      <c r="Q738" s="23"/>
      <c r="R738" s="23"/>
    </row>
    <row r="739" spans="2:18" ht="15.75" customHeight="1" x14ac:dyDescent="0.15">
      <c r="B739" s="53" t="s">
        <v>73</v>
      </c>
      <c r="C739" s="263">
        <v>43987</v>
      </c>
      <c r="D739" s="53" t="s">
        <v>711</v>
      </c>
      <c r="E739" s="53" t="s">
        <v>12</v>
      </c>
      <c r="F739" s="147">
        <v>0.375</v>
      </c>
      <c r="G739" s="53" t="s">
        <v>1177</v>
      </c>
      <c r="H739" s="53" t="s">
        <v>1177</v>
      </c>
      <c r="I739" s="53" t="s">
        <v>791</v>
      </c>
      <c r="J739" s="53" t="s">
        <v>2377</v>
      </c>
      <c r="K739" s="115">
        <v>4</v>
      </c>
      <c r="L739" s="111" t="s">
        <v>1790</v>
      </c>
      <c r="O739" s="116" t="s">
        <v>1791</v>
      </c>
      <c r="Q739" s="23"/>
      <c r="R739" s="23"/>
    </row>
    <row r="740" spans="2:18" ht="15.75" customHeight="1" x14ac:dyDescent="0.15">
      <c r="B740" s="53" t="s">
        <v>361</v>
      </c>
      <c r="C740" s="263">
        <v>43987</v>
      </c>
      <c r="D740" s="53" t="s">
        <v>68</v>
      </c>
      <c r="E740" s="53" t="s">
        <v>32</v>
      </c>
      <c r="F740" s="147">
        <v>0.375</v>
      </c>
      <c r="G740" s="53" t="s">
        <v>1177</v>
      </c>
      <c r="H740" s="53" t="s">
        <v>1177</v>
      </c>
      <c r="I740" s="53" t="s">
        <v>958</v>
      </c>
      <c r="J740" s="53" t="s">
        <v>744</v>
      </c>
      <c r="K740" s="115">
        <v>5</v>
      </c>
      <c r="L740" s="111" t="s">
        <v>766</v>
      </c>
      <c r="O740" s="116" t="s">
        <v>1516</v>
      </c>
      <c r="Q740" s="23"/>
      <c r="R740" s="23"/>
    </row>
    <row r="741" spans="2:18" ht="15.75" customHeight="1" x14ac:dyDescent="0.15">
      <c r="B741" s="53" t="s">
        <v>61</v>
      </c>
      <c r="C741" s="263">
        <v>43987</v>
      </c>
      <c r="D741" s="53" t="s">
        <v>959</v>
      </c>
      <c r="E741" s="53" t="s">
        <v>90</v>
      </c>
      <c r="F741" s="147">
        <v>0</v>
      </c>
      <c r="G741" s="53" t="s">
        <v>1177</v>
      </c>
      <c r="H741" s="53" t="s">
        <v>1177</v>
      </c>
      <c r="I741" s="53" t="s">
        <v>446</v>
      </c>
      <c r="J741" s="53" t="s">
        <v>960</v>
      </c>
      <c r="K741" s="115">
        <v>8</v>
      </c>
      <c r="L741" s="111" t="s">
        <v>1510</v>
      </c>
      <c r="O741" s="116" t="s">
        <v>1510</v>
      </c>
      <c r="Q741" s="23"/>
      <c r="R741" s="23"/>
    </row>
    <row r="742" spans="2:18" ht="15.75" customHeight="1" x14ac:dyDescent="0.15">
      <c r="B742" s="53" t="s">
        <v>45</v>
      </c>
      <c r="C742" s="263">
        <v>43987</v>
      </c>
      <c r="D742" s="53" t="s">
        <v>3146</v>
      </c>
      <c r="E742" s="53" t="s">
        <v>42</v>
      </c>
      <c r="F742" s="232">
        <v>0.04</v>
      </c>
      <c r="G742" s="53" t="s">
        <v>1177</v>
      </c>
      <c r="H742" s="53" t="s">
        <v>1177</v>
      </c>
      <c r="I742" s="53" t="s">
        <v>961</v>
      </c>
      <c r="J742" s="53" t="s">
        <v>962</v>
      </c>
      <c r="K742" s="115">
        <v>10</v>
      </c>
      <c r="L742" s="111" t="s">
        <v>1510</v>
      </c>
      <c r="O742" s="116" t="s">
        <v>1510</v>
      </c>
      <c r="Q742" s="23"/>
      <c r="R742" s="23"/>
    </row>
    <row r="743" spans="2:18" ht="15.75" customHeight="1" x14ac:dyDescent="0.15">
      <c r="B743" s="53" t="s">
        <v>35</v>
      </c>
      <c r="C743" s="263">
        <v>43987</v>
      </c>
      <c r="D743" s="53" t="s">
        <v>963</v>
      </c>
      <c r="E743" s="53" t="s">
        <v>36</v>
      </c>
      <c r="F743" s="147">
        <v>0.4</v>
      </c>
      <c r="G743" s="53" t="s">
        <v>1177</v>
      </c>
      <c r="H743" s="53" t="s">
        <v>1177</v>
      </c>
      <c r="I743" s="53" t="s">
        <v>964</v>
      </c>
      <c r="J743" s="53" t="s">
        <v>2489</v>
      </c>
      <c r="K743" s="115">
        <v>3.5</v>
      </c>
      <c r="L743" s="111" t="s">
        <v>1994</v>
      </c>
      <c r="O743" s="116" t="s">
        <v>1447</v>
      </c>
      <c r="Q743" s="23"/>
      <c r="R743" s="23"/>
    </row>
    <row r="744" spans="2:18" ht="15.75" customHeight="1" x14ac:dyDescent="0.15">
      <c r="B744" s="53" t="s">
        <v>26</v>
      </c>
      <c r="C744" s="263">
        <v>43987</v>
      </c>
      <c r="D744" s="53" t="s">
        <v>965</v>
      </c>
      <c r="E744" s="53" t="s">
        <v>32</v>
      </c>
      <c r="F744" s="147">
        <v>0.04</v>
      </c>
      <c r="G744" s="53" t="s">
        <v>1177</v>
      </c>
      <c r="H744" s="53" t="s">
        <v>1177</v>
      </c>
      <c r="I744" s="53" t="s">
        <v>2281</v>
      </c>
      <c r="J744" s="53" t="s">
        <v>2490</v>
      </c>
      <c r="K744" s="115">
        <v>7.5</v>
      </c>
      <c r="L744" s="111" t="s">
        <v>1996</v>
      </c>
      <c r="O744" s="116" t="s">
        <v>1995</v>
      </c>
      <c r="Q744" s="23"/>
      <c r="R744" s="23"/>
    </row>
    <row r="745" spans="2:18" ht="15.75" customHeight="1" x14ac:dyDescent="0.15">
      <c r="B745" s="53" t="s">
        <v>73</v>
      </c>
      <c r="C745" s="263">
        <v>43987</v>
      </c>
      <c r="D745" s="53" t="s">
        <v>966</v>
      </c>
      <c r="E745" s="53" t="s">
        <v>27</v>
      </c>
      <c r="F745" s="147">
        <v>0.17</v>
      </c>
      <c r="G745" s="53" t="s">
        <v>1177</v>
      </c>
      <c r="H745" s="53" t="s">
        <v>1177</v>
      </c>
      <c r="I745" s="53" t="s">
        <v>1110</v>
      </c>
      <c r="J745" s="53" t="s">
        <v>238</v>
      </c>
      <c r="K745" s="115">
        <v>9</v>
      </c>
      <c r="L745" s="111" t="s">
        <v>966</v>
      </c>
      <c r="O745" s="116" t="s">
        <v>1558</v>
      </c>
      <c r="Q745" s="23"/>
      <c r="R745" s="23"/>
    </row>
    <row r="746" spans="2:18" ht="15.75" customHeight="1" x14ac:dyDescent="0.15">
      <c r="B746" s="53" t="s">
        <v>35</v>
      </c>
      <c r="C746" s="263">
        <v>43987</v>
      </c>
      <c r="D746" s="53" t="s">
        <v>963</v>
      </c>
      <c r="E746" s="53" t="s">
        <v>36</v>
      </c>
      <c r="F746" s="147">
        <v>0.4</v>
      </c>
      <c r="G746" s="53" t="s">
        <v>28</v>
      </c>
      <c r="H746" s="53" t="s">
        <v>1177</v>
      </c>
      <c r="I746" s="53" t="s">
        <v>927</v>
      </c>
      <c r="J746" s="53" t="s">
        <v>2491</v>
      </c>
      <c r="K746" s="115">
        <v>4</v>
      </c>
      <c r="L746" s="111" t="s">
        <v>1994</v>
      </c>
      <c r="O746" s="116" t="s">
        <v>1447</v>
      </c>
      <c r="Q746" s="23"/>
      <c r="R746" s="23"/>
    </row>
    <row r="747" spans="2:18" ht="15.75" customHeight="1" x14ac:dyDescent="0.15">
      <c r="B747" s="53" t="s">
        <v>26</v>
      </c>
      <c r="C747" s="263">
        <v>43987</v>
      </c>
      <c r="D747" s="53" t="s">
        <v>1997</v>
      </c>
      <c r="E747" s="53" t="s">
        <v>34</v>
      </c>
      <c r="F747" s="147">
        <v>6.5000000000000002E-2</v>
      </c>
      <c r="G747" s="53" t="s">
        <v>1177</v>
      </c>
      <c r="H747" s="53" t="s">
        <v>1177</v>
      </c>
      <c r="I747" s="53" t="s">
        <v>968</v>
      </c>
      <c r="J747" s="53" t="s">
        <v>224</v>
      </c>
      <c r="K747" s="115">
        <v>1.5</v>
      </c>
      <c r="L747" s="111" t="s">
        <v>1676</v>
      </c>
      <c r="O747" s="116" t="s">
        <v>1677</v>
      </c>
      <c r="Q747" s="23"/>
      <c r="R747" s="23"/>
    </row>
    <row r="748" spans="2:18" ht="15.75" customHeight="1" x14ac:dyDescent="0.15">
      <c r="B748" s="53" t="s">
        <v>73</v>
      </c>
      <c r="C748" s="263">
        <v>43987</v>
      </c>
      <c r="D748" s="53" t="s">
        <v>712</v>
      </c>
      <c r="E748" s="53" t="s">
        <v>65</v>
      </c>
      <c r="F748" s="147">
        <v>0.47</v>
      </c>
      <c r="G748" s="53" t="s">
        <v>639</v>
      </c>
      <c r="H748" s="53" t="s">
        <v>1177</v>
      </c>
      <c r="I748" s="53" t="s">
        <v>636</v>
      </c>
      <c r="J748" s="53" t="s">
        <v>967</v>
      </c>
      <c r="K748" s="115">
        <v>8.5</v>
      </c>
      <c r="L748" s="111" t="s">
        <v>1792</v>
      </c>
      <c r="O748" s="116" t="s">
        <v>1792</v>
      </c>
      <c r="Q748" s="23"/>
      <c r="R748" s="23"/>
    </row>
    <row r="749" spans="2:18" ht="15.75" customHeight="1" x14ac:dyDescent="0.15">
      <c r="B749" s="53" t="s">
        <v>361</v>
      </c>
      <c r="C749" s="263">
        <v>43987</v>
      </c>
      <c r="D749" s="53" t="s">
        <v>2851</v>
      </c>
      <c r="E749" s="53" t="s">
        <v>36</v>
      </c>
      <c r="F749" s="147">
        <v>0.4</v>
      </c>
      <c r="G749" s="53" t="s">
        <v>820</v>
      </c>
      <c r="H749" s="53" t="s">
        <v>1177</v>
      </c>
      <c r="I749" s="53" t="s">
        <v>2282</v>
      </c>
      <c r="J749" s="53" t="s">
        <v>2492</v>
      </c>
      <c r="K749" s="115">
        <v>5</v>
      </c>
      <c r="L749" s="111" t="s">
        <v>1523</v>
      </c>
      <c r="O749" s="116" t="s">
        <v>1523</v>
      </c>
      <c r="Q749" s="23"/>
      <c r="R749" s="23"/>
    </row>
    <row r="750" spans="2:18" ht="15.75" customHeight="1" x14ac:dyDescent="0.15">
      <c r="B750" s="53" t="s">
        <v>179</v>
      </c>
      <c r="C750" s="263">
        <v>43987</v>
      </c>
      <c r="D750" s="53" t="s">
        <v>1998</v>
      </c>
      <c r="E750" s="53" t="s">
        <v>6</v>
      </c>
      <c r="F750" s="147">
        <v>4.2000000000000003E-2</v>
      </c>
      <c r="G750" s="53" t="s">
        <v>1177</v>
      </c>
      <c r="H750" s="53" t="s">
        <v>1177</v>
      </c>
      <c r="I750" s="53" t="s">
        <v>1432</v>
      </c>
      <c r="J750" s="53" t="s">
        <v>2493</v>
      </c>
      <c r="K750" s="115">
        <v>4</v>
      </c>
      <c r="L750" s="111" t="s">
        <v>1091</v>
      </c>
      <c r="O750" s="116" t="s">
        <v>1999</v>
      </c>
      <c r="Q750" s="23"/>
      <c r="R750" s="23"/>
    </row>
    <row r="751" spans="2:18" ht="15.75" customHeight="1" x14ac:dyDescent="0.15">
      <c r="B751" s="53" t="s">
        <v>45</v>
      </c>
      <c r="C751" s="263">
        <v>43987</v>
      </c>
      <c r="D751" s="53" t="s">
        <v>1408</v>
      </c>
      <c r="E751" s="53" t="s">
        <v>6</v>
      </c>
      <c r="F751" s="147">
        <v>3.6999999999999998E-2</v>
      </c>
      <c r="G751" s="53" t="s">
        <v>1177</v>
      </c>
      <c r="H751" s="53" t="s">
        <v>1177</v>
      </c>
      <c r="I751" s="53" t="s">
        <v>403</v>
      </c>
      <c r="J751" s="53" t="s">
        <v>244</v>
      </c>
      <c r="K751" s="115">
        <v>5</v>
      </c>
      <c r="L751" s="111" t="s">
        <v>1542</v>
      </c>
      <c r="O751" s="116" t="s">
        <v>1542</v>
      </c>
      <c r="Q751" s="23"/>
      <c r="R751" s="23"/>
    </row>
    <row r="752" spans="2:18" ht="15.75" customHeight="1" x14ac:dyDescent="0.15">
      <c r="B752" s="53" t="s">
        <v>35</v>
      </c>
      <c r="C752" s="263">
        <v>43987</v>
      </c>
      <c r="D752" s="53" t="s">
        <v>978</v>
      </c>
      <c r="E752" s="53" t="s">
        <v>6</v>
      </c>
      <c r="F752" s="147">
        <v>4.7E-2</v>
      </c>
      <c r="G752" s="53" t="s">
        <v>1177</v>
      </c>
      <c r="H752" s="53" t="s">
        <v>1177</v>
      </c>
      <c r="I752" s="53" t="s">
        <v>1246</v>
      </c>
      <c r="J752" s="53" t="s">
        <v>340</v>
      </c>
      <c r="K752" s="115">
        <v>6.5</v>
      </c>
      <c r="L752" s="111" t="s">
        <v>1819</v>
      </c>
      <c r="O752" s="116" t="s">
        <v>1819</v>
      </c>
      <c r="Q752" s="23"/>
      <c r="R752" s="23"/>
    </row>
    <row r="753" spans="2:18" ht="15.75" customHeight="1" x14ac:dyDescent="0.15">
      <c r="B753" s="53" t="s">
        <v>26</v>
      </c>
      <c r="C753" s="263">
        <v>43987</v>
      </c>
      <c r="D753" s="53" t="s">
        <v>969</v>
      </c>
      <c r="E753" s="53" t="s">
        <v>34</v>
      </c>
      <c r="F753" s="147">
        <v>0.04</v>
      </c>
      <c r="G753" s="53" t="s">
        <v>1177</v>
      </c>
      <c r="H753" s="53" t="s">
        <v>1177</v>
      </c>
      <c r="I753" s="53" t="s">
        <v>973</v>
      </c>
      <c r="J753" s="53" t="s">
        <v>24</v>
      </c>
      <c r="K753" s="115">
        <v>7</v>
      </c>
      <c r="L753" s="111" t="s">
        <v>1086</v>
      </c>
      <c r="O753" s="116" t="s">
        <v>1608</v>
      </c>
      <c r="Q753" s="23"/>
      <c r="R753" s="23"/>
    </row>
    <row r="754" spans="2:18" ht="15.75" customHeight="1" x14ac:dyDescent="0.15">
      <c r="B754" s="53" t="s">
        <v>73</v>
      </c>
      <c r="C754" s="263">
        <v>43987</v>
      </c>
      <c r="D754" s="53" t="s">
        <v>712</v>
      </c>
      <c r="E754" s="53" t="s">
        <v>65</v>
      </c>
      <c r="F754" s="147">
        <v>0.47</v>
      </c>
      <c r="G754" s="53" t="s">
        <v>970</v>
      </c>
      <c r="H754" s="53" t="s">
        <v>1177</v>
      </c>
      <c r="I754" s="53" t="s">
        <v>971</v>
      </c>
      <c r="J754" s="53" t="s">
        <v>972</v>
      </c>
      <c r="K754" s="115">
        <v>9</v>
      </c>
      <c r="L754" s="111" t="s">
        <v>1792</v>
      </c>
      <c r="O754" s="116" t="s">
        <v>1792</v>
      </c>
      <c r="Q754" s="23"/>
      <c r="R754" s="23"/>
    </row>
    <row r="755" spans="2:18" ht="15.75" customHeight="1" x14ac:dyDescent="0.15">
      <c r="B755" s="53" t="s">
        <v>361</v>
      </c>
      <c r="C755" s="263">
        <v>43987</v>
      </c>
      <c r="D755" s="53" t="s">
        <v>975</v>
      </c>
      <c r="E755" s="53" t="s">
        <v>34</v>
      </c>
      <c r="F755" s="147">
        <v>0.04</v>
      </c>
      <c r="G755" s="53" t="s">
        <v>1177</v>
      </c>
      <c r="H755" s="53" t="s">
        <v>1177</v>
      </c>
      <c r="I755" s="53" t="s">
        <v>974</v>
      </c>
      <c r="J755" s="53" t="s">
        <v>14</v>
      </c>
      <c r="K755" s="115">
        <v>6.5</v>
      </c>
      <c r="L755" s="111" t="s">
        <v>1576</v>
      </c>
      <c r="O755" s="116" t="s">
        <v>1533</v>
      </c>
      <c r="Q755" s="23"/>
      <c r="R755" s="23"/>
    </row>
    <row r="756" spans="2:18" ht="15.75" customHeight="1" x14ac:dyDescent="0.15">
      <c r="B756" s="53" t="s">
        <v>35</v>
      </c>
      <c r="C756" s="263">
        <v>43987</v>
      </c>
      <c r="D756" s="53" t="s">
        <v>976</v>
      </c>
      <c r="E756" s="53" t="s">
        <v>6</v>
      </c>
      <c r="F756" s="147">
        <v>4.8000000000000001E-2</v>
      </c>
      <c r="G756" s="53" t="s">
        <v>1177</v>
      </c>
      <c r="H756" s="53" t="s">
        <v>1177</v>
      </c>
      <c r="I756" s="53" t="s">
        <v>14</v>
      </c>
      <c r="J756" s="53" t="s">
        <v>2494</v>
      </c>
      <c r="K756" s="115">
        <v>6.5</v>
      </c>
      <c r="L756" s="111" t="s">
        <v>980</v>
      </c>
      <c r="O756" s="116" t="s">
        <v>1862</v>
      </c>
      <c r="Q756" s="23"/>
      <c r="R756" s="23"/>
    </row>
    <row r="757" spans="2:18" ht="15.75" customHeight="1" x14ac:dyDescent="0.15">
      <c r="B757" s="53" t="s">
        <v>45</v>
      </c>
      <c r="C757" s="263">
        <v>43987</v>
      </c>
      <c r="D757" s="53" t="s">
        <v>946</v>
      </c>
      <c r="E757" s="53" t="s">
        <v>6</v>
      </c>
      <c r="F757" s="147">
        <v>2.8000000000000001E-2</v>
      </c>
      <c r="G757" s="53" t="s">
        <v>1177</v>
      </c>
      <c r="H757" s="53" t="s">
        <v>1177</v>
      </c>
      <c r="I757" s="53" t="s">
        <v>112</v>
      </c>
      <c r="J757" s="53" t="s">
        <v>6</v>
      </c>
      <c r="K757" s="115">
        <v>7</v>
      </c>
      <c r="L757" s="111" t="s">
        <v>1754</v>
      </c>
      <c r="M757" s="111" t="s">
        <v>2451</v>
      </c>
      <c r="O757" s="111" t="s">
        <v>1882</v>
      </c>
      <c r="Q757" s="23"/>
      <c r="R757" s="23"/>
    </row>
    <row r="758" spans="2:18" ht="15.75" customHeight="1" x14ac:dyDescent="0.15">
      <c r="B758" s="53" t="s">
        <v>73</v>
      </c>
      <c r="C758" s="263">
        <v>43987</v>
      </c>
      <c r="D758" s="53" t="s">
        <v>966</v>
      </c>
      <c r="E758" s="53" t="s">
        <v>27</v>
      </c>
      <c r="F758" s="147">
        <v>0.17</v>
      </c>
      <c r="G758" s="53" t="s">
        <v>977</v>
      </c>
      <c r="H758" s="53" t="s">
        <v>1177</v>
      </c>
      <c r="I758" s="53" t="s">
        <v>163</v>
      </c>
      <c r="J758" s="53" t="s">
        <v>2495</v>
      </c>
      <c r="K758" s="115">
        <v>4</v>
      </c>
      <c r="L758" s="111" t="s">
        <v>966</v>
      </c>
      <c r="O758" s="116" t="s">
        <v>1558</v>
      </c>
      <c r="Q758" s="23"/>
      <c r="R758" s="23"/>
    </row>
    <row r="759" spans="2:18" ht="15.75" customHeight="1" x14ac:dyDescent="0.15">
      <c r="B759" s="53" t="s">
        <v>26</v>
      </c>
      <c r="C759" s="263">
        <v>43987</v>
      </c>
      <c r="D759" s="53" t="s">
        <v>2143</v>
      </c>
      <c r="E759" s="53" t="s">
        <v>34</v>
      </c>
      <c r="F759" s="147">
        <v>0.04</v>
      </c>
      <c r="G759" s="53" t="s">
        <v>1177</v>
      </c>
      <c r="H759" s="53" t="s">
        <v>1177</v>
      </c>
      <c r="I759" s="53" t="s">
        <v>2283</v>
      </c>
      <c r="J759" s="53" t="s">
        <v>213</v>
      </c>
      <c r="K759" s="115">
        <v>7</v>
      </c>
      <c r="L759" s="111" t="s">
        <v>1704</v>
      </c>
      <c r="O759" s="116" t="s">
        <v>1705</v>
      </c>
      <c r="Q759" s="23"/>
      <c r="R759" s="23"/>
    </row>
    <row r="760" spans="2:18" ht="15.75" customHeight="1" x14ac:dyDescent="0.15">
      <c r="B760" s="53" t="s">
        <v>35</v>
      </c>
      <c r="C760" s="263">
        <v>43987</v>
      </c>
      <c r="D760" s="53" t="s">
        <v>1538</v>
      </c>
      <c r="E760" s="53" t="s">
        <v>6</v>
      </c>
      <c r="F760" s="147">
        <v>0.04</v>
      </c>
      <c r="G760" s="53" t="s">
        <v>1177</v>
      </c>
      <c r="H760" s="53" t="s">
        <v>1177</v>
      </c>
      <c r="I760" s="53" t="s">
        <v>2284</v>
      </c>
      <c r="J760" s="53" t="s">
        <v>224</v>
      </c>
      <c r="K760" s="115">
        <v>4</v>
      </c>
      <c r="L760" s="111" t="s">
        <v>764</v>
      </c>
      <c r="O760" s="116" t="s">
        <v>1539</v>
      </c>
      <c r="Q760" s="23"/>
      <c r="R760" s="23"/>
    </row>
    <row r="761" spans="2:18" ht="15.75" customHeight="1" x14ac:dyDescent="0.15">
      <c r="B761" s="53" t="s">
        <v>35</v>
      </c>
      <c r="C761" s="263">
        <v>43994</v>
      </c>
      <c r="D761" s="53" t="s">
        <v>979</v>
      </c>
      <c r="E761" s="53" t="s">
        <v>6</v>
      </c>
      <c r="F761" s="147">
        <v>4.2999999999999997E-2</v>
      </c>
      <c r="G761" s="53" t="s">
        <v>1177</v>
      </c>
      <c r="H761" s="53" t="s">
        <v>1177</v>
      </c>
      <c r="I761" s="53" t="s">
        <v>2228</v>
      </c>
      <c r="J761" s="53" t="s">
        <v>2496</v>
      </c>
      <c r="K761" s="115">
        <v>8</v>
      </c>
      <c r="L761" s="111" t="s">
        <v>2000</v>
      </c>
      <c r="O761" s="111" t="s">
        <v>2000</v>
      </c>
      <c r="Q761" s="23"/>
      <c r="R761" s="23"/>
    </row>
    <row r="762" spans="2:18" ht="15.75" customHeight="1" x14ac:dyDescent="0.15">
      <c r="B762" s="53" t="s">
        <v>26</v>
      </c>
      <c r="C762" s="263">
        <v>43994</v>
      </c>
      <c r="D762" s="53" t="s">
        <v>979</v>
      </c>
      <c r="E762" s="53" t="s">
        <v>6</v>
      </c>
      <c r="F762" s="147">
        <v>4.2999999999999997E-2</v>
      </c>
      <c r="G762" s="53" t="s">
        <v>1177</v>
      </c>
      <c r="H762" s="53" t="s">
        <v>1177</v>
      </c>
      <c r="I762" s="53" t="s">
        <v>2285</v>
      </c>
      <c r="J762" s="53" t="s">
        <v>991</v>
      </c>
      <c r="K762" s="115">
        <v>8</v>
      </c>
      <c r="L762" s="111" t="s">
        <v>2000</v>
      </c>
      <c r="O762" s="111" t="s">
        <v>2000</v>
      </c>
      <c r="Q762" s="23"/>
      <c r="R762" s="23"/>
    </row>
    <row r="763" spans="2:18" ht="15.75" customHeight="1" x14ac:dyDescent="0.15">
      <c r="B763" s="53" t="s">
        <v>18</v>
      </c>
      <c r="C763" s="263">
        <v>43994</v>
      </c>
      <c r="D763" s="53" t="s">
        <v>981</v>
      </c>
      <c r="E763" s="53" t="s">
        <v>27</v>
      </c>
      <c r="F763" s="147">
        <v>0.2</v>
      </c>
      <c r="G763" s="53" t="s">
        <v>394</v>
      </c>
      <c r="H763" s="53" t="s">
        <v>982</v>
      </c>
      <c r="I763" s="53" t="s">
        <v>2286</v>
      </c>
      <c r="J763" s="53" t="s">
        <v>2340</v>
      </c>
      <c r="K763" s="115">
        <v>9.5</v>
      </c>
      <c r="L763" s="111" t="s">
        <v>981</v>
      </c>
      <c r="O763" s="116" t="s">
        <v>1465</v>
      </c>
      <c r="P763" s="23" t="s">
        <v>3267</v>
      </c>
      <c r="Q763" s="23"/>
      <c r="R763" s="23"/>
    </row>
    <row r="764" spans="2:18" ht="15.75" customHeight="1" x14ac:dyDescent="0.15">
      <c r="B764" s="53" t="s">
        <v>9</v>
      </c>
      <c r="C764" s="263">
        <v>43994</v>
      </c>
      <c r="D764" s="53" t="s">
        <v>984</v>
      </c>
      <c r="E764" s="53" t="s">
        <v>27</v>
      </c>
      <c r="F764" s="147">
        <v>0.05</v>
      </c>
      <c r="G764" s="53" t="s">
        <v>1177</v>
      </c>
      <c r="H764" s="53" t="s">
        <v>1177</v>
      </c>
      <c r="I764" s="53" t="s">
        <v>2259</v>
      </c>
      <c r="J764" s="53" t="s">
        <v>974</v>
      </c>
      <c r="K764" s="115">
        <v>7</v>
      </c>
      <c r="L764" s="111" t="s">
        <v>1868</v>
      </c>
      <c r="O764" s="116" t="s">
        <v>1867</v>
      </c>
      <c r="Q764" s="23"/>
      <c r="R764" s="23"/>
    </row>
    <row r="765" spans="2:18" ht="15.75" customHeight="1" x14ac:dyDescent="0.15">
      <c r="B765" s="53" t="s">
        <v>38</v>
      </c>
      <c r="C765" s="263">
        <v>43994</v>
      </c>
      <c r="D765" s="53" t="s">
        <v>985</v>
      </c>
      <c r="E765" s="53" t="s">
        <v>6</v>
      </c>
      <c r="F765" s="147">
        <v>0.09</v>
      </c>
      <c r="G765" s="53" t="s">
        <v>1177</v>
      </c>
      <c r="H765" s="53" t="s">
        <v>1177</v>
      </c>
      <c r="I765" s="53" t="s">
        <v>987</v>
      </c>
      <c r="J765" s="53" t="s">
        <v>201</v>
      </c>
      <c r="K765" s="115">
        <v>3</v>
      </c>
      <c r="L765" s="111" t="s">
        <v>1535</v>
      </c>
      <c r="M765" s="111" t="s">
        <v>2588</v>
      </c>
      <c r="O765" s="116" t="s">
        <v>2001</v>
      </c>
      <c r="Q765" s="23"/>
      <c r="R765" s="23"/>
    </row>
    <row r="766" spans="2:18" ht="15.75" customHeight="1" x14ac:dyDescent="0.15">
      <c r="B766" s="53" t="s">
        <v>73</v>
      </c>
      <c r="C766" s="263">
        <v>43994</v>
      </c>
      <c r="D766" s="53" t="s">
        <v>986</v>
      </c>
      <c r="E766" s="53" t="s">
        <v>6</v>
      </c>
      <c r="F766" s="147">
        <v>7.1999999999999995E-2</v>
      </c>
      <c r="G766" s="53" t="s">
        <v>1177</v>
      </c>
      <c r="H766" s="53" t="s">
        <v>1177</v>
      </c>
      <c r="I766" s="53" t="s">
        <v>253</v>
      </c>
      <c r="J766" s="53" t="s">
        <v>2497</v>
      </c>
      <c r="K766" s="115">
        <v>2.5</v>
      </c>
      <c r="L766" s="111" t="s">
        <v>1513</v>
      </c>
      <c r="M766" s="111" t="s">
        <v>1090</v>
      </c>
      <c r="O766" s="111" t="s">
        <v>2002</v>
      </c>
      <c r="Q766" s="23"/>
      <c r="R766" s="23"/>
    </row>
    <row r="767" spans="2:18" ht="15.75" customHeight="1" x14ac:dyDescent="0.15">
      <c r="B767" s="53" t="s">
        <v>420</v>
      </c>
      <c r="C767" s="263">
        <v>43994</v>
      </c>
      <c r="D767" s="53" t="s">
        <v>988</v>
      </c>
      <c r="E767" s="53" t="s">
        <v>6</v>
      </c>
      <c r="F767" s="147">
        <v>0.04</v>
      </c>
      <c r="G767" s="53" t="s">
        <v>1177</v>
      </c>
      <c r="H767" s="53" t="s">
        <v>1177</v>
      </c>
      <c r="I767" s="53" t="s">
        <v>492</v>
      </c>
      <c r="J767" s="53" t="s">
        <v>2498</v>
      </c>
      <c r="K767" s="115">
        <v>4</v>
      </c>
      <c r="L767" s="111" t="s">
        <v>2003</v>
      </c>
      <c r="O767" s="116" t="s">
        <v>1634</v>
      </c>
      <c r="Q767" s="23"/>
      <c r="R767" s="23"/>
    </row>
    <row r="768" spans="2:18" ht="15.75" customHeight="1" x14ac:dyDescent="0.15">
      <c r="B768" s="53" t="s">
        <v>35</v>
      </c>
      <c r="C768" s="263">
        <v>43994</v>
      </c>
      <c r="D768" s="53" t="s">
        <v>989</v>
      </c>
      <c r="E768" s="53" t="s">
        <v>6</v>
      </c>
      <c r="F768" s="147">
        <v>4.4999999999999998E-2</v>
      </c>
      <c r="G768" s="53" t="s">
        <v>1177</v>
      </c>
      <c r="H768" s="53" t="s">
        <v>1177</v>
      </c>
      <c r="I768" s="53" t="s">
        <v>195</v>
      </c>
      <c r="J768" s="53" t="s">
        <v>2222</v>
      </c>
      <c r="K768" s="115">
        <v>5.5</v>
      </c>
      <c r="L768" s="111" t="s">
        <v>2000</v>
      </c>
      <c r="M768" s="111" t="s">
        <v>2451</v>
      </c>
      <c r="O768" s="111" t="s">
        <v>2004</v>
      </c>
      <c r="Q768" s="23"/>
      <c r="R768" s="23"/>
    </row>
    <row r="769" spans="2:18" ht="15.75" customHeight="1" x14ac:dyDescent="0.15">
      <c r="B769" s="53" t="s">
        <v>18</v>
      </c>
      <c r="C769" s="263">
        <v>43994</v>
      </c>
      <c r="D769" s="53" t="s">
        <v>170</v>
      </c>
      <c r="E769" s="53" t="s">
        <v>6</v>
      </c>
      <c r="F769" s="147">
        <v>5.8999999999999997E-2</v>
      </c>
      <c r="G769" s="53" t="s">
        <v>1177</v>
      </c>
      <c r="H769" s="53" t="s">
        <v>1177</v>
      </c>
      <c r="I769" s="53" t="s">
        <v>262</v>
      </c>
      <c r="J769" s="53" t="s">
        <v>2499</v>
      </c>
      <c r="K769" s="115">
        <v>6.5</v>
      </c>
      <c r="L769" s="111" t="s">
        <v>170</v>
      </c>
      <c r="O769" s="116" t="s">
        <v>1533</v>
      </c>
      <c r="Q769" s="23"/>
      <c r="R769" s="23"/>
    </row>
    <row r="770" spans="2:18" ht="15.75" customHeight="1" x14ac:dyDescent="0.15">
      <c r="B770" s="53" t="s">
        <v>189</v>
      </c>
      <c r="C770" s="263">
        <v>43994</v>
      </c>
      <c r="D770" s="53" t="s">
        <v>1408</v>
      </c>
      <c r="E770" s="53" t="s">
        <v>6</v>
      </c>
      <c r="F770" s="147">
        <v>3.6999999999999998E-2</v>
      </c>
      <c r="G770" s="53" t="s">
        <v>1177</v>
      </c>
      <c r="H770" s="53" t="s">
        <v>1177</v>
      </c>
      <c r="I770" s="53" t="s">
        <v>246</v>
      </c>
      <c r="J770" s="53" t="s">
        <v>2500</v>
      </c>
      <c r="K770" s="115">
        <v>7</v>
      </c>
      <c r="L770" s="111" t="s">
        <v>1542</v>
      </c>
      <c r="O770" s="116" t="s">
        <v>1542</v>
      </c>
      <c r="Q770" s="23"/>
      <c r="R770" s="23"/>
    </row>
    <row r="771" spans="2:18" ht="15.75" customHeight="1" x14ac:dyDescent="0.15">
      <c r="B771" s="53" t="s">
        <v>38</v>
      </c>
      <c r="C771" s="263">
        <v>43994</v>
      </c>
      <c r="D771" s="53" t="s">
        <v>990</v>
      </c>
      <c r="E771" s="53" t="s">
        <v>6</v>
      </c>
      <c r="F771" s="147">
        <v>4.2999999999999997E-2</v>
      </c>
      <c r="G771" s="53" t="s">
        <v>1177</v>
      </c>
      <c r="H771" s="53" t="s">
        <v>1177</v>
      </c>
      <c r="I771" s="53" t="s">
        <v>233</v>
      </c>
      <c r="J771" s="53" t="s">
        <v>2501</v>
      </c>
      <c r="K771" s="115">
        <v>6.5</v>
      </c>
      <c r="L771" s="111" t="s">
        <v>2005</v>
      </c>
      <c r="O771" s="116" t="s">
        <v>2005</v>
      </c>
      <c r="Q771" s="23"/>
      <c r="R771" s="23"/>
    </row>
    <row r="772" spans="2:18" ht="15.75" customHeight="1" x14ac:dyDescent="0.15">
      <c r="B772" s="53" t="s">
        <v>73</v>
      </c>
      <c r="C772" s="263">
        <v>43994</v>
      </c>
      <c r="D772" s="53" t="s">
        <v>2006</v>
      </c>
      <c r="E772" s="53" t="s">
        <v>6</v>
      </c>
      <c r="F772" s="147">
        <v>5.1999999999999998E-2</v>
      </c>
      <c r="G772" s="53" t="s">
        <v>1177</v>
      </c>
      <c r="H772" s="53" t="s">
        <v>1177</v>
      </c>
      <c r="I772" s="53" t="s">
        <v>642</v>
      </c>
      <c r="J772" s="53" t="s">
        <v>340</v>
      </c>
      <c r="K772" s="115">
        <v>5.5</v>
      </c>
      <c r="L772" s="111" t="s">
        <v>2705</v>
      </c>
      <c r="O772" s="116" t="s">
        <v>2007</v>
      </c>
      <c r="Q772" s="23"/>
      <c r="R772" s="23"/>
    </row>
    <row r="773" spans="2:18" ht="15.75" customHeight="1" x14ac:dyDescent="0.15">
      <c r="B773" s="53" t="s">
        <v>361</v>
      </c>
      <c r="C773" s="263">
        <v>43994</v>
      </c>
      <c r="D773" s="53" t="s">
        <v>930</v>
      </c>
      <c r="E773" s="53" t="s">
        <v>32</v>
      </c>
      <c r="F773" s="147">
        <v>0.14499999999999999</v>
      </c>
      <c r="G773" s="53" t="s">
        <v>1177</v>
      </c>
      <c r="H773" s="53" t="s">
        <v>1177</v>
      </c>
      <c r="I773" s="53" t="s">
        <v>2287</v>
      </c>
      <c r="J773" s="53" t="s">
        <v>2502</v>
      </c>
      <c r="K773" s="115">
        <v>2</v>
      </c>
      <c r="L773" s="111" t="s">
        <v>1876</v>
      </c>
      <c r="O773" s="116" t="s">
        <v>1876</v>
      </c>
      <c r="Q773" s="23"/>
      <c r="R773" s="23"/>
    </row>
    <row r="774" spans="2:18" ht="15.75" customHeight="1" x14ac:dyDescent="0.15">
      <c r="B774" s="53" t="s">
        <v>361</v>
      </c>
      <c r="C774" s="263">
        <v>43994</v>
      </c>
      <c r="D774" s="53" t="s">
        <v>1993</v>
      </c>
      <c r="E774" s="53" t="s">
        <v>32</v>
      </c>
      <c r="F774" s="147">
        <v>0.14499999999999999</v>
      </c>
      <c r="G774" s="53" t="s">
        <v>1177</v>
      </c>
      <c r="H774" s="53" t="s">
        <v>1177</v>
      </c>
      <c r="I774" s="53" t="s">
        <v>311</v>
      </c>
      <c r="J774" s="53" t="s">
        <v>2503</v>
      </c>
      <c r="K774" s="115">
        <v>3</v>
      </c>
      <c r="L774" s="111" t="s">
        <v>1876</v>
      </c>
      <c r="O774" s="116" t="s">
        <v>1876</v>
      </c>
      <c r="Q774" s="23"/>
      <c r="R774" s="23"/>
    </row>
    <row r="775" spans="2:18" ht="15.75" customHeight="1" x14ac:dyDescent="0.15">
      <c r="B775" s="53" t="s">
        <v>189</v>
      </c>
      <c r="C775" s="263">
        <v>43994</v>
      </c>
      <c r="D775" s="53" t="s">
        <v>1753</v>
      </c>
      <c r="E775" s="53" t="s">
        <v>6</v>
      </c>
      <c r="F775" s="147">
        <v>0.04</v>
      </c>
      <c r="G775" s="53" t="s">
        <v>1177</v>
      </c>
      <c r="H775" s="53" t="s">
        <v>1177</v>
      </c>
      <c r="I775" s="53" t="s">
        <v>188</v>
      </c>
      <c r="J775" s="53" t="s">
        <v>215</v>
      </c>
      <c r="K775" s="115">
        <v>8</v>
      </c>
      <c r="L775" s="111" t="s">
        <v>1542</v>
      </c>
      <c r="M775" s="111" t="s">
        <v>2451</v>
      </c>
      <c r="O775" s="116" t="s">
        <v>2008</v>
      </c>
      <c r="Q775" s="23"/>
      <c r="R775" s="23"/>
    </row>
    <row r="776" spans="2:18" ht="15.75" customHeight="1" x14ac:dyDescent="0.15">
      <c r="B776" s="53" t="s">
        <v>41</v>
      </c>
      <c r="C776" s="263">
        <v>43994</v>
      </c>
      <c r="D776" s="53" t="s">
        <v>2851</v>
      </c>
      <c r="E776" s="53" t="s">
        <v>36</v>
      </c>
      <c r="F776" s="147">
        <v>0.4</v>
      </c>
      <c r="G776" s="53" t="s">
        <v>161</v>
      </c>
      <c r="H776" s="53" t="s">
        <v>1177</v>
      </c>
      <c r="I776" s="53" t="s">
        <v>340</v>
      </c>
      <c r="J776" s="53" t="s">
        <v>993</v>
      </c>
      <c r="K776" s="115">
        <v>5</v>
      </c>
      <c r="L776" s="111" t="s">
        <v>1523</v>
      </c>
      <c r="O776" s="116" t="s">
        <v>1523</v>
      </c>
      <c r="Q776" s="23"/>
      <c r="R776" s="23"/>
    </row>
    <row r="777" spans="2:18" ht="15.75" customHeight="1" x14ac:dyDescent="0.15">
      <c r="B777" s="53" t="s">
        <v>18</v>
      </c>
      <c r="C777" s="263">
        <v>43994</v>
      </c>
      <c r="D777" s="53" t="s">
        <v>2010</v>
      </c>
      <c r="E777" s="53" t="s">
        <v>6</v>
      </c>
      <c r="F777" s="147">
        <v>4.2000000000000003E-2</v>
      </c>
      <c r="G777" s="53" t="s">
        <v>1177</v>
      </c>
      <c r="H777" s="53" t="s">
        <v>1177</v>
      </c>
      <c r="I777" s="53" t="s">
        <v>992</v>
      </c>
      <c r="J777" s="53" t="s">
        <v>198</v>
      </c>
      <c r="K777" s="115">
        <v>5</v>
      </c>
      <c r="L777" s="111" t="s">
        <v>2009</v>
      </c>
      <c r="O777" s="116" t="s">
        <v>1590</v>
      </c>
      <c r="Q777" s="23"/>
      <c r="R777" s="23"/>
    </row>
    <row r="778" spans="2:18" ht="15.75" customHeight="1" x14ac:dyDescent="0.15">
      <c r="B778" s="53" t="s">
        <v>361</v>
      </c>
      <c r="C778" s="263">
        <v>43994</v>
      </c>
      <c r="D778" s="53" t="s">
        <v>903</v>
      </c>
      <c r="E778" s="53" t="s">
        <v>6</v>
      </c>
      <c r="F778" s="147">
        <v>4.1000000000000002E-2</v>
      </c>
      <c r="G778" s="53" t="s">
        <v>1177</v>
      </c>
      <c r="H778" s="53" t="s">
        <v>1177</v>
      </c>
      <c r="I778" s="53" t="s">
        <v>2288</v>
      </c>
      <c r="J778" s="53" t="s">
        <v>89</v>
      </c>
      <c r="K778" s="115">
        <v>3</v>
      </c>
      <c r="L778" s="111" t="s">
        <v>1747</v>
      </c>
      <c r="O778" s="116" t="s">
        <v>1748</v>
      </c>
      <c r="Q778" s="23"/>
      <c r="R778" s="23"/>
    </row>
    <row r="779" spans="2:18" ht="15.75" customHeight="1" x14ac:dyDescent="0.15">
      <c r="B779" s="53" t="s">
        <v>61</v>
      </c>
      <c r="C779" s="263">
        <v>43994</v>
      </c>
      <c r="D779" s="53" t="s">
        <v>2011</v>
      </c>
      <c r="E779" s="53" t="s">
        <v>6</v>
      </c>
      <c r="F779" s="147">
        <v>0.06</v>
      </c>
      <c r="G779" s="53" t="s">
        <v>1177</v>
      </c>
      <c r="H779" s="53" t="s">
        <v>1177</v>
      </c>
      <c r="I779" s="53" t="s">
        <v>2289</v>
      </c>
      <c r="J779" s="53" t="s">
        <v>188</v>
      </c>
      <c r="K779" s="115">
        <v>7.5</v>
      </c>
      <c r="L779" s="111" t="s">
        <v>1535</v>
      </c>
      <c r="O779" s="116" t="s">
        <v>1535</v>
      </c>
      <c r="Q779" s="23"/>
      <c r="R779" s="23"/>
    </row>
    <row r="780" spans="2:18" ht="15.75" customHeight="1" x14ac:dyDescent="0.15">
      <c r="B780" s="53" t="s">
        <v>26</v>
      </c>
      <c r="C780" s="263">
        <v>43994</v>
      </c>
      <c r="D780" s="53" t="s">
        <v>2011</v>
      </c>
      <c r="E780" s="53" t="s">
        <v>6</v>
      </c>
      <c r="F780" s="147">
        <v>0.06</v>
      </c>
      <c r="G780" s="53" t="s">
        <v>1177</v>
      </c>
      <c r="H780" s="53" t="s">
        <v>1177</v>
      </c>
      <c r="I780" s="53" t="s">
        <v>2290</v>
      </c>
      <c r="J780" s="53" t="s">
        <v>2504</v>
      </c>
      <c r="K780" s="115">
        <v>7.5</v>
      </c>
      <c r="L780" s="111" t="s">
        <v>1535</v>
      </c>
      <c r="O780" s="116" t="s">
        <v>1535</v>
      </c>
      <c r="Q780" s="23"/>
      <c r="R780" s="23"/>
    </row>
    <row r="781" spans="2:18" ht="15.75" customHeight="1" x14ac:dyDescent="0.15">
      <c r="B781" s="53" t="s">
        <v>687</v>
      </c>
      <c r="C781" s="263">
        <v>43994</v>
      </c>
      <c r="D781" s="53" t="s">
        <v>994</v>
      </c>
      <c r="E781" s="53" t="s">
        <v>6</v>
      </c>
      <c r="F781" s="147">
        <v>4.5999999999999999E-2</v>
      </c>
      <c r="G781" s="53" t="s">
        <v>1177</v>
      </c>
      <c r="H781" s="53" t="s">
        <v>1177</v>
      </c>
      <c r="I781" s="53" t="s">
        <v>230</v>
      </c>
      <c r="J781" s="53" t="s">
        <v>192</v>
      </c>
      <c r="K781" s="115">
        <v>7</v>
      </c>
      <c r="L781" s="111" t="s">
        <v>1085</v>
      </c>
      <c r="O781" s="116" t="s">
        <v>2012</v>
      </c>
      <c r="Q781" s="23"/>
      <c r="R781" s="23"/>
    </row>
    <row r="782" spans="2:18" ht="15.75" customHeight="1" x14ac:dyDescent="0.15">
      <c r="B782" s="53" t="s">
        <v>690</v>
      </c>
      <c r="C782" s="263">
        <v>43994</v>
      </c>
      <c r="D782" s="53" t="s">
        <v>2013</v>
      </c>
      <c r="E782" s="53" t="s">
        <v>6</v>
      </c>
      <c r="F782" s="147">
        <v>4.4999999999999998E-2</v>
      </c>
      <c r="G782" s="53" t="s">
        <v>1177</v>
      </c>
      <c r="H782" s="53" t="s">
        <v>1177</v>
      </c>
      <c r="I782" s="53" t="s">
        <v>1046</v>
      </c>
      <c r="J782" s="53" t="s">
        <v>2505</v>
      </c>
      <c r="K782" s="115">
        <v>4</v>
      </c>
      <c r="L782" s="111" t="s">
        <v>2015</v>
      </c>
      <c r="O782" s="116" t="s">
        <v>2014</v>
      </c>
      <c r="Q782" s="23"/>
      <c r="R782" s="23"/>
    </row>
    <row r="783" spans="2:18" ht="15.75" customHeight="1" x14ac:dyDescent="0.15">
      <c r="B783" s="53" t="s">
        <v>420</v>
      </c>
      <c r="C783" s="263">
        <v>43994</v>
      </c>
      <c r="D783" s="53" t="s">
        <v>3104</v>
      </c>
      <c r="E783" s="53" t="s">
        <v>6</v>
      </c>
      <c r="F783" s="147">
        <v>4.7E-2</v>
      </c>
      <c r="G783" s="53" t="s">
        <v>1177</v>
      </c>
      <c r="H783" s="53" t="s">
        <v>1177</v>
      </c>
      <c r="I783" s="53" t="s">
        <v>238</v>
      </c>
      <c r="J783" s="53" t="s">
        <v>2506</v>
      </c>
      <c r="K783" s="115">
        <v>7.5</v>
      </c>
      <c r="L783" s="111" t="s">
        <v>1515</v>
      </c>
      <c r="O783" s="116" t="s">
        <v>1515</v>
      </c>
      <c r="Q783" s="23"/>
      <c r="R783" s="23"/>
    </row>
    <row r="784" spans="2:18" ht="15.75" customHeight="1" x14ac:dyDescent="0.15">
      <c r="B784" s="53" t="s">
        <v>73</v>
      </c>
      <c r="C784" s="263">
        <v>43994</v>
      </c>
      <c r="D784" s="53" t="s">
        <v>2016</v>
      </c>
      <c r="E784" s="53" t="s">
        <v>6</v>
      </c>
      <c r="F784" s="147">
        <v>0.13500000000000001</v>
      </c>
      <c r="G784" s="53" t="s">
        <v>1177</v>
      </c>
      <c r="H784" s="53" t="s">
        <v>1177</v>
      </c>
      <c r="I784" s="53" t="s">
        <v>1246</v>
      </c>
      <c r="J784" s="53" t="s">
        <v>1013</v>
      </c>
      <c r="K784" s="115">
        <v>6</v>
      </c>
      <c r="L784" s="111" t="s">
        <v>2783</v>
      </c>
      <c r="M784" s="111" t="s">
        <v>2868</v>
      </c>
      <c r="O784" s="111" t="s">
        <v>2017</v>
      </c>
      <c r="Q784" s="23"/>
      <c r="R784" s="23"/>
    </row>
    <row r="785" spans="2:18" ht="15.75" customHeight="1" x14ac:dyDescent="0.15">
      <c r="B785" s="53" t="s">
        <v>35</v>
      </c>
      <c r="C785" s="263">
        <v>43994</v>
      </c>
      <c r="D785" s="53" t="s">
        <v>2011</v>
      </c>
      <c r="E785" s="53" t="s">
        <v>6</v>
      </c>
      <c r="F785" s="147">
        <v>0.06</v>
      </c>
      <c r="G785" s="53" t="s">
        <v>1177</v>
      </c>
      <c r="H785" s="53" t="s">
        <v>1177</v>
      </c>
      <c r="I785" s="53" t="s">
        <v>1017</v>
      </c>
      <c r="J785" s="53" t="s">
        <v>285</v>
      </c>
      <c r="K785" s="115">
        <v>7</v>
      </c>
      <c r="L785" s="111" t="s">
        <v>1535</v>
      </c>
      <c r="O785" s="116" t="s">
        <v>1535</v>
      </c>
      <c r="Q785" s="23"/>
      <c r="R785" s="23"/>
    </row>
    <row r="786" spans="2:18" ht="15.75" customHeight="1" x14ac:dyDescent="0.15">
      <c r="B786" s="53" t="s">
        <v>41</v>
      </c>
      <c r="C786" s="263">
        <v>43994</v>
      </c>
      <c r="D786" s="53" t="s">
        <v>995</v>
      </c>
      <c r="E786" s="53" t="s">
        <v>65</v>
      </c>
      <c r="F786" s="147">
        <v>0.04</v>
      </c>
      <c r="G786" s="53" t="s">
        <v>1177</v>
      </c>
      <c r="H786" s="53" t="s">
        <v>1177</v>
      </c>
      <c r="I786" s="53" t="s">
        <v>856</v>
      </c>
      <c r="J786" s="53" t="s">
        <v>15</v>
      </c>
      <c r="K786" s="115">
        <v>8</v>
      </c>
      <c r="L786" s="111" t="s">
        <v>1584</v>
      </c>
      <c r="O786" s="116" t="s">
        <v>1585</v>
      </c>
      <c r="Q786" s="23"/>
      <c r="R786" s="23"/>
    </row>
    <row r="787" spans="2:18" ht="15.75" customHeight="1" x14ac:dyDescent="0.15">
      <c r="B787" s="53" t="s">
        <v>38</v>
      </c>
      <c r="C787" s="263">
        <v>43994</v>
      </c>
      <c r="D787" s="53" t="s">
        <v>1407</v>
      </c>
      <c r="E787" s="53" t="s">
        <v>6</v>
      </c>
      <c r="F787" s="147">
        <v>4.2000000000000003E-2</v>
      </c>
      <c r="G787" s="53" t="s">
        <v>1177</v>
      </c>
      <c r="H787" s="53" t="s">
        <v>1177</v>
      </c>
      <c r="I787" s="53" t="s">
        <v>265</v>
      </c>
      <c r="J787" s="53" t="s">
        <v>934</v>
      </c>
      <c r="K787" s="115">
        <v>7</v>
      </c>
      <c r="L787" s="111" t="s">
        <v>1542</v>
      </c>
      <c r="O787" s="116" t="s">
        <v>1542</v>
      </c>
      <c r="Q787" s="23"/>
      <c r="R787" s="23"/>
    </row>
    <row r="788" spans="2:18" ht="15.75" customHeight="1" x14ac:dyDescent="0.15">
      <c r="B788" s="53" t="s">
        <v>996</v>
      </c>
      <c r="C788" s="263">
        <v>43994</v>
      </c>
      <c r="D788" s="53" t="s">
        <v>997</v>
      </c>
      <c r="E788" s="53" t="s">
        <v>27</v>
      </c>
      <c r="F788" s="147">
        <v>0.14499999999999999</v>
      </c>
      <c r="G788" s="53" t="s">
        <v>1177</v>
      </c>
      <c r="H788" s="53" t="s">
        <v>1177</v>
      </c>
      <c r="I788" s="53" t="s">
        <v>998</v>
      </c>
      <c r="J788" s="53" t="s">
        <v>881</v>
      </c>
      <c r="K788" s="115">
        <v>5</v>
      </c>
      <c r="L788" s="111" t="s">
        <v>2018</v>
      </c>
      <c r="O788" s="116" t="s">
        <v>2019</v>
      </c>
      <c r="Q788" s="23"/>
      <c r="R788" s="23"/>
    </row>
    <row r="789" spans="2:18" ht="15.75" customHeight="1" x14ac:dyDescent="0.15">
      <c r="B789" s="53" t="s">
        <v>35</v>
      </c>
      <c r="C789" s="263">
        <v>43994</v>
      </c>
      <c r="D789" s="53" t="s">
        <v>997</v>
      </c>
      <c r="E789" s="53" t="s">
        <v>27</v>
      </c>
      <c r="F789" s="147">
        <v>0.14499999999999999</v>
      </c>
      <c r="G789" s="53" t="s">
        <v>1177</v>
      </c>
      <c r="H789" s="53" t="s">
        <v>1177</v>
      </c>
      <c r="I789" s="53" t="s">
        <v>999</v>
      </c>
      <c r="J789" s="53" t="s">
        <v>836</v>
      </c>
      <c r="K789" s="115">
        <v>4.5</v>
      </c>
      <c r="L789" s="111" t="s">
        <v>2018</v>
      </c>
      <c r="O789" s="116" t="s">
        <v>2019</v>
      </c>
      <c r="Q789" s="23"/>
      <c r="R789" s="23"/>
    </row>
    <row r="790" spans="2:18" ht="15.75" customHeight="1" x14ac:dyDescent="0.15">
      <c r="B790" s="53" t="s">
        <v>61</v>
      </c>
      <c r="C790" s="263">
        <v>43994</v>
      </c>
      <c r="D790" s="53" t="s">
        <v>997</v>
      </c>
      <c r="E790" s="53" t="s">
        <v>27</v>
      </c>
      <c r="F790" s="147">
        <v>0.14499999999999999</v>
      </c>
      <c r="G790" s="53" t="s">
        <v>1177</v>
      </c>
      <c r="H790" s="53" t="s">
        <v>1177</v>
      </c>
      <c r="I790" s="53" t="s">
        <v>247</v>
      </c>
      <c r="J790" s="53" t="s">
        <v>836</v>
      </c>
      <c r="K790" s="115">
        <v>5</v>
      </c>
      <c r="L790" s="111" t="s">
        <v>2018</v>
      </c>
      <c r="O790" s="116" t="s">
        <v>2019</v>
      </c>
      <c r="Q790" s="23"/>
      <c r="R790" s="23"/>
    </row>
    <row r="791" spans="2:18" ht="15.75" customHeight="1" x14ac:dyDescent="0.15">
      <c r="B791" s="53" t="s">
        <v>38</v>
      </c>
      <c r="C791" s="263">
        <v>43994</v>
      </c>
      <c r="D791" s="53" t="s">
        <v>1000</v>
      </c>
      <c r="E791" s="53" t="s">
        <v>42</v>
      </c>
      <c r="F791" s="147">
        <v>0.11</v>
      </c>
      <c r="G791" s="53" t="s">
        <v>1177</v>
      </c>
      <c r="H791" s="53" t="s">
        <v>1177</v>
      </c>
      <c r="I791" s="53" t="s">
        <v>1001</v>
      </c>
      <c r="J791" s="53" t="s">
        <v>1002</v>
      </c>
      <c r="K791" s="115">
        <v>2</v>
      </c>
      <c r="L791" s="111" t="s">
        <v>2020</v>
      </c>
      <c r="O791" s="116" t="s">
        <v>2021</v>
      </c>
      <c r="Q791" s="23"/>
      <c r="R791" s="23"/>
    </row>
    <row r="792" spans="2:18" ht="15.75" customHeight="1" x14ac:dyDescent="0.15">
      <c r="B792" s="53" t="s">
        <v>189</v>
      </c>
      <c r="C792" s="263">
        <v>43994</v>
      </c>
      <c r="D792" s="53" t="s">
        <v>1000</v>
      </c>
      <c r="E792" s="53" t="s">
        <v>42</v>
      </c>
      <c r="F792" s="147">
        <v>0.11</v>
      </c>
      <c r="G792" s="53" t="s">
        <v>1177</v>
      </c>
      <c r="H792" s="53" t="s">
        <v>1177</v>
      </c>
      <c r="I792" s="53" t="s">
        <v>1003</v>
      </c>
      <c r="J792" s="53" t="s">
        <v>1004</v>
      </c>
      <c r="K792" s="115">
        <v>2</v>
      </c>
      <c r="L792" s="111" t="s">
        <v>2020</v>
      </c>
      <c r="O792" s="116" t="s">
        <v>2021</v>
      </c>
      <c r="Q792" s="23"/>
      <c r="R792" s="23"/>
    </row>
    <row r="793" spans="2:18" ht="15.75" customHeight="1" x14ac:dyDescent="0.15">
      <c r="B793" s="53" t="s">
        <v>420</v>
      </c>
      <c r="C793" s="263">
        <v>43994</v>
      </c>
      <c r="D793" s="53" t="s">
        <v>1764</v>
      </c>
      <c r="E793" s="53" t="s">
        <v>36</v>
      </c>
      <c r="F793" s="147">
        <v>0.43</v>
      </c>
      <c r="G793" s="53" t="s">
        <v>1177</v>
      </c>
      <c r="H793" s="53" t="s">
        <v>1177</v>
      </c>
      <c r="I793" s="53" t="s">
        <v>321</v>
      </c>
      <c r="J793" s="53" t="s">
        <v>192</v>
      </c>
      <c r="K793" s="115">
        <v>7</v>
      </c>
      <c r="L793" s="111" t="s">
        <v>1765</v>
      </c>
      <c r="O793" s="116" t="s">
        <v>1490</v>
      </c>
      <c r="Q793" s="23"/>
      <c r="R793" s="23"/>
    </row>
    <row r="794" spans="2:18" ht="15.75" customHeight="1" x14ac:dyDescent="0.15">
      <c r="B794" s="53" t="s">
        <v>18</v>
      </c>
      <c r="C794" s="263">
        <v>43994</v>
      </c>
      <c r="D794" s="53" t="s">
        <v>981</v>
      </c>
      <c r="E794" s="53" t="s">
        <v>27</v>
      </c>
      <c r="F794" s="147">
        <v>0.2</v>
      </c>
      <c r="G794" s="53" t="s">
        <v>1177</v>
      </c>
      <c r="H794" s="53" t="s">
        <v>1177</v>
      </c>
      <c r="I794" s="53" t="s">
        <v>1005</v>
      </c>
      <c r="J794" s="53" t="s">
        <v>908</v>
      </c>
      <c r="K794" s="115">
        <v>8</v>
      </c>
      <c r="L794" s="111" t="s">
        <v>981</v>
      </c>
      <c r="O794" s="116" t="s">
        <v>1465</v>
      </c>
      <c r="Q794" s="23"/>
      <c r="R794" s="23"/>
    </row>
    <row r="795" spans="2:18" ht="15.75" customHeight="1" x14ac:dyDescent="0.15">
      <c r="B795" s="53" t="s">
        <v>73</v>
      </c>
      <c r="C795" s="263">
        <v>43994</v>
      </c>
      <c r="D795" s="53" t="s">
        <v>1006</v>
      </c>
      <c r="E795" s="53" t="s">
        <v>65</v>
      </c>
      <c r="F795" s="147">
        <v>0.17</v>
      </c>
      <c r="G795" s="53" t="s">
        <v>1177</v>
      </c>
      <c r="H795" s="53" t="s">
        <v>1177</v>
      </c>
      <c r="I795" s="53" t="s">
        <v>3547</v>
      </c>
      <c r="J795" s="53" t="s">
        <v>1007</v>
      </c>
      <c r="K795" s="115">
        <v>1.5</v>
      </c>
      <c r="L795" s="111" t="s">
        <v>2022</v>
      </c>
      <c r="O795" s="116" t="s">
        <v>1465</v>
      </c>
      <c r="Q795" s="23"/>
      <c r="R795" s="23"/>
    </row>
    <row r="796" spans="2:18" ht="15.75" customHeight="1" x14ac:dyDescent="0.15">
      <c r="B796" s="53" t="s">
        <v>361</v>
      </c>
      <c r="C796" s="263">
        <v>43994</v>
      </c>
      <c r="D796" s="53" t="s">
        <v>1008</v>
      </c>
      <c r="E796" s="53" t="s">
        <v>32</v>
      </c>
      <c r="F796" s="147">
        <v>0.15</v>
      </c>
      <c r="G796" s="53" t="s">
        <v>1177</v>
      </c>
      <c r="H796" s="53" t="s">
        <v>1177</v>
      </c>
      <c r="I796" s="53" t="s">
        <v>1009</v>
      </c>
      <c r="J796" s="53" t="s">
        <v>2507</v>
      </c>
      <c r="K796" s="115">
        <v>2</v>
      </c>
      <c r="L796" s="111" t="s">
        <v>2023</v>
      </c>
      <c r="O796" s="116" t="s">
        <v>2024</v>
      </c>
      <c r="Q796" s="23"/>
      <c r="R796" s="23"/>
    </row>
    <row r="797" spans="2:18" ht="15.75" customHeight="1" x14ac:dyDescent="0.15">
      <c r="B797" s="53" t="s">
        <v>690</v>
      </c>
      <c r="C797" s="263">
        <v>43994</v>
      </c>
      <c r="D797" s="53" t="s">
        <v>68</v>
      </c>
      <c r="E797" s="53" t="s">
        <v>32</v>
      </c>
      <c r="F797" s="147">
        <v>0.375</v>
      </c>
      <c r="G797" s="53" t="s">
        <v>1177</v>
      </c>
      <c r="H797" s="53" t="s">
        <v>1177</v>
      </c>
      <c r="I797" s="53" t="s">
        <v>193</v>
      </c>
      <c r="J797" s="53" t="s">
        <v>2508</v>
      </c>
      <c r="K797" s="115">
        <v>3</v>
      </c>
      <c r="L797" s="111" t="s">
        <v>766</v>
      </c>
      <c r="O797" s="116" t="s">
        <v>1516</v>
      </c>
      <c r="Q797" s="23"/>
      <c r="R797" s="23"/>
    </row>
    <row r="798" spans="2:18" ht="15.75" customHeight="1" x14ac:dyDescent="0.15">
      <c r="B798" s="53" t="s">
        <v>41</v>
      </c>
      <c r="C798" s="263">
        <v>43994</v>
      </c>
      <c r="D798" s="53" t="s">
        <v>1010</v>
      </c>
      <c r="E798" s="53" t="s">
        <v>32</v>
      </c>
      <c r="F798" s="147">
        <v>0.15</v>
      </c>
      <c r="G798" s="53" t="s">
        <v>1177</v>
      </c>
      <c r="H798" s="53" t="s">
        <v>1177</v>
      </c>
      <c r="I798" s="53" t="s">
        <v>3548</v>
      </c>
      <c r="J798" s="53" t="s">
        <v>2509</v>
      </c>
      <c r="K798" s="115">
        <v>2</v>
      </c>
      <c r="L798" s="111" t="s">
        <v>2023</v>
      </c>
      <c r="O798" s="116" t="s">
        <v>2024</v>
      </c>
      <c r="Q798" s="23"/>
      <c r="R798" s="23"/>
    </row>
    <row r="799" spans="2:18" ht="15.75" customHeight="1" x14ac:dyDescent="0.15">
      <c r="B799" s="53" t="s">
        <v>26</v>
      </c>
      <c r="C799" s="263">
        <v>43994</v>
      </c>
      <c r="D799" s="53" t="s">
        <v>1011</v>
      </c>
      <c r="E799" s="53" t="s">
        <v>42</v>
      </c>
      <c r="F799" s="147">
        <v>0.115</v>
      </c>
      <c r="G799" s="53" t="s">
        <v>1177</v>
      </c>
      <c r="H799" s="53" t="s">
        <v>1177</v>
      </c>
      <c r="I799" s="53" t="s">
        <v>198</v>
      </c>
      <c r="J799" s="53" t="s">
        <v>2510</v>
      </c>
      <c r="K799" s="115">
        <v>5</v>
      </c>
      <c r="L799" s="111" t="s">
        <v>112</v>
      </c>
      <c r="O799" s="116" t="s">
        <v>112</v>
      </c>
      <c r="Q799" s="23"/>
      <c r="R799" s="23"/>
    </row>
    <row r="800" spans="2:18" ht="15.75" customHeight="1" x14ac:dyDescent="0.15">
      <c r="B800" s="53" t="s">
        <v>41</v>
      </c>
      <c r="C800" s="263">
        <v>43994</v>
      </c>
      <c r="D800" s="53" t="s">
        <v>1012</v>
      </c>
      <c r="E800" s="53" t="s">
        <v>190</v>
      </c>
      <c r="F800" s="147">
        <v>4.7E-2</v>
      </c>
      <c r="G800" s="53" t="s">
        <v>1177</v>
      </c>
      <c r="H800" s="53" t="s">
        <v>1177</v>
      </c>
      <c r="I800" s="53" t="s">
        <v>306</v>
      </c>
      <c r="J800" s="53" t="s">
        <v>2458</v>
      </c>
      <c r="K800" s="115">
        <v>5</v>
      </c>
      <c r="L800" s="111" t="s">
        <v>669</v>
      </c>
      <c r="O800" s="116" t="s">
        <v>1656</v>
      </c>
      <c r="Q800" s="23"/>
      <c r="R800" s="23"/>
    </row>
    <row r="801" spans="2:18" ht="15.75" customHeight="1" x14ac:dyDescent="0.15">
      <c r="B801" s="53" t="s">
        <v>189</v>
      </c>
      <c r="C801" s="263">
        <v>43994</v>
      </c>
      <c r="D801" s="53" t="s">
        <v>2025</v>
      </c>
      <c r="E801" s="53" t="s">
        <v>6</v>
      </c>
      <c r="F801" s="147">
        <v>4.3999999999999997E-2</v>
      </c>
      <c r="G801" s="53" t="s">
        <v>1177</v>
      </c>
      <c r="H801" s="53" t="s">
        <v>1177</v>
      </c>
      <c r="I801" s="53" t="s">
        <v>1224</v>
      </c>
      <c r="J801" s="53" t="s">
        <v>1899</v>
      </c>
      <c r="K801" s="115">
        <v>4</v>
      </c>
      <c r="L801" s="111" t="s">
        <v>1727</v>
      </c>
      <c r="O801" s="116" t="s">
        <v>1727</v>
      </c>
      <c r="Q801" s="23"/>
      <c r="R801" s="23"/>
    </row>
    <row r="802" spans="2:18" ht="15.75" customHeight="1" x14ac:dyDescent="0.15">
      <c r="B802" s="53" t="s">
        <v>420</v>
      </c>
      <c r="C802" s="263">
        <v>43994</v>
      </c>
      <c r="D802" s="53" t="s">
        <v>1014</v>
      </c>
      <c r="E802" s="53" t="s">
        <v>6</v>
      </c>
      <c r="F802" s="147">
        <v>4.2000000000000003E-2</v>
      </c>
      <c r="G802" s="53" t="s">
        <v>1177</v>
      </c>
      <c r="H802" s="53" t="s">
        <v>1177</v>
      </c>
      <c r="I802" s="53" t="s">
        <v>25</v>
      </c>
      <c r="J802" s="53" t="s">
        <v>89</v>
      </c>
      <c r="K802" s="115">
        <v>3</v>
      </c>
      <c r="L802" s="111" t="s">
        <v>1535</v>
      </c>
      <c r="O802" s="116" t="s">
        <v>1535</v>
      </c>
      <c r="Q802" s="23"/>
      <c r="R802" s="23"/>
    </row>
    <row r="803" spans="2:18" ht="15.75" customHeight="1" x14ac:dyDescent="0.15">
      <c r="B803" s="53" t="s">
        <v>38</v>
      </c>
      <c r="C803" s="263">
        <v>43994</v>
      </c>
      <c r="D803" s="53" t="s">
        <v>171</v>
      </c>
      <c r="E803" s="53" t="s">
        <v>6</v>
      </c>
      <c r="F803" s="147">
        <v>5.8000000000000003E-2</v>
      </c>
      <c r="G803" s="53" t="s">
        <v>1177</v>
      </c>
      <c r="H803" s="53" t="s">
        <v>1177</v>
      </c>
      <c r="I803" s="53" t="s">
        <v>2291</v>
      </c>
      <c r="J803" s="53" t="s">
        <v>2511</v>
      </c>
      <c r="K803" s="115">
        <v>7.5</v>
      </c>
      <c r="L803" s="111" t="s">
        <v>1580</v>
      </c>
      <c r="O803" s="116" t="s">
        <v>1565</v>
      </c>
      <c r="Q803" s="23"/>
      <c r="R803" s="23"/>
    </row>
    <row r="804" spans="2:18" ht="15.75" customHeight="1" x14ac:dyDescent="0.15">
      <c r="B804" s="53" t="s">
        <v>361</v>
      </c>
      <c r="C804" s="263">
        <v>43994</v>
      </c>
      <c r="D804" s="53" t="s">
        <v>3183</v>
      </c>
      <c r="E804" s="53" t="s">
        <v>6</v>
      </c>
      <c r="F804" s="147">
        <v>0.05</v>
      </c>
      <c r="G804" s="53" t="s">
        <v>1177</v>
      </c>
      <c r="H804" s="53" t="s">
        <v>1177</v>
      </c>
      <c r="I804" s="53" t="s">
        <v>2200</v>
      </c>
      <c r="J804" s="53" t="s">
        <v>2512</v>
      </c>
      <c r="K804" s="115">
        <v>4</v>
      </c>
      <c r="L804" s="111" t="s">
        <v>1653</v>
      </c>
      <c r="O804" s="116" t="s">
        <v>1533</v>
      </c>
      <c r="Q804" s="23"/>
      <c r="R804" s="23"/>
    </row>
    <row r="805" spans="2:18" ht="15.75" customHeight="1" x14ac:dyDescent="0.15">
      <c r="B805" s="53" t="s">
        <v>690</v>
      </c>
      <c r="C805" s="263">
        <v>43994</v>
      </c>
      <c r="D805" s="53" t="s">
        <v>1015</v>
      </c>
      <c r="E805" s="53" t="s">
        <v>6</v>
      </c>
      <c r="F805" s="147">
        <v>0.05</v>
      </c>
      <c r="G805" s="53" t="s">
        <v>1177</v>
      </c>
      <c r="H805" s="53" t="s">
        <v>1177</v>
      </c>
      <c r="I805" s="53" t="s">
        <v>3598</v>
      </c>
      <c r="J805" s="53" t="s">
        <v>2513</v>
      </c>
      <c r="K805" s="115">
        <v>3</v>
      </c>
      <c r="L805" s="111" t="s">
        <v>2015</v>
      </c>
      <c r="O805" s="116" t="s">
        <v>2014</v>
      </c>
      <c r="Q805" s="23"/>
      <c r="R805" s="23"/>
    </row>
    <row r="806" spans="2:18" ht="15.75" customHeight="1" x14ac:dyDescent="0.15">
      <c r="B806" s="53" t="s">
        <v>61</v>
      </c>
      <c r="C806" s="263">
        <v>43994</v>
      </c>
      <c r="D806" s="53" t="s">
        <v>3468</v>
      </c>
      <c r="E806" s="53" t="s">
        <v>65</v>
      </c>
      <c r="F806" s="147">
        <v>0.05</v>
      </c>
      <c r="G806" s="53" t="s">
        <v>1177</v>
      </c>
      <c r="H806" s="53" t="s">
        <v>1177</v>
      </c>
      <c r="I806" s="53" t="s">
        <v>806</v>
      </c>
      <c r="J806" s="53" t="s">
        <v>2355</v>
      </c>
      <c r="K806" s="115">
        <v>4.5</v>
      </c>
      <c r="L806" s="111" t="s">
        <v>1587</v>
      </c>
      <c r="O806" s="116" t="s">
        <v>1516</v>
      </c>
      <c r="Q806" s="23"/>
      <c r="R806" s="23"/>
    </row>
    <row r="807" spans="2:18" ht="15.75" customHeight="1" x14ac:dyDescent="0.15">
      <c r="B807" s="53" t="s">
        <v>687</v>
      </c>
      <c r="C807" s="263">
        <v>43994</v>
      </c>
      <c r="D807" s="53" t="s">
        <v>1016</v>
      </c>
      <c r="E807" s="53" t="s">
        <v>6</v>
      </c>
      <c r="F807" s="147">
        <v>4.4999999999999998E-2</v>
      </c>
      <c r="G807" s="53" t="s">
        <v>1177</v>
      </c>
      <c r="H807" s="53" t="s">
        <v>1177</v>
      </c>
      <c r="I807" s="53" t="s">
        <v>3549</v>
      </c>
      <c r="J807" s="53" t="s">
        <v>2514</v>
      </c>
      <c r="K807" s="115">
        <v>6</v>
      </c>
      <c r="L807" s="111" t="s">
        <v>1085</v>
      </c>
      <c r="O807" s="116" t="s">
        <v>2012</v>
      </c>
      <c r="Q807" s="23"/>
      <c r="R807" s="23"/>
    </row>
    <row r="808" spans="2:18" ht="15.75" customHeight="1" x14ac:dyDescent="0.15">
      <c r="B808" s="53" t="s">
        <v>18</v>
      </c>
      <c r="C808" s="263">
        <v>43994</v>
      </c>
      <c r="D808" s="53" t="s">
        <v>1267</v>
      </c>
      <c r="E808" s="53" t="s">
        <v>6</v>
      </c>
      <c r="F808" s="147">
        <v>4.9000000000000002E-2</v>
      </c>
      <c r="G808" s="53" t="s">
        <v>1177</v>
      </c>
      <c r="H808" s="53" t="s">
        <v>1177</v>
      </c>
      <c r="I808" s="53" t="s">
        <v>1018</v>
      </c>
      <c r="J808" s="53" t="s">
        <v>932</v>
      </c>
      <c r="K808" s="115">
        <v>8.5</v>
      </c>
      <c r="L808" s="111" t="s">
        <v>1267</v>
      </c>
      <c r="O808" s="116" t="s">
        <v>1565</v>
      </c>
      <c r="Q808" s="23"/>
      <c r="R808" s="23"/>
    </row>
    <row r="809" spans="2:18" ht="15.75" customHeight="1" x14ac:dyDescent="0.15">
      <c r="B809" s="53" t="s">
        <v>1019</v>
      </c>
      <c r="C809" s="263">
        <v>43994</v>
      </c>
      <c r="D809" s="53" t="s">
        <v>1020</v>
      </c>
      <c r="E809" s="53" t="s">
        <v>190</v>
      </c>
      <c r="F809" s="147">
        <v>0.34899999999999998</v>
      </c>
      <c r="G809" s="53" t="s">
        <v>1177</v>
      </c>
      <c r="H809" s="53" t="s">
        <v>1177</v>
      </c>
      <c r="I809" s="53" t="s">
        <v>3550</v>
      </c>
      <c r="J809" s="53" t="s">
        <v>222</v>
      </c>
      <c r="K809" s="115">
        <v>8</v>
      </c>
      <c r="L809" s="111" t="s">
        <v>2026</v>
      </c>
      <c r="O809" s="116" t="s">
        <v>2027</v>
      </c>
      <c r="Q809" s="23"/>
      <c r="R809" s="23"/>
    </row>
    <row r="810" spans="2:18" ht="15.75" customHeight="1" x14ac:dyDescent="0.15">
      <c r="B810" s="53" t="s">
        <v>18</v>
      </c>
      <c r="C810" s="263">
        <v>43994</v>
      </c>
      <c r="D810" s="53" t="s">
        <v>1021</v>
      </c>
      <c r="E810" s="53" t="s">
        <v>6</v>
      </c>
      <c r="F810" s="147">
        <v>5.2999999999999999E-2</v>
      </c>
      <c r="G810" s="53" t="s">
        <v>1177</v>
      </c>
      <c r="H810" s="53" t="s">
        <v>1177</v>
      </c>
      <c r="I810" s="53" t="s">
        <v>2292</v>
      </c>
      <c r="J810" s="53" t="s">
        <v>2515</v>
      </c>
      <c r="K810" s="115">
        <v>7</v>
      </c>
      <c r="L810" s="111" t="s">
        <v>1089</v>
      </c>
      <c r="O810" s="116" t="s">
        <v>1866</v>
      </c>
      <c r="Q810" s="23"/>
      <c r="R810" s="23"/>
    </row>
    <row r="811" spans="2:18" ht="15.75" customHeight="1" x14ac:dyDescent="0.15">
      <c r="B811" s="53" t="s">
        <v>38</v>
      </c>
      <c r="C811" s="263">
        <v>43994</v>
      </c>
      <c r="D811" s="53" t="s">
        <v>1021</v>
      </c>
      <c r="E811" s="53" t="s">
        <v>6</v>
      </c>
      <c r="F811" s="147">
        <v>5.2999999999999999E-2</v>
      </c>
      <c r="G811" s="53" t="s">
        <v>1177</v>
      </c>
      <c r="H811" s="53" t="s">
        <v>1177</v>
      </c>
      <c r="I811" s="53" t="s">
        <v>791</v>
      </c>
      <c r="J811" s="53" t="s">
        <v>2516</v>
      </c>
      <c r="K811" s="115">
        <v>7</v>
      </c>
      <c r="L811" s="111" t="s">
        <v>1089</v>
      </c>
      <c r="O811" s="116" t="s">
        <v>1866</v>
      </c>
      <c r="Q811" s="23"/>
      <c r="R811" s="23"/>
    </row>
    <row r="812" spans="2:18" ht="15.75" customHeight="1" x14ac:dyDescent="0.15">
      <c r="B812" s="53" t="s">
        <v>35</v>
      </c>
      <c r="C812" s="263">
        <v>43994</v>
      </c>
      <c r="D812" s="53" t="s">
        <v>1022</v>
      </c>
      <c r="E812" s="53" t="s">
        <v>6</v>
      </c>
      <c r="F812" s="147">
        <v>4.2999999999999997E-2</v>
      </c>
      <c r="G812" s="53" t="s">
        <v>1177</v>
      </c>
      <c r="H812" s="53" t="s">
        <v>1177</v>
      </c>
      <c r="I812" s="53" t="s">
        <v>215</v>
      </c>
      <c r="J812" s="53" t="s">
        <v>224</v>
      </c>
      <c r="K812" s="115">
        <v>4.5</v>
      </c>
      <c r="L812" s="111" t="s">
        <v>2000</v>
      </c>
      <c r="O812" s="116" t="s">
        <v>2000</v>
      </c>
      <c r="Q812" s="23"/>
      <c r="R812" s="23"/>
    </row>
    <row r="813" spans="2:18" ht="15.75" customHeight="1" x14ac:dyDescent="0.15">
      <c r="B813" s="53" t="s">
        <v>361</v>
      </c>
      <c r="C813" s="263">
        <v>43994</v>
      </c>
      <c r="D813" s="53" t="s">
        <v>144</v>
      </c>
      <c r="E813" s="53" t="s">
        <v>12</v>
      </c>
      <c r="F813" s="147">
        <v>0.375</v>
      </c>
      <c r="G813" s="53" t="s">
        <v>401</v>
      </c>
      <c r="H813" s="53" t="s">
        <v>1177</v>
      </c>
      <c r="I813" s="53" t="s">
        <v>849</v>
      </c>
      <c r="J813" s="53" t="s">
        <v>1114</v>
      </c>
      <c r="K813" s="115">
        <v>8</v>
      </c>
      <c r="L813" s="111" t="s">
        <v>767</v>
      </c>
      <c r="O813" s="116" t="s">
        <v>1516</v>
      </c>
      <c r="Q813" s="23"/>
      <c r="R813" s="23"/>
    </row>
    <row r="814" spans="2:18" ht="15.75" customHeight="1" x14ac:dyDescent="0.15">
      <c r="B814" s="53" t="s">
        <v>189</v>
      </c>
      <c r="C814" s="263">
        <v>43994</v>
      </c>
      <c r="D814" s="53" t="s">
        <v>952</v>
      </c>
      <c r="E814" s="53" t="s">
        <v>6</v>
      </c>
      <c r="F814" s="147">
        <v>3.9E-2</v>
      </c>
      <c r="G814" s="53" t="s">
        <v>1177</v>
      </c>
      <c r="H814" s="53" t="s">
        <v>1177</v>
      </c>
      <c r="I814" s="53" t="s">
        <v>132</v>
      </c>
      <c r="J814" s="53" t="s">
        <v>230</v>
      </c>
      <c r="K814" s="115">
        <v>6.5</v>
      </c>
      <c r="L814" s="111" t="s">
        <v>1658</v>
      </c>
      <c r="O814" s="116" t="s">
        <v>1659</v>
      </c>
      <c r="Q814" s="23"/>
      <c r="R814" s="23"/>
    </row>
    <row r="815" spans="2:18" ht="15.75" customHeight="1" x14ac:dyDescent="0.15">
      <c r="B815" s="53" t="s">
        <v>420</v>
      </c>
      <c r="C815" s="263">
        <v>43994</v>
      </c>
      <c r="D815" s="53" t="s">
        <v>664</v>
      </c>
      <c r="E815" s="53" t="s">
        <v>6</v>
      </c>
      <c r="F815" s="147">
        <v>3.7999999999999999E-2</v>
      </c>
      <c r="G815" s="53" t="s">
        <v>1177</v>
      </c>
      <c r="H815" s="53" t="s">
        <v>1177</v>
      </c>
      <c r="I815" s="53" t="s">
        <v>2293</v>
      </c>
      <c r="J815" s="53" t="s">
        <v>340</v>
      </c>
      <c r="K815" s="115">
        <v>5</v>
      </c>
      <c r="L815" s="111" t="s">
        <v>1535</v>
      </c>
      <c r="O815" s="116" t="s">
        <v>1535</v>
      </c>
      <c r="Q815" s="23"/>
      <c r="R815" s="23"/>
    </row>
    <row r="816" spans="2:18" ht="15.75" customHeight="1" x14ac:dyDescent="0.15">
      <c r="B816" s="53" t="s">
        <v>26</v>
      </c>
      <c r="C816" s="263">
        <v>43994</v>
      </c>
      <c r="D816" s="53" t="s">
        <v>1022</v>
      </c>
      <c r="E816" s="53" t="s">
        <v>6</v>
      </c>
      <c r="F816" s="147">
        <v>4.2999999999999997E-2</v>
      </c>
      <c r="G816" s="53" t="s">
        <v>1177</v>
      </c>
      <c r="H816" s="53" t="s">
        <v>1177</v>
      </c>
      <c r="I816" s="53" t="s">
        <v>2198</v>
      </c>
      <c r="J816" s="53" t="s">
        <v>2517</v>
      </c>
      <c r="K816" s="115">
        <v>3</v>
      </c>
      <c r="L816" s="111" t="s">
        <v>2000</v>
      </c>
      <c r="O816" s="116" t="s">
        <v>2000</v>
      </c>
      <c r="Q816" s="23"/>
      <c r="R816" s="23"/>
    </row>
    <row r="817" spans="2:18" ht="15.75" customHeight="1" x14ac:dyDescent="0.15">
      <c r="B817" s="53" t="s">
        <v>61</v>
      </c>
      <c r="C817" s="263">
        <v>43994</v>
      </c>
      <c r="D817" s="53" t="s">
        <v>1023</v>
      </c>
      <c r="E817" s="53" t="s">
        <v>6</v>
      </c>
      <c r="F817" s="147">
        <v>0.05</v>
      </c>
      <c r="G817" s="53" t="s">
        <v>1177</v>
      </c>
      <c r="H817" s="53" t="s">
        <v>1177</v>
      </c>
      <c r="I817" s="53" t="s">
        <v>458</v>
      </c>
      <c r="J817" s="53" t="s">
        <v>2518</v>
      </c>
      <c r="K817" s="115">
        <v>5.5</v>
      </c>
      <c r="L817" s="111" t="s">
        <v>1023</v>
      </c>
      <c r="O817" s="116" t="s">
        <v>2028</v>
      </c>
      <c r="Q817" s="23"/>
      <c r="R817" s="23"/>
    </row>
    <row r="818" spans="2:18" ht="15.75" customHeight="1" x14ac:dyDescent="0.15">
      <c r="B818" s="53" t="s">
        <v>38</v>
      </c>
      <c r="C818" s="263">
        <v>43994</v>
      </c>
      <c r="D818" s="53" t="s">
        <v>950</v>
      </c>
      <c r="E818" s="53" t="s">
        <v>6</v>
      </c>
      <c r="F818" s="147">
        <v>0.05</v>
      </c>
      <c r="G818" s="53" t="s">
        <v>1177</v>
      </c>
      <c r="H818" s="53" t="s">
        <v>1177</v>
      </c>
      <c r="I818" s="53" t="s">
        <v>2294</v>
      </c>
      <c r="J818" s="53" t="s">
        <v>2519</v>
      </c>
      <c r="K818" s="115">
        <v>9.5</v>
      </c>
      <c r="L818" s="111" t="s">
        <v>1088</v>
      </c>
      <c r="O818" s="116" t="s">
        <v>1565</v>
      </c>
      <c r="Q818" s="23"/>
      <c r="R818" s="23"/>
    </row>
    <row r="819" spans="2:18" ht="15.75" customHeight="1" x14ac:dyDescent="0.15">
      <c r="B819" s="53" t="s">
        <v>687</v>
      </c>
      <c r="C819" s="263">
        <v>43994</v>
      </c>
      <c r="D819" s="53" t="s">
        <v>1024</v>
      </c>
      <c r="E819" s="53" t="s">
        <v>6</v>
      </c>
      <c r="F819" s="147">
        <v>0.04</v>
      </c>
      <c r="G819" s="53" t="s">
        <v>1177</v>
      </c>
      <c r="H819" s="53" t="s">
        <v>1177</v>
      </c>
      <c r="I819" s="53" t="s">
        <v>3486</v>
      </c>
      <c r="J819" s="53" t="s">
        <v>198</v>
      </c>
      <c r="K819" s="115">
        <v>3</v>
      </c>
      <c r="L819" s="111" t="s">
        <v>1757</v>
      </c>
      <c r="O819" s="116" t="s">
        <v>1757</v>
      </c>
      <c r="Q819" s="23"/>
      <c r="R819" s="23"/>
    </row>
    <row r="820" spans="2:18" ht="15.75" customHeight="1" x14ac:dyDescent="0.15">
      <c r="B820" s="53" t="s">
        <v>690</v>
      </c>
      <c r="C820" s="263">
        <v>43994</v>
      </c>
      <c r="D820" s="53" t="s">
        <v>1025</v>
      </c>
      <c r="E820" s="53" t="s">
        <v>6</v>
      </c>
      <c r="F820" s="147">
        <v>0.06</v>
      </c>
      <c r="G820" s="53" t="s">
        <v>1177</v>
      </c>
      <c r="H820" s="53" t="s">
        <v>1177</v>
      </c>
      <c r="I820" s="53" t="s">
        <v>2295</v>
      </c>
      <c r="J820" s="53" t="s">
        <v>2520</v>
      </c>
      <c r="K820" s="115">
        <v>2</v>
      </c>
      <c r="L820" s="111" t="s">
        <v>2015</v>
      </c>
      <c r="O820" s="116" t="s">
        <v>2014</v>
      </c>
      <c r="Q820" s="23"/>
      <c r="R820" s="23"/>
    </row>
    <row r="821" spans="2:18" ht="15.75" customHeight="1" x14ac:dyDescent="0.15">
      <c r="B821" s="53" t="s">
        <v>35</v>
      </c>
      <c r="C821" s="263">
        <v>43994</v>
      </c>
      <c r="D821" s="53" t="s">
        <v>1026</v>
      </c>
      <c r="E821" s="53" t="s">
        <v>6</v>
      </c>
      <c r="F821" s="147">
        <v>5.0999999999999997E-2</v>
      </c>
      <c r="G821" s="53" t="s">
        <v>1177</v>
      </c>
      <c r="H821" s="53" t="s">
        <v>1177</v>
      </c>
      <c r="I821" s="53" t="s">
        <v>1029</v>
      </c>
      <c r="J821" s="53" t="s">
        <v>1030</v>
      </c>
      <c r="K821" s="115">
        <v>7</v>
      </c>
      <c r="L821" s="111" t="s">
        <v>2000</v>
      </c>
      <c r="O821" s="116" t="s">
        <v>2000</v>
      </c>
      <c r="Q821" s="23"/>
      <c r="R821" s="23"/>
    </row>
    <row r="822" spans="2:18" ht="15.75" customHeight="1" x14ac:dyDescent="0.15">
      <c r="B822" s="53" t="s">
        <v>189</v>
      </c>
      <c r="C822" s="263">
        <v>43994</v>
      </c>
      <c r="D822" s="53" t="s">
        <v>803</v>
      </c>
      <c r="E822" s="53" t="s">
        <v>6</v>
      </c>
      <c r="F822" s="147">
        <v>4.8000000000000001E-2</v>
      </c>
      <c r="G822" s="53" t="s">
        <v>1177</v>
      </c>
      <c r="H822" s="53" t="s">
        <v>1177</v>
      </c>
      <c r="I822" s="53" t="s">
        <v>198</v>
      </c>
      <c r="J822" s="53" t="s">
        <v>195</v>
      </c>
      <c r="K822" s="115">
        <v>4</v>
      </c>
      <c r="L822" s="111" t="s">
        <v>2704</v>
      </c>
      <c r="O822" s="116" t="s">
        <v>1831</v>
      </c>
      <c r="Q822" s="23"/>
      <c r="R822" s="23"/>
    </row>
    <row r="823" spans="2:18" ht="15.75" customHeight="1" x14ac:dyDescent="0.15">
      <c r="B823" s="53" t="s">
        <v>41</v>
      </c>
      <c r="C823" s="263">
        <v>43994</v>
      </c>
      <c r="D823" s="53" t="s">
        <v>1027</v>
      </c>
      <c r="E823" s="53" t="s">
        <v>12</v>
      </c>
      <c r="F823" s="147">
        <v>0.05</v>
      </c>
      <c r="G823" s="53" t="s">
        <v>1177</v>
      </c>
      <c r="H823" s="53" t="s">
        <v>1177</v>
      </c>
      <c r="I823" s="53" t="s">
        <v>3530</v>
      </c>
      <c r="J823" s="53" t="s">
        <v>2521</v>
      </c>
      <c r="K823" s="115">
        <v>2</v>
      </c>
      <c r="L823" s="111" t="s">
        <v>1881</v>
      </c>
      <c r="O823" s="116" t="s">
        <v>1880</v>
      </c>
      <c r="Q823" s="23"/>
      <c r="R823" s="23"/>
    </row>
    <row r="824" spans="2:18" ht="15.75" customHeight="1" x14ac:dyDescent="0.15">
      <c r="B824" s="53" t="s">
        <v>73</v>
      </c>
      <c r="C824" s="263">
        <v>43994</v>
      </c>
      <c r="D824" s="53" t="s">
        <v>391</v>
      </c>
      <c r="E824" s="53" t="s">
        <v>65</v>
      </c>
      <c r="F824" s="147">
        <v>0.43</v>
      </c>
      <c r="G824" s="53" t="s">
        <v>365</v>
      </c>
      <c r="H824" s="53" t="s">
        <v>1177</v>
      </c>
      <c r="I824" s="53" t="s">
        <v>2296</v>
      </c>
      <c r="J824" s="53" t="s">
        <v>2522</v>
      </c>
      <c r="K824" s="115">
        <v>6</v>
      </c>
      <c r="L824" s="111" t="s">
        <v>1647</v>
      </c>
      <c r="O824" s="116" t="s">
        <v>1648</v>
      </c>
      <c r="Q824" s="23"/>
      <c r="R824" s="23"/>
    </row>
    <row r="825" spans="2:18" ht="15.75" customHeight="1" x14ac:dyDescent="0.15">
      <c r="B825" s="53" t="s">
        <v>361</v>
      </c>
      <c r="C825" s="263">
        <v>43994</v>
      </c>
      <c r="D825" s="53" t="s">
        <v>808</v>
      </c>
      <c r="E825" s="53" t="s">
        <v>34</v>
      </c>
      <c r="F825" s="147">
        <v>0.04</v>
      </c>
      <c r="G825" s="53" t="s">
        <v>1177</v>
      </c>
      <c r="H825" s="53" t="s">
        <v>1177</v>
      </c>
      <c r="I825" s="53" t="s">
        <v>33</v>
      </c>
      <c r="J825" s="53" t="s">
        <v>1162</v>
      </c>
      <c r="K825" s="115">
        <v>3</v>
      </c>
      <c r="L825" s="111" t="s">
        <v>1576</v>
      </c>
      <c r="O825" s="116" t="s">
        <v>1533</v>
      </c>
      <c r="Q825" s="23"/>
      <c r="R825" s="23"/>
    </row>
    <row r="826" spans="2:18" ht="15.75" customHeight="1" x14ac:dyDescent="0.15">
      <c r="B826" s="53" t="s">
        <v>18</v>
      </c>
      <c r="C826" s="263">
        <v>43994</v>
      </c>
      <c r="D826" s="53" t="s">
        <v>1028</v>
      </c>
      <c r="E826" s="53" t="s">
        <v>42</v>
      </c>
      <c r="F826" s="147">
        <v>0.13500000000000001</v>
      </c>
      <c r="G826" s="53" t="s">
        <v>1177</v>
      </c>
      <c r="H826" s="53" t="s">
        <v>1177</v>
      </c>
      <c r="I826" s="53" t="s">
        <v>2297</v>
      </c>
      <c r="J826" s="53" t="s">
        <v>30</v>
      </c>
      <c r="K826" s="115">
        <v>6</v>
      </c>
      <c r="L826" s="111" t="s">
        <v>2029</v>
      </c>
      <c r="O826" s="111" t="s">
        <v>2029</v>
      </c>
      <c r="Q826" s="23"/>
      <c r="R826" s="23"/>
    </row>
    <row r="827" spans="2:18" ht="15.75" customHeight="1" x14ac:dyDescent="0.15">
      <c r="B827" s="53" t="s">
        <v>420</v>
      </c>
      <c r="C827" s="263">
        <v>43994</v>
      </c>
      <c r="D827" s="53" t="s">
        <v>2769</v>
      </c>
      <c r="E827" s="53" t="s">
        <v>6</v>
      </c>
      <c r="F827" s="147">
        <v>5.5E-2</v>
      </c>
      <c r="G827" s="53" t="s">
        <v>1177</v>
      </c>
      <c r="H827" s="53" t="s">
        <v>1177</v>
      </c>
      <c r="I827" s="53" t="s">
        <v>33</v>
      </c>
      <c r="J827" s="53" t="s">
        <v>491</v>
      </c>
      <c r="K827" s="115">
        <v>8</v>
      </c>
      <c r="L827" s="111" t="s">
        <v>1515</v>
      </c>
      <c r="O827" s="116" t="s">
        <v>1515</v>
      </c>
      <c r="Q827" s="23"/>
      <c r="R827" s="23"/>
    </row>
    <row r="828" spans="2:18" ht="15.75" customHeight="1" x14ac:dyDescent="0.15">
      <c r="B828" s="53" t="s">
        <v>41</v>
      </c>
      <c r="C828" s="263">
        <v>43994</v>
      </c>
      <c r="D828" s="53" t="s">
        <v>1031</v>
      </c>
      <c r="E828" s="53" t="s">
        <v>12</v>
      </c>
      <c r="F828" s="147">
        <v>0.04</v>
      </c>
      <c r="G828" s="53" t="s">
        <v>1177</v>
      </c>
      <c r="H828" s="53" t="s">
        <v>1177</v>
      </c>
      <c r="I828" s="53" t="s">
        <v>1032</v>
      </c>
      <c r="J828" s="53" t="s">
        <v>1033</v>
      </c>
      <c r="K828" s="115">
        <v>7</v>
      </c>
      <c r="L828" s="111" t="s">
        <v>1589</v>
      </c>
      <c r="O828" s="116" t="s">
        <v>1589</v>
      </c>
      <c r="Q828" s="23"/>
      <c r="R828" s="23"/>
    </row>
    <row r="829" spans="2:18" ht="15.75" customHeight="1" x14ac:dyDescent="0.15">
      <c r="B829" s="53" t="s">
        <v>26</v>
      </c>
      <c r="C829" s="263">
        <v>43994</v>
      </c>
      <c r="D829" s="53" t="s">
        <v>1034</v>
      </c>
      <c r="E829" s="53" t="s">
        <v>190</v>
      </c>
      <c r="F829" s="147">
        <v>0.18</v>
      </c>
      <c r="G829" s="53" t="s">
        <v>1177</v>
      </c>
      <c r="H829" s="53" t="s">
        <v>1177</v>
      </c>
      <c r="I829" s="53" t="s">
        <v>1035</v>
      </c>
      <c r="J829" s="53" t="s">
        <v>1036</v>
      </c>
      <c r="K829" s="115">
        <v>6.5</v>
      </c>
      <c r="L829" s="111" t="s">
        <v>2030</v>
      </c>
      <c r="O829" s="116" t="s">
        <v>2031</v>
      </c>
      <c r="Q829" s="23"/>
      <c r="R829" s="23"/>
    </row>
    <row r="830" spans="2:18" ht="15.75" customHeight="1" x14ac:dyDescent="0.15">
      <c r="B830" s="53" t="s">
        <v>35</v>
      </c>
      <c r="C830" s="263">
        <v>43994</v>
      </c>
      <c r="D830" s="53" t="s">
        <v>1037</v>
      </c>
      <c r="E830" s="53" t="s">
        <v>32</v>
      </c>
      <c r="F830" s="147">
        <v>0.4</v>
      </c>
      <c r="G830" s="53" t="s">
        <v>1177</v>
      </c>
      <c r="H830" s="53" t="s">
        <v>1177</v>
      </c>
      <c r="I830" s="53" t="s">
        <v>1038</v>
      </c>
      <c r="J830" s="53" t="s">
        <v>1039</v>
      </c>
      <c r="K830" s="115">
        <v>5</v>
      </c>
      <c r="L830" s="111" t="s">
        <v>2706</v>
      </c>
      <c r="O830" s="116" t="s">
        <v>1447</v>
      </c>
      <c r="Q830" s="23"/>
      <c r="R830" s="23"/>
    </row>
    <row r="831" spans="2:18" ht="15.75" customHeight="1" x14ac:dyDescent="0.15">
      <c r="B831" s="53" t="s">
        <v>420</v>
      </c>
      <c r="C831" s="263">
        <v>43994</v>
      </c>
      <c r="D831" s="53" t="s">
        <v>105</v>
      </c>
      <c r="E831" s="53" t="s">
        <v>12</v>
      </c>
      <c r="F831" s="147">
        <v>0.4</v>
      </c>
      <c r="G831" s="53" t="s">
        <v>1177</v>
      </c>
      <c r="H831" s="53" t="s">
        <v>1177</v>
      </c>
      <c r="I831" s="53" t="s">
        <v>885</v>
      </c>
      <c r="J831" s="53" t="s">
        <v>2287</v>
      </c>
      <c r="K831" s="115">
        <v>2</v>
      </c>
      <c r="L831" s="111" t="s">
        <v>1506</v>
      </c>
      <c r="O831" s="116" t="s">
        <v>1507</v>
      </c>
      <c r="Q831" s="23"/>
      <c r="R831" s="23"/>
    </row>
    <row r="832" spans="2:18" ht="15.75" customHeight="1" x14ac:dyDescent="0.15">
      <c r="B832" s="53" t="s">
        <v>18</v>
      </c>
      <c r="C832" s="263">
        <v>43994</v>
      </c>
      <c r="D832" s="53" t="s">
        <v>68</v>
      </c>
      <c r="E832" s="53" t="s">
        <v>32</v>
      </c>
      <c r="F832" s="147">
        <v>0.375</v>
      </c>
      <c r="G832" s="53" t="s">
        <v>1040</v>
      </c>
      <c r="H832" s="53" t="s">
        <v>1041</v>
      </c>
      <c r="I832" s="53" t="s">
        <v>298</v>
      </c>
      <c r="J832" s="53" t="s">
        <v>1042</v>
      </c>
      <c r="K832" s="115">
        <v>5</v>
      </c>
      <c r="L832" s="111" t="s">
        <v>766</v>
      </c>
      <c r="O832" s="116" t="s">
        <v>1516</v>
      </c>
      <c r="Q832" s="23"/>
      <c r="R832" s="23"/>
    </row>
    <row r="833" spans="2:18" ht="15.75" customHeight="1" x14ac:dyDescent="0.15">
      <c r="B833" s="53" t="s">
        <v>73</v>
      </c>
      <c r="C833" s="263">
        <v>43994</v>
      </c>
      <c r="D833" s="53" t="s">
        <v>1043</v>
      </c>
      <c r="E833" s="53" t="s">
        <v>12</v>
      </c>
      <c r="F833" s="147">
        <v>0.4</v>
      </c>
      <c r="G833" s="53" t="s">
        <v>1177</v>
      </c>
      <c r="H833" s="53" t="s">
        <v>1177</v>
      </c>
      <c r="I833" s="53" t="s">
        <v>2298</v>
      </c>
      <c r="J833" s="53" t="s">
        <v>606</v>
      </c>
      <c r="K833" s="115">
        <v>2.5</v>
      </c>
      <c r="L833" s="111" t="s">
        <v>2032</v>
      </c>
      <c r="O833" s="116" t="s">
        <v>2032</v>
      </c>
      <c r="Q833" s="23"/>
      <c r="R833" s="23"/>
    </row>
    <row r="834" spans="2:18" ht="15.75" customHeight="1" x14ac:dyDescent="0.15">
      <c r="B834" s="53" t="s">
        <v>361</v>
      </c>
      <c r="C834" s="263">
        <v>43994</v>
      </c>
      <c r="D834" s="53" t="s">
        <v>1044</v>
      </c>
      <c r="E834" s="53" t="s">
        <v>32</v>
      </c>
      <c r="F834" s="147">
        <v>0.15</v>
      </c>
      <c r="G834" s="53" t="s">
        <v>1177</v>
      </c>
      <c r="H834" s="53" t="s">
        <v>1177</v>
      </c>
      <c r="I834" s="53" t="s">
        <v>2299</v>
      </c>
      <c r="J834" s="53" t="s">
        <v>2523</v>
      </c>
      <c r="K834" s="115">
        <v>1</v>
      </c>
      <c r="L834" s="111" t="s">
        <v>2023</v>
      </c>
      <c r="O834" s="116" t="s">
        <v>2024</v>
      </c>
      <c r="Q834" s="23"/>
      <c r="R834" s="23"/>
    </row>
    <row r="835" spans="2:18" ht="15.75" customHeight="1" x14ac:dyDescent="0.15">
      <c r="B835" s="53" t="s">
        <v>38</v>
      </c>
      <c r="C835" s="263">
        <v>43994</v>
      </c>
      <c r="D835" s="53" t="s">
        <v>1045</v>
      </c>
      <c r="E835" s="53" t="s">
        <v>12</v>
      </c>
      <c r="F835" s="147">
        <v>0.4</v>
      </c>
      <c r="G835" s="53" t="s">
        <v>1177</v>
      </c>
      <c r="H835" s="53" t="s">
        <v>1177</v>
      </c>
      <c r="I835" s="53" t="s">
        <v>2300</v>
      </c>
      <c r="J835" s="53" t="s">
        <v>2524</v>
      </c>
      <c r="K835" s="115">
        <v>6</v>
      </c>
      <c r="L835" s="111" t="s">
        <v>2033</v>
      </c>
      <c r="O835" s="116" t="s">
        <v>1875</v>
      </c>
      <c r="Q835" s="23"/>
      <c r="R835" s="23"/>
    </row>
    <row r="836" spans="2:18" ht="15.75" customHeight="1" x14ac:dyDescent="0.15">
      <c r="B836" s="53" t="s">
        <v>189</v>
      </c>
      <c r="C836" s="263">
        <v>43994</v>
      </c>
      <c r="D836" s="53" t="s">
        <v>1045</v>
      </c>
      <c r="E836" s="53" t="s">
        <v>12</v>
      </c>
      <c r="F836" s="147">
        <v>0.4</v>
      </c>
      <c r="G836" s="53" t="s">
        <v>1177</v>
      </c>
      <c r="H836" s="53" t="s">
        <v>1177</v>
      </c>
      <c r="I836" s="53" t="s">
        <v>1046</v>
      </c>
      <c r="J836" s="53" t="s">
        <v>2525</v>
      </c>
      <c r="K836" s="115">
        <v>6.5</v>
      </c>
      <c r="L836" s="111" t="s">
        <v>2033</v>
      </c>
      <c r="O836" s="116" t="s">
        <v>1875</v>
      </c>
      <c r="Q836" s="23"/>
      <c r="R836" s="23"/>
    </row>
    <row r="837" spans="2:18" ht="15.75" customHeight="1" x14ac:dyDescent="0.15">
      <c r="B837" s="53" t="s">
        <v>687</v>
      </c>
      <c r="C837" s="263">
        <v>43994</v>
      </c>
      <c r="D837" s="53" t="s">
        <v>1047</v>
      </c>
      <c r="E837" s="53" t="s">
        <v>36</v>
      </c>
      <c r="F837" s="147">
        <v>0.432</v>
      </c>
      <c r="G837" s="53" t="s">
        <v>1177</v>
      </c>
      <c r="H837" s="53" t="s">
        <v>1177</v>
      </c>
      <c r="I837" s="53" t="s">
        <v>1048</v>
      </c>
      <c r="J837" s="53" t="s">
        <v>784</v>
      </c>
      <c r="K837" s="115">
        <v>7</v>
      </c>
      <c r="L837" s="111" t="s">
        <v>1047</v>
      </c>
      <c r="O837" s="116" t="s">
        <v>1739</v>
      </c>
      <c r="Q837" s="23"/>
      <c r="R837" s="23"/>
    </row>
    <row r="838" spans="2:18" ht="15.75" customHeight="1" x14ac:dyDescent="0.15">
      <c r="B838" s="53" t="s">
        <v>690</v>
      </c>
      <c r="C838" s="263">
        <v>43994</v>
      </c>
      <c r="D838" s="53" t="s">
        <v>1047</v>
      </c>
      <c r="E838" s="53" t="s">
        <v>36</v>
      </c>
      <c r="F838" s="147">
        <v>0.432</v>
      </c>
      <c r="G838" s="53" t="s">
        <v>1177</v>
      </c>
      <c r="H838" s="53" t="s">
        <v>1177</v>
      </c>
      <c r="I838" s="53" t="s">
        <v>192</v>
      </c>
      <c r="J838" s="53" t="s">
        <v>16</v>
      </c>
      <c r="K838" s="115">
        <v>8</v>
      </c>
      <c r="L838" s="111" t="s">
        <v>1047</v>
      </c>
      <c r="O838" s="116" t="s">
        <v>1739</v>
      </c>
      <c r="Q838" s="23"/>
      <c r="R838" s="23"/>
    </row>
    <row r="839" spans="2:18" ht="15.75" customHeight="1" x14ac:dyDescent="0.15">
      <c r="B839" s="53" t="s">
        <v>61</v>
      </c>
      <c r="C839" s="263">
        <v>43994</v>
      </c>
      <c r="D839" s="53" t="s">
        <v>963</v>
      </c>
      <c r="E839" s="53" t="s">
        <v>36</v>
      </c>
      <c r="F839" s="147">
        <v>0.4</v>
      </c>
      <c r="G839" s="53" t="s">
        <v>1177</v>
      </c>
      <c r="H839" s="53" t="s">
        <v>1177</v>
      </c>
      <c r="I839" s="53" t="s">
        <v>1283</v>
      </c>
      <c r="J839" s="53" t="s">
        <v>2288</v>
      </c>
      <c r="K839" s="115">
        <v>4</v>
      </c>
      <c r="L839" s="111" t="s">
        <v>1994</v>
      </c>
      <c r="O839" s="116" t="s">
        <v>1447</v>
      </c>
      <c r="Q839" s="23"/>
      <c r="R839" s="23"/>
    </row>
    <row r="840" spans="2:18" ht="15.75" customHeight="1" x14ac:dyDescent="0.15">
      <c r="B840" s="53" t="s">
        <v>41</v>
      </c>
      <c r="C840" s="263">
        <v>43994</v>
      </c>
      <c r="D840" s="53" t="s">
        <v>1044</v>
      </c>
      <c r="E840" s="53" t="s">
        <v>32</v>
      </c>
      <c r="F840" s="147">
        <v>0.15</v>
      </c>
      <c r="G840" s="53" t="s">
        <v>1177</v>
      </c>
      <c r="H840" s="53" t="s">
        <v>1177</v>
      </c>
      <c r="I840" s="53" t="s">
        <v>2265</v>
      </c>
      <c r="J840" s="53" t="s">
        <v>2526</v>
      </c>
      <c r="K840" s="115">
        <v>2</v>
      </c>
      <c r="L840" s="111" t="s">
        <v>2023</v>
      </c>
      <c r="O840" s="116" t="s">
        <v>2024</v>
      </c>
      <c r="Q840" s="23"/>
      <c r="R840" s="23"/>
    </row>
    <row r="841" spans="2:18" ht="15.75" customHeight="1" x14ac:dyDescent="0.15">
      <c r="B841" s="53" t="s">
        <v>18</v>
      </c>
      <c r="C841" s="263">
        <v>43994</v>
      </c>
      <c r="D841" s="53" t="s">
        <v>1082</v>
      </c>
      <c r="E841" s="53" t="s">
        <v>6</v>
      </c>
      <c r="F841" s="147">
        <v>0.06</v>
      </c>
      <c r="G841" s="53" t="s">
        <v>1177</v>
      </c>
      <c r="H841" s="53" t="s">
        <v>1177</v>
      </c>
      <c r="I841" s="53" t="s">
        <v>2195</v>
      </c>
      <c r="J841" s="53" t="s">
        <v>927</v>
      </c>
      <c r="K841" s="115">
        <v>4</v>
      </c>
      <c r="L841" s="111" t="s">
        <v>2034</v>
      </c>
      <c r="O841" s="116" t="s">
        <v>2034</v>
      </c>
      <c r="Q841" s="23"/>
      <c r="R841" s="23"/>
    </row>
    <row r="842" spans="2:18" ht="15.75" customHeight="1" x14ac:dyDescent="0.15">
      <c r="B842" s="53" t="s">
        <v>38</v>
      </c>
      <c r="C842" s="263">
        <v>43994</v>
      </c>
      <c r="D842" s="53" t="s">
        <v>172</v>
      </c>
      <c r="E842" s="53" t="s">
        <v>6</v>
      </c>
      <c r="F842" s="147">
        <v>5.3999999999999999E-2</v>
      </c>
      <c r="G842" s="53" t="s">
        <v>1177</v>
      </c>
      <c r="H842" s="53" t="s">
        <v>1177</v>
      </c>
      <c r="I842" s="53" t="s">
        <v>1064</v>
      </c>
      <c r="J842" s="53" t="s">
        <v>1065</v>
      </c>
      <c r="K842" s="115">
        <v>9</v>
      </c>
      <c r="L842" s="111" t="s">
        <v>172</v>
      </c>
      <c r="O842" s="116" t="s">
        <v>1586</v>
      </c>
      <c r="P842" s="23" t="s">
        <v>3256</v>
      </c>
      <c r="Q842" s="23"/>
      <c r="R842" s="23"/>
    </row>
    <row r="843" spans="2:18" ht="15.75" customHeight="1" x14ac:dyDescent="0.15">
      <c r="B843" s="53" t="s">
        <v>61</v>
      </c>
      <c r="C843" s="263">
        <v>43994</v>
      </c>
      <c r="D843" s="53" t="s">
        <v>1049</v>
      </c>
      <c r="E843" s="53" t="s">
        <v>6</v>
      </c>
      <c r="F843" s="147">
        <v>4.8000000000000001E-2</v>
      </c>
      <c r="G843" s="53" t="s">
        <v>1177</v>
      </c>
      <c r="H843" s="53" t="s">
        <v>1177</v>
      </c>
      <c r="I843" s="53" t="s">
        <v>262</v>
      </c>
      <c r="J843" s="53" t="s">
        <v>1051</v>
      </c>
      <c r="K843" s="115">
        <v>6</v>
      </c>
      <c r="L843" s="111" t="s">
        <v>1049</v>
      </c>
      <c r="O843" s="116" t="s">
        <v>1533</v>
      </c>
      <c r="Q843" s="23"/>
      <c r="R843" s="23"/>
    </row>
    <row r="844" spans="2:18" ht="15.75" customHeight="1" x14ac:dyDescent="0.15">
      <c r="B844" s="53" t="s">
        <v>189</v>
      </c>
      <c r="C844" s="263">
        <v>43994</v>
      </c>
      <c r="D844" s="53" t="s">
        <v>1050</v>
      </c>
      <c r="E844" s="53" t="s">
        <v>6</v>
      </c>
      <c r="F844" s="147">
        <v>3.9E-2</v>
      </c>
      <c r="G844" s="53" t="s">
        <v>1177</v>
      </c>
      <c r="H844" s="53" t="s">
        <v>1177</v>
      </c>
      <c r="I844" s="53" t="s">
        <v>340</v>
      </c>
      <c r="J844" s="53" t="s">
        <v>230</v>
      </c>
      <c r="K844" s="115">
        <v>6</v>
      </c>
      <c r="L844" s="111" t="s">
        <v>1087</v>
      </c>
      <c r="O844" s="116" t="s">
        <v>1087</v>
      </c>
      <c r="Q844" s="23"/>
      <c r="R844" s="23"/>
    </row>
    <row r="845" spans="2:18" ht="15.75" customHeight="1" x14ac:dyDescent="0.15">
      <c r="B845" s="53" t="s">
        <v>73</v>
      </c>
      <c r="C845" s="263">
        <v>43994</v>
      </c>
      <c r="D845" s="53" t="s">
        <v>2771</v>
      </c>
      <c r="E845" s="53" t="s">
        <v>6</v>
      </c>
      <c r="F845" s="147">
        <v>4.7E-2</v>
      </c>
      <c r="G845" s="53" t="s">
        <v>1177</v>
      </c>
      <c r="H845" s="53" t="s">
        <v>1177</v>
      </c>
      <c r="I845" s="53" t="s">
        <v>112</v>
      </c>
      <c r="J845" s="53" t="s">
        <v>2527</v>
      </c>
      <c r="K845" s="115">
        <v>6.5</v>
      </c>
      <c r="L845" s="111" t="s">
        <v>1515</v>
      </c>
      <c r="O845" s="116" t="s">
        <v>1515</v>
      </c>
      <c r="Q845" s="23"/>
      <c r="R845" s="23"/>
    </row>
    <row r="846" spans="2:18" ht="15.75" customHeight="1" x14ac:dyDescent="0.15">
      <c r="B846" s="53" t="s">
        <v>26</v>
      </c>
      <c r="C846" s="263">
        <v>43994</v>
      </c>
      <c r="D846" s="53" t="s">
        <v>1052</v>
      </c>
      <c r="E846" s="53" t="s">
        <v>34</v>
      </c>
      <c r="F846" s="147">
        <v>0.05</v>
      </c>
      <c r="G846" s="53" t="s">
        <v>1177</v>
      </c>
      <c r="H846" s="53" t="s">
        <v>1177</v>
      </c>
      <c r="I846" s="53" t="s">
        <v>291</v>
      </c>
      <c r="J846" s="53" t="s">
        <v>34</v>
      </c>
      <c r="K846" s="115">
        <v>7.5</v>
      </c>
      <c r="L846" s="111" t="s">
        <v>1086</v>
      </c>
      <c r="O846" s="116" t="s">
        <v>1608</v>
      </c>
      <c r="Q846" s="23"/>
      <c r="R846" s="23"/>
    </row>
    <row r="847" spans="2:18" ht="15.75" customHeight="1" x14ac:dyDescent="0.15">
      <c r="B847" s="53" t="s">
        <v>41</v>
      </c>
      <c r="C847" s="263">
        <v>43994</v>
      </c>
      <c r="D847" s="53" t="s">
        <v>3466</v>
      </c>
      <c r="E847" s="53" t="s">
        <v>65</v>
      </c>
      <c r="F847" s="147">
        <v>0.35</v>
      </c>
      <c r="G847" s="53" t="s">
        <v>1053</v>
      </c>
      <c r="H847" s="53" t="s">
        <v>1177</v>
      </c>
      <c r="I847" s="53" t="s">
        <v>2301</v>
      </c>
      <c r="J847" s="53" t="s">
        <v>2528</v>
      </c>
      <c r="K847" s="115">
        <v>8.5</v>
      </c>
      <c r="L847" s="111" t="s">
        <v>1587</v>
      </c>
      <c r="O847" s="116" t="s">
        <v>1516</v>
      </c>
      <c r="Q847" s="23"/>
      <c r="R847" s="23"/>
    </row>
    <row r="848" spans="2:18" ht="15.75" customHeight="1" x14ac:dyDescent="0.15">
      <c r="B848" s="53" t="s">
        <v>18</v>
      </c>
      <c r="C848" s="263">
        <v>43994</v>
      </c>
      <c r="D848" s="53" t="s">
        <v>981</v>
      </c>
      <c r="E848" s="53" t="s">
        <v>27</v>
      </c>
      <c r="F848" s="147">
        <v>0.2</v>
      </c>
      <c r="G848" s="53" t="s">
        <v>1054</v>
      </c>
      <c r="H848" s="53" t="s">
        <v>1177</v>
      </c>
      <c r="I848" s="53" t="s">
        <v>2250</v>
      </c>
      <c r="J848" s="53" t="s">
        <v>1139</v>
      </c>
      <c r="K848" s="115">
        <v>9</v>
      </c>
      <c r="L848" s="111" t="s">
        <v>981</v>
      </c>
      <c r="O848" s="116" t="s">
        <v>1465</v>
      </c>
      <c r="Q848" s="23"/>
      <c r="R848" s="23"/>
    </row>
    <row r="849" spans="2:18" ht="15.75" customHeight="1" x14ac:dyDescent="0.15">
      <c r="B849" s="53" t="s">
        <v>361</v>
      </c>
      <c r="C849" s="263">
        <v>43994</v>
      </c>
      <c r="D849" s="53" t="s">
        <v>2672</v>
      </c>
      <c r="E849" s="53" t="s">
        <v>34</v>
      </c>
      <c r="F849" s="147">
        <v>4.4999999999999998E-2</v>
      </c>
      <c r="G849" s="53" t="s">
        <v>1177</v>
      </c>
      <c r="H849" s="53" t="s">
        <v>1177</v>
      </c>
      <c r="I849" s="53" t="s">
        <v>1078</v>
      </c>
      <c r="J849" s="53" t="s">
        <v>2529</v>
      </c>
      <c r="K849" s="115">
        <v>5</v>
      </c>
      <c r="L849" s="111" t="s">
        <v>1483</v>
      </c>
      <c r="O849" s="116" t="s">
        <v>1483</v>
      </c>
      <c r="Q849" s="23"/>
      <c r="R849" s="23"/>
    </row>
    <row r="850" spans="2:18" ht="15.75" customHeight="1" x14ac:dyDescent="0.15">
      <c r="B850" s="53" t="s">
        <v>690</v>
      </c>
      <c r="C850" s="263">
        <v>43994</v>
      </c>
      <c r="D850" s="53" t="s">
        <v>3226</v>
      </c>
      <c r="E850" s="53" t="s">
        <v>6</v>
      </c>
      <c r="F850" s="147">
        <v>0.06</v>
      </c>
      <c r="G850" s="53" t="s">
        <v>1177</v>
      </c>
      <c r="H850" s="53" t="s">
        <v>1177</v>
      </c>
      <c r="I850" s="53" t="s">
        <v>15</v>
      </c>
      <c r="J850" s="53" t="s">
        <v>483</v>
      </c>
      <c r="K850" s="115">
        <v>7</v>
      </c>
      <c r="L850" s="111" t="s">
        <v>1085</v>
      </c>
      <c r="O850" s="116" t="s">
        <v>2012</v>
      </c>
      <c r="Q850" s="23"/>
      <c r="R850" s="23"/>
    </row>
    <row r="851" spans="2:18" ht="15.75" customHeight="1" x14ac:dyDescent="0.15">
      <c r="B851" s="53" t="s">
        <v>420</v>
      </c>
      <c r="C851" s="263">
        <v>43994</v>
      </c>
      <c r="D851" s="53" t="s">
        <v>680</v>
      </c>
      <c r="E851" s="53" t="s">
        <v>6</v>
      </c>
      <c r="F851" s="147">
        <v>5.1999999999999998E-2</v>
      </c>
      <c r="G851" s="53" t="s">
        <v>1177</v>
      </c>
      <c r="H851" s="53" t="s">
        <v>1177</v>
      </c>
      <c r="I851" s="53" t="s">
        <v>93</v>
      </c>
      <c r="J851" s="53" t="s">
        <v>1055</v>
      </c>
      <c r="K851" s="115">
        <v>7.5</v>
      </c>
      <c r="L851" s="111" t="s">
        <v>1669</v>
      </c>
      <c r="O851" s="116" t="s">
        <v>1634</v>
      </c>
      <c r="Q851" s="23"/>
      <c r="R851" s="23"/>
    </row>
    <row r="852" spans="2:18" ht="15.75" customHeight="1" x14ac:dyDescent="0.15">
      <c r="B852" s="53" t="s">
        <v>1019</v>
      </c>
      <c r="C852" s="263">
        <v>43994</v>
      </c>
      <c r="D852" s="53" t="s">
        <v>1056</v>
      </c>
      <c r="E852" s="53" t="s">
        <v>6</v>
      </c>
      <c r="F852" s="147">
        <v>4.7E-2</v>
      </c>
      <c r="G852" s="53" t="s">
        <v>1177</v>
      </c>
      <c r="H852" s="53" t="s">
        <v>1177</v>
      </c>
      <c r="I852" s="53" t="s">
        <v>1059</v>
      </c>
      <c r="J852" s="53" t="s">
        <v>1058</v>
      </c>
      <c r="K852" s="115">
        <v>10</v>
      </c>
      <c r="L852" s="111" t="s">
        <v>1056</v>
      </c>
      <c r="O852" s="116" t="s">
        <v>1565</v>
      </c>
      <c r="Q852" s="23"/>
      <c r="R852" s="23"/>
    </row>
    <row r="853" spans="2:18" ht="15.75" customHeight="1" x14ac:dyDescent="0.15">
      <c r="B853" s="53" t="s">
        <v>35</v>
      </c>
      <c r="C853" s="263">
        <v>43994</v>
      </c>
      <c r="D853" s="53" t="s">
        <v>1057</v>
      </c>
      <c r="E853" s="53" t="s">
        <v>6</v>
      </c>
      <c r="F853" s="147">
        <v>4.2999999999999997E-2</v>
      </c>
      <c r="G853" s="53" t="s">
        <v>1177</v>
      </c>
      <c r="H853" s="53" t="s">
        <v>1177</v>
      </c>
      <c r="I853" s="53" t="s">
        <v>237</v>
      </c>
      <c r="J853" s="53" t="s">
        <v>340</v>
      </c>
      <c r="K853" s="115">
        <v>6</v>
      </c>
      <c r="L853" s="111" t="s">
        <v>2000</v>
      </c>
      <c r="O853" s="116" t="s">
        <v>2000</v>
      </c>
      <c r="Q853" s="23"/>
      <c r="R853" s="23"/>
    </row>
    <row r="854" spans="2:18" ht="15.75" customHeight="1" x14ac:dyDescent="0.15">
      <c r="B854" s="53" t="s">
        <v>189</v>
      </c>
      <c r="C854" s="263">
        <v>43994</v>
      </c>
      <c r="D854" s="53" t="s">
        <v>2851</v>
      </c>
      <c r="E854" s="53" t="s">
        <v>36</v>
      </c>
      <c r="F854" s="147">
        <v>0.4</v>
      </c>
      <c r="G854" s="53" t="s">
        <v>1060</v>
      </c>
      <c r="H854" s="53" t="s">
        <v>1061</v>
      </c>
      <c r="I854" s="53" t="s">
        <v>227</v>
      </c>
      <c r="J854" s="53" t="s">
        <v>1062</v>
      </c>
      <c r="K854" s="115">
        <v>8</v>
      </c>
      <c r="L854" s="111" t="s">
        <v>1523</v>
      </c>
      <c r="O854" s="116" t="s">
        <v>1523</v>
      </c>
      <c r="Q854" s="23"/>
      <c r="R854" s="23"/>
    </row>
    <row r="855" spans="2:18" ht="15.75" customHeight="1" x14ac:dyDescent="0.15">
      <c r="B855" s="53" t="s">
        <v>41</v>
      </c>
      <c r="C855" s="263">
        <v>43994</v>
      </c>
      <c r="D855" s="53" t="s">
        <v>1063</v>
      </c>
      <c r="E855" s="53" t="s">
        <v>32</v>
      </c>
      <c r="F855" s="147">
        <v>0.04</v>
      </c>
      <c r="G855" s="53" t="s">
        <v>1177</v>
      </c>
      <c r="H855" s="53" t="s">
        <v>1177</v>
      </c>
      <c r="I855" s="53" t="s">
        <v>16</v>
      </c>
      <c r="J855" s="53" t="s">
        <v>217</v>
      </c>
      <c r="K855" s="115">
        <v>5</v>
      </c>
      <c r="L855" s="111" t="s">
        <v>1879</v>
      </c>
      <c r="O855" s="116" t="s">
        <v>1585</v>
      </c>
      <c r="Q855" s="23"/>
      <c r="R855" s="23"/>
    </row>
    <row r="856" spans="2:18" ht="15.75" customHeight="1" x14ac:dyDescent="0.15">
      <c r="B856" s="53" t="s">
        <v>361</v>
      </c>
      <c r="C856" s="263">
        <v>43994</v>
      </c>
      <c r="D856" s="53" t="s">
        <v>1066</v>
      </c>
      <c r="E856" s="53" t="s">
        <v>32</v>
      </c>
      <c r="F856" s="147">
        <v>0.15</v>
      </c>
      <c r="G856" s="53" t="s">
        <v>1177</v>
      </c>
      <c r="H856" s="53" t="s">
        <v>1177</v>
      </c>
      <c r="I856" s="53" t="s">
        <v>131</v>
      </c>
      <c r="J856" s="53" t="s">
        <v>1067</v>
      </c>
      <c r="K856" s="115">
        <v>3</v>
      </c>
      <c r="L856" s="111" t="s">
        <v>2023</v>
      </c>
      <c r="O856" s="116" t="s">
        <v>2024</v>
      </c>
      <c r="Q856" s="23"/>
      <c r="R856" s="23"/>
    </row>
    <row r="857" spans="2:18" ht="15.75" customHeight="1" x14ac:dyDescent="0.15">
      <c r="B857" s="53" t="s">
        <v>361</v>
      </c>
      <c r="C857" s="263">
        <v>43994</v>
      </c>
      <c r="D857" s="53" t="s">
        <v>1068</v>
      </c>
      <c r="E857" s="53" t="s">
        <v>32</v>
      </c>
      <c r="F857" s="147">
        <v>0.15</v>
      </c>
      <c r="G857" s="53" t="s">
        <v>1177</v>
      </c>
      <c r="H857" s="53" t="s">
        <v>1177</v>
      </c>
      <c r="I857" s="53" t="s">
        <v>1069</v>
      </c>
      <c r="J857" s="53" t="s">
        <v>89</v>
      </c>
      <c r="K857" s="115">
        <v>2</v>
      </c>
      <c r="L857" s="111" t="s">
        <v>2023</v>
      </c>
      <c r="O857" s="116" t="s">
        <v>2024</v>
      </c>
      <c r="Q857" s="23"/>
      <c r="R857" s="23"/>
    </row>
    <row r="858" spans="2:18" ht="15.75" customHeight="1" x14ac:dyDescent="0.15">
      <c r="B858" s="53" t="s">
        <v>38</v>
      </c>
      <c r="C858" s="263">
        <v>43994</v>
      </c>
      <c r="D858" s="53" t="s">
        <v>682</v>
      </c>
      <c r="E858" s="53" t="s">
        <v>6</v>
      </c>
      <c r="F858" s="147">
        <v>7.1999999999999995E-2</v>
      </c>
      <c r="G858" s="53" t="s">
        <v>1177</v>
      </c>
      <c r="H858" s="53" t="s">
        <v>1177</v>
      </c>
      <c r="I858" s="53" t="s">
        <v>2302</v>
      </c>
      <c r="J858" s="53" t="s">
        <v>215</v>
      </c>
      <c r="K858" s="115">
        <v>7.5</v>
      </c>
      <c r="L858" s="111" t="s">
        <v>1535</v>
      </c>
      <c r="O858" s="116" t="s">
        <v>1535</v>
      </c>
      <c r="Q858" s="23"/>
      <c r="R858" s="23"/>
    </row>
    <row r="859" spans="2:18" ht="15.75" customHeight="1" x14ac:dyDescent="0.15">
      <c r="B859" s="53" t="s">
        <v>1019</v>
      </c>
      <c r="C859" s="263">
        <v>43994</v>
      </c>
      <c r="D859" s="53" t="s">
        <v>164</v>
      </c>
      <c r="E859" s="53" t="s">
        <v>6</v>
      </c>
      <c r="F859" s="147">
        <v>4.4999999999999998E-2</v>
      </c>
      <c r="G859" s="53" t="s">
        <v>1177</v>
      </c>
      <c r="H859" s="53" t="s">
        <v>1177</v>
      </c>
      <c r="I859" s="53" t="s">
        <v>199</v>
      </c>
      <c r="J859" s="53" t="s">
        <v>1072</v>
      </c>
      <c r="K859" s="115">
        <v>10</v>
      </c>
      <c r="L859" s="111" t="s">
        <v>1570</v>
      </c>
      <c r="O859" s="116" t="s">
        <v>1565</v>
      </c>
      <c r="Q859" s="23"/>
      <c r="R859" s="23"/>
    </row>
    <row r="860" spans="2:18" ht="15.75" customHeight="1" x14ac:dyDescent="0.15">
      <c r="B860" s="53" t="s">
        <v>35</v>
      </c>
      <c r="C860" s="263">
        <v>43994</v>
      </c>
      <c r="D860" s="53" t="s">
        <v>1049</v>
      </c>
      <c r="E860" s="53" t="s">
        <v>6</v>
      </c>
      <c r="F860" s="147">
        <v>4.8000000000000001E-2</v>
      </c>
      <c r="G860" s="53" t="s">
        <v>1177</v>
      </c>
      <c r="H860" s="53" t="s">
        <v>1177</v>
      </c>
      <c r="I860" s="53" t="s">
        <v>208</v>
      </c>
      <c r="J860" s="53" t="s">
        <v>195</v>
      </c>
      <c r="K860" s="115">
        <v>6</v>
      </c>
      <c r="L860" s="111" t="s">
        <v>1049</v>
      </c>
      <c r="O860" s="116" t="s">
        <v>1533</v>
      </c>
      <c r="Q860" s="23"/>
      <c r="R860" s="23"/>
    </row>
    <row r="861" spans="2:18" ht="15.75" customHeight="1" x14ac:dyDescent="0.15">
      <c r="B861" s="53" t="s">
        <v>61</v>
      </c>
      <c r="C861" s="263">
        <v>43994</v>
      </c>
      <c r="D861" s="53" t="s">
        <v>1037</v>
      </c>
      <c r="E861" s="53" t="s">
        <v>32</v>
      </c>
      <c r="F861" s="147">
        <v>0.4</v>
      </c>
      <c r="G861" s="53" t="s">
        <v>1177</v>
      </c>
      <c r="H861" s="53" t="s">
        <v>1177</v>
      </c>
      <c r="I861" s="53" t="s">
        <v>193</v>
      </c>
      <c r="J861" s="53" t="s">
        <v>853</v>
      </c>
      <c r="K861" s="115">
        <v>5</v>
      </c>
      <c r="L861" s="111" t="s">
        <v>2706</v>
      </c>
      <c r="O861" s="116" t="s">
        <v>1447</v>
      </c>
      <c r="Q861" s="23"/>
      <c r="R861" s="23"/>
    </row>
    <row r="862" spans="2:18" ht="15.75" customHeight="1" x14ac:dyDescent="0.15">
      <c r="B862" s="53" t="s">
        <v>73</v>
      </c>
      <c r="C862" s="263">
        <v>43994</v>
      </c>
      <c r="D862" s="53" t="s">
        <v>2035</v>
      </c>
      <c r="E862" s="53" t="s">
        <v>6</v>
      </c>
      <c r="F862" s="147">
        <v>6.5000000000000002E-2</v>
      </c>
      <c r="G862" s="53" t="s">
        <v>1177</v>
      </c>
      <c r="H862" s="53" t="s">
        <v>1177</v>
      </c>
      <c r="I862" s="53" t="s">
        <v>1078</v>
      </c>
      <c r="J862" s="53" t="s">
        <v>1079</v>
      </c>
      <c r="K862" s="115">
        <v>7</v>
      </c>
      <c r="L862" s="111" t="s">
        <v>1084</v>
      </c>
      <c r="O862" s="116" t="s">
        <v>2036</v>
      </c>
      <c r="Q862" s="23"/>
      <c r="R862" s="23"/>
    </row>
    <row r="863" spans="2:18" ht="15.75" customHeight="1" x14ac:dyDescent="0.15">
      <c r="B863" s="53" t="s">
        <v>73</v>
      </c>
      <c r="C863" s="263">
        <v>43994</v>
      </c>
      <c r="D863" s="53" t="s">
        <v>68</v>
      </c>
      <c r="E863" s="53" t="s">
        <v>32</v>
      </c>
      <c r="F863" s="147">
        <v>0.375</v>
      </c>
      <c r="G863" s="53" t="s">
        <v>380</v>
      </c>
      <c r="H863" s="53" t="s">
        <v>1177</v>
      </c>
      <c r="I863" s="53" t="s">
        <v>1070</v>
      </c>
      <c r="J863" s="53" t="s">
        <v>1071</v>
      </c>
      <c r="K863" s="115">
        <v>8</v>
      </c>
      <c r="L863" s="111" t="s">
        <v>766</v>
      </c>
      <c r="O863" s="116" t="s">
        <v>1516</v>
      </c>
      <c r="Q863" s="23"/>
      <c r="R863" s="23"/>
    </row>
    <row r="864" spans="2:18" ht="15.75" customHeight="1" x14ac:dyDescent="0.15">
      <c r="B864" s="53" t="s">
        <v>61</v>
      </c>
      <c r="C864" s="263">
        <v>43994</v>
      </c>
      <c r="D864" s="53" t="s">
        <v>1083</v>
      </c>
      <c r="E864" s="53" t="s">
        <v>6</v>
      </c>
      <c r="F864" s="147">
        <v>0.05</v>
      </c>
      <c r="G864" s="53" t="s">
        <v>1177</v>
      </c>
      <c r="H864" s="53" t="s">
        <v>1177</v>
      </c>
      <c r="I864" s="53" t="s">
        <v>1073</v>
      </c>
      <c r="J864" s="53" t="s">
        <v>1074</v>
      </c>
      <c r="K864" s="115">
        <v>6</v>
      </c>
      <c r="L864" s="111" t="s">
        <v>2034</v>
      </c>
      <c r="O864" s="116" t="s">
        <v>2034</v>
      </c>
      <c r="Q864" s="23"/>
      <c r="R864" s="23"/>
    </row>
    <row r="865" spans="2:18" ht="15.75" customHeight="1" x14ac:dyDescent="0.15">
      <c r="B865" s="53" t="s">
        <v>35</v>
      </c>
      <c r="C865" s="263">
        <v>43994</v>
      </c>
      <c r="D865" s="53" t="s">
        <v>1075</v>
      </c>
      <c r="E865" s="53" t="s">
        <v>6</v>
      </c>
      <c r="F865" s="147">
        <v>4.8000000000000001E-2</v>
      </c>
      <c r="G865" s="53" t="s">
        <v>1177</v>
      </c>
      <c r="H865" s="53" t="s">
        <v>1177</v>
      </c>
      <c r="I865" s="53" t="s">
        <v>1077</v>
      </c>
      <c r="J865" s="53" t="s">
        <v>244</v>
      </c>
      <c r="K865" s="115">
        <v>6</v>
      </c>
      <c r="L865" s="111" t="s">
        <v>2000</v>
      </c>
      <c r="O865" s="116" t="s">
        <v>2000</v>
      </c>
      <c r="Q865" s="23"/>
      <c r="R865" s="23"/>
    </row>
    <row r="866" spans="2:18" ht="15.75" customHeight="1" x14ac:dyDescent="0.15">
      <c r="B866" s="53" t="s">
        <v>73</v>
      </c>
      <c r="C866" s="263">
        <v>43994</v>
      </c>
      <c r="D866" s="53" t="s">
        <v>1076</v>
      </c>
      <c r="E866" s="53" t="s">
        <v>6</v>
      </c>
      <c r="F866" s="147">
        <v>5.5E-2</v>
      </c>
      <c r="G866" s="53" t="s">
        <v>1177</v>
      </c>
      <c r="H866" s="53" t="s">
        <v>1177</v>
      </c>
      <c r="I866" s="53" t="s">
        <v>146</v>
      </c>
      <c r="J866" s="53" t="s">
        <v>112</v>
      </c>
      <c r="K866" s="115">
        <v>7</v>
      </c>
      <c r="L866" s="111" t="s">
        <v>2037</v>
      </c>
      <c r="O866" s="116" t="s">
        <v>2038</v>
      </c>
      <c r="Q866" s="23"/>
      <c r="R866" s="23"/>
    </row>
    <row r="867" spans="2:18" ht="15.75" customHeight="1" x14ac:dyDescent="0.15">
      <c r="B867" s="53" t="s">
        <v>26</v>
      </c>
      <c r="C867" s="263">
        <v>43994</v>
      </c>
      <c r="D867" s="53" t="s">
        <v>1184</v>
      </c>
      <c r="E867" s="53" t="s">
        <v>34</v>
      </c>
      <c r="F867" s="147">
        <v>0.04</v>
      </c>
      <c r="G867" s="53" t="s">
        <v>1177</v>
      </c>
      <c r="H867" s="53" t="s">
        <v>1177</v>
      </c>
      <c r="I867" s="53" t="s">
        <v>2303</v>
      </c>
      <c r="J867" s="53" t="s">
        <v>2530</v>
      </c>
      <c r="K867" s="115">
        <v>7</v>
      </c>
      <c r="L867" s="111" t="s">
        <v>2039</v>
      </c>
      <c r="O867" s="116" t="s">
        <v>1496</v>
      </c>
      <c r="Q867" s="23"/>
      <c r="R867" s="23"/>
    </row>
    <row r="868" spans="2:18" ht="15.75" customHeight="1" x14ac:dyDescent="0.15">
      <c r="B868" s="53" t="s">
        <v>26</v>
      </c>
      <c r="C868" s="263">
        <v>43994</v>
      </c>
      <c r="D868" s="53" t="s">
        <v>2040</v>
      </c>
      <c r="E868" s="53" t="s">
        <v>6</v>
      </c>
      <c r="F868" s="147">
        <v>0.04</v>
      </c>
      <c r="G868" s="53" t="s">
        <v>1177</v>
      </c>
      <c r="H868" s="53" t="s">
        <v>1177</v>
      </c>
      <c r="I868" s="53" t="s">
        <v>338</v>
      </c>
      <c r="J868" s="53" t="s">
        <v>2531</v>
      </c>
      <c r="K868" s="115">
        <v>5.5</v>
      </c>
      <c r="L868" s="111" t="s">
        <v>2000</v>
      </c>
      <c r="M868" s="111" t="s">
        <v>2451</v>
      </c>
      <c r="O868" s="116" t="s">
        <v>2004</v>
      </c>
      <c r="Q868" s="23"/>
      <c r="R868" s="23"/>
    </row>
    <row r="869" spans="2:18" ht="15.75" customHeight="1" x14ac:dyDescent="0.15">
      <c r="B869" s="53" t="s">
        <v>35</v>
      </c>
      <c r="C869" s="263">
        <v>43994</v>
      </c>
      <c r="D869" s="53" t="s">
        <v>1080</v>
      </c>
      <c r="E869" s="53" t="s">
        <v>6</v>
      </c>
      <c r="F869" s="147">
        <v>5.3999999999999999E-2</v>
      </c>
      <c r="G869" s="53" t="s">
        <v>1177</v>
      </c>
      <c r="H869" s="53" t="s">
        <v>1177</v>
      </c>
      <c r="I869" s="53" t="s">
        <v>2304</v>
      </c>
      <c r="J869" s="53" t="s">
        <v>2532</v>
      </c>
      <c r="K869" s="115">
        <v>6.5</v>
      </c>
      <c r="L869" s="111" t="s">
        <v>1517</v>
      </c>
      <c r="O869" s="116" t="s">
        <v>1517</v>
      </c>
      <c r="Q869" s="23"/>
      <c r="R869" s="23"/>
    </row>
    <row r="870" spans="2:18" ht="15.75" customHeight="1" x14ac:dyDescent="0.15">
      <c r="B870" s="53" t="s">
        <v>26</v>
      </c>
      <c r="C870" s="263">
        <v>43994</v>
      </c>
      <c r="D870" s="53" t="s">
        <v>1538</v>
      </c>
      <c r="E870" s="53" t="s">
        <v>6</v>
      </c>
      <c r="F870" s="147">
        <v>0.04</v>
      </c>
      <c r="G870" s="53" t="s">
        <v>1177</v>
      </c>
      <c r="H870" s="53" t="s">
        <v>1177</v>
      </c>
      <c r="I870" s="53" t="s">
        <v>1081</v>
      </c>
      <c r="J870" s="53" t="s">
        <v>2533</v>
      </c>
      <c r="K870" s="115">
        <v>5</v>
      </c>
      <c r="L870" s="111" t="s">
        <v>764</v>
      </c>
      <c r="O870" s="116" t="s">
        <v>1539</v>
      </c>
      <c r="Q870" s="23"/>
      <c r="R870" s="23"/>
    </row>
    <row r="871" spans="2:18" ht="15.75" customHeight="1" x14ac:dyDescent="0.15">
      <c r="B871" s="53" t="s">
        <v>45</v>
      </c>
      <c r="C871" s="263">
        <v>44001</v>
      </c>
      <c r="D871" s="53" t="s">
        <v>1095</v>
      </c>
      <c r="E871" s="53" t="s">
        <v>34</v>
      </c>
      <c r="F871" s="147">
        <v>0.04</v>
      </c>
      <c r="G871" s="53" t="s">
        <v>1177</v>
      </c>
      <c r="H871" s="53" t="s">
        <v>1177</v>
      </c>
      <c r="I871" s="53" t="s">
        <v>772</v>
      </c>
      <c r="J871" s="53" t="s">
        <v>14</v>
      </c>
      <c r="K871" s="115">
        <v>6.5</v>
      </c>
      <c r="L871" s="111" t="s">
        <v>1534</v>
      </c>
      <c r="O871" s="116" t="s">
        <v>1533</v>
      </c>
      <c r="Q871" s="23"/>
      <c r="R871" s="23"/>
    </row>
    <row r="872" spans="2:18" ht="15.75" customHeight="1" x14ac:dyDescent="0.15">
      <c r="B872" s="53" t="s">
        <v>35</v>
      </c>
      <c r="C872" s="263">
        <v>44001</v>
      </c>
      <c r="D872" s="53" t="s">
        <v>2041</v>
      </c>
      <c r="E872" s="53" t="s">
        <v>6</v>
      </c>
      <c r="F872" s="147">
        <v>0.05</v>
      </c>
      <c r="G872" s="53" t="s">
        <v>1177</v>
      </c>
      <c r="H872" s="53" t="s">
        <v>1177</v>
      </c>
      <c r="I872" s="53" t="s">
        <v>16</v>
      </c>
      <c r="J872" s="53" t="s">
        <v>229</v>
      </c>
      <c r="K872" s="115">
        <v>7</v>
      </c>
      <c r="L872" s="111" t="s">
        <v>158</v>
      </c>
      <c r="O872" s="116" t="s">
        <v>1565</v>
      </c>
      <c r="Q872" s="23"/>
      <c r="R872" s="23"/>
    </row>
    <row r="873" spans="2:18" ht="15.75" customHeight="1" x14ac:dyDescent="0.15">
      <c r="B873" s="53" t="s">
        <v>26</v>
      </c>
      <c r="C873" s="263">
        <v>44001</v>
      </c>
      <c r="D873" s="53" t="s">
        <v>1096</v>
      </c>
      <c r="E873" s="53" t="s">
        <v>190</v>
      </c>
      <c r="F873" s="147">
        <v>0.06</v>
      </c>
      <c r="G873" s="53" t="s">
        <v>1177</v>
      </c>
      <c r="H873" s="53" t="s">
        <v>1177</v>
      </c>
      <c r="I873" s="53" t="s">
        <v>1100</v>
      </c>
      <c r="J873" s="53" t="s">
        <v>1923</v>
      </c>
      <c r="K873" s="115">
        <v>7</v>
      </c>
      <c r="L873" s="111" t="s">
        <v>1996</v>
      </c>
      <c r="O873" s="116" t="s">
        <v>1995</v>
      </c>
      <c r="Q873" s="23"/>
      <c r="R873" s="23"/>
    </row>
    <row r="874" spans="2:18" ht="15.75" customHeight="1" x14ac:dyDescent="0.15">
      <c r="B874" s="53" t="s">
        <v>18</v>
      </c>
      <c r="C874" s="263">
        <v>44001</v>
      </c>
      <c r="D874" s="53" t="s">
        <v>1097</v>
      </c>
      <c r="E874" s="53" t="s">
        <v>27</v>
      </c>
      <c r="F874" s="147">
        <v>0.28000000000000003</v>
      </c>
      <c r="G874" s="53" t="s">
        <v>1177</v>
      </c>
      <c r="H874" s="53" t="s">
        <v>1177</v>
      </c>
      <c r="I874" s="53" t="s">
        <v>1098</v>
      </c>
      <c r="J874" s="53" t="s">
        <v>1099</v>
      </c>
      <c r="K874" s="115">
        <v>7</v>
      </c>
      <c r="L874" s="111" t="s">
        <v>2699</v>
      </c>
      <c r="O874" s="111" t="s">
        <v>1508</v>
      </c>
      <c r="Q874" s="23"/>
      <c r="R874" s="23"/>
    </row>
    <row r="875" spans="2:18" ht="15.75" customHeight="1" x14ac:dyDescent="0.15">
      <c r="B875" s="53" t="s">
        <v>18</v>
      </c>
      <c r="C875" s="263">
        <v>44001</v>
      </c>
      <c r="D875" s="53" t="s">
        <v>541</v>
      </c>
      <c r="E875" s="53" t="s">
        <v>190</v>
      </c>
      <c r="F875" s="147">
        <v>0.04</v>
      </c>
      <c r="G875" s="53" t="s">
        <v>1177</v>
      </c>
      <c r="H875" s="53" t="s">
        <v>1177</v>
      </c>
      <c r="I875" s="53" t="s">
        <v>2305</v>
      </c>
      <c r="J875" s="53" t="s">
        <v>2534</v>
      </c>
      <c r="K875" s="115">
        <v>8</v>
      </c>
      <c r="L875" s="111" t="s">
        <v>1745</v>
      </c>
      <c r="O875" s="116" t="s">
        <v>1585</v>
      </c>
      <c r="Q875" s="23"/>
      <c r="R875" s="23"/>
    </row>
    <row r="876" spans="2:18" ht="15.75" customHeight="1" x14ac:dyDescent="0.15">
      <c r="B876" s="53" t="s">
        <v>73</v>
      </c>
      <c r="C876" s="263">
        <v>44001</v>
      </c>
      <c r="D876" s="53" t="s">
        <v>1101</v>
      </c>
      <c r="E876" s="53" t="s">
        <v>6</v>
      </c>
      <c r="F876" s="147">
        <v>4.4999999999999998E-2</v>
      </c>
      <c r="G876" s="53" t="s">
        <v>1177</v>
      </c>
      <c r="H876" s="53" t="s">
        <v>1177</v>
      </c>
      <c r="I876" s="53" t="s">
        <v>321</v>
      </c>
      <c r="J876" s="53" t="s">
        <v>232</v>
      </c>
      <c r="K876" s="115">
        <v>6.5</v>
      </c>
      <c r="L876" s="111" t="s">
        <v>2042</v>
      </c>
      <c r="O876" s="116" t="s">
        <v>2042</v>
      </c>
      <c r="Q876" s="23"/>
      <c r="R876" s="23"/>
    </row>
    <row r="877" spans="2:18" ht="15.75" customHeight="1" x14ac:dyDescent="0.15">
      <c r="B877" s="53" t="s">
        <v>45</v>
      </c>
      <c r="C877" s="263">
        <v>44001</v>
      </c>
      <c r="D877" s="53" t="s">
        <v>940</v>
      </c>
      <c r="E877" s="53" t="s">
        <v>6</v>
      </c>
      <c r="F877" s="147">
        <v>5.3999999999999999E-2</v>
      </c>
      <c r="G877" s="53" t="s">
        <v>1177</v>
      </c>
      <c r="H877" s="53" t="s">
        <v>1177</v>
      </c>
      <c r="I877" s="53" t="s">
        <v>1078</v>
      </c>
      <c r="J877" s="53" t="s">
        <v>2535</v>
      </c>
      <c r="K877" s="115">
        <v>8.5</v>
      </c>
      <c r="L877" s="111" t="s">
        <v>765</v>
      </c>
      <c r="O877" s="116" t="s">
        <v>1569</v>
      </c>
      <c r="Q877" s="23"/>
      <c r="R877" s="23"/>
    </row>
    <row r="878" spans="2:18" ht="15.75" customHeight="1" x14ac:dyDescent="0.15">
      <c r="B878" s="53" t="s">
        <v>26</v>
      </c>
      <c r="C878" s="263">
        <v>44001</v>
      </c>
      <c r="D878" s="53" t="s">
        <v>953</v>
      </c>
      <c r="E878" s="53" t="s">
        <v>12</v>
      </c>
      <c r="F878" s="147">
        <v>0.25</v>
      </c>
      <c r="G878" s="53" t="s">
        <v>1177</v>
      </c>
      <c r="H878" s="53" t="s">
        <v>1177</v>
      </c>
      <c r="I878" s="53" t="s">
        <v>1103</v>
      </c>
      <c r="J878" s="53" t="s">
        <v>1104</v>
      </c>
      <c r="K878" s="115">
        <v>4.5</v>
      </c>
      <c r="L878" s="111" t="s">
        <v>953</v>
      </c>
      <c r="O878" s="116" t="s">
        <v>1516</v>
      </c>
      <c r="Q878" s="23"/>
      <c r="R878" s="23"/>
    </row>
    <row r="879" spans="2:18" ht="15.75" customHeight="1" x14ac:dyDescent="0.15">
      <c r="B879" s="53" t="s">
        <v>41</v>
      </c>
      <c r="C879" s="263">
        <v>44001</v>
      </c>
      <c r="D879" s="53" t="s">
        <v>1102</v>
      </c>
      <c r="E879" s="53" t="s">
        <v>32</v>
      </c>
      <c r="F879" s="147">
        <v>0.04</v>
      </c>
      <c r="G879" s="53" t="s">
        <v>1177</v>
      </c>
      <c r="H879" s="53" t="s">
        <v>1177</v>
      </c>
      <c r="I879" s="53" t="s">
        <v>16</v>
      </c>
      <c r="J879" s="53" t="s">
        <v>291</v>
      </c>
      <c r="K879" s="115">
        <v>4</v>
      </c>
      <c r="L879" s="111" t="s">
        <v>1589</v>
      </c>
      <c r="O879" s="116" t="s">
        <v>1589</v>
      </c>
      <c r="Q879" s="23"/>
      <c r="R879" s="23"/>
    </row>
    <row r="880" spans="2:18" ht="15.75" customHeight="1" x14ac:dyDescent="0.15">
      <c r="B880" s="53" t="s">
        <v>41</v>
      </c>
      <c r="C880" s="263">
        <v>44001</v>
      </c>
      <c r="D880" s="53" t="s">
        <v>541</v>
      </c>
      <c r="E880" s="53" t="s">
        <v>190</v>
      </c>
      <c r="F880" s="147">
        <v>0.04</v>
      </c>
      <c r="G880" s="53" t="s">
        <v>1177</v>
      </c>
      <c r="H880" s="53" t="s">
        <v>1177</v>
      </c>
      <c r="I880" s="53" t="s">
        <v>232</v>
      </c>
      <c r="J880" s="53" t="s">
        <v>962</v>
      </c>
      <c r="K880" s="115">
        <v>7.5</v>
      </c>
      <c r="L880" s="111" t="s">
        <v>1745</v>
      </c>
      <c r="O880" s="116" t="s">
        <v>1585</v>
      </c>
      <c r="Q880" s="23"/>
      <c r="R880" s="23"/>
    </row>
    <row r="881" spans="2:18" ht="15.75" customHeight="1" x14ac:dyDescent="0.15">
      <c r="B881" s="53" t="s">
        <v>18</v>
      </c>
      <c r="C881" s="263">
        <v>44001</v>
      </c>
      <c r="D881" s="53" t="s">
        <v>123</v>
      </c>
      <c r="E881" s="53" t="s">
        <v>27</v>
      </c>
      <c r="F881" s="147">
        <v>0.35</v>
      </c>
      <c r="G881" s="53" t="s">
        <v>1177</v>
      </c>
      <c r="H881" s="53" t="s">
        <v>1177</v>
      </c>
      <c r="I881" s="53" t="s">
        <v>3551</v>
      </c>
      <c r="J881" s="53" t="s">
        <v>1107</v>
      </c>
      <c r="K881" s="115">
        <v>3.5</v>
      </c>
      <c r="L881" s="111" t="s">
        <v>123</v>
      </c>
      <c r="O881" s="116" t="s">
        <v>1525</v>
      </c>
      <c r="Q881" s="23"/>
      <c r="R881" s="23"/>
    </row>
    <row r="882" spans="2:18" ht="15.75" customHeight="1" x14ac:dyDescent="0.15">
      <c r="B882" s="53" t="s">
        <v>26</v>
      </c>
      <c r="C882" s="263">
        <v>44001</v>
      </c>
      <c r="D882" s="53" t="s">
        <v>1105</v>
      </c>
      <c r="E882" s="53" t="s">
        <v>32</v>
      </c>
      <c r="F882" s="147">
        <v>0.04</v>
      </c>
      <c r="G882" s="53" t="s">
        <v>1177</v>
      </c>
      <c r="H882" s="53" t="s">
        <v>1177</v>
      </c>
      <c r="I882" s="53" t="s">
        <v>1110</v>
      </c>
      <c r="J882" s="53" t="s">
        <v>1111</v>
      </c>
      <c r="K882" s="115">
        <v>6</v>
      </c>
      <c r="L882" s="111" t="s">
        <v>1584</v>
      </c>
      <c r="O882" s="116" t="s">
        <v>1585</v>
      </c>
      <c r="Q882" s="23"/>
      <c r="R882" s="23"/>
    </row>
    <row r="883" spans="2:18" ht="15.75" customHeight="1" x14ac:dyDescent="0.15">
      <c r="B883" s="53" t="s">
        <v>73</v>
      </c>
      <c r="C883" s="263">
        <v>44001</v>
      </c>
      <c r="D883" s="53" t="s">
        <v>693</v>
      </c>
      <c r="E883" s="53" t="s">
        <v>6</v>
      </c>
      <c r="F883" s="147">
        <v>5.7000000000000002E-2</v>
      </c>
      <c r="G883" s="53" t="s">
        <v>1177</v>
      </c>
      <c r="H883" s="53" t="s">
        <v>1177</v>
      </c>
      <c r="I883" s="53" t="s">
        <v>1116</v>
      </c>
      <c r="J883" s="53" t="s">
        <v>699</v>
      </c>
      <c r="K883" s="115">
        <v>6</v>
      </c>
      <c r="L883" s="111" t="s">
        <v>765</v>
      </c>
      <c r="O883" s="116" t="s">
        <v>1569</v>
      </c>
      <c r="Q883" s="23"/>
      <c r="R883" s="23"/>
    </row>
    <row r="884" spans="2:18" ht="15.75" customHeight="1" x14ac:dyDescent="0.15">
      <c r="B884" s="53" t="s">
        <v>45</v>
      </c>
      <c r="C884" s="263">
        <v>44001</v>
      </c>
      <c r="D884" s="53" t="s">
        <v>1185</v>
      </c>
      <c r="E884" s="53" t="s">
        <v>6</v>
      </c>
      <c r="F884" s="147">
        <v>0.08</v>
      </c>
      <c r="G884" s="53" t="s">
        <v>1177</v>
      </c>
      <c r="H884" s="53" t="s">
        <v>1177</v>
      </c>
      <c r="I884" s="53" t="s">
        <v>168</v>
      </c>
      <c r="J884" s="53" t="s">
        <v>25</v>
      </c>
      <c r="K884" s="115">
        <v>8</v>
      </c>
      <c r="L884" s="111" t="s">
        <v>1592</v>
      </c>
      <c r="O884" s="116" t="s">
        <v>1592</v>
      </c>
      <c r="Q884" s="23"/>
      <c r="R884" s="23"/>
    </row>
    <row r="885" spans="2:18" ht="15.75" customHeight="1" x14ac:dyDescent="0.15">
      <c r="B885" s="53" t="s">
        <v>35</v>
      </c>
      <c r="C885" s="263">
        <v>44001</v>
      </c>
      <c r="D885" s="53" t="s">
        <v>1106</v>
      </c>
      <c r="E885" s="53" t="s">
        <v>6</v>
      </c>
      <c r="F885" s="147">
        <v>4.4999999999999998E-2</v>
      </c>
      <c r="G885" s="53" t="s">
        <v>1177</v>
      </c>
      <c r="H885" s="53" t="s">
        <v>1177</v>
      </c>
      <c r="I885" s="53" t="s">
        <v>1114</v>
      </c>
      <c r="J885" s="53" t="s">
        <v>1114</v>
      </c>
      <c r="K885" s="115">
        <v>7</v>
      </c>
      <c r="L885" s="111" t="s">
        <v>1513</v>
      </c>
      <c r="O885" s="116" t="s">
        <v>1513</v>
      </c>
      <c r="Q885" s="23"/>
      <c r="R885" s="23"/>
    </row>
    <row r="886" spans="2:18" ht="15.75" customHeight="1" x14ac:dyDescent="0.15">
      <c r="B886" s="53" t="s">
        <v>18</v>
      </c>
      <c r="C886" s="263">
        <v>44001</v>
      </c>
      <c r="D886" s="53" t="s">
        <v>1109</v>
      </c>
      <c r="E886" s="53" t="s">
        <v>12</v>
      </c>
      <c r="F886" s="147">
        <v>0.38</v>
      </c>
      <c r="G886" s="53" t="s">
        <v>1177</v>
      </c>
      <c r="H886" s="53" t="s">
        <v>1177</v>
      </c>
      <c r="I886" s="53" t="s">
        <v>3535</v>
      </c>
      <c r="J886" s="53" t="s">
        <v>1108</v>
      </c>
      <c r="K886" s="115">
        <v>2.5</v>
      </c>
      <c r="L886" s="111" t="s">
        <v>767</v>
      </c>
      <c r="O886" s="116" t="s">
        <v>1516</v>
      </c>
      <c r="Q886" s="23"/>
      <c r="R886" s="23"/>
    </row>
    <row r="887" spans="2:18" ht="15.75" customHeight="1" x14ac:dyDescent="0.15">
      <c r="B887" s="53" t="s">
        <v>18</v>
      </c>
      <c r="C887" s="263">
        <v>44001</v>
      </c>
      <c r="D887" s="53" t="s">
        <v>3338</v>
      </c>
      <c r="E887" s="53" t="s">
        <v>34</v>
      </c>
      <c r="F887" s="147">
        <v>0.04</v>
      </c>
      <c r="G887" s="53" t="s">
        <v>1177</v>
      </c>
      <c r="H887" s="53" t="s">
        <v>1177</v>
      </c>
      <c r="I887" s="53" t="s">
        <v>176</v>
      </c>
      <c r="J887" s="53" t="s">
        <v>525</v>
      </c>
      <c r="K887" s="115">
        <v>6.5</v>
      </c>
      <c r="L887" s="111" t="s">
        <v>1892</v>
      </c>
      <c r="O887" s="111" t="s">
        <v>1565</v>
      </c>
      <c r="Q887" s="23"/>
      <c r="R887" s="23"/>
    </row>
    <row r="888" spans="2:18" ht="15.75" customHeight="1" x14ac:dyDescent="0.15">
      <c r="B888" s="53" t="s">
        <v>26</v>
      </c>
      <c r="C888" s="263">
        <v>44001</v>
      </c>
      <c r="D888" s="53" t="s">
        <v>1112</v>
      </c>
      <c r="E888" s="53" t="s">
        <v>34</v>
      </c>
      <c r="F888" s="147">
        <v>0.06</v>
      </c>
      <c r="G888" s="53" t="s">
        <v>1177</v>
      </c>
      <c r="H888" s="53" t="s">
        <v>1177</v>
      </c>
      <c r="I888" s="53" t="s">
        <v>89</v>
      </c>
      <c r="J888" s="53" t="s">
        <v>1113</v>
      </c>
      <c r="K888" s="115">
        <v>3.5</v>
      </c>
      <c r="L888" s="111" t="s">
        <v>2043</v>
      </c>
      <c r="O888" s="116" t="s">
        <v>2043</v>
      </c>
      <c r="Q888" s="23"/>
      <c r="R888" s="23"/>
    </row>
    <row r="889" spans="2:18" ht="15.75" customHeight="1" x14ac:dyDescent="0.15">
      <c r="B889" s="53" t="s">
        <v>41</v>
      </c>
      <c r="C889" s="263">
        <v>44001</v>
      </c>
      <c r="D889" s="53" t="s">
        <v>2044</v>
      </c>
      <c r="E889" s="53" t="s">
        <v>12</v>
      </c>
      <c r="F889" s="147">
        <v>0.05</v>
      </c>
      <c r="G889" s="53" t="s">
        <v>1177</v>
      </c>
      <c r="H889" s="53" t="s">
        <v>1177</v>
      </c>
      <c r="I889" s="53" t="s">
        <v>2306</v>
      </c>
      <c r="J889" s="53" t="s">
        <v>1294</v>
      </c>
      <c r="K889" s="115">
        <v>7</v>
      </c>
      <c r="L889" s="111" t="s">
        <v>1881</v>
      </c>
      <c r="O889" s="116" t="s">
        <v>1880</v>
      </c>
      <c r="Q889" s="23"/>
      <c r="R889" s="23"/>
    </row>
    <row r="890" spans="2:18" ht="15.75" customHeight="1" x14ac:dyDescent="0.15">
      <c r="B890" s="53" t="s">
        <v>35</v>
      </c>
      <c r="C890" s="263">
        <v>44001</v>
      </c>
      <c r="D890" s="53" t="s">
        <v>1115</v>
      </c>
      <c r="E890" s="53" t="s">
        <v>6</v>
      </c>
      <c r="F890" s="147">
        <v>3.5999999999999997E-2</v>
      </c>
      <c r="G890" s="53" t="s">
        <v>1177</v>
      </c>
      <c r="H890" s="53" t="s">
        <v>1177</v>
      </c>
      <c r="I890" s="53" t="s">
        <v>1046</v>
      </c>
      <c r="J890" s="53" t="s">
        <v>1125</v>
      </c>
      <c r="K890" s="115">
        <v>6.5</v>
      </c>
      <c r="L890" s="111" t="s">
        <v>764</v>
      </c>
      <c r="O890" s="111" t="s">
        <v>1539</v>
      </c>
      <c r="Q890" s="23"/>
      <c r="R890" s="23"/>
    </row>
    <row r="891" spans="2:18" ht="15.75" customHeight="1" x14ac:dyDescent="0.15">
      <c r="B891" s="53" t="s">
        <v>18</v>
      </c>
      <c r="C891" s="263">
        <v>44001</v>
      </c>
      <c r="D891" s="53" t="s">
        <v>3467</v>
      </c>
      <c r="E891" s="53" t="s">
        <v>65</v>
      </c>
      <c r="F891" s="147">
        <v>0.35</v>
      </c>
      <c r="G891" s="53" t="s">
        <v>1177</v>
      </c>
      <c r="H891" s="53" t="s">
        <v>1177</v>
      </c>
      <c r="I891" s="53" t="s">
        <v>2307</v>
      </c>
      <c r="J891" s="53" t="s">
        <v>2536</v>
      </c>
      <c r="K891" s="115">
        <v>2</v>
      </c>
      <c r="L891" s="111" t="s">
        <v>1587</v>
      </c>
      <c r="O891" s="116" t="s">
        <v>1516</v>
      </c>
      <c r="Q891" s="23"/>
      <c r="R891" s="23"/>
    </row>
    <row r="892" spans="2:18" ht="15.75" customHeight="1" x14ac:dyDescent="0.15">
      <c r="B892" s="53" t="s">
        <v>73</v>
      </c>
      <c r="C892" s="263">
        <v>44001</v>
      </c>
      <c r="D892" s="53" t="s">
        <v>2045</v>
      </c>
      <c r="E892" s="53" t="s">
        <v>6</v>
      </c>
      <c r="F892" s="147">
        <v>8.4000000000000005E-2</v>
      </c>
      <c r="G892" s="53" t="s">
        <v>1177</v>
      </c>
      <c r="H892" s="53" t="s">
        <v>1177</v>
      </c>
      <c r="I892" s="53" t="s">
        <v>1121</v>
      </c>
      <c r="J892" s="53" t="s">
        <v>920</v>
      </c>
      <c r="K892" s="115">
        <v>9</v>
      </c>
      <c r="L892" s="111" t="s">
        <v>2046</v>
      </c>
      <c r="O892" s="116" t="s">
        <v>2046</v>
      </c>
      <c r="Q892" s="23"/>
      <c r="R892" s="23"/>
    </row>
    <row r="893" spans="2:18" ht="15.75" customHeight="1" x14ac:dyDescent="0.15">
      <c r="B893" s="53" t="s">
        <v>45</v>
      </c>
      <c r="C893" s="263">
        <v>44001</v>
      </c>
      <c r="D893" s="53" t="s">
        <v>2045</v>
      </c>
      <c r="E893" s="53" t="s">
        <v>6</v>
      </c>
      <c r="F893" s="147">
        <v>8.4000000000000005E-2</v>
      </c>
      <c r="G893" s="53" t="s">
        <v>1177</v>
      </c>
      <c r="H893" s="53" t="s">
        <v>1177</v>
      </c>
      <c r="I893" s="53" t="s">
        <v>483</v>
      </c>
      <c r="J893" s="53" t="s">
        <v>93</v>
      </c>
      <c r="K893" s="115">
        <v>8</v>
      </c>
      <c r="L893" s="111" t="s">
        <v>2046</v>
      </c>
      <c r="O893" s="116" t="s">
        <v>2046</v>
      </c>
      <c r="Q893" s="23"/>
      <c r="R893" s="23"/>
    </row>
    <row r="894" spans="2:18" ht="15.75" customHeight="1" x14ac:dyDescent="0.15">
      <c r="B894" s="53" t="s">
        <v>18</v>
      </c>
      <c r="C894" s="263">
        <v>44001</v>
      </c>
      <c r="D894" s="53" t="s">
        <v>2047</v>
      </c>
      <c r="E894" s="53" t="s">
        <v>12</v>
      </c>
      <c r="F894" s="147">
        <v>0.25</v>
      </c>
      <c r="G894" s="53" t="s">
        <v>1177</v>
      </c>
      <c r="H894" s="53" t="s">
        <v>1177</v>
      </c>
      <c r="I894" s="53" t="s">
        <v>2308</v>
      </c>
      <c r="J894" s="53" t="s">
        <v>2364</v>
      </c>
      <c r="K894" s="115">
        <v>4</v>
      </c>
      <c r="L894" s="111" t="s">
        <v>2048</v>
      </c>
      <c r="O894" s="116" t="s">
        <v>2048</v>
      </c>
      <c r="Q894" s="23"/>
      <c r="R894" s="23"/>
    </row>
    <row r="895" spans="2:18" ht="15.75" customHeight="1" x14ac:dyDescent="0.15">
      <c r="B895" s="53" t="s">
        <v>41</v>
      </c>
      <c r="C895" s="263">
        <v>44001</v>
      </c>
      <c r="D895" s="53" t="s">
        <v>2045</v>
      </c>
      <c r="E895" s="53" t="s">
        <v>6</v>
      </c>
      <c r="F895" s="147">
        <v>8.4000000000000005E-2</v>
      </c>
      <c r="G895" s="53" t="s">
        <v>1177</v>
      </c>
      <c r="H895" s="53" t="s">
        <v>1177</v>
      </c>
      <c r="I895" s="53" t="s">
        <v>957</v>
      </c>
      <c r="J895" s="53" t="s">
        <v>225</v>
      </c>
      <c r="K895" s="115">
        <v>7</v>
      </c>
      <c r="L895" s="111" t="s">
        <v>2046</v>
      </c>
      <c r="O895" s="116" t="s">
        <v>2046</v>
      </c>
      <c r="Q895" s="23"/>
      <c r="R895" s="23"/>
    </row>
    <row r="896" spans="2:18" ht="15.75" customHeight="1" x14ac:dyDescent="0.15">
      <c r="B896" s="53" t="s">
        <v>18</v>
      </c>
      <c r="C896" s="263">
        <v>44001</v>
      </c>
      <c r="D896" s="53" t="s">
        <v>1117</v>
      </c>
      <c r="E896" s="53" t="s">
        <v>12</v>
      </c>
      <c r="F896" s="147">
        <v>0.43099999999999999</v>
      </c>
      <c r="G896" s="53" t="s">
        <v>1177</v>
      </c>
      <c r="H896" s="53" t="s">
        <v>1177</v>
      </c>
      <c r="I896" s="53" t="s">
        <v>33</v>
      </c>
      <c r="J896" s="53" t="s">
        <v>285</v>
      </c>
      <c r="K896" s="115">
        <v>1.5</v>
      </c>
      <c r="L896" s="111" t="s">
        <v>2049</v>
      </c>
      <c r="O896" s="116" t="s">
        <v>1516</v>
      </c>
      <c r="Q896" s="23"/>
      <c r="R896" s="23"/>
    </row>
    <row r="897" spans="2:18" ht="15.75" customHeight="1" x14ac:dyDescent="0.15">
      <c r="B897" s="53" t="s">
        <v>38</v>
      </c>
      <c r="C897" s="263">
        <v>44001</v>
      </c>
      <c r="D897" s="53" t="s">
        <v>1118</v>
      </c>
      <c r="E897" s="53" t="s">
        <v>6</v>
      </c>
      <c r="F897" s="147">
        <v>5.5E-2</v>
      </c>
      <c r="G897" s="53" t="s">
        <v>1177</v>
      </c>
      <c r="H897" s="53" t="s">
        <v>1177</v>
      </c>
      <c r="I897" s="53" t="s">
        <v>1123</v>
      </c>
      <c r="J897" s="53" t="s">
        <v>223</v>
      </c>
      <c r="K897" s="115">
        <v>7</v>
      </c>
      <c r="L897" s="111" t="s">
        <v>1515</v>
      </c>
      <c r="O897" s="116" t="s">
        <v>1515</v>
      </c>
      <c r="Q897" s="23"/>
      <c r="R897" s="23"/>
    </row>
    <row r="898" spans="2:18" ht="15.75" customHeight="1" x14ac:dyDescent="0.15">
      <c r="B898" s="53" t="s">
        <v>18</v>
      </c>
      <c r="C898" s="263">
        <v>44001</v>
      </c>
      <c r="D898" s="53" t="s">
        <v>68</v>
      </c>
      <c r="E898" s="53" t="s">
        <v>32</v>
      </c>
      <c r="F898" s="147">
        <v>0.375</v>
      </c>
      <c r="G898" s="53" t="s">
        <v>28</v>
      </c>
      <c r="H898" s="53" t="s">
        <v>1177</v>
      </c>
      <c r="I898" s="53" t="s">
        <v>176</v>
      </c>
      <c r="J898" s="53" t="s">
        <v>2496</v>
      </c>
      <c r="K898" s="115">
        <v>6</v>
      </c>
      <c r="L898" s="111" t="s">
        <v>766</v>
      </c>
      <c r="O898" s="116" t="s">
        <v>1516</v>
      </c>
      <c r="Q898" s="23"/>
      <c r="R898" s="23"/>
    </row>
    <row r="899" spans="2:18" ht="15.75" customHeight="1" x14ac:dyDescent="0.15">
      <c r="B899" s="53" t="s">
        <v>61</v>
      </c>
      <c r="C899" s="263">
        <v>44001</v>
      </c>
      <c r="D899" s="53" t="s">
        <v>1119</v>
      </c>
      <c r="E899" s="53" t="s">
        <v>6</v>
      </c>
      <c r="F899" s="147">
        <v>6.2E-2</v>
      </c>
      <c r="G899" s="53" t="s">
        <v>1177</v>
      </c>
      <c r="H899" s="53" t="s">
        <v>1177</v>
      </c>
      <c r="I899" s="53" t="s">
        <v>1133</v>
      </c>
      <c r="J899" s="53" t="s">
        <v>1134</v>
      </c>
      <c r="K899" s="115">
        <v>7.5</v>
      </c>
      <c r="L899" s="111" t="s">
        <v>1599</v>
      </c>
      <c r="M899" s="111" t="s">
        <v>2589</v>
      </c>
      <c r="N899" s="111" t="s">
        <v>2590</v>
      </c>
      <c r="O899" s="111" t="s">
        <v>2050</v>
      </c>
      <c r="Q899" s="23"/>
      <c r="R899" s="23"/>
    </row>
    <row r="900" spans="2:18" ht="15.75" customHeight="1" x14ac:dyDescent="0.15">
      <c r="B900" s="53" t="s">
        <v>26</v>
      </c>
      <c r="C900" s="263">
        <v>44001</v>
      </c>
      <c r="D900" s="53" t="s">
        <v>2051</v>
      </c>
      <c r="E900" s="53" t="s">
        <v>34</v>
      </c>
      <c r="F900" s="147">
        <v>0.04</v>
      </c>
      <c r="G900" s="53" t="s">
        <v>1177</v>
      </c>
      <c r="H900" s="53" t="s">
        <v>1177</v>
      </c>
      <c r="I900" s="53" t="s">
        <v>691</v>
      </c>
      <c r="J900" s="53" t="s">
        <v>1136</v>
      </c>
      <c r="K900" s="115">
        <v>9</v>
      </c>
      <c r="L900" s="111" t="s">
        <v>1864</v>
      </c>
      <c r="O900" s="116" t="s">
        <v>2052</v>
      </c>
      <c r="Q900" s="23"/>
      <c r="R900" s="23"/>
    </row>
    <row r="901" spans="2:18" ht="15.75" customHeight="1" x14ac:dyDescent="0.15">
      <c r="B901" s="53" t="s">
        <v>1120</v>
      </c>
      <c r="C901" s="263">
        <v>44001</v>
      </c>
      <c r="D901" s="237" t="s">
        <v>3187</v>
      </c>
      <c r="E901" s="237" t="s">
        <v>42</v>
      </c>
      <c r="F901" s="232">
        <v>0.125</v>
      </c>
      <c r="G901" s="53" t="s">
        <v>1177</v>
      </c>
      <c r="H901" s="53" t="s">
        <v>1177</v>
      </c>
      <c r="I901" s="53" t="s">
        <v>1124</v>
      </c>
      <c r="J901" s="53" t="s">
        <v>2321</v>
      </c>
      <c r="K901" s="115">
        <v>3</v>
      </c>
      <c r="L901" s="111" t="s">
        <v>1828</v>
      </c>
      <c r="O901" s="116" t="s">
        <v>1828</v>
      </c>
      <c r="Q901" s="23"/>
      <c r="R901" s="23"/>
    </row>
    <row r="902" spans="2:18" ht="15.75" customHeight="1" x14ac:dyDescent="0.15">
      <c r="B902" s="53" t="s">
        <v>45</v>
      </c>
      <c r="C902" s="263">
        <v>44001</v>
      </c>
      <c r="D902" s="53" t="s">
        <v>1122</v>
      </c>
      <c r="E902" s="53" t="s">
        <v>6</v>
      </c>
      <c r="F902" s="147">
        <v>6.2E-2</v>
      </c>
      <c r="G902" s="53" t="s">
        <v>1177</v>
      </c>
      <c r="H902" s="53" t="s">
        <v>1177</v>
      </c>
      <c r="I902" s="53" t="s">
        <v>1140</v>
      </c>
      <c r="J902" s="53" t="s">
        <v>264</v>
      </c>
      <c r="K902" s="115">
        <v>8</v>
      </c>
      <c r="L902" s="111" t="s">
        <v>765</v>
      </c>
      <c r="O902" s="116" t="s">
        <v>1569</v>
      </c>
      <c r="Q902" s="23"/>
      <c r="R902" s="23"/>
    </row>
    <row r="903" spans="2:18" ht="15.75" customHeight="1" x14ac:dyDescent="0.15">
      <c r="B903" s="53" t="s">
        <v>26</v>
      </c>
      <c r="C903" s="263">
        <v>44001</v>
      </c>
      <c r="D903" s="53" t="s">
        <v>2871</v>
      </c>
      <c r="E903" s="53" t="s">
        <v>34</v>
      </c>
      <c r="F903" s="147">
        <v>0.05</v>
      </c>
      <c r="G903" s="53" t="s">
        <v>1177</v>
      </c>
      <c r="H903" s="53" t="s">
        <v>1177</v>
      </c>
      <c r="I903" s="53" t="s">
        <v>1146</v>
      </c>
      <c r="J903" s="53" t="s">
        <v>132</v>
      </c>
      <c r="K903" s="115">
        <v>6</v>
      </c>
      <c r="L903" s="111" t="s">
        <v>2043</v>
      </c>
      <c r="O903" s="116" t="s">
        <v>2043</v>
      </c>
      <c r="Q903" s="23"/>
      <c r="R903" s="23"/>
    </row>
    <row r="904" spans="2:18" ht="15.75" customHeight="1" x14ac:dyDescent="0.15">
      <c r="B904" s="53" t="s">
        <v>35</v>
      </c>
      <c r="C904" s="263">
        <v>44001</v>
      </c>
      <c r="D904" s="53" t="s">
        <v>1126</v>
      </c>
      <c r="E904" s="53" t="s">
        <v>6</v>
      </c>
      <c r="F904" s="147">
        <v>4.3999999999999997E-2</v>
      </c>
      <c r="G904" s="53" t="s">
        <v>1177</v>
      </c>
      <c r="H904" s="53" t="s">
        <v>1177</v>
      </c>
      <c r="I904" s="53" t="s">
        <v>2309</v>
      </c>
      <c r="J904" s="53" t="s">
        <v>15</v>
      </c>
      <c r="K904" s="115">
        <v>7.5</v>
      </c>
      <c r="L904" s="111" t="s">
        <v>1126</v>
      </c>
      <c r="O904" s="116" t="s">
        <v>2054</v>
      </c>
      <c r="Q904" s="23"/>
      <c r="R904" s="23"/>
    </row>
    <row r="905" spans="2:18" ht="15.75" customHeight="1" x14ac:dyDescent="0.15">
      <c r="B905" s="53" t="s">
        <v>26</v>
      </c>
      <c r="C905" s="263">
        <v>44001</v>
      </c>
      <c r="D905" s="53" t="s">
        <v>98</v>
      </c>
      <c r="E905" s="53" t="s">
        <v>36</v>
      </c>
      <c r="F905" s="147">
        <v>0.4</v>
      </c>
      <c r="G905" s="53" t="s">
        <v>1177</v>
      </c>
      <c r="H905" s="53" t="s">
        <v>1177</v>
      </c>
      <c r="I905" s="53" t="s">
        <v>1127</v>
      </c>
      <c r="J905" s="53" t="s">
        <v>2537</v>
      </c>
      <c r="K905" s="115">
        <v>3.5</v>
      </c>
      <c r="L905" s="111" t="s">
        <v>1489</v>
      </c>
      <c r="O905" s="116" t="s">
        <v>1490</v>
      </c>
      <c r="Q905" s="23"/>
      <c r="R905" s="23"/>
    </row>
    <row r="906" spans="2:18" ht="15.75" customHeight="1" x14ac:dyDescent="0.15">
      <c r="B906" s="53" t="s">
        <v>35</v>
      </c>
      <c r="C906" s="263">
        <v>44001</v>
      </c>
      <c r="D906" s="53" t="s">
        <v>1128</v>
      </c>
      <c r="E906" s="53" t="s">
        <v>32</v>
      </c>
      <c r="F906" s="147">
        <v>0.04</v>
      </c>
      <c r="G906" s="53" t="s">
        <v>1177</v>
      </c>
      <c r="H906" s="53" t="s">
        <v>1177</v>
      </c>
      <c r="I906" s="53" t="s">
        <v>322</v>
      </c>
      <c r="J906" s="53" t="s">
        <v>1432</v>
      </c>
      <c r="K906" s="115">
        <v>3</v>
      </c>
      <c r="L906" s="111" t="s">
        <v>1996</v>
      </c>
      <c r="O906" s="116" t="s">
        <v>1995</v>
      </c>
      <c r="Q906" s="23"/>
      <c r="R906" s="23"/>
    </row>
    <row r="907" spans="2:18" ht="15.75" customHeight="1" x14ac:dyDescent="0.15">
      <c r="B907" s="53" t="s">
        <v>45</v>
      </c>
      <c r="C907" s="263">
        <v>44001</v>
      </c>
      <c r="D907" s="53" t="s">
        <v>2056</v>
      </c>
      <c r="E907" s="53" t="s">
        <v>32</v>
      </c>
      <c r="F907" s="147">
        <v>0.14499999999999999</v>
      </c>
      <c r="G907" s="53" t="s">
        <v>1177</v>
      </c>
      <c r="H907" s="53" t="s">
        <v>1177</v>
      </c>
      <c r="I907" s="53" t="s">
        <v>1129</v>
      </c>
      <c r="J907" s="53" t="s">
        <v>1130</v>
      </c>
      <c r="K907" s="115">
        <v>8.5</v>
      </c>
      <c r="L907" s="111" t="s">
        <v>1876</v>
      </c>
      <c r="O907" s="116" t="s">
        <v>1876</v>
      </c>
      <c r="Q907" s="23"/>
      <c r="R907" s="23"/>
    </row>
    <row r="908" spans="2:18" ht="15.75" customHeight="1" x14ac:dyDescent="0.15">
      <c r="B908" s="53" t="s">
        <v>18</v>
      </c>
      <c r="C908" s="263">
        <v>44001</v>
      </c>
      <c r="D908" s="53" t="s">
        <v>3462</v>
      </c>
      <c r="E908" s="53" t="s">
        <v>36</v>
      </c>
      <c r="F908" s="147">
        <v>0.17</v>
      </c>
      <c r="G908" s="53" t="s">
        <v>1177</v>
      </c>
      <c r="H908" s="53" t="s">
        <v>1177</v>
      </c>
      <c r="I908" s="53" t="s">
        <v>77</v>
      </c>
      <c r="J908" s="53" t="s">
        <v>2250</v>
      </c>
      <c r="K908" s="115">
        <v>7</v>
      </c>
      <c r="L908" s="111" t="s">
        <v>2055</v>
      </c>
      <c r="O908" s="116" t="s">
        <v>1516</v>
      </c>
      <c r="Q908" s="23"/>
      <c r="R908" s="23"/>
    </row>
    <row r="909" spans="2:18" ht="15.75" customHeight="1" x14ac:dyDescent="0.15">
      <c r="B909" s="53" t="s">
        <v>73</v>
      </c>
      <c r="C909" s="263">
        <v>44001</v>
      </c>
      <c r="D909" s="53" t="s">
        <v>930</v>
      </c>
      <c r="E909" s="53" t="s">
        <v>32</v>
      </c>
      <c r="F909" s="147">
        <v>0.14499999999999999</v>
      </c>
      <c r="G909" s="53" t="s">
        <v>1177</v>
      </c>
      <c r="H909" s="53" t="s">
        <v>1177</v>
      </c>
      <c r="I909" s="53" t="s">
        <v>572</v>
      </c>
      <c r="J909" s="53" t="s">
        <v>1374</v>
      </c>
      <c r="K909" s="115">
        <v>8</v>
      </c>
      <c r="L909" s="111" t="s">
        <v>1876</v>
      </c>
      <c r="O909" s="116" t="s">
        <v>1876</v>
      </c>
      <c r="Q909" s="23"/>
      <c r="R909" s="23"/>
    </row>
    <row r="910" spans="2:18" ht="15.75" customHeight="1" x14ac:dyDescent="0.15">
      <c r="B910" s="53" t="s">
        <v>41</v>
      </c>
      <c r="C910" s="263">
        <v>44001</v>
      </c>
      <c r="D910" s="53" t="s">
        <v>1066</v>
      </c>
      <c r="E910" s="53" t="s">
        <v>190</v>
      </c>
      <c r="F910" s="147">
        <v>0.15</v>
      </c>
      <c r="G910" s="53" t="s">
        <v>1177</v>
      </c>
      <c r="H910" s="53" t="s">
        <v>1177</v>
      </c>
      <c r="I910" s="53" t="s">
        <v>217</v>
      </c>
      <c r="J910" s="53" t="s">
        <v>217</v>
      </c>
      <c r="K910" s="115">
        <v>3</v>
      </c>
      <c r="L910" s="111" t="s">
        <v>2023</v>
      </c>
      <c r="O910" s="116" t="s">
        <v>2024</v>
      </c>
      <c r="Q910" s="23"/>
      <c r="R910" s="23"/>
    </row>
    <row r="911" spans="2:18" ht="15.75" customHeight="1" x14ac:dyDescent="0.15">
      <c r="B911" s="53" t="s">
        <v>61</v>
      </c>
      <c r="C911" s="263">
        <v>44001</v>
      </c>
      <c r="D911" s="53" t="s">
        <v>1128</v>
      </c>
      <c r="E911" s="53" t="s">
        <v>32</v>
      </c>
      <c r="F911" s="147">
        <v>0.04</v>
      </c>
      <c r="G911" s="53" t="s">
        <v>1177</v>
      </c>
      <c r="H911" s="53" t="s">
        <v>1177</v>
      </c>
      <c r="I911" s="53" t="s">
        <v>2310</v>
      </c>
      <c r="J911" s="53" t="s">
        <v>2538</v>
      </c>
      <c r="K911" s="115">
        <v>2.5</v>
      </c>
      <c r="L911" s="111" t="s">
        <v>1996</v>
      </c>
      <c r="O911" s="116" t="s">
        <v>1995</v>
      </c>
      <c r="Q911" s="23"/>
      <c r="R911" s="23"/>
    </row>
    <row r="912" spans="2:18" ht="15.75" customHeight="1" x14ac:dyDescent="0.15">
      <c r="B912" s="53" t="s">
        <v>1120</v>
      </c>
      <c r="C912" s="263">
        <v>44001</v>
      </c>
      <c r="D912" s="237" t="s">
        <v>3184</v>
      </c>
      <c r="E912" s="237" t="s">
        <v>65</v>
      </c>
      <c r="F912" s="232">
        <v>0.375</v>
      </c>
      <c r="G912" s="53" t="s">
        <v>1177</v>
      </c>
      <c r="H912" s="53" t="s">
        <v>1177</v>
      </c>
      <c r="I912" s="53" t="s">
        <v>86</v>
      </c>
      <c r="J912" s="53" t="s">
        <v>1131</v>
      </c>
      <c r="K912" s="115">
        <v>6</v>
      </c>
      <c r="L912" s="111" t="s">
        <v>3185</v>
      </c>
      <c r="O912" s="116" t="s">
        <v>1510</v>
      </c>
      <c r="Q912" s="23"/>
      <c r="R912" s="23"/>
    </row>
    <row r="913" spans="2:18" ht="15.75" customHeight="1" x14ac:dyDescent="0.15">
      <c r="B913" s="53" t="s">
        <v>18</v>
      </c>
      <c r="C913" s="263">
        <v>44001</v>
      </c>
      <c r="D913" s="53" t="s">
        <v>1132</v>
      </c>
      <c r="E913" s="53" t="s">
        <v>54</v>
      </c>
      <c r="F913" s="147">
        <v>0.2</v>
      </c>
      <c r="G913" s="53" t="s">
        <v>1177</v>
      </c>
      <c r="H913" s="53" t="s">
        <v>1177</v>
      </c>
      <c r="I913" s="53" t="s">
        <v>1139</v>
      </c>
      <c r="J913" s="53" t="s">
        <v>304</v>
      </c>
      <c r="K913" s="115">
        <v>9</v>
      </c>
      <c r="L913" s="111" t="s">
        <v>2057</v>
      </c>
      <c r="O913" s="116" t="s">
        <v>1859</v>
      </c>
      <c r="Q913" s="23"/>
      <c r="R913" s="23"/>
    </row>
    <row r="914" spans="2:18" ht="15.75" customHeight="1" x14ac:dyDescent="0.15">
      <c r="B914" s="53" t="s">
        <v>41</v>
      </c>
      <c r="C914" s="263">
        <v>44001</v>
      </c>
      <c r="D914" s="53" t="s">
        <v>1135</v>
      </c>
      <c r="E914" s="53" t="s">
        <v>32</v>
      </c>
      <c r="F914" s="147">
        <v>0.06</v>
      </c>
      <c r="G914" s="53" t="s">
        <v>1177</v>
      </c>
      <c r="H914" s="53" t="s">
        <v>1177</v>
      </c>
      <c r="I914" s="53" t="s">
        <v>322</v>
      </c>
      <c r="J914" s="53" t="s">
        <v>2539</v>
      </c>
      <c r="K914" s="115">
        <v>4</v>
      </c>
      <c r="L914" s="111" t="s">
        <v>1996</v>
      </c>
      <c r="O914" s="116" t="s">
        <v>1995</v>
      </c>
      <c r="Q914" s="23"/>
      <c r="R914" s="23"/>
    </row>
    <row r="915" spans="2:18" ht="15.75" customHeight="1" x14ac:dyDescent="0.15">
      <c r="B915" s="53" t="s">
        <v>73</v>
      </c>
      <c r="C915" s="263">
        <v>44001</v>
      </c>
      <c r="D915" s="53" t="s">
        <v>1137</v>
      </c>
      <c r="E915" s="53" t="s">
        <v>6</v>
      </c>
      <c r="F915" s="147">
        <v>7.2999999999999995E-2</v>
      </c>
      <c r="G915" s="53" t="s">
        <v>1177</v>
      </c>
      <c r="H915" s="53" t="s">
        <v>1177</v>
      </c>
      <c r="I915" s="53" t="s">
        <v>1138</v>
      </c>
      <c r="J915" s="53" t="s">
        <v>458</v>
      </c>
      <c r="K915" s="115">
        <v>8.5</v>
      </c>
      <c r="L915" s="111" t="s">
        <v>2058</v>
      </c>
      <c r="O915" s="116" t="s">
        <v>2058</v>
      </c>
      <c r="Q915" s="23"/>
      <c r="R915" s="23"/>
    </row>
    <row r="916" spans="2:18" ht="15.75" customHeight="1" x14ac:dyDescent="0.15">
      <c r="B916" s="53" t="s">
        <v>1120</v>
      </c>
      <c r="C916" s="263">
        <v>44001</v>
      </c>
      <c r="D916" s="237" t="s">
        <v>3186</v>
      </c>
      <c r="E916" s="237" t="s">
        <v>42</v>
      </c>
      <c r="F916" s="232">
        <v>0.13</v>
      </c>
      <c r="G916" s="53" t="s">
        <v>1177</v>
      </c>
      <c r="H916" s="53" t="s">
        <v>1177</v>
      </c>
      <c r="I916" s="53" t="s">
        <v>226</v>
      </c>
      <c r="J916" s="53" t="s">
        <v>1147</v>
      </c>
      <c r="K916" s="115">
        <v>5</v>
      </c>
      <c r="L916" s="111" t="s">
        <v>1828</v>
      </c>
      <c r="O916" s="116" t="s">
        <v>1828</v>
      </c>
      <c r="Q916" s="23"/>
      <c r="R916" s="23"/>
    </row>
    <row r="917" spans="2:18" ht="15.75" customHeight="1" x14ac:dyDescent="0.15">
      <c r="B917" s="53" t="s">
        <v>18</v>
      </c>
      <c r="C917" s="263">
        <v>44001</v>
      </c>
      <c r="D917" s="53" t="s">
        <v>1186</v>
      </c>
      <c r="E917" s="53" t="s">
        <v>34</v>
      </c>
      <c r="F917" s="147">
        <v>4.4999999999999998E-2</v>
      </c>
      <c r="G917" s="53" t="s">
        <v>1177</v>
      </c>
      <c r="H917" s="53" t="s">
        <v>1177</v>
      </c>
      <c r="I917" s="53" t="s">
        <v>1141</v>
      </c>
      <c r="J917" s="53" t="s">
        <v>2540</v>
      </c>
      <c r="K917" s="115">
        <v>5.5</v>
      </c>
      <c r="L917" s="111" t="s">
        <v>2059</v>
      </c>
      <c r="O917" s="116" t="s">
        <v>2060</v>
      </c>
      <c r="Q917" s="23"/>
      <c r="R917" s="23"/>
    </row>
    <row r="918" spans="2:18" ht="15.75" customHeight="1" x14ac:dyDescent="0.15">
      <c r="B918" s="53" t="s">
        <v>41</v>
      </c>
      <c r="C918" s="263">
        <v>44001</v>
      </c>
      <c r="D918" s="53" t="s">
        <v>1142</v>
      </c>
      <c r="E918" s="53" t="s">
        <v>32</v>
      </c>
      <c r="F918" s="232">
        <v>0.375</v>
      </c>
      <c r="G918" s="53" t="s">
        <v>28</v>
      </c>
      <c r="H918" s="53" t="s">
        <v>1177</v>
      </c>
      <c r="I918" s="53" t="s">
        <v>16</v>
      </c>
      <c r="J918" s="53" t="s">
        <v>1148</v>
      </c>
      <c r="K918" s="115">
        <v>5.5</v>
      </c>
      <c r="L918" s="111" t="s">
        <v>1893</v>
      </c>
      <c r="O918" s="116" t="s">
        <v>1893</v>
      </c>
      <c r="Q918" s="23"/>
      <c r="R918" s="23"/>
    </row>
    <row r="919" spans="2:18" ht="15.75" customHeight="1" x14ac:dyDescent="0.15">
      <c r="B919" s="53" t="s">
        <v>61</v>
      </c>
      <c r="C919" s="263">
        <v>44001</v>
      </c>
      <c r="D919" s="53" t="s">
        <v>1143</v>
      </c>
      <c r="E919" s="53" t="s">
        <v>6</v>
      </c>
      <c r="F919" s="147">
        <v>5.3999999999999999E-2</v>
      </c>
      <c r="G919" s="53" t="s">
        <v>1177</v>
      </c>
      <c r="H919" s="53" t="s">
        <v>1177</v>
      </c>
      <c r="I919" s="53" t="s">
        <v>1144</v>
      </c>
      <c r="J919" s="53" t="s">
        <v>1145</v>
      </c>
      <c r="K919" s="115">
        <v>8</v>
      </c>
      <c r="L919" s="111" t="s">
        <v>1592</v>
      </c>
      <c r="O919" s="116" t="s">
        <v>1592</v>
      </c>
      <c r="Q919" s="23"/>
      <c r="R919" s="23"/>
    </row>
    <row r="920" spans="2:18" ht="15.75" customHeight="1" x14ac:dyDescent="0.15">
      <c r="B920" s="53" t="s">
        <v>45</v>
      </c>
      <c r="C920" s="263">
        <v>44001</v>
      </c>
      <c r="D920" s="53" t="s">
        <v>1632</v>
      </c>
      <c r="E920" s="53" t="s">
        <v>65</v>
      </c>
      <c r="F920" s="147">
        <v>0.375</v>
      </c>
      <c r="G920" s="53" t="s">
        <v>1149</v>
      </c>
      <c r="H920" s="53" t="s">
        <v>1177</v>
      </c>
      <c r="I920" s="53" t="s">
        <v>303</v>
      </c>
      <c r="J920" s="53" t="s">
        <v>265</v>
      </c>
      <c r="K920" s="115">
        <v>6.5</v>
      </c>
      <c r="L920" s="111" t="s">
        <v>1536</v>
      </c>
      <c r="O920" s="116" t="s">
        <v>1537</v>
      </c>
      <c r="Q920" s="23"/>
      <c r="R920" s="23"/>
    </row>
    <row r="921" spans="2:18" ht="15.75" customHeight="1" x14ac:dyDescent="0.15">
      <c r="B921" s="53" t="s">
        <v>38</v>
      </c>
      <c r="C921" s="263">
        <v>44001</v>
      </c>
      <c r="D921" s="53" t="s">
        <v>1150</v>
      </c>
      <c r="E921" s="53" t="s">
        <v>6</v>
      </c>
      <c r="F921" s="147">
        <v>4.5999999999999999E-2</v>
      </c>
      <c r="G921" s="53" t="s">
        <v>1177</v>
      </c>
      <c r="H921" s="53" t="s">
        <v>1177</v>
      </c>
      <c r="I921" s="53" t="s">
        <v>1151</v>
      </c>
      <c r="J921" s="53" t="s">
        <v>1152</v>
      </c>
      <c r="K921" s="115">
        <v>3</v>
      </c>
      <c r="L921" s="111" t="s">
        <v>1515</v>
      </c>
      <c r="O921" s="116" t="s">
        <v>1515</v>
      </c>
      <c r="Q921" s="23"/>
      <c r="R921" s="23"/>
    </row>
    <row r="922" spans="2:18" ht="15.75" customHeight="1" x14ac:dyDescent="0.15">
      <c r="B922" s="53" t="s">
        <v>73</v>
      </c>
      <c r="C922" s="263">
        <v>44001</v>
      </c>
      <c r="D922" s="53" t="s">
        <v>1362</v>
      </c>
      <c r="E922" s="53" t="s">
        <v>6</v>
      </c>
      <c r="F922" s="147">
        <v>8.7999999999999995E-2</v>
      </c>
      <c r="G922" s="53" t="s">
        <v>1177</v>
      </c>
      <c r="H922" s="53" t="s">
        <v>1177</v>
      </c>
      <c r="I922" s="53" t="s">
        <v>1158</v>
      </c>
      <c r="J922" s="53" t="s">
        <v>502</v>
      </c>
      <c r="K922" s="115">
        <v>9</v>
      </c>
      <c r="L922" s="111" t="s">
        <v>2046</v>
      </c>
      <c r="O922" s="116" t="s">
        <v>2046</v>
      </c>
      <c r="Q922" s="23"/>
      <c r="R922" s="23"/>
    </row>
    <row r="923" spans="2:18" ht="15.75" customHeight="1" x14ac:dyDescent="0.15">
      <c r="B923" s="53" t="s">
        <v>26</v>
      </c>
      <c r="C923" s="263">
        <v>44001</v>
      </c>
      <c r="D923" s="53" t="s">
        <v>1187</v>
      </c>
      <c r="E923" s="53" t="s">
        <v>32</v>
      </c>
      <c r="F923" s="147">
        <v>0.04</v>
      </c>
      <c r="G923" s="53" t="s">
        <v>1177</v>
      </c>
      <c r="H923" s="53" t="s">
        <v>1177</v>
      </c>
      <c r="I923" s="53" t="s">
        <v>185</v>
      </c>
      <c r="J923" s="53" t="s">
        <v>2420</v>
      </c>
      <c r="K923" s="115">
        <v>7</v>
      </c>
      <c r="L923" s="111" t="s">
        <v>1584</v>
      </c>
      <c r="O923" s="116" t="s">
        <v>1585</v>
      </c>
      <c r="Q923" s="23"/>
      <c r="R923" s="23"/>
    </row>
    <row r="924" spans="2:18" ht="15.75" customHeight="1" x14ac:dyDescent="0.15">
      <c r="B924" s="53" t="s">
        <v>1120</v>
      </c>
      <c r="C924" s="263">
        <v>44001</v>
      </c>
      <c r="D924" s="53" t="s">
        <v>1231</v>
      </c>
      <c r="E924" s="53" t="s">
        <v>12</v>
      </c>
      <c r="F924" s="147">
        <v>0.40400000000000003</v>
      </c>
      <c r="G924" s="53" t="s">
        <v>1153</v>
      </c>
      <c r="H924" s="53" t="s">
        <v>1177</v>
      </c>
      <c r="I924" s="53" t="s">
        <v>473</v>
      </c>
      <c r="J924" s="53" t="s">
        <v>3051</v>
      </c>
      <c r="K924" s="115">
        <v>1</v>
      </c>
      <c r="L924" s="111" t="s">
        <v>11</v>
      </c>
      <c r="O924" s="116" t="s">
        <v>11</v>
      </c>
      <c r="Q924" s="23"/>
      <c r="R924" s="23"/>
    </row>
    <row r="925" spans="2:18" ht="15.75" customHeight="1" x14ac:dyDescent="0.15">
      <c r="B925" s="53" t="s">
        <v>38</v>
      </c>
      <c r="C925" s="263">
        <v>44001</v>
      </c>
      <c r="D925" s="53" t="s">
        <v>1154</v>
      </c>
      <c r="E925" s="53" t="s">
        <v>6</v>
      </c>
      <c r="F925" s="147">
        <v>4.4999999999999998E-2</v>
      </c>
      <c r="G925" s="53" t="s">
        <v>1177</v>
      </c>
      <c r="H925" s="53" t="s">
        <v>1177</v>
      </c>
      <c r="I925" s="53" t="s">
        <v>237</v>
      </c>
      <c r="J925" s="53" t="s">
        <v>811</v>
      </c>
      <c r="K925" s="115">
        <v>6</v>
      </c>
      <c r="L925" s="111" t="s">
        <v>1515</v>
      </c>
      <c r="M925" s="111" t="s">
        <v>2451</v>
      </c>
      <c r="O925" s="111" t="s">
        <v>2061</v>
      </c>
      <c r="Q925" s="23"/>
      <c r="R925" s="23"/>
    </row>
    <row r="926" spans="2:18" ht="15.75" customHeight="1" x14ac:dyDescent="0.15">
      <c r="B926" s="53" t="s">
        <v>35</v>
      </c>
      <c r="C926" s="263">
        <v>44001</v>
      </c>
      <c r="D926" s="53" t="s">
        <v>1155</v>
      </c>
      <c r="E926" s="53" t="s">
        <v>6</v>
      </c>
      <c r="F926" s="147">
        <v>5.5E-2</v>
      </c>
      <c r="G926" s="53" t="s">
        <v>1177</v>
      </c>
      <c r="H926" s="53" t="s">
        <v>1177</v>
      </c>
      <c r="I926" s="53" t="s">
        <v>195</v>
      </c>
      <c r="J926" s="53" t="s">
        <v>2541</v>
      </c>
      <c r="K926" s="115">
        <v>4</v>
      </c>
      <c r="L926" s="111" t="s">
        <v>2005</v>
      </c>
      <c r="O926" s="116" t="s">
        <v>2005</v>
      </c>
      <c r="Q926" s="23"/>
      <c r="R926" s="23"/>
    </row>
    <row r="927" spans="2:18" ht="15.75" customHeight="1" x14ac:dyDescent="0.15">
      <c r="B927" s="53" t="s">
        <v>41</v>
      </c>
      <c r="C927" s="263">
        <v>44001</v>
      </c>
      <c r="D927" s="53" t="s">
        <v>1877</v>
      </c>
      <c r="E927" s="53" t="s">
        <v>34</v>
      </c>
      <c r="F927" s="147">
        <v>0.04</v>
      </c>
      <c r="G927" s="53" t="s">
        <v>1177</v>
      </c>
      <c r="H927" s="53" t="s">
        <v>1177</v>
      </c>
      <c r="I927" s="53" t="s">
        <v>2311</v>
      </c>
      <c r="J927" s="53" t="s">
        <v>2542</v>
      </c>
      <c r="K927" s="115">
        <v>3</v>
      </c>
      <c r="L927" s="111" t="s">
        <v>1472</v>
      </c>
      <c r="O927" s="116" t="s">
        <v>1455</v>
      </c>
      <c r="Q927" s="23"/>
      <c r="R927" s="23"/>
    </row>
    <row r="928" spans="2:18" ht="15.75" customHeight="1" x14ac:dyDescent="0.15">
      <c r="B928" s="53" t="s">
        <v>18</v>
      </c>
      <c r="C928" s="263">
        <v>44001</v>
      </c>
      <c r="D928" s="53" t="s">
        <v>415</v>
      </c>
      <c r="E928" s="53" t="s">
        <v>65</v>
      </c>
      <c r="F928" s="147">
        <v>0.21</v>
      </c>
      <c r="G928" s="53" t="s">
        <v>1177</v>
      </c>
      <c r="H928" s="53" t="s">
        <v>1177</v>
      </c>
      <c r="I928" s="53" t="s">
        <v>46</v>
      </c>
      <c r="J928" s="53" t="s">
        <v>2543</v>
      </c>
      <c r="K928" s="115">
        <v>6.5</v>
      </c>
      <c r="L928" s="111" t="s">
        <v>484</v>
      </c>
      <c r="O928" s="116" t="s">
        <v>1594</v>
      </c>
      <c r="Q928" s="23"/>
      <c r="R928" s="23"/>
    </row>
    <row r="929" spans="2:18" ht="15.75" customHeight="1" x14ac:dyDescent="0.15">
      <c r="B929" s="53" t="s">
        <v>45</v>
      </c>
      <c r="C929" s="263">
        <v>44001</v>
      </c>
      <c r="D929" s="53" t="s">
        <v>1631</v>
      </c>
      <c r="E929" s="53" t="s">
        <v>65</v>
      </c>
      <c r="F929" s="147">
        <v>0.375</v>
      </c>
      <c r="G929" s="53" t="s">
        <v>1149</v>
      </c>
      <c r="H929" s="53" t="s">
        <v>1177</v>
      </c>
      <c r="I929" s="53" t="s">
        <v>16</v>
      </c>
      <c r="J929" s="53" t="s">
        <v>1260</v>
      </c>
      <c r="K929" s="115">
        <v>6.5</v>
      </c>
      <c r="L929" s="111" t="s">
        <v>1536</v>
      </c>
      <c r="O929" s="116" t="s">
        <v>1537</v>
      </c>
      <c r="Q929" s="23"/>
      <c r="R929" s="23"/>
    </row>
    <row r="930" spans="2:18" ht="15.75" customHeight="1" x14ac:dyDescent="0.15">
      <c r="B930" s="53" t="s">
        <v>18</v>
      </c>
      <c r="C930" s="263">
        <v>44001</v>
      </c>
      <c r="D930" s="53" t="s">
        <v>1156</v>
      </c>
      <c r="E930" s="53" t="s">
        <v>34</v>
      </c>
      <c r="F930" s="147">
        <v>0.04</v>
      </c>
      <c r="G930" s="53" t="s">
        <v>1177</v>
      </c>
      <c r="H930" s="53" t="s">
        <v>1177</v>
      </c>
      <c r="I930" s="53" t="s">
        <v>16</v>
      </c>
      <c r="J930" s="53" t="s">
        <v>2544</v>
      </c>
      <c r="K930" s="115">
        <v>4.5</v>
      </c>
      <c r="L930" s="111" t="s">
        <v>2059</v>
      </c>
      <c r="O930" s="116" t="s">
        <v>2060</v>
      </c>
      <c r="Q930" s="23"/>
      <c r="R930" s="23"/>
    </row>
    <row r="931" spans="2:18" ht="15.75" customHeight="1" x14ac:dyDescent="0.15">
      <c r="B931" s="53" t="s">
        <v>18</v>
      </c>
      <c r="C931" s="263">
        <v>44001</v>
      </c>
      <c r="D931" s="53" t="s">
        <v>1157</v>
      </c>
      <c r="E931" s="53" t="s">
        <v>36</v>
      </c>
      <c r="F931" s="147">
        <v>0.4</v>
      </c>
      <c r="G931" s="53" t="s">
        <v>28</v>
      </c>
      <c r="H931" s="53" t="s">
        <v>1177</v>
      </c>
      <c r="I931" s="53" t="s">
        <v>2312</v>
      </c>
      <c r="J931" s="53" t="s">
        <v>71</v>
      </c>
      <c r="K931" s="115">
        <v>8</v>
      </c>
      <c r="L931" s="111" t="s">
        <v>2062</v>
      </c>
      <c r="O931" s="116" t="s">
        <v>2063</v>
      </c>
      <c r="Q931" s="23"/>
      <c r="R931" s="23"/>
    </row>
    <row r="932" spans="2:18" ht="15.75" customHeight="1" x14ac:dyDescent="0.15">
      <c r="B932" s="53" t="s">
        <v>61</v>
      </c>
      <c r="C932" s="263">
        <v>44001</v>
      </c>
      <c r="D932" s="53" t="s">
        <v>1174</v>
      </c>
      <c r="E932" s="53" t="s">
        <v>6</v>
      </c>
      <c r="F932" s="147">
        <v>3.4000000000000002E-2</v>
      </c>
      <c r="G932" s="53" t="s">
        <v>1177</v>
      </c>
      <c r="H932" s="53" t="s">
        <v>1177</v>
      </c>
      <c r="I932" s="53" t="s">
        <v>15</v>
      </c>
      <c r="J932" s="53" t="s">
        <v>2369</v>
      </c>
      <c r="K932" s="115">
        <v>7</v>
      </c>
      <c r="L932" s="111" t="s">
        <v>1679</v>
      </c>
      <c r="O932" s="116" t="s">
        <v>1680</v>
      </c>
      <c r="Q932" s="23"/>
      <c r="R932" s="23"/>
    </row>
    <row r="933" spans="2:18" ht="15.75" customHeight="1" x14ac:dyDescent="0.15">
      <c r="B933" s="53" t="s">
        <v>45</v>
      </c>
      <c r="C933" s="263">
        <v>44001</v>
      </c>
      <c r="D933" s="53" t="s">
        <v>1661</v>
      </c>
      <c r="E933" s="53" t="s">
        <v>65</v>
      </c>
      <c r="F933" s="147">
        <v>0.375</v>
      </c>
      <c r="G933" s="53" t="s">
        <v>1149</v>
      </c>
      <c r="H933" s="53" t="s">
        <v>1177</v>
      </c>
      <c r="I933" s="53" t="s">
        <v>2313</v>
      </c>
      <c r="J933" s="53" t="s">
        <v>16</v>
      </c>
      <c r="K933" s="115">
        <v>6.5</v>
      </c>
      <c r="L933" s="111" t="s">
        <v>1662</v>
      </c>
      <c r="O933" s="116" t="s">
        <v>1663</v>
      </c>
      <c r="Q933" s="23"/>
      <c r="R933" s="23"/>
    </row>
    <row r="934" spans="2:18" ht="15.75" customHeight="1" x14ac:dyDescent="0.15">
      <c r="B934" s="53" t="s">
        <v>38</v>
      </c>
      <c r="C934" s="263">
        <v>44001</v>
      </c>
      <c r="D934" s="53" t="s">
        <v>1159</v>
      </c>
      <c r="E934" s="53" t="s">
        <v>6</v>
      </c>
      <c r="F934" s="147">
        <v>0.05</v>
      </c>
      <c r="G934" s="53" t="s">
        <v>1177</v>
      </c>
      <c r="H934" s="53" t="s">
        <v>1177</v>
      </c>
      <c r="I934" s="53" t="s">
        <v>1165</v>
      </c>
      <c r="J934" s="53" t="s">
        <v>153</v>
      </c>
      <c r="K934" s="115">
        <v>8.5</v>
      </c>
      <c r="L934" s="111" t="s">
        <v>1515</v>
      </c>
      <c r="O934" s="116" t="s">
        <v>1515</v>
      </c>
      <c r="Q934" s="23"/>
      <c r="R934" s="23"/>
    </row>
    <row r="935" spans="2:18" ht="15.75" customHeight="1" x14ac:dyDescent="0.15">
      <c r="B935" s="53" t="s">
        <v>1120</v>
      </c>
      <c r="C935" s="263">
        <v>44001</v>
      </c>
      <c r="D935" s="53" t="s">
        <v>1160</v>
      </c>
      <c r="E935" s="53" t="s">
        <v>42</v>
      </c>
      <c r="F935" s="147">
        <v>0.125</v>
      </c>
      <c r="G935" s="53" t="s">
        <v>1177</v>
      </c>
      <c r="H935" s="53" t="s">
        <v>1177</v>
      </c>
      <c r="I935" s="53" t="s">
        <v>610</v>
      </c>
      <c r="J935" s="53" t="s">
        <v>287</v>
      </c>
      <c r="K935" s="115">
        <v>3</v>
      </c>
      <c r="L935" s="111" t="s">
        <v>1477</v>
      </c>
      <c r="O935" s="116" t="s">
        <v>1510</v>
      </c>
      <c r="Q935" s="23"/>
      <c r="R935" s="23"/>
    </row>
    <row r="936" spans="2:18" ht="15.75" customHeight="1" x14ac:dyDescent="0.15">
      <c r="B936" s="53" t="s">
        <v>45</v>
      </c>
      <c r="C936" s="263">
        <v>44001</v>
      </c>
      <c r="D936" s="53" t="s">
        <v>930</v>
      </c>
      <c r="E936" s="53" t="s">
        <v>32</v>
      </c>
      <c r="F936" s="147">
        <v>0.14499999999999999</v>
      </c>
      <c r="G936" s="53" t="s">
        <v>1177</v>
      </c>
      <c r="H936" s="53" t="s">
        <v>1177</v>
      </c>
      <c r="I936" s="53" t="s">
        <v>1264</v>
      </c>
      <c r="J936" s="53" t="s">
        <v>1114</v>
      </c>
      <c r="K936" s="115">
        <v>3</v>
      </c>
      <c r="L936" s="111" t="s">
        <v>1876</v>
      </c>
      <c r="O936" s="116" t="s">
        <v>1876</v>
      </c>
      <c r="Q936" s="23"/>
      <c r="R936" s="23"/>
    </row>
    <row r="937" spans="2:18" ht="15.75" customHeight="1" x14ac:dyDescent="0.15">
      <c r="B937" s="53" t="s">
        <v>35</v>
      </c>
      <c r="C937" s="263">
        <v>44001</v>
      </c>
      <c r="D937" s="53" t="s">
        <v>1161</v>
      </c>
      <c r="E937" s="53" t="s">
        <v>32</v>
      </c>
      <c r="F937" s="147">
        <v>0.04</v>
      </c>
      <c r="G937" s="53" t="s">
        <v>1177</v>
      </c>
      <c r="H937" s="53" t="s">
        <v>1177</v>
      </c>
      <c r="I937" s="53" t="s">
        <v>314</v>
      </c>
      <c r="J937" s="53" t="s">
        <v>619</v>
      </c>
      <c r="K937" s="115">
        <v>2</v>
      </c>
      <c r="L937" s="111" t="s">
        <v>1996</v>
      </c>
      <c r="O937" s="116" t="s">
        <v>1995</v>
      </c>
      <c r="Q937" s="23"/>
      <c r="R937" s="23"/>
    </row>
    <row r="938" spans="2:18" ht="15.75" customHeight="1" x14ac:dyDescent="0.15">
      <c r="B938" s="53" t="s">
        <v>73</v>
      </c>
      <c r="C938" s="263">
        <v>44001</v>
      </c>
      <c r="D938" s="53" t="s">
        <v>1993</v>
      </c>
      <c r="E938" s="53" t="s">
        <v>32</v>
      </c>
      <c r="F938" s="147">
        <v>0.14499999999999999</v>
      </c>
      <c r="G938" s="53" t="s">
        <v>1177</v>
      </c>
      <c r="H938" s="53" t="s">
        <v>1177</v>
      </c>
      <c r="I938" s="53" t="s">
        <v>2314</v>
      </c>
      <c r="J938" s="53" t="s">
        <v>1413</v>
      </c>
      <c r="K938" s="115">
        <v>8</v>
      </c>
      <c r="L938" s="111" t="s">
        <v>1876</v>
      </c>
      <c r="O938" s="116" t="s">
        <v>1876</v>
      </c>
      <c r="Q938" s="23"/>
      <c r="R938" s="23"/>
    </row>
    <row r="939" spans="2:18" ht="15.75" customHeight="1" x14ac:dyDescent="0.15">
      <c r="B939" s="53" t="s">
        <v>73</v>
      </c>
      <c r="C939" s="263">
        <v>44001</v>
      </c>
      <c r="D939" s="53" t="s">
        <v>133</v>
      </c>
      <c r="E939" s="53" t="s">
        <v>27</v>
      </c>
      <c r="F939" s="147">
        <v>0.3</v>
      </c>
      <c r="G939" s="53" t="s">
        <v>1177</v>
      </c>
      <c r="H939" s="53" t="s">
        <v>1177</v>
      </c>
      <c r="I939" s="53" t="s">
        <v>2315</v>
      </c>
      <c r="J939" s="53" t="s">
        <v>2545</v>
      </c>
      <c r="K939" s="115">
        <v>9</v>
      </c>
      <c r="L939" s="111" t="s">
        <v>1786</v>
      </c>
      <c r="O939" s="116" t="s">
        <v>1532</v>
      </c>
      <c r="Q939" s="23"/>
      <c r="R939" s="23"/>
    </row>
    <row r="940" spans="2:18" ht="15.75" customHeight="1" x14ac:dyDescent="0.15">
      <c r="B940" s="53" t="s">
        <v>38</v>
      </c>
      <c r="C940" s="263">
        <v>44001</v>
      </c>
      <c r="D940" s="53" t="s">
        <v>123</v>
      </c>
      <c r="E940" s="53" t="s">
        <v>27</v>
      </c>
      <c r="F940" s="147">
        <v>0.35</v>
      </c>
      <c r="G940" s="53" t="s">
        <v>470</v>
      </c>
      <c r="H940" s="53" t="s">
        <v>1177</v>
      </c>
      <c r="I940" s="53" t="s">
        <v>335</v>
      </c>
      <c r="J940" s="53" t="s">
        <v>244</v>
      </c>
      <c r="K940" s="115">
        <v>6.5</v>
      </c>
      <c r="L940" s="111" t="s">
        <v>123</v>
      </c>
      <c r="O940" s="116" t="s">
        <v>1525</v>
      </c>
      <c r="Q940" s="23"/>
      <c r="R940" s="23"/>
    </row>
    <row r="941" spans="2:18" ht="15.75" customHeight="1" x14ac:dyDescent="0.15">
      <c r="B941" s="53" t="s">
        <v>61</v>
      </c>
      <c r="C941" s="263">
        <v>44001</v>
      </c>
      <c r="D941" s="53" t="s">
        <v>1161</v>
      </c>
      <c r="E941" s="53" t="s">
        <v>32</v>
      </c>
      <c r="F941" s="147">
        <v>0.04</v>
      </c>
      <c r="G941" s="53" t="s">
        <v>1177</v>
      </c>
      <c r="H941" s="53" t="s">
        <v>1177</v>
      </c>
      <c r="I941" s="53" t="s">
        <v>16</v>
      </c>
      <c r="J941" s="53" t="s">
        <v>1162</v>
      </c>
      <c r="K941" s="115">
        <v>0.5</v>
      </c>
      <c r="L941" s="111" t="s">
        <v>1996</v>
      </c>
      <c r="O941" s="116" t="s">
        <v>1995</v>
      </c>
      <c r="Q941" s="23"/>
      <c r="R941" s="23"/>
    </row>
    <row r="942" spans="2:18" ht="15.75" customHeight="1" x14ac:dyDescent="0.15">
      <c r="B942" s="53" t="s">
        <v>1120</v>
      </c>
      <c r="C942" s="263">
        <v>44001</v>
      </c>
      <c r="D942" s="53" t="s">
        <v>2064</v>
      </c>
      <c r="E942" s="53" t="s">
        <v>36</v>
      </c>
      <c r="F942" s="147">
        <v>0.45</v>
      </c>
      <c r="G942" s="53" t="s">
        <v>1177</v>
      </c>
      <c r="H942" s="53" t="s">
        <v>1177</v>
      </c>
      <c r="I942" s="53" t="s">
        <v>710</v>
      </c>
      <c r="J942" s="53" t="s">
        <v>263</v>
      </c>
      <c r="K942" s="115">
        <v>8</v>
      </c>
      <c r="L942" s="111" t="s">
        <v>2065</v>
      </c>
      <c r="O942" s="116" t="s">
        <v>1516</v>
      </c>
      <c r="Q942" s="23"/>
      <c r="R942" s="23"/>
    </row>
    <row r="943" spans="2:18" ht="15.75" customHeight="1" x14ac:dyDescent="0.15">
      <c r="B943" s="53" t="s">
        <v>26</v>
      </c>
      <c r="C943" s="263">
        <v>44001</v>
      </c>
      <c r="D943" s="53" t="s">
        <v>2066</v>
      </c>
      <c r="E943" s="53" t="s">
        <v>42</v>
      </c>
      <c r="F943" s="147">
        <v>0.125</v>
      </c>
      <c r="G943" s="53" t="s">
        <v>1177</v>
      </c>
      <c r="H943" s="53" t="s">
        <v>1177</v>
      </c>
      <c r="I943" s="53" t="s">
        <v>1163</v>
      </c>
      <c r="J943" s="53" t="s">
        <v>1164</v>
      </c>
      <c r="K943" s="115">
        <v>3.5</v>
      </c>
      <c r="L943" s="111" t="s">
        <v>2068</v>
      </c>
      <c r="O943" s="116" t="s">
        <v>2067</v>
      </c>
      <c r="Q943" s="23"/>
      <c r="R943" s="23"/>
    </row>
    <row r="944" spans="2:18" ht="15.75" customHeight="1" x14ac:dyDescent="0.15">
      <c r="B944" s="53" t="s">
        <v>38</v>
      </c>
      <c r="C944" s="263">
        <v>44001</v>
      </c>
      <c r="D944" s="53" t="s">
        <v>2069</v>
      </c>
      <c r="E944" s="53" t="s">
        <v>6</v>
      </c>
      <c r="F944" s="147">
        <v>0.04</v>
      </c>
      <c r="G944" s="53" t="s">
        <v>1177</v>
      </c>
      <c r="H944" s="53" t="s">
        <v>1177</v>
      </c>
      <c r="I944" s="53" t="s">
        <v>215</v>
      </c>
      <c r="J944" s="53" t="s">
        <v>792</v>
      </c>
      <c r="K944" s="115">
        <v>8.5</v>
      </c>
      <c r="L944" s="111" t="s">
        <v>1515</v>
      </c>
      <c r="O944" s="116" t="s">
        <v>1515</v>
      </c>
      <c r="Q944" s="23"/>
      <c r="R944" s="23"/>
    </row>
    <row r="945" spans="2:18" ht="15.75" customHeight="1" x14ac:dyDescent="0.15">
      <c r="B945" s="53" t="s">
        <v>35</v>
      </c>
      <c r="C945" s="263">
        <v>44001</v>
      </c>
      <c r="D945" s="53" t="s">
        <v>1166</v>
      </c>
      <c r="E945" s="53" t="s">
        <v>6</v>
      </c>
      <c r="F945" s="147">
        <v>4.4999999999999998E-2</v>
      </c>
      <c r="G945" s="53" t="s">
        <v>1177</v>
      </c>
      <c r="H945" s="53" t="s">
        <v>1177</v>
      </c>
      <c r="I945" s="53" t="s">
        <v>586</v>
      </c>
      <c r="J945" s="53" t="s">
        <v>245</v>
      </c>
      <c r="K945" s="115">
        <v>6</v>
      </c>
      <c r="L945" s="111" t="s">
        <v>765</v>
      </c>
      <c r="O945" s="116" t="s">
        <v>1569</v>
      </c>
      <c r="Q945" s="23"/>
      <c r="R945" s="23"/>
    </row>
    <row r="946" spans="2:18" ht="15.75" customHeight="1" x14ac:dyDescent="0.15">
      <c r="B946" s="53" t="s">
        <v>73</v>
      </c>
      <c r="C946" s="263">
        <v>44001</v>
      </c>
      <c r="D946" s="53" t="s">
        <v>2715</v>
      </c>
      <c r="E946" s="53" t="s">
        <v>65</v>
      </c>
      <c r="F946" s="232">
        <v>0.42499999999999999</v>
      </c>
      <c r="G946" s="53" t="s">
        <v>1149</v>
      </c>
      <c r="H946" s="53" t="s">
        <v>1177</v>
      </c>
      <c r="I946" s="53" t="s">
        <v>2316</v>
      </c>
      <c r="J946" s="53" t="s">
        <v>264</v>
      </c>
      <c r="K946" s="115">
        <v>8</v>
      </c>
      <c r="L946" s="111" t="s">
        <v>2805</v>
      </c>
      <c r="O946" s="116" t="s">
        <v>3001</v>
      </c>
      <c r="Q946" s="23"/>
      <c r="R946" s="23"/>
    </row>
    <row r="947" spans="2:18" ht="15.75" customHeight="1" x14ac:dyDescent="0.15">
      <c r="B947" s="53" t="s">
        <v>45</v>
      </c>
      <c r="C947" s="263">
        <v>44001</v>
      </c>
      <c r="D947" s="53" t="s">
        <v>1661</v>
      </c>
      <c r="E947" s="53" t="s">
        <v>65</v>
      </c>
      <c r="F947" s="147">
        <v>0.375</v>
      </c>
      <c r="G947" s="53" t="s">
        <v>28</v>
      </c>
      <c r="H947" s="53" t="s">
        <v>1177</v>
      </c>
      <c r="I947" s="53" t="s">
        <v>1171</v>
      </c>
      <c r="J947" s="53" t="s">
        <v>112</v>
      </c>
      <c r="K947" s="115">
        <v>7</v>
      </c>
      <c r="L947" s="111" t="s">
        <v>1662</v>
      </c>
      <c r="O947" s="116" t="s">
        <v>1663</v>
      </c>
      <c r="Q947" s="23"/>
      <c r="R947" s="23"/>
    </row>
    <row r="948" spans="2:18" ht="15.75" customHeight="1" x14ac:dyDescent="0.15">
      <c r="B948" s="53" t="s">
        <v>26</v>
      </c>
      <c r="C948" s="263">
        <v>44001</v>
      </c>
      <c r="D948" s="53" t="s">
        <v>1167</v>
      </c>
      <c r="E948" s="53" t="s">
        <v>34</v>
      </c>
      <c r="F948" s="147">
        <v>4.4999999999999998E-2</v>
      </c>
      <c r="G948" s="53" t="s">
        <v>1177</v>
      </c>
      <c r="H948" s="53" t="s">
        <v>1177</v>
      </c>
      <c r="I948" s="53" t="s">
        <v>291</v>
      </c>
      <c r="J948" s="53" t="s">
        <v>1170</v>
      </c>
      <c r="K948" s="115">
        <v>7</v>
      </c>
      <c r="L948" s="111" t="s">
        <v>2070</v>
      </c>
      <c r="O948" s="116" t="s">
        <v>2071</v>
      </c>
      <c r="Q948" s="23"/>
      <c r="R948" s="23"/>
    </row>
    <row r="949" spans="2:18" ht="15.75" customHeight="1" x14ac:dyDescent="0.15">
      <c r="B949" s="53" t="s">
        <v>61</v>
      </c>
      <c r="C949" s="263">
        <v>44001</v>
      </c>
      <c r="D949" s="53" t="s">
        <v>1168</v>
      </c>
      <c r="E949" s="53" t="s">
        <v>6</v>
      </c>
      <c r="F949" s="147">
        <v>4.2000000000000003E-2</v>
      </c>
      <c r="G949" s="53" t="s">
        <v>1177</v>
      </c>
      <c r="H949" s="53" t="s">
        <v>1177</v>
      </c>
      <c r="I949" s="53" t="s">
        <v>248</v>
      </c>
      <c r="J949" s="53" t="s">
        <v>16</v>
      </c>
      <c r="K949" s="115">
        <v>7</v>
      </c>
      <c r="L949" s="111" t="s">
        <v>764</v>
      </c>
      <c r="O949" s="116" t="s">
        <v>1539</v>
      </c>
      <c r="Q949" s="23"/>
      <c r="R949" s="23"/>
    </row>
    <row r="950" spans="2:18" ht="15.75" customHeight="1" x14ac:dyDescent="0.15">
      <c r="B950" s="53" t="s">
        <v>38</v>
      </c>
      <c r="C950" s="263">
        <v>44001</v>
      </c>
      <c r="D950" s="53" t="s">
        <v>1169</v>
      </c>
      <c r="E950" s="53" t="s">
        <v>6</v>
      </c>
      <c r="F950" s="147">
        <v>0.04</v>
      </c>
      <c r="G950" s="53" t="s">
        <v>1177</v>
      </c>
      <c r="H950" s="53" t="s">
        <v>1177</v>
      </c>
      <c r="I950" s="53" t="s">
        <v>2317</v>
      </c>
      <c r="J950" s="53" t="s">
        <v>238</v>
      </c>
      <c r="K950" s="115">
        <v>8.5</v>
      </c>
      <c r="L950" s="111" t="s">
        <v>1515</v>
      </c>
      <c r="M950" s="111" t="s">
        <v>2451</v>
      </c>
      <c r="O950" s="116" t="s">
        <v>2061</v>
      </c>
      <c r="Q950" s="23"/>
      <c r="R950" s="23"/>
    </row>
    <row r="951" spans="2:18" ht="15.75" customHeight="1" x14ac:dyDescent="0.15">
      <c r="B951" s="53" t="s">
        <v>35</v>
      </c>
      <c r="C951" s="263">
        <v>44001</v>
      </c>
      <c r="D951" s="53" t="s">
        <v>693</v>
      </c>
      <c r="E951" s="53" t="s">
        <v>6</v>
      </c>
      <c r="F951" s="147">
        <v>5.7000000000000002E-2</v>
      </c>
      <c r="G951" s="53" t="s">
        <v>1177</v>
      </c>
      <c r="H951" s="53" t="s">
        <v>1177</v>
      </c>
      <c r="I951" s="53" t="s">
        <v>215</v>
      </c>
      <c r="J951" s="53" t="s">
        <v>2546</v>
      </c>
      <c r="K951" s="115">
        <v>7.5</v>
      </c>
      <c r="L951" s="111" t="s">
        <v>765</v>
      </c>
      <c r="O951" s="116" t="s">
        <v>1569</v>
      </c>
      <c r="Q951" s="23"/>
      <c r="R951" s="23"/>
    </row>
    <row r="952" spans="2:18" ht="15.75" customHeight="1" x14ac:dyDescent="0.15">
      <c r="B952" s="53" t="s">
        <v>26</v>
      </c>
      <c r="C952" s="263">
        <v>44001</v>
      </c>
      <c r="D952" s="53" t="s">
        <v>1172</v>
      </c>
      <c r="E952" s="53" t="s">
        <v>34</v>
      </c>
      <c r="F952" s="147">
        <v>0.04</v>
      </c>
      <c r="G952" s="53" t="s">
        <v>1177</v>
      </c>
      <c r="H952" s="53" t="s">
        <v>1177</v>
      </c>
      <c r="I952" s="53" t="s">
        <v>2318</v>
      </c>
      <c r="J952" s="53" t="s">
        <v>983</v>
      </c>
      <c r="K952" s="115">
        <v>3</v>
      </c>
      <c r="L952" s="111" t="s">
        <v>2043</v>
      </c>
      <c r="O952" s="116" t="s">
        <v>2043</v>
      </c>
      <c r="Q952" s="23"/>
      <c r="R952" s="23"/>
    </row>
    <row r="953" spans="2:18" ht="15.75" customHeight="1" x14ac:dyDescent="0.15">
      <c r="B953" s="53" t="s">
        <v>73</v>
      </c>
      <c r="C953" s="263">
        <v>44001</v>
      </c>
      <c r="D953" s="53" t="s">
        <v>2715</v>
      </c>
      <c r="E953" s="53" t="s">
        <v>65</v>
      </c>
      <c r="F953" s="232">
        <v>0.42499999999999999</v>
      </c>
      <c r="G953" s="53" t="s">
        <v>1203</v>
      </c>
      <c r="H953" s="53" t="s">
        <v>1177</v>
      </c>
      <c r="I953" s="53" t="s">
        <v>3552</v>
      </c>
      <c r="J953" s="53" t="s">
        <v>1173</v>
      </c>
      <c r="K953" s="115">
        <v>8</v>
      </c>
      <c r="L953" s="111" t="s">
        <v>2805</v>
      </c>
      <c r="O953" s="116" t="s">
        <v>3001</v>
      </c>
      <c r="Q953" s="23"/>
      <c r="R953" s="23"/>
    </row>
    <row r="954" spans="2:18" ht="15.75" customHeight="1" x14ac:dyDescent="0.15">
      <c r="B954" s="53" t="s">
        <v>35</v>
      </c>
      <c r="C954" s="263">
        <v>44008</v>
      </c>
      <c r="D954" s="113" t="s">
        <v>1409</v>
      </c>
      <c r="E954" s="114" t="s">
        <v>6</v>
      </c>
      <c r="F954" s="147">
        <v>5.8999999999999997E-2</v>
      </c>
      <c r="G954" s="113"/>
      <c r="H954" s="113"/>
      <c r="I954" s="29" t="s">
        <v>2319</v>
      </c>
      <c r="J954" s="29" t="s">
        <v>2462</v>
      </c>
      <c r="K954" s="115">
        <v>7.5</v>
      </c>
      <c r="L954" s="111" t="s">
        <v>1542</v>
      </c>
      <c r="O954" s="111" t="s">
        <v>1542</v>
      </c>
      <c r="Q954" s="23"/>
      <c r="R954" s="23"/>
    </row>
    <row r="955" spans="2:18" ht="15.75" customHeight="1" x14ac:dyDescent="0.15">
      <c r="B955" s="53" t="s">
        <v>26</v>
      </c>
      <c r="C955" s="263">
        <v>44008</v>
      </c>
      <c r="D955" s="113" t="s">
        <v>1204</v>
      </c>
      <c r="E955" s="114" t="s">
        <v>34</v>
      </c>
      <c r="F955" s="147">
        <v>8.4000000000000005E-2</v>
      </c>
      <c r="G955" s="113"/>
      <c r="H955" s="113"/>
      <c r="I955" s="29" t="s">
        <v>268</v>
      </c>
      <c r="J955" s="29" t="s">
        <v>1209</v>
      </c>
      <c r="K955" s="115">
        <v>7.5</v>
      </c>
      <c r="L955" s="111" t="s">
        <v>1308</v>
      </c>
      <c r="O955" s="111" t="s">
        <v>1968</v>
      </c>
      <c r="Q955" s="23"/>
      <c r="R955" s="23"/>
    </row>
    <row r="956" spans="2:18" ht="15.75" customHeight="1" x14ac:dyDescent="0.15">
      <c r="B956" s="53" t="s">
        <v>361</v>
      </c>
      <c r="C956" s="263">
        <v>44008</v>
      </c>
      <c r="D956" s="113" t="s">
        <v>158</v>
      </c>
      <c r="E956" s="114" t="s">
        <v>6</v>
      </c>
      <c r="F956" s="147">
        <v>4.4999999999999998E-2</v>
      </c>
      <c r="G956" s="113"/>
      <c r="H956" s="113"/>
      <c r="I956" s="29" t="s">
        <v>233</v>
      </c>
      <c r="J956" s="29" t="s">
        <v>1210</v>
      </c>
      <c r="K956" s="115">
        <v>7</v>
      </c>
      <c r="L956" s="111" t="s">
        <v>158</v>
      </c>
      <c r="O956" s="116" t="s">
        <v>1565</v>
      </c>
      <c r="Q956" s="23"/>
      <c r="R956" s="23"/>
    </row>
    <row r="957" spans="2:18" ht="15.75" customHeight="1" x14ac:dyDescent="0.15">
      <c r="B957" s="53" t="s">
        <v>45</v>
      </c>
      <c r="C957" s="263">
        <v>44008</v>
      </c>
      <c r="D957" s="113" t="s">
        <v>171</v>
      </c>
      <c r="E957" s="114" t="s">
        <v>6</v>
      </c>
      <c r="F957" s="147">
        <v>5.8000000000000003E-2</v>
      </c>
      <c r="G957" s="113"/>
      <c r="H957" s="113"/>
      <c r="I957" s="29" t="s">
        <v>791</v>
      </c>
      <c r="J957" s="29" t="s">
        <v>238</v>
      </c>
      <c r="K957" s="115">
        <v>7</v>
      </c>
      <c r="L957" s="111" t="s">
        <v>1580</v>
      </c>
      <c r="O957" s="116" t="s">
        <v>1565</v>
      </c>
      <c r="Q957" s="23"/>
      <c r="R957" s="23"/>
    </row>
    <row r="958" spans="2:18" ht="15.75" customHeight="1" x14ac:dyDescent="0.15">
      <c r="B958" s="53" t="s">
        <v>50</v>
      </c>
      <c r="C958" s="263">
        <v>44008</v>
      </c>
      <c r="D958" s="113" t="s">
        <v>3606</v>
      </c>
      <c r="E958" s="114" t="s">
        <v>12</v>
      </c>
      <c r="F958" s="147">
        <v>0.375</v>
      </c>
      <c r="G958" s="113" t="s">
        <v>1205</v>
      </c>
      <c r="H958" s="113"/>
      <c r="I958" s="29" t="s">
        <v>16</v>
      </c>
      <c r="J958" s="29" t="s">
        <v>1211</v>
      </c>
      <c r="K958" s="115">
        <v>7.5</v>
      </c>
      <c r="L958" s="111" t="s">
        <v>1874</v>
      </c>
      <c r="O958" s="116" t="s">
        <v>1875</v>
      </c>
      <c r="P958" s="23" t="s">
        <v>3247</v>
      </c>
      <c r="Q958" s="23"/>
      <c r="R958" s="23"/>
    </row>
    <row r="959" spans="2:18" ht="15.75" customHeight="1" x14ac:dyDescent="0.15">
      <c r="B959" s="53" t="s">
        <v>18</v>
      </c>
      <c r="C959" s="263">
        <v>44008</v>
      </c>
      <c r="D959" s="113" t="s">
        <v>1206</v>
      </c>
      <c r="E959" s="114" t="s">
        <v>6</v>
      </c>
      <c r="F959" s="147">
        <v>4.1000000000000002E-2</v>
      </c>
      <c r="G959" s="113"/>
      <c r="H959" s="113"/>
      <c r="I959" s="29" t="s">
        <v>333</v>
      </c>
      <c r="J959" s="29" t="s">
        <v>1208</v>
      </c>
      <c r="K959" s="115">
        <v>7.5</v>
      </c>
      <c r="L959" s="111" t="s">
        <v>2034</v>
      </c>
      <c r="O959" s="111" t="s">
        <v>2034</v>
      </c>
      <c r="Q959" s="23"/>
      <c r="R959" s="23"/>
    </row>
    <row r="960" spans="2:18" ht="15.75" customHeight="1" x14ac:dyDescent="0.15">
      <c r="B960" s="53" t="s">
        <v>61</v>
      </c>
      <c r="C960" s="263">
        <v>44008</v>
      </c>
      <c r="D960" s="113" t="s">
        <v>1207</v>
      </c>
      <c r="E960" s="114" t="s">
        <v>34</v>
      </c>
      <c r="F960" s="147">
        <v>4.8000000000000001E-2</v>
      </c>
      <c r="G960" s="113"/>
      <c r="H960" s="113"/>
      <c r="I960" s="29" t="s">
        <v>1046</v>
      </c>
      <c r="J960" s="29" t="s">
        <v>146</v>
      </c>
      <c r="K960" s="115">
        <v>6</v>
      </c>
      <c r="L960" s="111" t="s">
        <v>2072</v>
      </c>
      <c r="O960" s="111" t="s">
        <v>1447</v>
      </c>
      <c r="Q960" s="23"/>
      <c r="R960" s="23"/>
    </row>
    <row r="961" spans="2:18" ht="15.75" customHeight="1" x14ac:dyDescent="0.15">
      <c r="B961" s="53" t="s">
        <v>18</v>
      </c>
      <c r="C961" s="263">
        <v>44008</v>
      </c>
      <c r="D961" s="113" t="s">
        <v>981</v>
      </c>
      <c r="E961" s="114" t="s">
        <v>27</v>
      </c>
      <c r="F961" s="147">
        <v>0.2</v>
      </c>
      <c r="G961" s="113" t="s">
        <v>555</v>
      </c>
      <c r="H961" s="113"/>
      <c r="I961" s="113" t="s">
        <v>87</v>
      </c>
      <c r="J961" s="113" t="s">
        <v>249</v>
      </c>
      <c r="K961" s="115">
        <v>8</v>
      </c>
      <c r="L961" s="111" t="s">
        <v>981</v>
      </c>
      <c r="O961" s="116" t="s">
        <v>1465</v>
      </c>
      <c r="Q961" s="23"/>
      <c r="R961" s="23"/>
    </row>
    <row r="962" spans="2:18" ht="15.75" customHeight="1" x14ac:dyDescent="0.15">
      <c r="B962" s="53" t="s">
        <v>41</v>
      </c>
      <c r="C962" s="263">
        <v>44008</v>
      </c>
      <c r="D962" s="113" t="s">
        <v>1095</v>
      </c>
      <c r="E962" s="114" t="s">
        <v>34</v>
      </c>
      <c r="F962" s="147">
        <v>0.04</v>
      </c>
      <c r="G962" s="113"/>
      <c r="H962" s="113"/>
      <c r="I962" s="29" t="s">
        <v>232</v>
      </c>
      <c r="J962" s="29" t="s">
        <v>291</v>
      </c>
      <c r="K962" s="115">
        <v>6.5</v>
      </c>
      <c r="L962" s="111" t="s">
        <v>1534</v>
      </c>
      <c r="O962" s="116" t="s">
        <v>1533</v>
      </c>
      <c r="Q962" s="23"/>
      <c r="R962" s="23"/>
    </row>
    <row r="963" spans="2:18" ht="15.75" customHeight="1" x14ac:dyDescent="0.15">
      <c r="B963" s="53" t="s">
        <v>35</v>
      </c>
      <c r="C963" s="263">
        <v>44008</v>
      </c>
      <c r="D963" s="113" t="s">
        <v>2073</v>
      </c>
      <c r="E963" s="114" t="s">
        <v>6</v>
      </c>
      <c r="F963" s="147">
        <v>5.5E-2</v>
      </c>
      <c r="G963" s="113"/>
      <c r="H963" s="113"/>
      <c r="I963" s="29" t="s">
        <v>1215</v>
      </c>
      <c r="J963" s="29" t="s">
        <v>168</v>
      </c>
      <c r="K963" s="115">
        <v>7</v>
      </c>
      <c r="L963" s="111" t="s">
        <v>1544</v>
      </c>
      <c r="O963" s="111" t="s">
        <v>1544</v>
      </c>
      <c r="Q963" s="23"/>
      <c r="R963" s="23"/>
    </row>
    <row r="964" spans="2:18" ht="15.75" customHeight="1" x14ac:dyDescent="0.15">
      <c r="B964" s="53" t="s">
        <v>61</v>
      </c>
      <c r="C964" s="263">
        <v>44008</v>
      </c>
      <c r="D964" s="113" t="s">
        <v>506</v>
      </c>
      <c r="E964" s="114" t="s">
        <v>12</v>
      </c>
      <c r="F964" s="147">
        <v>0.4</v>
      </c>
      <c r="G964" s="113" t="s">
        <v>1216</v>
      </c>
      <c r="H964" s="113"/>
      <c r="I964" s="113" t="s">
        <v>1133</v>
      </c>
      <c r="J964" s="113" t="s">
        <v>2290</v>
      </c>
      <c r="K964" s="115">
        <v>8</v>
      </c>
      <c r="L964" s="111" t="s">
        <v>1725</v>
      </c>
      <c r="O964" s="116" t="s">
        <v>1516</v>
      </c>
      <c r="Q964" s="23"/>
      <c r="R964" s="23"/>
    </row>
    <row r="965" spans="2:18" ht="15.75" customHeight="1" x14ac:dyDescent="0.15">
      <c r="B965" s="53" t="s">
        <v>18</v>
      </c>
      <c r="C965" s="263">
        <v>44008</v>
      </c>
      <c r="D965" s="113" t="s">
        <v>2074</v>
      </c>
      <c r="E965" s="114" t="s">
        <v>42</v>
      </c>
      <c r="F965" s="147">
        <v>0.14000000000000001</v>
      </c>
      <c r="G965" s="113"/>
      <c r="H965" s="113"/>
      <c r="I965" s="29" t="s">
        <v>2320</v>
      </c>
      <c r="J965" s="29" t="s">
        <v>2547</v>
      </c>
      <c r="K965" s="115">
        <v>6.5</v>
      </c>
      <c r="L965" s="111" t="s">
        <v>2075</v>
      </c>
      <c r="O965" s="111" t="s">
        <v>2076</v>
      </c>
      <c r="Q965" s="23"/>
      <c r="R965" s="23"/>
    </row>
    <row r="966" spans="2:18" ht="15.75" customHeight="1" x14ac:dyDescent="0.15">
      <c r="B966" s="53" t="s">
        <v>361</v>
      </c>
      <c r="C966" s="263">
        <v>44008</v>
      </c>
      <c r="D966" s="113" t="s">
        <v>1212</v>
      </c>
      <c r="E966" s="114" t="s">
        <v>42</v>
      </c>
      <c r="F966" s="147">
        <v>0.12</v>
      </c>
      <c r="G966" s="113"/>
      <c r="H966" s="113"/>
      <c r="I966" s="29" t="s">
        <v>2321</v>
      </c>
      <c r="J966" s="29" t="s">
        <v>1958</v>
      </c>
      <c r="K966" s="115">
        <v>5</v>
      </c>
      <c r="L966" s="111" t="s">
        <v>2077</v>
      </c>
      <c r="O966" s="111" t="s">
        <v>2077</v>
      </c>
      <c r="Q966" s="23"/>
      <c r="R966" s="23"/>
    </row>
    <row r="967" spans="2:18" ht="15.75" customHeight="1" x14ac:dyDescent="0.15">
      <c r="B967" s="53" t="s">
        <v>45</v>
      </c>
      <c r="C967" s="263">
        <v>44008</v>
      </c>
      <c r="D967" s="113" t="s">
        <v>466</v>
      </c>
      <c r="E967" s="114" t="s">
        <v>6</v>
      </c>
      <c r="F967" s="147">
        <v>4.4999999999999998E-2</v>
      </c>
      <c r="G967" s="113"/>
      <c r="H967" s="113"/>
      <c r="I967" s="29" t="s">
        <v>2322</v>
      </c>
      <c r="J967" s="29" t="s">
        <v>1432</v>
      </c>
      <c r="K967" s="115">
        <v>6</v>
      </c>
      <c r="L967" s="111" t="s">
        <v>1706</v>
      </c>
      <c r="O967" s="116" t="s">
        <v>1634</v>
      </c>
      <c r="Q967" s="23"/>
      <c r="R967" s="23"/>
    </row>
    <row r="968" spans="2:18" ht="15.75" customHeight="1" x14ac:dyDescent="0.15">
      <c r="B968" s="53" t="s">
        <v>26</v>
      </c>
      <c r="C968" s="263">
        <v>44008</v>
      </c>
      <c r="D968" s="113" t="s">
        <v>1213</v>
      </c>
      <c r="E968" s="114" t="s">
        <v>34</v>
      </c>
      <c r="F968" s="147">
        <v>0.04</v>
      </c>
      <c r="G968" s="113"/>
      <c r="H968" s="113"/>
      <c r="I968" s="29" t="s">
        <v>838</v>
      </c>
      <c r="J968" s="29" t="s">
        <v>465</v>
      </c>
      <c r="K968" s="115">
        <v>9</v>
      </c>
      <c r="L968" s="111" t="s">
        <v>1308</v>
      </c>
      <c r="O968" s="111" t="s">
        <v>1968</v>
      </c>
      <c r="Q968" s="23"/>
      <c r="R968" s="23"/>
    </row>
    <row r="969" spans="2:18" ht="15.75" customHeight="1" x14ac:dyDescent="0.15">
      <c r="B969" s="53" t="s">
        <v>996</v>
      </c>
      <c r="C969" s="263">
        <v>44008</v>
      </c>
      <c r="D969" s="113" t="s">
        <v>1047</v>
      </c>
      <c r="E969" s="114" t="s">
        <v>36</v>
      </c>
      <c r="F969" s="147">
        <v>0.432</v>
      </c>
      <c r="G969" s="113"/>
      <c r="H969" s="113"/>
      <c r="I969" s="29" t="s">
        <v>2323</v>
      </c>
      <c r="J969" s="29" t="s">
        <v>2548</v>
      </c>
      <c r="K969" s="115">
        <v>9.5</v>
      </c>
      <c r="L969" s="111" t="s">
        <v>1047</v>
      </c>
      <c r="O969" s="116" t="s">
        <v>1739</v>
      </c>
      <c r="Q969" s="23"/>
      <c r="R969" s="23"/>
    </row>
    <row r="970" spans="2:18" ht="15.75" customHeight="1" x14ac:dyDescent="0.15">
      <c r="B970" s="53" t="s">
        <v>41</v>
      </c>
      <c r="C970" s="263">
        <v>44008</v>
      </c>
      <c r="D970" s="113" t="s">
        <v>808</v>
      </c>
      <c r="E970" s="114" t="s">
        <v>34</v>
      </c>
      <c r="F970" s="147">
        <v>0.04</v>
      </c>
      <c r="G970" s="113"/>
      <c r="H970" s="113"/>
      <c r="I970" s="29" t="s">
        <v>265</v>
      </c>
      <c r="J970" s="29" t="s">
        <v>772</v>
      </c>
      <c r="K970" s="115">
        <v>7</v>
      </c>
      <c r="L970" s="111" t="s">
        <v>1576</v>
      </c>
      <c r="O970" s="116" t="s">
        <v>1533</v>
      </c>
      <c r="Q970" s="23"/>
      <c r="R970" s="23"/>
    </row>
    <row r="971" spans="2:18" ht="15.75" customHeight="1" x14ac:dyDescent="0.15">
      <c r="B971" s="53" t="s">
        <v>1120</v>
      </c>
      <c r="C971" s="263">
        <v>44008</v>
      </c>
      <c r="D971" s="113" t="s">
        <v>1214</v>
      </c>
      <c r="E971" s="114" t="s">
        <v>42</v>
      </c>
      <c r="F971" s="147">
        <v>0.13500000000000001</v>
      </c>
      <c r="G971" s="113"/>
      <c r="H971" s="113"/>
      <c r="I971" s="29" t="s">
        <v>2324</v>
      </c>
      <c r="J971" s="29" t="s">
        <v>235</v>
      </c>
      <c r="K971" s="115">
        <v>6</v>
      </c>
      <c r="L971" s="111" t="s">
        <v>2865</v>
      </c>
      <c r="M971" s="111" t="s">
        <v>1732</v>
      </c>
      <c r="O971" s="111" t="s">
        <v>2078</v>
      </c>
      <c r="Q971" s="23"/>
      <c r="R971" s="23"/>
    </row>
    <row r="972" spans="2:18" ht="15.75" customHeight="1" x14ac:dyDescent="0.15">
      <c r="B972" s="53" t="s">
        <v>420</v>
      </c>
      <c r="C972" s="263">
        <v>44008</v>
      </c>
      <c r="D972" s="113" t="s">
        <v>55</v>
      </c>
      <c r="E972" s="114" t="s">
        <v>6</v>
      </c>
      <c r="F972" s="147">
        <v>5.5E-2</v>
      </c>
      <c r="G972" s="113"/>
      <c r="H972" s="113"/>
      <c r="I972" s="29" t="s">
        <v>1412</v>
      </c>
      <c r="J972" s="29" t="s">
        <v>2549</v>
      </c>
      <c r="K972" s="115">
        <v>7.5</v>
      </c>
      <c r="L972" s="112" t="s">
        <v>2698</v>
      </c>
      <c r="M972" s="112"/>
      <c r="N972" s="112"/>
      <c r="O972" s="112" t="s">
        <v>1461</v>
      </c>
      <c r="Q972" s="23"/>
      <c r="R972" s="23"/>
    </row>
    <row r="973" spans="2:18" ht="15.75" customHeight="1" x14ac:dyDescent="0.15">
      <c r="B973" s="53" t="s">
        <v>421</v>
      </c>
      <c r="C973" s="263">
        <v>44008</v>
      </c>
      <c r="D973" s="113" t="s">
        <v>2079</v>
      </c>
      <c r="E973" s="114" t="s">
        <v>6</v>
      </c>
      <c r="F973" s="147">
        <v>4.2999999999999997E-2</v>
      </c>
      <c r="G973" s="113"/>
      <c r="H973" s="113"/>
      <c r="I973" s="29" t="s">
        <v>2167</v>
      </c>
      <c r="J973" s="29" t="s">
        <v>1401</v>
      </c>
      <c r="K973" s="115">
        <v>8</v>
      </c>
      <c r="L973" s="111" t="s">
        <v>2080</v>
      </c>
      <c r="O973" s="111" t="s">
        <v>1586</v>
      </c>
      <c r="Q973" s="23"/>
      <c r="R973" s="23"/>
    </row>
    <row r="974" spans="2:18" ht="15.75" customHeight="1" x14ac:dyDescent="0.15">
      <c r="B974" s="53" t="s">
        <v>26</v>
      </c>
      <c r="C974" s="263">
        <v>44008</v>
      </c>
      <c r="D974" s="113" t="s">
        <v>1217</v>
      </c>
      <c r="E974" s="114" t="s">
        <v>34</v>
      </c>
      <c r="F974" s="147">
        <v>0.04</v>
      </c>
      <c r="G974" s="113"/>
      <c r="H974" s="113"/>
      <c r="I974" s="29" t="s">
        <v>1220</v>
      </c>
      <c r="J974" s="29" t="s">
        <v>2181</v>
      </c>
      <c r="K974" s="115">
        <v>7</v>
      </c>
      <c r="L974" s="111" t="s">
        <v>1308</v>
      </c>
      <c r="O974" s="111" t="s">
        <v>1968</v>
      </c>
      <c r="Q974" s="23"/>
      <c r="R974" s="23"/>
    </row>
    <row r="975" spans="2:18" ht="15.75" customHeight="1" x14ac:dyDescent="0.15">
      <c r="B975" s="53" t="s">
        <v>45</v>
      </c>
      <c r="C975" s="263">
        <v>44008</v>
      </c>
      <c r="D975" s="53" t="s">
        <v>1657</v>
      </c>
      <c r="E975" s="114" t="s">
        <v>6</v>
      </c>
      <c r="F975" s="147">
        <v>5.0999999999999997E-2</v>
      </c>
      <c r="G975" s="113"/>
      <c r="H975" s="113"/>
      <c r="I975" s="29" t="s">
        <v>2325</v>
      </c>
      <c r="J975" s="29" t="s">
        <v>2550</v>
      </c>
      <c r="K975" s="115">
        <v>6.5</v>
      </c>
      <c r="L975" s="111" t="s">
        <v>1658</v>
      </c>
      <c r="O975" s="116" t="s">
        <v>1659</v>
      </c>
      <c r="Q975" s="23"/>
      <c r="R975" s="23"/>
    </row>
    <row r="976" spans="2:18" ht="15.75" customHeight="1" x14ac:dyDescent="0.15">
      <c r="B976" s="53" t="s">
        <v>361</v>
      </c>
      <c r="C976" s="263">
        <v>44008</v>
      </c>
      <c r="D976" s="113" t="s">
        <v>1218</v>
      </c>
      <c r="E976" s="114" t="s">
        <v>34</v>
      </c>
      <c r="F976" s="147">
        <v>0.05</v>
      </c>
      <c r="G976" s="113"/>
      <c r="H976" s="113"/>
      <c r="I976" s="29" t="s">
        <v>2326</v>
      </c>
      <c r="J976" s="29" t="s">
        <v>2551</v>
      </c>
      <c r="K976" s="115">
        <v>5</v>
      </c>
      <c r="L976" s="116" t="s">
        <v>2700</v>
      </c>
      <c r="M976" s="116"/>
      <c r="N976" s="116"/>
      <c r="O976" s="116" t="s">
        <v>1509</v>
      </c>
      <c r="Q976" s="23"/>
      <c r="R976" s="23"/>
    </row>
    <row r="977" spans="2:18" ht="15.75" customHeight="1" x14ac:dyDescent="0.15">
      <c r="B977" s="53" t="s">
        <v>18</v>
      </c>
      <c r="C977" s="263">
        <v>44008</v>
      </c>
      <c r="D977" s="113" t="s">
        <v>124</v>
      </c>
      <c r="E977" s="114" t="s">
        <v>6</v>
      </c>
      <c r="F977" s="147">
        <v>0.05</v>
      </c>
      <c r="G977" s="113"/>
      <c r="H977" s="113"/>
      <c r="I977" s="29" t="s">
        <v>1244</v>
      </c>
      <c r="J977" s="29" t="s">
        <v>1245</v>
      </c>
      <c r="K977" s="115">
        <v>4</v>
      </c>
      <c r="L977" s="111" t="s">
        <v>1526</v>
      </c>
      <c r="O977" s="116" t="s">
        <v>1533</v>
      </c>
      <c r="Q977" s="23"/>
      <c r="R977" s="23"/>
    </row>
    <row r="978" spans="2:18" ht="15.75" customHeight="1" x14ac:dyDescent="0.15">
      <c r="B978" s="53" t="s">
        <v>35</v>
      </c>
      <c r="C978" s="263">
        <v>44008</v>
      </c>
      <c r="D978" s="113" t="s">
        <v>1219</v>
      </c>
      <c r="E978" s="114" t="s">
        <v>6</v>
      </c>
      <c r="F978" s="147">
        <v>4.2000000000000003E-2</v>
      </c>
      <c r="G978" s="113"/>
      <c r="H978" s="113"/>
      <c r="I978" s="29" t="s">
        <v>1246</v>
      </c>
      <c r="J978" s="29" t="s">
        <v>227</v>
      </c>
      <c r="K978" s="115">
        <v>8.5</v>
      </c>
      <c r="L978" s="111" t="s">
        <v>3528</v>
      </c>
      <c r="O978" s="111" t="s">
        <v>1810</v>
      </c>
      <c r="Q978" s="23"/>
      <c r="R978" s="23"/>
    </row>
    <row r="979" spans="2:18" ht="15.75" customHeight="1" x14ac:dyDescent="0.15">
      <c r="B979" s="53" t="s">
        <v>26</v>
      </c>
      <c r="C979" s="263">
        <v>44008</v>
      </c>
      <c r="D979" s="113" t="s">
        <v>1221</v>
      </c>
      <c r="E979" s="114" t="s">
        <v>34</v>
      </c>
      <c r="F979" s="147">
        <v>4.4999999999999998E-2</v>
      </c>
      <c r="G979" s="113"/>
      <c r="H979" s="113"/>
      <c r="I979" s="29" t="s">
        <v>775</v>
      </c>
      <c r="J979" s="29" t="s">
        <v>2552</v>
      </c>
      <c r="K979" s="115">
        <v>6.5</v>
      </c>
      <c r="L979" s="111" t="s">
        <v>1308</v>
      </c>
      <c r="O979" s="111" t="s">
        <v>1968</v>
      </c>
      <c r="Q979" s="23"/>
      <c r="R979" s="23"/>
    </row>
    <row r="980" spans="2:18" ht="15.75" customHeight="1" x14ac:dyDescent="0.15">
      <c r="B980" s="53" t="s">
        <v>61</v>
      </c>
      <c r="C980" s="263">
        <v>44008</v>
      </c>
      <c r="D980" s="113" t="s">
        <v>799</v>
      </c>
      <c r="E980" s="114" t="s">
        <v>27</v>
      </c>
      <c r="F980" s="232">
        <v>0.27</v>
      </c>
      <c r="G980" s="113" t="s">
        <v>2956</v>
      </c>
      <c r="H980" s="113"/>
      <c r="I980" s="29" t="s">
        <v>2265</v>
      </c>
      <c r="J980" s="29" t="s">
        <v>709</v>
      </c>
      <c r="K980" s="115">
        <v>4</v>
      </c>
      <c r="L980" s="111" t="s">
        <v>1510</v>
      </c>
      <c r="O980" s="111" t="s">
        <v>1510</v>
      </c>
      <c r="Q980" s="23"/>
      <c r="R980" s="23"/>
    </row>
    <row r="981" spans="2:18" ht="15.75" customHeight="1" x14ac:dyDescent="0.15">
      <c r="B981" s="53" t="s">
        <v>420</v>
      </c>
      <c r="C981" s="263">
        <v>44008</v>
      </c>
      <c r="D981" s="113" t="s">
        <v>1222</v>
      </c>
      <c r="E981" s="114" t="s">
        <v>6</v>
      </c>
      <c r="F981" s="147">
        <v>5.1999999999999998E-2</v>
      </c>
      <c r="G981" s="113"/>
      <c r="H981" s="113"/>
      <c r="I981" s="29" t="s">
        <v>1247</v>
      </c>
      <c r="J981" s="29" t="s">
        <v>1248</v>
      </c>
      <c r="K981" s="115">
        <v>4</v>
      </c>
      <c r="L981" s="111" t="s">
        <v>2082</v>
      </c>
      <c r="O981" s="111" t="s">
        <v>2081</v>
      </c>
      <c r="Q981" s="23"/>
      <c r="R981" s="23"/>
    </row>
    <row r="982" spans="2:18" ht="15.75" customHeight="1" x14ac:dyDescent="0.15">
      <c r="B982" s="53" t="s">
        <v>50</v>
      </c>
      <c r="C982" s="263">
        <v>44008</v>
      </c>
      <c r="D982" s="113" t="s">
        <v>3606</v>
      </c>
      <c r="E982" s="114" t="s">
        <v>12</v>
      </c>
      <c r="F982" s="147">
        <v>0.375</v>
      </c>
      <c r="G982" s="113" t="s">
        <v>1223</v>
      </c>
      <c r="H982" s="113"/>
      <c r="I982" s="113" t="s">
        <v>1224</v>
      </c>
      <c r="J982" s="113" t="s">
        <v>1225</v>
      </c>
      <c r="K982" s="115">
        <v>7</v>
      </c>
      <c r="L982" s="111" t="s">
        <v>1874</v>
      </c>
      <c r="O982" s="116" t="s">
        <v>1875</v>
      </c>
      <c r="P982" s="23" t="s">
        <v>3247</v>
      </c>
      <c r="Q982" s="23"/>
      <c r="R982" s="23"/>
    </row>
    <row r="983" spans="2:18" ht="15.75" customHeight="1" x14ac:dyDescent="0.15">
      <c r="B983" s="53" t="s">
        <v>1120</v>
      </c>
      <c r="C983" s="263">
        <v>44008</v>
      </c>
      <c r="D983" s="113" t="s">
        <v>105</v>
      </c>
      <c r="E983" s="114" t="s">
        <v>12</v>
      </c>
      <c r="F983" s="147">
        <v>0.4</v>
      </c>
      <c r="G983" s="113" t="s">
        <v>1214</v>
      </c>
      <c r="H983" s="113"/>
      <c r="I983" s="113" t="s">
        <v>2327</v>
      </c>
      <c r="J983" s="113" t="s">
        <v>2274</v>
      </c>
      <c r="K983" s="115">
        <v>3</v>
      </c>
      <c r="L983" s="111" t="s">
        <v>1506</v>
      </c>
      <c r="O983" s="111" t="s">
        <v>1507</v>
      </c>
      <c r="Q983" s="23"/>
      <c r="R983" s="23"/>
    </row>
    <row r="984" spans="2:18" ht="15" customHeight="1" x14ac:dyDescent="0.15">
      <c r="B984" s="29" t="s">
        <v>35</v>
      </c>
      <c r="C984" s="266">
        <v>44008</v>
      </c>
      <c r="D984" s="113" t="s">
        <v>1226</v>
      </c>
      <c r="E984" s="114" t="s">
        <v>36</v>
      </c>
      <c r="F984" s="147">
        <v>0.51400000000000001</v>
      </c>
      <c r="I984" s="29" t="s">
        <v>192</v>
      </c>
      <c r="J984" s="29" t="s">
        <v>993</v>
      </c>
      <c r="K984" s="119">
        <v>6</v>
      </c>
      <c r="L984" s="111" t="s">
        <v>2083</v>
      </c>
      <c r="O984" s="111" t="s">
        <v>1701</v>
      </c>
      <c r="Q984" s="23"/>
      <c r="R984" s="23"/>
    </row>
    <row r="985" spans="2:18" ht="15" customHeight="1" x14ac:dyDescent="0.15">
      <c r="B985" s="29" t="s">
        <v>50</v>
      </c>
      <c r="C985" s="266">
        <v>44008</v>
      </c>
      <c r="D985" s="113" t="s">
        <v>415</v>
      </c>
      <c r="E985" s="114" t="s">
        <v>65</v>
      </c>
      <c r="F985" s="147">
        <v>0.21</v>
      </c>
      <c r="I985" s="29" t="s">
        <v>265</v>
      </c>
      <c r="J985" s="29" t="s">
        <v>2553</v>
      </c>
      <c r="K985" s="119">
        <v>10</v>
      </c>
      <c r="L985" s="111" t="s">
        <v>484</v>
      </c>
      <c r="O985" s="116" t="s">
        <v>1594</v>
      </c>
      <c r="Q985" s="23"/>
      <c r="R985" s="23"/>
    </row>
    <row r="986" spans="2:18" ht="15" customHeight="1" x14ac:dyDescent="0.15">
      <c r="B986" s="29" t="s">
        <v>45</v>
      </c>
      <c r="C986" s="266">
        <v>44008</v>
      </c>
      <c r="D986" s="113" t="s">
        <v>1227</v>
      </c>
      <c r="E986" s="114" t="s">
        <v>48</v>
      </c>
      <c r="F986" s="147">
        <v>0.36</v>
      </c>
      <c r="I986" s="29" t="s">
        <v>371</v>
      </c>
      <c r="J986" s="29" t="s">
        <v>649</v>
      </c>
      <c r="K986" s="119">
        <v>2</v>
      </c>
      <c r="L986" s="111" t="s">
        <v>1510</v>
      </c>
      <c r="O986" s="111" t="s">
        <v>1510</v>
      </c>
      <c r="Q986" s="23"/>
      <c r="R986" s="23"/>
    </row>
    <row r="987" spans="2:18" ht="15" customHeight="1" x14ac:dyDescent="0.15">
      <c r="B987" s="29" t="s">
        <v>26</v>
      </c>
      <c r="C987" s="266">
        <v>44008</v>
      </c>
      <c r="D987" s="113" t="s">
        <v>1228</v>
      </c>
      <c r="E987" s="114" t="s">
        <v>12</v>
      </c>
      <c r="F987" s="147">
        <v>0.3</v>
      </c>
      <c r="I987" s="29" t="s">
        <v>1229</v>
      </c>
      <c r="J987" s="29" t="s">
        <v>12</v>
      </c>
      <c r="K987" s="119">
        <v>8.5</v>
      </c>
      <c r="L987" s="111" t="s">
        <v>2084</v>
      </c>
      <c r="O987" s="111" t="s">
        <v>2084</v>
      </c>
      <c r="Q987" s="23"/>
      <c r="R987" s="23"/>
    </row>
    <row r="988" spans="2:18" ht="15" customHeight="1" x14ac:dyDescent="0.15">
      <c r="B988" s="29" t="s">
        <v>61</v>
      </c>
      <c r="C988" s="266">
        <v>44008</v>
      </c>
      <c r="D988" s="113" t="s">
        <v>1228</v>
      </c>
      <c r="E988" s="114" t="s">
        <v>12</v>
      </c>
      <c r="F988" s="147">
        <v>0.3</v>
      </c>
      <c r="I988" s="29" t="s">
        <v>1146</v>
      </c>
      <c r="J988" s="29" t="s">
        <v>1230</v>
      </c>
      <c r="K988" s="119">
        <v>8</v>
      </c>
      <c r="L988" s="111" t="s">
        <v>2084</v>
      </c>
      <c r="O988" s="111" t="s">
        <v>2084</v>
      </c>
      <c r="Q988" s="23"/>
      <c r="R988" s="23"/>
    </row>
    <row r="989" spans="2:18" ht="15" customHeight="1" x14ac:dyDescent="0.15">
      <c r="B989" s="29" t="s">
        <v>1120</v>
      </c>
      <c r="C989" s="266">
        <v>44008</v>
      </c>
      <c r="D989" s="113" t="s">
        <v>105</v>
      </c>
      <c r="E989" s="114" t="s">
        <v>12</v>
      </c>
      <c r="F989" s="147">
        <v>0.4</v>
      </c>
      <c r="G989" s="29" t="s">
        <v>1231</v>
      </c>
      <c r="I989" s="29" t="s">
        <v>1232</v>
      </c>
      <c r="J989" s="29" t="s">
        <v>285</v>
      </c>
      <c r="K989" s="119">
        <v>7</v>
      </c>
      <c r="L989" s="111" t="s">
        <v>1506</v>
      </c>
      <c r="O989" s="111" t="s">
        <v>1507</v>
      </c>
      <c r="Q989" s="23"/>
      <c r="R989" s="23"/>
    </row>
    <row r="990" spans="2:18" ht="15" customHeight="1" x14ac:dyDescent="0.15">
      <c r="B990" s="29" t="s">
        <v>420</v>
      </c>
      <c r="C990" s="266">
        <v>44008</v>
      </c>
      <c r="D990" s="113" t="s">
        <v>1233</v>
      </c>
      <c r="E990" s="114" t="s">
        <v>65</v>
      </c>
      <c r="F990" s="147">
        <v>0.15</v>
      </c>
      <c r="I990" s="29" t="s">
        <v>1234</v>
      </c>
      <c r="J990" s="29" t="s">
        <v>1235</v>
      </c>
      <c r="K990" s="119">
        <v>6</v>
      </c>
      <c r="L990" s="111" t="s">
        <v>2085</v>
      </c>
      <c r="O990" s="111" t="s">
        <v>1738</v>
      </c>
      <c r="Q990" s="23"/>
      <c r="R990" s="23"/>
    </row>
    <row r="991" spans="2:18" ht="15" customHeight="1" x14ac:dyDescent="0.15">
      <c r="B991" s="29" t="s">
        <v>421</v>
      </c>
      <c r="C991" s="266">
        <v>44008</v>
      </c>
      <c r="D991" s="113" t="s">
        <v>1233</v>
      </c>
      <c r="E991" s="114" t="s">
        <v>65</v>
      </c>
      <c r="F991" s="147">
        <v>0.15</v>
      </c>
      <c r="I991" s="29" t="s">
        <v>1236</v>
      </c>
      <c r="J991" s="29" t="s">
        <v>1237</v>
      </c>
      <c r="K991" s="119">
        <v>2</v>
      </c>
      <c r="L991" s="111" t="s">
        <v>2085</v>
      </c>
      <c r="O991" s="111" t="s">
        <v>1738</v>
      </c>
      <c r="Q991" s="23"/>
      <c r="R991" s="23"/>
    </row>
    <row r="992" spans="2:18" ht="15" customHeight="1" x14ac:dyDescent="0.15">
      <c r="B992" s="29" t="s">
        <v>361</v>
      </c>
      <c r="C992" s="266">
        <v>44008</v>
      </c>
      <c r="D992" s="113" t="s">
        <v>2086</v>
      </c>
      <c r="E992" s="114" t="s">
        <v>65</v>
      </c>
      <c r="F992" s="147">
        <v>0.4</v>
      </c>
      <c r="I992" s="29" t="s">
        <v>1238</v>
      </c>
      <c r="J992" s="29" t="s">
        <v>1239</v>
      </c>
      <c r="K992" s="119">
        <v>0.5</v>
      </c>
      <c r="L992" s="111" t="s">
        <v>1587</v>
      </c>
      <c r="O992" s="111" t="s">
        <v>1516</v>
      </c>
      <c r="Q992" s="23"/>
      <c r="R992" s="23"/>
    </row>
    <row r="993" spans="2:18" ht="15" customHeight="1" x14ac:dyDescent="0.15">
      <c r="B993" s="29" t="s">
        <v>18</v>
      </c>
      <c r="C993" s="266">
        <v>44008</v>
      </c>
      <c r="D993" s="113" t="s">
        <v>981</v>
      </c>
      <c r="E993" s="114" t="s">
        <v>27</v>
      </c>
      <c r="F993" s="147">
        <v>0.2</v>
      </c>
      <c r="G993" s="29" t="s">
        <v>44</v>
      </c>
      <c r="I993" s="29" t="s">
        <v>604</v>
      </c>
      <c r="J993" s="29" t="s">
        <v>1240</v>
      </c>
      <c r="K993" s="119">
        <v>8.5</v>
      </c>
      <c r="L993" s="111" t="s">
        <v>981</v>
      </c>
      <c r="O993" s="116" t="s">
        <v>1465</v>
      </c>
      <c r="Q993" s="23"/>
      <c r="R993" s="23"/>
    </row>
    <row r="994" spans="2:18" ht="15" customHeight="1" x14ac:dyDescent="0.15">
      <c r="B994" s="29" t="s">
        <v>9</v>
      </c>
      <c r="C994" s="266">
        <v>44008</v>
      </c>
      <c r="D994" s="113" t="s">
        <v>2087</v>
      </c>
      <c r="E994" s="114" t="s">
        <v>12</v>
      </c>
      <c r="F994" s="147">
        <v>0.41299999999999998</v>
      </c>
      <c r="G994" s="29" t="s">
        <v>1153</v>
      </c>
      <c r="I994" s="29" t="s">
        <v>215</v>
      </c>
      <c r="J994" s="29" t="s">
        <v>267</v>
      </c>
      <c r="K994" s="119">
        <v>6</v>
      </c>
      <c r="L994" s="111" t="s">
        <v>2049</v>
      </c>
      <c r="O994" s="111" t="s">
        <v>1516</v>
      </c>
      <c r="Q994" s="23"/>
      <c r="R994" s="23"/>
    </row>
    <row r="995" spans="2:18" ht="15" customHeight="1" x14ac:dyDescent="0.15">
      <c r="B995" s="29" t="s">
        <v>41</v>
      </c>
      <c r="C995" s="266">
        <v>44008</v>
      </c>
      <c r="D995" s="113" t="s">
        <v>1241</v>
      </c>
      <c r="E995" s="114" t="s">
        <v>32</v>
      </c>
      <c r="F995" s="147">
        <v>0.15</v>
      </c>
      <c r="I995" s="29" t="s">
        <v>1242</v>
      </c>
      <c r="J995" s="29" t="s">
        <v>1243</v>
      </c>
      <c r="K995" s="119">
        <v>2</v>
      </c>
      <c r="L995" s="111" t="s">
        <v>2023</v>
      </c>
      <c r="O995" s="116" t="s">
        <v>2024</v>
      </c>
      <c r="Q995" s="23"/>
      <c r="R995" s="23"/>
    </row>
    <row r="996" spans="2:18" ht="15" customHeight="1" x14ac:dyDescent="0.15">
      <c r="B996" s="29" t="s">
        <v>38</v>
      </c>
      <c r="C996" s="266">
        <v>44008</v>
      </c>
      <c r="D996" s="113" t="s">
        <v>3003</v>
      </c>
      <c r="E996" s="114" t="s">
        <v>190</v>
      </c>
      <c r="F996" s="232" t="s">
        <v>3004</v>
      </c>
      <c r="I996" s="29" t="s">
        <v>791</v>
      </c>
      <c r="J996" s="29" t="s">
        <v>2554</v>
      </c>
      <c r="K996" s="119">
        <v>5.5</v>
      </c>
      <c r="L996" s="111" t="s">
        <v>1779</v>
      </c>
      <c r="O996" s="111" t="s">
        <v>1780</v>
      </c>
      <c r="Q996" s="23"/>
      <c r="R996" s="23"/>
    </row>
    <row r="997" spans="2:18" ht="15" customHeight="1" x14ac:dyDescent="0.15">
      <c r="B997" s="29" t="s">
        <v>50</v>
      </c>
      <c r="C997" s="266">
        <v>44008</v>
      </c>
      <c r="D997" s="113" t="s">
        <v>1249</v>
      </c>
      <c r="E997" s="114" t="s">
        <v>42</v>
      </c>
      <c r="F997" s="147">
        <v>0.11</v>
      </c>
      <c r="I997" s="29" t="s">
        <v>3553</v>
      </c>
      <c r="J997" s="29" t="s">
        <v>3564</v>
      </c>
      <c r="K997" s="119">
        <v>9</v>
      </c>
      <c r="L997" s="111" t="s">
        <v>1249</v>
      </c>
      <c r="O997" s="111" t="s">
        <v>2088</v>
      </c>
      <c r="Q997" s="23"/>
      <c r="R997" s="23"/>
    </row>
    <row r="998" spans="2:18" ht="15" customHeight="1" x14ac:dyDescent="0.15">
      <c r="B998" s="29" t="s">
        <v>45</v>
      </c>
      <c r="C998" s="266">
        <v>44008</v>
      </c>
      <c r="D998" s="113" t="s">
        <v>1249</v>
      </c>
      <c r="E998" s="114" t="s">
        <v>42</v>
      </c>
      <c r="F998" s="147">
        <v>0.11</v>
      </c>
      <c r="I998" s="29" t="s">
        <v>1250</v>
      </c>
      <c r="J998" s="29" t="s">
        <v>1251</v>
      </c>
      <c r="K998" s="119">
        <v>10</v>
      </c>
      <c r="L998" s="111" t="s">
        <v>1249</v>
      </c>
      <c r="O998" s="111" t="s">
        <v>2088</v>
      </c>
      <c r="Q998" s="23"/>
      <c r="R998" s="23"/>
    </row>
    <row r="999" spans="2:18" ht="15" customHeight="1" x14ac:dyDescent="0.15">
      <c r="B999" s="29" t="s">
        <v>996</v>
      </c>
      <c r="C999" s="266">
        <v>44008</v>
      </c>
      <c r="D999" s="113" t="s">
        <v>2090</v>
      </c>
      <c r="E999" s="114" t="s">
        <v>42</v>
      </c>
      <c r="F999" s="147">
        <v>0.105</v>
      </c>
      <c r="I999" s="29" t="s">
        <v>3554</v>
      </c>
      <c r="J999" s="29" t="s">
        <v>1252</v>
      </c>
      <c r="K999" s="119">
        <v>7</v>
      </c>
      <c r="L999" s="111" t="s">
        <v>2091</v>
      </c>
      <c r="O999" s="111" t="s">
        <v>1496</v>
      </c>
      <c r="Q999" s="23"/>
      <c r="R999" s="23"/>
    </row>
    <row r="1000" spans="2:18" ht="15" customHeight="1" x14ac:dyDescent="0.15">
      <c r="B1000" s="29" t="s">
        <v>35</v>
      </c>
      <c r="C1000" s="266">
        <v>44008</v>
      </c>
      <c r="D1000" s="113" t="s">
        <v>2090</v>
      </c>
      <c r="E1000" s="114" t="s">
        <v>42</v>
      </c>
      <c r="F1000" s="147">
        <v>0.105</v>
      </c>
      <c r="I1000" s="29" t="s">
        <v>313</v>
      </c>
      <c r="J1000" s="29" t="s">
        <v>1253</v>
      </c>
      <c r="K1000" s="119">
        <v>7</v>
      </c>
      <c r="L1000" s="111" t="s">
        <v>2091</v>
      </c>
      <c r="O1000" s="111" t="s">
        <v>1496</v>
      </c>
      <c r="Q1000" s="23"/>
      <c r="R1000" s="23"/>
    </row>
    <row r="1001" spans="2:18" ht="15" customHeight="1" x14ac:dyDescent="0.15">
      <c r="B1001" s="29" t="s">
        <v>26</v>
      </c>
      <c r="C1001" s="266">
        <v>44008</v>
      </c>
      <c r="D1001" s="113" t="s">
        <v>1249</v>
      </c>
      <c r="E1001" s="114" t="s">
        <v>42</v>
      </c>
      <c r="F1001" s="147">
        <v>0.11</v>
      </c>
      <c r="I1001" s="29" t="s">
        <v>25</v>
      </c>
      <c r="J1001" s="29" t="s">
        <v>2555</v>
      </c>
      <c r="K1001" s="119">
        <v>6.5</v>
      </c>
      <c r="L1001" s="111" t="s">
        <v>1249</v>
      </c>
      <c r="O1001" s="111" t="s">
        <v>2088</v>
      </c>
      <c r="Q1001" s="23"/>
      <c r="R1001" s="23"/>
    </row>
    <row r="1002" spans="2:18" ht="15" customHeight="1" x14ac:dyDescent="0.15">
      <c r="B1002" s="29" t="s">
        <v>61</v>
      </c>
      <c r="C1002" s="266">
        <v>44008</v>
      </c>
      <c r="D1002" s="113" t="s">
        <v>2090</v>
      </c>
      <c r="E1002" s="114" t="s">
        <v>42</v>
      </c>
      <c r="F1002" s="147">
        <v>0.105</v>
      </c>
      <c r="I1002" s="29" t="s">
        <v>2328</v>
      </c>
      <c r="J1002" s="29" t="s">
        <v>1294</v>
      </c>
      <c r="K1002" s="119">
        <v>9</v>
      </c>
      <c r="L1002" s="111" t="s">
        <v>2091</v>
      </c>
      <c r="O1002" s="111" t="s">
        <v>1496</v>
      </c>
      <c r="Q1002" s="23"/>
      <c r="R1002" s="23"/>
    </row>
    <row r="1003" spans="2:18" ht="15" customHeight="1" x14ac:dyDescent="0.15">
      <c r="B1003" s="29" t="s">
        <v>1120</v>
      </c>
      <c r="C1003" s="266">
        <v>44008</v>
      </c>
      <c r="D1003" s="29" t="s">
        <v>1254</v>
      </c>
      <c r="E1003" s="114" t="s">
        <v>42</v>
      </c>
      <c r="F1003" s="147">
        <v>0.11</v>
      </c>
      <c r="I1003" s="29" t="s">
        <v>89</v>
      </c>
      <c r="J1003" s="29" t="s">
        <v>844</v>
      </c>
      <c r="K1003" s="119">
        <v>4</v>
      </c>
      <c r="L1003" s="111" t="s">
        <v>2089</v>
      </c>
      <c r="O1003" s="111" t="s">
        <v>2089</v>
      </c>
      <c r="Q1003" s="23"/>
      <c r="R1003" s="23"/>
    </row>
    <row r="1004" spans="2:18" ht="15" customHeight="1" x14ac:dyDescent="0.15">
      <c r="B1004" s="29" t="s">
        <v>420</v>
      </c>
      <c r="C1004" s="266">
        <v>44008</v>
      </c>
      <c r="D1004" s="29" t="s">
        <v>1255</v>
      </c>
      <c r="E1004" s="114" t="s">
        <v>42</v>
      </c>
      <c r="F1004" s="147">
        <v>0.115</v>
      </c>
      <c r="I1004" s="29" t="s">
        <v>33</v>
      </c>
      <c r="J1004" s="29" t="s">
        <v>1256</v>
      </c>
      <c r="K1004" s="119">
        <v>2</v>
      </c>
      <c r="L1004" s="111" t="s">
        <v>2092</v>
      </c>
      <c r="O1004" s="111" t="s">
        <v>2092</v>
      </c>
      <c r="Q1004" s="23"/>
      <c r="R1004" s="23"/>
    </row>
    <row r="1005" spans="2:18" ht="15" customHeight="1" x14ac:dyDescent="0.15">
      <c r="B1005" s="29" t="s">
        <v>421</v>
      </c>
      <c r="C1005" s="266">
        <v>44008</v>
      </c>
      <c r="D1005" s="29" t="s">
        <v>1255</v>
      </c>
      <c r="E1005" s="114" t="s">
        <v>42</v>
      </c>
      <c r="F1005" s="147">
        <v>0.115</v>
      </c>
      <c r="I1005" s="29" t="s">
        <v>298</v>
      </c>
      <c r="J1005" s="29" t="s">
        <v>1258</v>
      </c>
      <c r="K1005" s="119">
        <v>1</v>
      </c>
      <c r="L1005" s="111" t="s">
        <v>2092</v>
      </c>
      <c r="O1005" s="111" t="s">
        <v>2092</v>
      </c>
      <c r="Q1005" s="23"/>
      <c r="R1005" s="23"/>
    </row>
    <row r="1006" spans="2:18" ht="15" customHeight="1" x14ac:dyDescent="0.15">
      <c r="B1006" s="29" t="s">
        <v>361</v>
      </c>
      <c r="C1006" s="266">
        <v>44008</v>
      </c>
      <c r="D1006" s="29" t="s">
        <v>1249</v>
      </c>
      <c r="E1006" s="114" t="s">
        <v>42</v>
      </c>
      <c r="F1006" s="147">
        <v>0.11</v>
      </c>
      <c r="I1006" s="29" t="s">
        <v>3555</v>
      </c>
      <c r="J1006" s="29" t="s">
        <v>2556</v>
      </c>
      <c r="K1006" s="119">
        <v>6</v>
      </c>
      <c r="L1006" s="111" t="s">
        <v>1249</v>
      </c>
      <c r="O1006" s="111" t="s">
        <v>2088</v>
      </c>
      <c r="Q1006" s="23"/>
      <c r="R1006" s="23"/>
    </row>
    <row r="1007" spans="2:18" ht="15" customHeight="1" x14ac:dyDescent="0.15">
      <c r="B1007" s="29" t="s">
        <v>18</v>
      </c>
      <c r="C1007" s="266">
        <v>44008</v>
      </c>
      <c r="D1007" s="29" t="s">
        <v>3479</v>
      </c>
      <c r="E1007" s="114" t="s">
        <v>42</v>
      </c>
      <c r="F1007" s="147">
        <v>0.105</v>
      </c>
      <c r="I1007" s="29" t="s">
        <v>1259</v>
      </c>
      <c r="J1007" s="29" t="s">
        <v>1260</v>
      </c>
      <c r="K1007" s="119">
        <v>7</v>
      </c>
      <c r="L1007" s="111" t="s">
        <v>1589</v>
      </c>
      <c r="O1007" s="111" t="s">
        <v>1589</v>
      </c>
      <c r="Q1007" s="23"/>
      <c r="R1007" s="23"/>
    </row>
    <row r="1008" spans="2:18" ht="15" customHeight="1" x14ac:dyDescent="0.15">
      <c r="B1008" s="29" t="s">
        <v>9</v>
      </c>
      <c r="C1008" s="266">
        <v>44008</v>
      </c>
      <c r="D1008" s="29" t="s">
        <v>3479</v>
      </c>
      <c r="E1008" s="114" t="s">
        <v>42</v>
      </c>
      <c r="F1008" s="147">
        <v>0.105</v>
      </c>
      <c r="I1008" s="29" t="s">
        <v>1261</v>
      </c>
      <c r="J1008" s="29" t="s">
        <v>1262</v>
      </c>
      <c r="K1008" s="119">
        <v>7</v>
      </c>
      <c r="L1008" s="111" t="s">
        <v>1589</v>
      </c>
      <c r="O1008" s="111" t="s">
        <v>1589</v>
      </c>
      <c r="Q1008" s="23"/>
      <c r="R1008" s="23"/>
    </row>
    <row r="1009" spans="2:18" ht="15" customHeight="1" x14ac:dyDescent="0.15">
      <c r="B1009" s="29" t="s">
        <v>38</v>
      </c>
      <c r="C1009" s="266">
        <v>44008</v>
      </c>
      <c r="D1009" s="29" t="s">
        <v>1263</v>
      </c>
      <c r="E1009" s="114" t="s">
        <v>6</v>
      </c>
      <c r="F1009" s="147">
        <v>0.05</v>
      </c>
      <c r="I1009" s="29" t="s">
        <v>1264</v>
      </c>
      <c r="J1009" s="29" t="s">
        <v>1265</v>
      </c>
      <c r="K1009" s="119">
        <v>5</v>
      </c>
      <c r="L1009" s="111" t="s">
        <v>1263</v>
      </c>
      <c r="O1009" s="111" t="s">
        <v>2093</v>
      </c>
      <c r="Q1009" s="23"/>
      <c r="R1009" s="23"/>
    </row>
    <row r="1010" spans="2:18" ht="15" customHeight="1" x14ac:dyDescent="0.15">
      <c r="B1010" s="29" t="s">
        <v>189</v>
      </c>
      <c r="C1010" s="266">
        <v>44008</v>
      </c>
      <c r="D1010" s="29" t="s">
        <v>1410</v>
      </c>
      <c r="E1010" s="114" t="s">
        <v>6</v>
      </c>
      <c r="F1010" s="147">
        <v>4.2000000000000003E-2</v>
      </c>
      <c r="I1010" s="29" t="s">
        <v>230</v>
      </c>
      <c r="J1010" s="29" t="s">
        <v>304</v>
      </c>
      <c r="K1010" s="119">
        <v>7.5</v>
      </c>
      <c r="L1010" s="111" t="s">
        <v>1542</v>
      </c>
      <c r="M1010" s="111" t="s">
        <v>2451</v>
      </c>
      <c r="O1010" s="111" t="s">
        <v>2008</v>
      </c>
      <c r="Q1010" s="23"/>
      <c r="R1010" s="23"/>
    </row>
    <row r="1011" spans="2:18" ht="15" customHeight="1" x14ac:dyDescent="0.15">
      <c r="B1011" s="29" t="s">
        <v>73</v>
      </c>
      <c r="C1011" s="266">
        <v>44008</v>
      </c>
      <c r="D1011" s="29" t="s">
        <v>1249</v>
      </c>
      <c r="E1011" s="114" t="s">
        <v>42</v>
      </c>
      <c r="F1011" s="147">
        <v>0.11</v>
      </c>
      <c r="I1011" s="29" t="s">
        <v>705</v>
      </c>
      <c r="J1011" s="29" t="s">
        <v>1266</v>
      </c>
      <c r="K1011" s="119">
        <v>10</v>
      </c>
      <c r="L1011" s="111" t="s">
        <v>1249</v>
      </c>
      <c r="O1011" s="111" t="s">
        <v>2088</v>
      </c>
      <c r="Q1011" s="23"/>
      <c r="R1011" s="23"/>
    </row>
    <row r="1012" spans="2:18" ht="15" customHeight="1" x14ac:dyDescent="0.15">
      <c r="B1012" s="29" t="s">
        <v>41</v>
      </c>
      <c r="C1012" s="266">
        <v>44008</v>
      </c>
      <c r="D1012" s="29" t="s">
        <v>1249</v>
      </c>
      <c r="E1012" s="114" t="s">
        <v>42</v>
      </c>
      <c r="F1012" s="147">
        <v>0.11</v>
      </c>
      <c r="I1012" s="29" t="s">
        <v>313</v>
      </c>
      <c r="J1012" s="29" t="s">
        <v>2557</v>
      </c>
      <c r="K1012" s="119">
        <v>10</v>
      </c>
      <c r="L1012" s="111" t="s">
        <v>1249</v>
      </c>
      <c r="O1012" s="111" t="s">
        <v>2088</v>
      </c>
      <c r="Q1012" s="23"/>
      <c r="R1012" s="23"/>
    </row>
    <row r="1013" spans="2:18" ht="15" customHeight="1" x14ac:dyDescent="0.15">
      <c r="B1013" s="29" t="s">
        <v>18</v>
      </c>
      <c r="C1013" s="266">
        <v>44008</v>
      </c>
      <c r="D1013" s="29" t="s">
        <v>124</v>
      </c>
      <c r="E1013" s="114" t="s">
        <v>6</v>
      </c>
      <c r="F1013" s="147">
        <v>0.05</v>
      </c>
      <c r="G1013" s="29" t="s">
        <v>1267</v>
      </c>
      <c r="I1013" s="29" t="s">
        <v>582</v>
      </c>
      <c r="J1013" s="29" t="s">
        <v>321</v>
      </c>
      <c r="K1013" s="119">
        <v>6</v>
      </c>
      <c r="L1013" s="111" t="s">
        <v>1526</v>
      </c>
      <c r="O1013" s="116" t="s">
        <v>1533</v>
      </c>
      <c r="Q1013" s="23"/>
      <c r="R1013" s="23"/>
    </row>
    <row r="1014" spans="2:18" ht="15" customHeight="1" x14ac:dyDescent="0.15">
      <c r="B1014" s="29" t="s">
        <v>41</v>
      </c>
      <c r="C1014" s="266">
        <v>44008</v>
      </c>
      <c r="D1014" s="29" t="s">
        <v>2094</v>
      </c>
      <c r="E1014" s="114" t="s">
        <v>34</v>
      </c>
      <c r="F1014" s="147">
        <v>0.04</v>
      </c>
      <c r="I1014" s="29" t="s">
        <v>265</v>
      </c>
      <c r="J1014" s="29" t="s">
        <v>24</v>
      </c>
      <c r="K1014" s="119">
        <v>7</v>
      </c>
      <c r="L1014" s="111" t="s">
        <v>3157</v>
      </c>
      <c r="O1014" s="111" t="s">
        <v>1589</v>
      </c>
      <c r="Q1014" s="23"/>
      <c r="R1014" s="23"/>
    </row>
    <row r="1015" spans="2:18" ht="15" customHeight="1" x14ac:dyDescent="0.15">
      <c r="B1015" s="29" t="s">
        <v>35</v>
      </c>
      <c r="C1015" s="266">
        <v>44008</v>
      </c>
      <c r="D1015" s="29" t="s">
        <v>2095</v>
      </c>
      <c r="E1015" s="114" t="s">
        <v>6</v>
      </c>
      <c r="F1015" s="147">
        <v>5.6000000000000001E-2</v>
      </c>
      <c r="I1015" s="29" t="s">
        <v>112</v>
      </c>
      <c r="J1015" s="29" t="s">
        <v>2558</v>
      </c>
      <c r="K1015" s="119">
        <v>7</v>
      </c>
      <c r="L1015" s="111" t="s">
        <v>764</v>
      </c>
      <c r="O1015" s="111" t="s">
        <v>1539</v>
      </c>
      <c r="Q1015" s="23"/>
      <c r="R1015" s="23"/>
    </row>
    <row r="1016" spans="2:18" ht="15" customHeight="1" x14ac:dyDescent="0.15">
      <c r="B1016" s="29" t="s">
        <v>73</v>
      </c>
      <c r="C1016" s="266">
        <v>44008</v>
      </c>
      <c r="D1016" s="29" t="s">
        <v>1268</v>
      </c>
      <c r="E1016" s="114" t="s">
        <v>65</v>
      </c>
      <c r="F1016" s="147">
        <v>0.38</v>
      </c>
      <c r="I1016" s="29" t="s">
        <v>192</v>
      </c>
      <c r="J1016" s="29" t="s">
        <v>722</v>
      </c>
      <c r="K1016" s="119">
        <v>8</v>
      </c>
      <c r="L1016" s="111" t="s">
        <v>1809</v>
      </c>
      <c r="O1016" s="111" t="s">
        <v>1809</v>
      </c>
      <c r="Q1016" s="23"/>
      <c r="R1016" s="23"/>
    </row>
    <row r="1017" spans="2:18" ht="15" customHeight="1" x14ac:dyDescent="0.15">
      <c r="B1017" s="29" t="s">
        <v>73</v>
      </c>
      <c r="C1017" s="266">
        <v>44008</v>
      </c>
      <c r="D1017" s="29" t="s">
        <v>1269</v>
      </c>
      <c r="E1017" s="114" t="s">
        <v>190</v>
      </c>
      <c r="F1017" s="147">
        <v>4.4999999999999998E-2</v>
      </c>
      <c r="I1017" s="29" t="s">
        <v>229</v>
      </c>
      <c r="J1017" s="29" t="s">
        <v>1271</v>
      </c>
      <c r="K1017" s="119">
        <v>9</v>
      </c>
      <c r="L1017" s="111" t="s">
        <v>2707</v>
      </c>
      <c r="O1017" s="111" t="s">
        <v>2096</v>
      </c>
      <c r="Q1017" s="23"/>
      <c r="R1017" s="23"/>
    </row>
    <row r="1018" spans="2:18" ht="15" customHeight="1" x14ac:dyDescent="0.15">
      <c r="B1018" s="29" t="s">
        <v>420</v>
      </c>
      <c r="C1018" s="266">
        <v>44008</v>
      </c>
      <c r="D1018" s="29" t="s">
        <v>1119</v>
      </c>
      <c r="E1018" s="114" t="s">
        <v>6</v>
      </c>
      <c r="F1018" s="147">
        <v>6.2E-2</v>
      </c>
      <c r="I1018" s="29" t="s">
        <v>285</v>
      </c>
      <c r="J1018" s="29" t="s">
        <v>1078</v>
      </c>
      <c r="K1018" s="119">
        <v>6.5</v>
      </c>
      <c r="L1018" s="111" t="s">
        <v>1599</v>
      </c>
      <c r="M1018" s="111" t="s">
        <v>2589</v>
      </c>
      <c r="N1018" s="111" t="s">
        <v>2590</v>
      </c>
      <c r="O1018" s="111" t="s">
        <v>2050</v>
      </c>
      <c r="Q1018" s="23"/>
      <c r="R1018" s="23"/>
    </row>
    <row r="1019" spans="2:18" ht="15" customHeight="1" x14ac:dyDescent="0.15">
      <c r="B1019" s="29" t="s">
        <v>420</v>
      </c>
      <c r="C1019" s="266">
        <v>44008</v>
      </c>
      <c r="D1019" s="29" t="s">
        <v>1168</v>
      </c>
      <c r="E1019" s="114" t="s">
        <v>6</v>
      </c>
      <c r="F1019" s="147">
        <v>4.2000000000000003E-2</v>
      </c>
      <c r="I1019" s="29" t="s">
        <v>264</v>
      </c>
      <c r="J1019" s="29" t="s">
        <v>705</v>
      </c>
      <c r="K1019" s="119">
        <v>5</v>
      </c>
      <c r="L1019" s="111" t="s">
        <v>764</v>
      </c>
      <c r="O1019" s="111" t="s">
        <v>1539</v>
      </c>
      <c r="Q1019" s="23"/>
      <c r="R1019" s="23"/>
    </row>
    <row r="1020" spans="2:18" ht="15" customHeight="1" x14ac:dyDescent="0.15">
      <c r="B1020" s="29" t="s">
        <v>1120</v>
      </c>
      <c r="C1020" s="266">
        <v>44008</v>
      </c>
      <c r="D1020" s="29" t="s">
        <v>953</v>
      </c>
      <c r="E1020" s="114" t="s">
        <v>12</v>
      </c>
      <c r="F1020" s="147">
        <v>0.25</v>
      </c>
      <c r="G1020" s="29" t="s">
        <v>374</v>
      </c>
      <c r="I1020" s="29" t="s">
        <v>217</v>
      </c>
      <c r="J1020" s="29" t="s">
        <v>980</v>
      </c>
      <c r="K1020" s="119">
        <v>6</v>
      </c>
      <c r="L1020" s="111" t="s">
        <v>953</v>
      </c>
      <c r="O1020" s="116" t="s">
        <v>1516</v>
      </c>
      <c r="Q1020" s="23"/>
      <c r="R1020" s="23"/>
    </row>
    <row r="1021" spans="2:18" ht="15" customHeight="1" x14ac:dyDescent="0.15">
      <c r="B1021" s="29" t="s">
        <v>45</v>
      </c>
      <c r="C1021" s="266">
        <v>44008</v>
      </c>
      <c r="D1021" s="29" t="s">
        <v>2097</v>
      </c>
      <c r="E1021" s="114" t="s">
        <v>6</v>
      </c>
      <c r="F1021" s="147">
        <v>7.3999999999999996E-2</v>
      </c>
      <c r="I1021" s="29" t="s">
        <v>70</v>
      </c>
      <c r="J1021" s="29" t="s">
        <v>1273</v>
      </c>
      <c r="K1021" s="119">
        <v>8</v>
      </c>
      <c r="L1021" s="111" t="s">
        <v>2046</v>
      </c>
      <c r="O1021" s="111" t="s">
        <v>2046</v>
      </c>
      <c r="Q1021" s="23"/>
      <c r="R1021" s="23"/>
    </row>
    <row r="1022" spans="2:18" ht="15" customHeight="1" x14ac:dyDescent="0.15">
      <c r="B1022" s="29" t="s">
        <v>73</v>
      </c>
      <c r="C1022" s="266">
        <v>44008</v>
      </c>
      <c r="D1022" s="29" t="s">
        <v>2097</v>
      </c>
      <c r="E1022" s="114" t="s">
        <v>6</v>
      </c>
      <c r="F1022" s="147">
        <v>7.3999999999999996E-2</v>
      </c>
      <c r="I1022" s="29" t="s">
        <v>70</v>
      </c>
      <c r="J1022" s="29" t="s">
        <v>509</v>
      </c>
      <c r="K1022" s="119">
        <v>9</v>
      </c>
      <c r="L1022" s="111" t="s">
        <v>2046</v>
      </c>
      <c r="O1022" s="111" t="s">
        <v>2046</v>
      </c>
      <c r="Q1022" s="23"/>
      <c r="R1022" s="23"/>
    </row>
    <row r="1023" spans="2:18" ht="15" customHeight="1" x14ac:dyDescent="0.15">
      <c r="B1023" s="29" t="s">
        <v>361</v>
      </c>
      <c r="C1023" s="266">
        <v>44008</v>
      </c>
      <c r="D1023" s="29" t="s">
        <v>607</v>
      </c>
      <c r="E1023" s="114" t="s">
        <v>34</v>
      </c>
      <c r="F1023" s="147">
        <v>6.8000000000000005E-2</v>
      </c>
      <c r="I1023" s="29" t="s">
        <v>2329</v>
      </c>
      <c r="J1023" s="29" t="s">
        <v>2559</v>
      </c>
      <c r="K1023" s="119">
        <v>9.5</v>
      </c>
      <c r="L1023" s="111" t="s">
        <v>1627</v>
      </c>
      <c r="O1023" s="111" t="s">
        <v>1626</v>
      </c>
      <c r="Q1023" s="23"/>
      <c r="R1023" s="23"/>
    </row>
    <row r="1024" spans="2:18" ht="15" customHeight="1" x14ac:dyDescent="0.15">
      <c r="B1024" s="29" t="s">
        <v>421</v>
      </c>
      <c r="C1024" s="266">
        <v>44008</v>
      </c>
      <c r="D1024" s="29" t="s">
        <v>1272</v>
      </c>
      <c r="E1024" s="114" t="s">
        <v>34</v>
      </c>
      <c r="F1024" s="147">
        <v>5.5E-2</v>
      </c>
      <c r="I1024" s="29" t="s">
        <v>2314</v>
      </c>
      <c r="J1024" s="29" t="s">
        <v>2177</v>
      </c>
      <c r="K1024" s="119">
        <v>9</v>
      </c>
      <c r="L1024" s="111" t="s">
        <v>2098</v>
      </c>
      <c r="O1024" s="111" t="s">
        <v>2098</v>
      </c>
      <c r="Q1024" s="23"/>
      <c r="R1024" s="23"/>
    </row>
    <row r="1025" spans="2:18" ht="15" customHeight="1" x14ac:dyDescent="0.15">
      <c r="B1025" s="29" t="s">
        <v>61</v>
      </c>
      <c r="C1025" s="266">
        <v>44008</v>
      </c>
      <c r="D1025" s="29" t="s">
        <v>965</v>
      </c>
      <c r="E1025" s="114" t="s">
        <v>32</v>
      </c>
      <c r="F1025" s="147">
        <v>0.04</v>
      </c>
      <c r="I1025" s="29" t="s">
        <v>1274</v>
      </c>
      <c r="J1025" s="29" t="s">
        <v>2560</v>
      </c>
      <c r="K1025" s="119">
        <v>4</v>
      </c>
      <c r="L1025" s="111" t="s">
        <v>1996</v>
      </c>
      <c r="O1025" s="111" t="s">
        <v>1995</v>
      </c>
      <c r="Q1025" s="23"/>
      <c r="R1025" s="23"/>
    </row>
    <row r="1026" spans="2:18" ht="15" customHeight="1" x14ac:dyDescent="0.15">
      <c r="B1026" s="29" t="s">
        <v>26</v>
      </c>
      <c r="C1026" s="266">
        <v>44008</v>
      </c>
      <c r="D1026" s="53" t="s">
        <v>904</v>
      </c>
      <c r="E1026" s="114" t="s">
        <v>34</v>
      </c>
      <c r="F1026" s="147">
        <v>0.04</v>
      </c>
      <c r="I1026" s="29" t="s">
        <v>2330</v>
      </c>
      <c r="J1026" s="29" t="s">
        <v>2561</v>
      </c>
      <c r="K1026" s="119">
        <v>8.5</v>
      </c>
      <c r="L1026" s="111" t="s">
        <v>1864</v>
      </c>
      <c r="O1026" s="111" t="s">
        <v>2052</v>
      </c>
      <c r="Q1026" s="23"/>
      <c r="R1026" s="23"/>
    </row>
    <row r="1027" spans="2:18" ht="15" customHeight="1" x14ac:dyDescent="0.15">
      <c r="B1027" s="29" t="s">
        <v>35</v>
      </c>
      <c r="C1027" s="266">
        <v>44008</v>
      </c>
      <c r="D1027" s="29" t="s">
        <v>2040</v>
      </c>
      <c r="E1027" s="114" t="s">
        <v>6</v>
      </c>
      <c r="F1027" s="147">
        <v>0.04</v>
      </c>
      <c r="I1027" s="29" t="s">
        <v>163</v>
      </c>
      <c r="J1027" s="29" t="s">
        <v>2562</v>
      </c>
      <c r="K1027" s="119">
        <v>6</v>
      </c>
      <c r="L1027" s="111" t="s">
        <v>2000</v>
      </c>
      <c r="M1027" s="111" t="s">
        <v>2451</v>
      </c>
      <c r="O1027" s="116" t="s">
        <v>2004</v>
      </c>
      <c r="Q1027" s="23"/>
      <c r="R1027" s="23"/>
    </row>
    <row r="1028" spans="2:18" ht="15" customHeight="1" x14ac:dyDescent="0.15">
      <c r="B1028" s="29" t="s">
        <v>420</v>
      </c>
      <c r="C1028" s="266">
        <v>44008</v>
      </c>
      <c r="D1028" s="29" t="s">
        <v>1174</v>
      </c>
      <c r="E1028" s="114" t="s">
        <v>6</v>
      </c>
      <c r="F1028" s="147">
        <v>3.4000000000000002E-2</v>
      </c>
      <c r="I1028" s="29" t="s">
        <v>311</v>
      </c>
      <c r="J1028" s="29" t="s">
        <v>89</v>
      </c>
      <c r="K1028" s="119">
        <v>3</v>
      </c>
      <c r="L1028" s="111" t="s">
        <v>1679</v>
      </c>
      <c r="O1028" s="116" t="s">
        <v>1680</v>
      </c>
      <c r="Q1028" s="23"/>
      <c r="R1028" s="23"/>
    </row>
    <row r="1029" spans="2:18" ht="15" customHeight="1" x14ac:dyDescent="0.15">
      <c r="B1029" s="29" t="s">
        <v>1120</v>
      </c>
      <c r="C1029" s="266">
        <v>44008</v>
      </c>
      <c r="D1029" s="29" t="s">
        <v>2064</v>
      </c>
      <c r="E1029" s="114" t="s">
        <v>36</v>
      </c>
      <c r="F1029" s="147">
        <v>0.45</v>
      </c>
      <c r="G1029" s="29" t="s">
        <v>703</v>
      </c>
      <c r="H1029" s="29" t="s">
        <v>394</v>
      </c>
      <c r="I1029" s="29" t="s">
        <v>1286</v>
      </c>
      <c r="J1029" s="29" t="s">
        <v>1287</v>
      </c>
      <c r="K1029" s="119">
        <v>9.5</v>
      </c>
      <c r="L1029" s="111" t="s">
        <v>2065</v>
      </c>
      <c r="O1029" s="116" t="s">
        <v>1516</v>
      </c>
      <c r="Q1029" s="23"/>
      <c r="R1029" s="23"/>
    </row>
    <row r="1030" spans="2:18" ht="15" customHeight="1" x14ac:dyDescent="0.15">
      <c r="B1030" s="29" t="s">
        <v>45</v>
      </c>
      <c r="C1030" s="266">
        <v>44008</v>
      </c>
      <c r="D1030" s="29" t="s">
        <v>1076</v>
      </c>
      <c r="E1030" s="114" t="s">
        <v>6</v>
      </c>
      <c r="F1030" s="147">
        <v>5.5E-2</v>
      </c>
      <c r="I1030" s="29" t="s">
        <v>495</v>
      </c>
      <c r="J1030" s="29" t="s">
        <v>629</v>
      </c>
      <c r="K1030" s="119">
        <v>7</v>
      </c>
      <c r="L1030" s="111" t="s">
        <v>2037</v>
      </c>
      <c r="O1030" s="116" t="s">
        <v>2038</v>
      </c>
      <c r="Q1030" s="23"/>
      <c r="R1030" s="23"/>
    </row>
    <row r="1031" spans="2:18" ht="15" customHeight="1" x14ac:dyDescent="0.15">
      <c r="B1031" s="29" t="s">
        <v>45</v>
      </c>
      <c r="C1031" s="266">
        <v>44008</v>
      </c>
      <c r="D1031" s="29" t="s">
        <v>1661</v>
      </c>
      <c r="E1031" s="114" t="s">
        <v>65</v>
      </c>
      <c r="F1031" s="147">
        <v>0.375</v>
      </c>
      <c r="I1031" s="29" t="s">
        <v>1264</v>
      </c>
      <c r="J1031" s="29" t="s">
        <v>657</v>
      </c>
      <c r="K1031" s="119">
        <v>6</v>
      </c>
      <c r="L1031" s="111" t="s">
        <v>1662</v>
      </c>
      <c r="O1031" s="116" t="s">
        <v>1663</v>
      </c>
      <c r="Q1031" s="23"/>
      <c r="R1031" s="23"/>
    </row>
    <row r="1032" spans="2:18" ht="15" customHeight="1" x14ac:dyDescent="0.15">
      <c r="B1032" s="29" t="s">
        <v>50</v>
      </c>
      <c r="C1032" s="266">
        <v>44008</v>
      </c>
      <c r="D1032" s="29" t="s">
        <v>1661</v>
      </c>
      <c r="E1032" s="114" t="s">
        <v>65</v>
      </c>
      <c r="F1032" s="147">
        <v>0.375</v>
      </c>
      <c r="I1032" s="29" t="s">
        <v>2331</v>
      </c>
      <c r="J1032" s="29" t="s">
        <v>147</v>
      </c>
      <c r="K1032" s="119">
        <v>2</v>
      </c>
      <c r="L1032" s="111" t="s">
        <v>1662</v>
      </c>
      <c r="O1032" s="116" t="s">
        <v>1663</v>
      </c>
      <c r="Q1032" s="23"/>
      <c r="R1032" s="23"/>
    </row>
    <row r="1033" spans="2:18" ht="15" customHeight="1" x14ac:dyDescent="0.15">
      <c r="B1033" s="29" t="s">
        <v>35</v>
      </c>
      <c r="C1033" s="266">
        <v>44008</v>
      </c>
      <c r="D1033" s="29" t="s">
        <v>1228</v>
      </c>
      <c r="E1033" s="114" t="s">
        <v>12</v>
      </c>
      <c r="F1033" s="147">
        <v>0.3</v>
      </c>
      <c r="I1033" s="29" t="s">
        <v>1275</v>
      </c>
      <c r="J1033" s="29" t="s">
        <v>1276</v>
      </c>
      <c r="K1033" s="119">
        <v>7</v>
      </c>
      <c r="L1033" s="111" t="s">
        <v>2084</v>
      </c>
      <c r="O1033" s="111" t="s">
        <v>2084</v>
      </c>
      <c r="Q1033" s="23"/>
      <c r="R1033" s="23"/>
    </row>
    <row r="1034" spans="2:18" ht="15" customHeight="1" x14ac:dyDescent="0.15">
      <c r="B1034" s="29" t="s">
        <v>26</v>
      </c>
      <c r="C1034" s="266">
        <v>44008</v>
      </c>
      <c r="D1034" s="29" t="s">
        <v>1161</v>
      </c>
      <c r="E1034" s="114" t="s">
        <v>32</v>
      </c>
      <c r="F1034" s="147">
        <v>0.04</v>
      </c>
      <c r="I1034" s="29" t="s">
        <v>2187</v>
      </c>
      <c r="J1034" s="29" t="s">
        <v>2159</v>
      </c>
      <c r="K1034" s="119">
        <v>7</v>
      </c>
      <c r="L1034" s="111" t="s">
        <v>1996</v>
      </c>
      <c r="O1034" s="116" t="s">
        <v>1995</v>
      </c>
      <c r="Q1034" s="23"/>
      <c r="R1034" s="23"/>
    </row>
    <row r="1035" spans="2:18" ht="15" customHeight="1" x14ac:dyDescent="0.15">
      <c r="B1035" s="29" t="s">
        <v>1120</v>
      </c>
      <c r="C1035" s="266">
        <v>44008</v>
      </c>
      <c r="D1035" s="29" t="s">
        <v>2100</v>
      </c>
      <c r="E1035" s="114" t="s">
        <v>190</v>
      </c>
      <c r="F1035" s="147">
        <v>0.35</v>
      </c>
      <c r="I1035" s="29" t="s">
        <v>1279</v>
      </c>
      <c r="J1035" s="29" t="s">
        <v>555</v>
      </c>
      <c r="K1035" s="119">
        <v>9</v>
      </c>
      <c r="L1035" s="111" t="s">
        <v>2099</v>
      </c>
      <c r="O1035" s="111" t="s">
        <v>2099</v>
      </c>
      <c r="Q1035" s="23"/>
      <c r="R1035" s="23"/>
    </row>
    <row r="1036" spans="2:18" ht="15" customHeight="1" x14ac:dyDescent="0.15">
      <c r="B1036" s="29" t="s">
        <v>361</v>
      </c>
      <c r="C1036" s="266">
        <v>44008</v>
      </c>
      <c r="D1036" s="29" t="s">
        <v>1277</v>
      </c>
      <c r="E1036" s="114" t="s">
        <v>12</v>
      </c>
      <c r="F1036" s="147">
        <v>0.43</v>
      </c>
      <c r="I1036" s="29" t="s">
        <v>303</v>
      </c>
      <c r="J1036" s="29" t="s">
        <v>1278</v>
      </c>
      <c r="K1036" s="119">
        <v>4</v>
      </c>
      <c r="L1036" s="111" t="s">
        <v>1277</v>
      </c>
      <c r="O1036" s="111" t="s">
        <v>1573</v>
      </c>
      <c r="Q1036" s="23"/>
      <c r="R1036" s="23"/>
    </row>
    <row r="1037" spans="2:18" ht="15" customHeight="1" x14ac:dyDescent="0.15">
      <c r="B1037" s="29" t="s">
        <v>73</v>
      </c>
      <c r="C1037" s="266">
        <v>44008</v>
      </c>
      <c r="D1037" s="29" t="s">
        <v>1280</v>
      </c>
      <c r="E1037" s="114" t="s">
        <v>12</v>
      </c>
      <c r="F1037" s="147">
        <v>0.2</v>
      </c>
      <c r="I1037" s="29" t="s">
        <v>2332</v>
      </c>
      <c r="J1037" s="29" t="s">
        <v>1046</v>
      </c>
      <c r="K1037" s="119">
        <v>7.5</v>
      </c>
      <c r="L1037" s="111" t="s">
        <v>1277</v>
      </c>
      <c r="O1037" s="111" t="s">
        <v>1573</v>
      </c>
      <c r="Q1037" s="23"/>
      <c r="R1037" s="23"/>
    </row>
    <row r="1038" spans="2:18" ht="15" customHeight="1" x14ac:dyDescent="0.15">
      <c r="B1038" s="29" t="s">
        <v>420</v>
      </c>
      <c r="C1038" s="266">
        <v>44008</v>
      </c>
      <c r="D1038" s="29" t="s">
        <v>1777</v>
      </c>
      <c r="E1038" s="114" t="s">
        <v>27</v>
      </c>
      <c r="F1038" s="147">
        <v>0.2</v>
      </c>
      <c r="I1038" s="29" t="s">
        <v>1281</v>
      </c>
      <c r="J1038" s="29" t="s">
        <v>1282</v>
      </c>
      <c r="K1038" s="119">
        <v>6</v>
      </c>
      <c r="L1038" s="111" t="s">
        <v>1777</v>
      </c>
      <c r="O1038" s="111" t="s">
        <v>1594</v>
      </c>
      <c r="Q1038" s="23"/>
      <c r="R1038" s="23"/>
    </row>
    <row r="1039" spans="2:18" ht="15" customHeight="1" x14ac:dyDescent="0.15">
      <c r="B1039" s="29" t="s">
        <v>61</v>
      </c>
      <c r="C1039" s="266">
        <v>44008</v>
      </c>
      <c r="D1039" s="29" t="s">
        <v>1226</v>
      </c>
      <c r="E1039" s="114" t="s">
        <v>36</v>
      </c>
      <c r="F1039" s="147">
        <v>0.51400000000000001</v>
      </c>
      <c r="I1039" s="29" t="s">
        <v>1283</v>
      </c>
      <c r="J1039" s="29" t="s">
        <v>89</v>
      </c>
      <c r="K1039" s="119">
        <v>3</v>
      </c>
      <c r="L1039" s="111" t="s">
        <v>2083</v>
      </c>
      <c r="O1039" s="111" t="s">
        <v>1701</v>
      </c>
      <c r="Q1039" s="23"/>
      <c r="R1039" s="23"/>
    </row>
    <row r="1040" spans="2:18" ht="15" customHeight="1" x14ac:dyDescent="0.15">
      <c r="B1040" s="29" t="s">
        <v>26</v>
      </c>
      <c r="C1040" s="266">
        <v>44008</v>
      </c>
      <c r="D1040" s="29" t="s">
        <v>1284</v>
      </c>
      <c r="E1040" s="114" t="s">
        <v>6</v>
      </c>
      <c r="F1040" s="147">
        <v>6.3E-2</v>
      </c>
      <c r="I1040" s="29" t="s">
        <v>74</v>
      </c>
      <c r="J1040" s="29" t="s">
        <v>991</v>
      </c>
      <c r="K1040" s="119">
        <v>7</v>
      </c>
      <c r="L1040" s="111" t="s">
        <v>2000</v>
      </c>
      <c r="O1040" s="111" t="s">
        <v>2000</v>
      </c>
      <c r="Q1040" s="23"/>
      <c r="R1040" s="23"/>
    </row>
    <row r="1041" spans="2:18" ht="15" customHeight="1" x14ac:dyDescent="0.15">
      <c r="B1041" s="29" t="s">
        <v>45</v>
      </c>
      <c r="C1041" s="266">
        <v>44008</v>
      </c>
      <c r="D1041" s="29" t="s">
        <v>1285</v>
      </c>
      <c r="E1041" s="114" t="s">
        <v>6</v>
      </c>
      <c r="F1041" s="147">
        <v>7.1999999999999995E-2</v>
      </c>
      <c r="I1041" s="29" t="s">
        <v>1299</v>
      </c>
      <c r="J1041" s="29" t="s">
        <v>2563</v>
      </c>
      <c r="K1041" s="119">
        <v>7.5</v>
      </c>
      <c r="L1041" s="111" t="s">
        <v>1535</v>
      </c>
      <c r="O1041" s="111" t="s">
        <v>1535</v>
      </c>
      <c r="Q1041" s="23"/>
      <c r="R1041" s="23"/>
    </row>
    <row r="1042" spans="2:18" ht="15" customHeight="1" x14ac:dyDescent="0.15">
      <c r="B1042" s="29" t="s">
        <v>73</v>
      </c>
      <c r="C1042" s="266">
        <v>44008</v>
      </c>
      <c r="D1042" s="29" t="s">
        <v>1288</v>
      </c>
      <c r="E1042" s="114" t="s">
        <v>6</v>
      </c>
      <c r="F1042" s="147">
        <v>5.5E-2</v>
      </c>
      <c r="I1042" s="29" t="s">
        <v>2333</v>
      </c>
      <c r="J1042" s="29" t="s">
        <v>555</v>
      </c>
      <c r="K1042" s="119">
        <v>8</v>
      </c>
      <c r="L1042" s="111" t="s">
        <v>1679</v>
      </c>
      <c r="O1042" s="111" t="s">
        <v>1680</v>
      </c>
      <c r="Q1042" s="23"/>
      <c r="R1042" s="23"/>
    </row>
    <row r="1043" spans="2:18" ht="15" customHeight="1" x14ac:dyDescent="0.15">
      <c r="B1043" s="29" t="s">
        <v>420</v>
      </c>
      <c r="C1043" s="266">
        <v>44008</v>
      </c>
      <c r="D1043" s="29" t="s">
        <v>538</v>
      </c>
      <c r="E1043" s="114" t="s">
        <v>6</v>
      </c>
      <c r="F1043" s="147">
        <v>8.5000000000000006E-2</v>
      </c>
      <c r="I1043" s="29" t="s">
        <v>1274</v>
      </c>
      <c r="J1043" s="29" t="s">
        <v>1294</v>
      </c>
      <c r="K1043" s="119">
        <v>8.5</v>
      </c>
      <c r="L1043" s="111" t="s">
        <v>538</v>
      </c>
      <c r="O1043" s="116" t="s">
        <v>1741</v>
      </c>
      <c r="Q1043" s="23"/>
      <c r="R1043" s="23"/>
    </row>
    <row r="1044" spans="2:18" ht="15" customHeight="1" x14ac:dyDescent="0.15">
      <c r="B1044" s="29" t="s">
        <v>61</v>
      </c>
      <c r="C1044" s="266">
        <v>44008</v>
      </c>
      <c r="D1044" s="29" t="s">
        <v>704</v>
      </c>
      <c r="E1044" s="114" t="s">
        <v>12</v>
      </c>
      <c r="F1044" s="147">
        <v>0.4</v>
      </c>
      <c r="G1044" s="29" t="s">
        <v>1216</v>
      </c>
      <c r="I1044" s="29" t="s">
        <v>3556</v>
      </c>
      <c r="J1044" s="29" t="s">
        <v>2564</v>
      </c>
      <c r="K1044" s="119">
        <v>2</v>
      </c>
      <c r="L1044" s="111" t="s">
        <v>704</v>
      </c>
      <c r="O1044" s="116" t="s">
        <v>1875</v>
      </c>
      <c r="Q1044" s="23"/>
      <c r="R1044" s="23"/>
    </row>
    <row r="1045" spans="2:18" ht="15" customHeight="1" x14ac:dyDescent="0.15">
      <c r="B1045" s="29" t="s">
        <v>361</v>
      </c>
      <c r="C1045" s="266">
        <v>44008</v>
      </c>
      <c r="D1045" s="29" t="s">
        <v>1289</v>
      </c>
      <c r="E1045" s="114" t="s">
        <v>34</v>
      </c>
      <c r="F1045" s="147">
        <v>0.06</v>
      </c>
      <c r="I1045" s="29" t="s">
        <v>772</v>
      </c>
      <c r="J1045" s="29" t="s">
        <v>2565</v>
      </c>
      <c r="K1045" s="119">
        <v>7.5</v>
      </c>
      <c r="L1045" s="111" t="s">
        <v>1289</v>
      </c>
      <c r="O1045" s="111" t="s">
        <v>1533</v>
      </c>
      <c r="Q1045" s="23"/>
      <c r="R1045" s="23"/>
    </row>
    <row r="1046" spans="2:18" ht="15" customHeight="1" x14ac:dyDescent="0.15">
      <c r="B1046" s="29" t="s">
        <v>45</v>
      </c>
      <c r="C1046" s="266">
        <v>44008</v>
      </c>
      <c r="D1046" s="53" t="s">
        <v>3606</v>
      </c>
      <c r="E1046" s="114" t="s">
        <v>12</v>
      </c>
      <c r="F1046" s="147">
        <v>0.375</v>
      </c>
      <c r="I1046" s="29" t="s">
        <v>1246</v>
      </c>
      <c r="J1046" s="29" t="s">
        <v>2566</v>
      </c>
      <c r="K1046" s="119">
        <v>4</v>
      </c>
      <c r="L1046" s="111" t="s">
        <v>1874</v>
      </c>
      <c r="O1046" s="116" t="s">
        <v>1875</v>
      </c>
      <c r="Q1046" s="23"/>
      <c r="R1046" s="23"/>
    </row>
    <row r="1047" spans="2:18" ht="15" customHeight="1" x14ac:dyDescent="0.15">
      <c r="B1047" s="29" t="s">
        <v>35</v>
      </c>
      <c r="C1047" s="266">
        <v>44008</v>
      </c>
      <c r="D1047" s="29" t="s">
        <v>1047</v>
      </c>
      <c r="E1047" s="114" t="s">
        <v>36</v>
      </c>
      <c r="F1047" s="147">
        <v>0.432</v>
      </c>
      <c r="I1047" s="29" t="s">
        <v>1264</v>
      </c>
      <c r="J1047" s="29" t="s">
        <v>2567</v>
      </c>
      <c r="K1047" s="119">
        <v>4.5</v>
      </c>
      <c r="L1047" s="111" t="s">
        <v>1047</v>
      </c>
      <c r="O1047" s="116" t="s">
        <v>1739</v>
      </c>
      <c r="Q1047" s="23"/>
      <c r="R1047" s="23"/>
    </row>
    <row r="1048" spans="2:18" ht="15" customHeight="1" x14ac:dyDescent="0.15">
      <c r="B1048" s="29" t="s">
        <v>26</v>
      </c>
      <c r="C1048" s="266">
        <v>44008</v>
      </c>
      <c r="D1048" s="29" t="s">
        <v>1128</v>
      </c>
      <c r="E1048" s="114" t="s">
        <v>32</v>
      </c>
      <c r="F1048" s="147">
        <v>0.04</v>
      </c>
      <c r="I1048" s="29" t="s">
        <v>15</v>
      </c>
      <c r="J1048" s="29" t="s">
        <v>1290</v>
      </c>
      <c r="K1048" s="119">
        <v>7.5</v>
      </c>
      <c r="L1048" s="111" t="s">
        <v>1996</v>
      </c>
      <c r="O1048" s="116" t="s">
        <v>1995</v>
      </c>
      <c r="Q1048" s="23"/>
      <c r="R1048" s="23"/>
    </row>
    <row r="1049" spans="2:18" ht="15" customHeight="1" x14ac:dyDescent="0.15">
      <c r="B1049" s="29" t="s">
        <v>361</v>
      </c>
      <c r="C1049" s="266">
        <v>44008</v>
      </c>
      <c r="D1049" s="29" t="s">
        <v>64</v>
      </c>
      <c r="E1049" s="114" t="s">
        <v>65</v>
      </c>
      <c r="F1049" s="147">
        <v>0.375</v>
      </c>
      <c r="I1049" s="29" t="s">
        <v>1291</v>
      </c>
      <c r="J1049" s="29" t="s">
        <v>1292</v>
      </c>
      <c r="K1049" s="119">
        <v>2</v>
      </c>
      <c r="L1049" s="116" t="s">
        <v>816</v>
      </c>
      <c r="M1049" s="116"/>
      <c r="N1049" s="116"/>
      <c r="O1049" s="116" t="s">
        <v>816</v>
      </c>
      <c r="Q1049" s="23"/>
      <c r="R1049" s="23"/>
    </row>
    <row r="1050" spans="2:18" ht="15" customHeight="1" x14ac:dyDescent="0.15">
      <c r="B1050" s="29" t="s">
        <v>73</v>
      </c>
      <c r="C1050" s="266">
        <v>44008</v>
      </c>
      <c r="D1050" s="53" t="s">
        <v>2715</v>
      </c>
      <c r="E1050" s="114" t="s">
        <v>65</v>
      </c>
      <c r="F1050" s="232">
        <v>0.42499999999999999</v>
      </c>
      <c r="I1050" s="29" t="s">
        <v>265</v>
      </c>
      <c r="J1050" s="29" t="s">
        <v>284</v>
      </c>
      <c r="K1050" s="119">
        <v>6</v>
      </c>
      <c r="L1050" s="111" t="s">
        <v>2805</v>
      </c>
      <c r="O1050" s="116" t="s">
        <v>3001</v>
      </c>
      <c r="Q1050" s="23"/>
      <c r="R1050" s="23"/>
    </row>
    <row r="1051" spans="2:18" ht="15" customHeight="1" x14ac:dyDescent="0.15">
      <c r="B1051" s="29" t="s">
        <v>420</v>
      </c>
      <c r="C1051" s="266">
        <v>44008</v>
      </c>
      <c r="D1051" s="23" t="s">
        <v>3190</v>
      </c>
      <c r="E1051" s="114" t="s">
        <v>27</v>
      </c>
      <c r="F1051" s="232">
        <v>0.2</v>
      </c>
      <c r="I1051" s="29" t="s">
        <v>1293</v>
      </c>
      <c r="J1051" s="29" t="s">
        <v>1287</v>
      </c>
      <c r="K1051" s="119">
        <v>9.5</v>
      </c>
      <c r="L1051" s="111" t="s">
        <v>1518</v>
      </c>
      <c r="O1051" s="116" t="s">
        <v>1518</v>
      </c>
      <c r="Q1051" s="23"/>
      <c r="R1051" s="23"/>
    </row>
    <row r="1052" spans="2:18" ht="15" customHeight="1" x14ac:dyDescent="0.15">
      <c r="B1052" s="29" t="s">
        <v>26</v>
      </c>
      <c r="C1052" s="266">
        <v>44008</v>
      </c>
      <c r="D1052" s="29" t="s">
        <v>1295</v>
      </c>
      <c r="E1052" s="114" t="s">
        <v>42</v>
      </c>
      <c r="F1052" s="147">
        <v>0.115</v>
      </c>
      <c r="I1052" s="29" t="s">
        <v>1264</v>
      </c>
      <c r="J1052" s="29" t="s">
        <v>112</v>
      </c>
      <c r="K1052" s="119">
        <v>3</v>
      </c>
      <c r="L1052" s="111" t="s">
        <v>112</v>
      </c>
      <c r="O1052" s="116" t="s">
        <v>112</v>
      </c>
      <c r="Q1052" s="23"/>
      <c r="R1052" s="23"/>
    </row>
    <row r="1053" spans="2:18" ht="15" customHeight="1" x14ac:dyDescent="0.15">
      <c r="B1053" s="29" t="s">
        <v>420</v>
      </c>
      <c r="C1053" s="266">
        <v>44008</v>
      </c>
      <c r="D1053" s="29" t="s">
        <v>2101</v>
      </c>
      <c r="E1053" s="114" t="s">
        <v>6</v>
      </c>
      <c r="F1053" s="147">
        <v>6.8000000000000005E-2</v>
      </c>
      <c r="I1053" s="29" t="s">
        <v>33</v>
      </c>
      <c r="J1053" s="29" t="s">
        <v>636</v>
      </c>
      <c r="K1053" s="119">
        <v>9</v>
      </c>
      <c r="L1053" s="111" t="s">
        <v>1822</v>
      </c>
      <c r="O1053" s="116" t="s">
        <v>1823</v>
      </c>
      <c r="Q1053" s="23"/>
      <c r="R1053" s="23"/>
    </row>
    <row r="1054" spans="2:18" ht="15" customHeight="1" x14ac:dyDescent="0.15">
      <c r="B1054" s="29" t="s">
        <v>179</v>
      </c>
      <c r="C1054" s="266">
        <v>44008</v>
      </c>
      <c r="D1054" s="29" t="s">
        <v>1296</v>
      </c>
      <c r="E1054" s="114" t="s">
        <v>6</v>
      </c>
      <c r="F1054" s="147">
        <v>5.5E-2</v>
      </c>
      <c r="I1054" s="29" t="s">
        <v>1301</v>
      </c>
      <c r="J1054" s="29" t="s">
        <v>920</v>
      </c>
      <c r="K1054" s="119">
        <v>8</v>
      </c>
      <c r="L1054" s="111" t="s">
        <v>1747</v>
      </c>
      <c r="O1054" s="111" t="s">
        <v>1748</v>
      </c>
      <c r="Q1054" s="23"/>
      <c r="R1054" s="23"/>
    </row>
    <row r="1055" spans="2:18" ht="15" customHeight="1" x14ac:dyDescent="0.15">
      <c r="B1055" s="29" t="s">
        <v>73</v>
      </c>
      <c r="C1055" s="266">
        <v>44008</v>
      </c>
      <c r="D1055" s="29" t="s">
        <v>1174</v>
      </c>
      <c r="E1055" s="114" t="s">
        <v>6</v>
      </c>
      <c r="F1055" s="147">
        <v>3.4000000000000002E-2</v>
      </c>
      <c r="I1055" s="29" t="s">
        <v>315</v>
      </c>
      <c r="J1055" s="29" t="s">
        <v>264</v>
      </c>
      <c r="K1055" s="119">
        <v>7.5</v>
      </c>
      <c r="L1055" s="111" t="s">
        <v>1679</v>
      </c>
      <c r="O1055" s="116" t="s">
        <v>1680</v>
      </c>
      <c r="Q1055" s="23"/>
      <c r="R1055" s="23"/>
    </row>
    <row r="1056" spans="2:18" x14ac:dyDescent="0.15">
      <c r="B1056" s="29" t="s">
        <v>361</v>
      </c>
      <c r="C1056" s="266">
        <v>44008</v>
      </c>
      <c r="D1056" s="29" t="s">
        <v>68</v>
      </c>
      <c r="E1056" s="114" t="s">
        <v>32</v>
      </c>
      <c r="F1056" s="147">
        <v>0.375</v>
      </c>
      <c r="G1056" s="29" t="s">
        <v>1297</v>
      </c>
      <c r="I1056" s="29" t="s">
        <v>1302</v>
      </c>
      <c r="J1056" s="29" t="s">
        <v>2568</v>
      </c>
      <c r="K1056" s="119">
        <v>9.5</v>
      </c>
      <c r="L1056" s="111" t="s">
        <v>766</v>
      </c>
      <c r="O1056" s="116" t="s">
        <v>1516</v>
      </c>
      <c r="Q1056" s="23"/>
      <c r="R1056" s="23"/>
    </row>
    <row r="1057" spans="2:18" ht="15" customHeight="1" x14ac:dyDescent="0.15">
      <c r="B1057" s="29" t="s">
        <v>35</v>
      </c>
      <c r="C1057" s="266">
        <v>44008</v>
      </c>
      <c r="D1057" s="29" t="s">
        <v>1298</v>
      </c>
      <c r="E1057" s="114" t="s">
        <v>6</v>
      </c>
      <c r="F1057" s="147">
        <v>4.2999999999999997E-2</v>
      </c>
      <c r="I1057" s="29" t="s">
        <v>1300</v>
      </c>
      <c r="J1057" s="29" t="s">
        <v>2569</v>
      </c>
      <c r="K1057" s="119">
        <v>6</v>
      </c>
      <c r="L1057" s="111" t="s">
        <v>2005</v>
      </c>
      <c r="O1057" s="111" t="s">
        <v>2005</v>
      </c>
      <c r="Q1057" s="23"/>
      <c r="R1057" s="23"/>
    </row>
    <row r="1058" spans="2:18" ht="15" customHeight="1" x14ac:dyDescent="0.15">
      <c r="B1058" s="29" t="s">
        <v>420</v>
      </c>
      <c r="C1058" s="266">
        <v>44008</v>
      </c>
      <c r="D1058" s="29" t="s">
        <v>2102</v>
      </c>
      <c r="E1058" s="114" t="s">
        <v>6</v>
      </c>
      <c r="F1058" s="147">
        <v>4.2000000000000003E-2</v>
      </c>
      <c r="I1058" s="29" t="s">
        <v>1114</v>
      </c>
      <c r="J1058" s="29" t="s">
        <v>2570</v>
      </c>
      <c r="K1058" s="119">
        <v>7</v>
      </c>
      <c r="L1058" s="111" t="s">
        <v>2015</v>
      </c>
      <c r="O1058" s="111" t="s">
        <v>2014</v>
      </c>
      <c r="Q1058" s="23"/>
      <c r="R1058" s="23"/>
    </row>
    <row r="1059" spans="2:18" ht="15" customHeight="1" x14ac:dyDescent="0.15">
      <c r="B1059" s="29" t="s">
        <v>35</v>
      </c>
      <c r="C1059" s="266">
        <v>44008</v>
      </c>
      <c r="D1059" s="29" t="s">
        <v>1303</v>
      </c>
      <c r="E1059" s="114" t="s">
        <v>6</v>
      </c>
      <c r="F1059" s="147">
        <v>0.04</v>
      </c>
      <c r="I1059" s="29" t="s">
        <v>2334</v>
      </c>
      <c r="J1059" s="29" t="s">
        <v>2571</v>
      </c>
      <c r="K1059" s="119">
        <v>3.5</v>
      </c>
      <c r="L1059" s="111" t="s">
        <v>2000</v>
      </c>
      <c r="O1059" s="111" t="s">
        <v>2000</v>
      </c>
      <c r="Q1059" s="23"/>
      <c r="R1059" s="23"/>
    </row>
    <row r="1060" spans="2:18" ht="15" customHeight="1" x14ac:dyDescent="0.15">
      <c r="B1060" s="29" t="s">
        <v>45</v>
      </c>
      <c r="C1060" s="266">
        <v>44008</v>
      </c>
      <c r="D1060" s="29" t="s">
        <v>1661</v>
      </c>
      <c r="E1060" s="114" t="s">
        <v>65</v>
      </c>
      <c r="F1060" s="147">
        <v>0.375</v>
      </c>
      <c r="G1060" s="29" t="s">
        <v>374</v>
      </c>
      <c r="I1060" s="29" t="s">
        <v>2335</v>
      </c>
      <c r="J1060" s="29" t="s">
        <v>939</v>
      </c>
      <c r="K1060" s="119">
        <v>5</v>
      </c>
      <c r="L1060" s="111" t="s">
        <v>1662</v>
      </c>
      <c r="O1060" s="116" t="s">
        <v>1663</v>
      </c>
      <c r="Q1060" s="23"/>
      <c r="R1060" s="23"/>
    </row>
    <row r="1061" spans="2:18" ht="15" customHeight="1" x14ac:dyDescent="0.15">
      <c r="B1061" s="29" t="s">
        <v>26</v>
      </c>
      <c r="C1061" s="266">
        <v>44008</v>
      </c>
      <c r="D1061" s="29" t="s">
        <v>2672</v>
      </c>
      <c r="E1061" s="114" t="s">
        <v>34</v>
      </c>
      <c r="F1061" s="147">
        <v>4.4999999999999998E-2</v>
      </c>
      <c r="I1061" s="29" t="s">
        <v>2219</v>
      </c>
      <c r="J1061" s="29" t="s">
        <v>2572</v>
      </c>
      <c r="K1061" s="119">
        <v>7</v>
      </c>
      <c r="L1061" s="111" t="s">
        <v>1483</v>
      </c>
      <c r="O1061" s="116" t="s">
        <v>1483</v>
      </c>
      <c r="Q1061" s="23"/>
      <c r="R1061" s="23"/>
    </row>
    <row r="1062" spans="2:18" ht="15" customHeight="1" x14ac:dyDescent="0.15">
      <c r="B1062" s="29" t="s">
        <v>179</v>
      </c>
      <c r="C1062" s="266">
        <v>44008</v>
      </c>
      <c r="D1062" s="29" t="s">
        <v>2103</v>
      </c>
      <c r="E1062" s="114" t="s">
        <v>6</v>
      </c>
      <c r="F1062" s="147">
        <v>5.5E-2</v>
      </c>
      <c r="I1062" s="29" t="s">
        <v>238</v>
      </c>
      <c r="J1062" s="29" t="s">
        <v>643</v>
      </c>
      <c r="K1062" s="119">
        <v>7</v>
      </c>
      <c r="L1062" s="111" t="s">
        <v>2104</v>
      </c>
      <c r="O1062" s="111" t="s">
        <v>2104</v>
      </c>
      <c r="Q1062" s="23"/>
      <c r="R1062" s="23"/>
    </row>
    <row r="1063" spans="2:18" ht="15" customHeight="1" x14ac:dyDescent="0.15">
      <c r="B1063" s="29" t="s">
        <v>35</v>
      </c>
      <c r="C1063" s="266">
        <v>44008</v>
      </c>
      <c r="D1063" s="29" t="s">
        <v>1304</v>
      </c>
      <c r="E1063" s="114" t="s">
        <v>6</v>
      </c>
      <c r="F1063" s="147">
        <v>6.5000000000000002E-2</v>
      </c>
      <c r="I1063" s="29" t="s">
        <v>1307</v>
      </c>
      <c r="J1063" s="29" t="s">
        <v>1253</v>
      </c>
      <c r="K1063" s="119">
        <v>4</v>
      </c>
      <c r="L1063" s="111" t="s">
        <v>764</v>
      </c>
      <c r="O1063" s="111" t="s">
        <v>1539</v>
      </c>
      <c r="Q1063" s="23"/>
      <c r="R1063" s="23"/>
    </row>
    <row r="1064" spans="2:18" ht="15" customHeight="1" x14ac:dyDescent="0.15">
      <c r="B1064" s="29" t="s">
        <v>420</v>
      </c>
      <c r="C1064" s="266">
        <v>44008</v>
      </c>
      <c r="D1064" s="29" t="s">
        <v>1777</v>
      </c>
      <c r="E1064" s="114" t="s">
        <v>27</v>
      </c>
      <c r="F1064" s="147">
        <v>0.2</v>
      </c>
      <c r="G1064" s="29" t="s">
        <v>394</v>
      </c>
      <c r="I1064" s="29" t="s">
        <v>1306</v>
      </c>
      <c r="J1064" s="29" t="s">
        <v>16</v>
      </c>
      <c r="K1064" s="119">
        <v>3.5</v>
      </c>
      <c r="L1064" s="111" t="s">
        <v>1777</v>
      </c>
      <c r="O1064" s="111" t="s">
        <v>1594</v>
      </c>
      <c r="Q1064" s="23"/>
      <c r="R1064" s="23"/>
    </row>
    <row r="1065" spans="2:18" ht="15" customHeight="1" x14ac:dyDescent="0.15">
      <c r="B1065" s="29" t="s">
        <v>26</v>
      </c>
      <c r="C1065" s="266">
        <v>44008</v>
      </c>
      <c r="D1065" s="29" t="s">
        <v>1305</v>
      </c>
      <c r="E1065" s="114" t="s">
        <v>34</v>
      </c>
      <c r="F1065" s="147">
        <v>0.04</v>
      </c>
      <c r="I1065" s="29" t="s">
        <v>247</v>
      </c>
      <c r="J1065" s="29" t="s">
        <v>204</v>
      </c>
      <c r="K1065" s="119">
        <v>6.5</v>
      </c>
      <c r="L1065" s="111" t="s">
        <v>1308</v>
      </c>
      <c r="O1065" s="111" t="s">
        <v>1968</v>
      </c>
      <c r="Q1065" s="23"/>
      <c r="R1065" s="23"/>
    </row>
    <row r="1066" spans="2:18" ht="15" customHeight="1" x14ac:dyDescent="0.15">
      <c r="B1066" s="29" t="s">
        <v>420</v>
      </c>
      <c r="C1066" s="266">
        <v>44008</v>
      </c>
      <c r="D1066" s="29" t="s">
        <v>105</v>
      </c>
      <c r="E1066" s="114" t="s">
        <v>12</v>
      </c>
      <c r="F1066" s="147">
        <v>0.4</v>
      </c>
      <c r="G1066" s="29" t="s">
        <v>401</v>
      </c>
      <c r="I1066" s="29" t="s">
        <v>2336</v>
      </c>
      <c r="J1066" s="29" t="s">
        <v>89</v>
      </c>
      <c r="K1066" s="119">
        <v>2</v>
      </c>
      <c r="L1066" s="111" t="s">
        <v>1506</v>
      </c>
      <c r="O1066" s="111" t="s">
        <v>1507</v>
      </c>
      <c r="Q1066" s="23"/>
      <c r="R1066" s="23"/>
    </row>
    <row r="1067" spans="2:18" ht="15" customHeight="1" x14ac:dyDescent="0.15">
      <c r="B1067" s="29" t="s">
        <v>26</v>
      </c>
      <c r="C1067" s="266">
        <v>44015</v>
      </c>
      <c r="D1067" s="29" t="s">
        <v>470</v>
      </c>
      <c r="E1067" s="114" t="s">
        <v>36</v>
      </c>
      <c r="F1067" s="147">
        <v>0.35</v>
      </c>
      <c r="G1067" s="29" t="s">
        <v>1335</v>
      </c>
      <c r="I1067" s="29" t="s">
        <v>1348</v>
      </c>
      <c r="J1067" s="29" t="s">
        <v>1349</v>
      </c>
      <c r="K1067" s="119">
        <v>8</v>
      </c>
      <c r="L1067" s="111" t="s">
        <v>470</v>
      </c>
      <c r="O1067" s="116" t="s">
        <v>1707</v>
      </c>
      <c r="Q1067" s="23"/>
      <c r="R1067" s="23"/>
    </row>
    <row r="1068" spans="2:18" ht="15" customHeight="1" x14ac:dyDescent="0.15">
      <c r="B1068" s="29" t="s">
        <v>45</v>
      </c>
      <c r="C1068" s="266">
        <v>44015</v>
      </c>
      <c r="D1068" s="29" t="s">
        <v>2107</v>
      </c>
      <c r="E1068" s="114" t="s">
        <v>6</v>
      </c>
      <c r="F1068" s="147">
        <v>0.05</v>
      </c>
      <c r="I1068" s="29" t="s">
        <v>1344</v>
      </c>
      <c r="J1068" s="29" t="s">
        <v>705</v>
      </c>
      <c r="K1068" s="119">
        <v>5.5</v>
      </c>
      <c r="L1068" s="111" t="s">
        <v>1706</v>
      </c>
      <c r="O1068" s="111" t="s">
        <v>1634</v>
      </c>
      <c r="Q1068" s="23"/>
      <c r="R1068" s="23"/>
    </row>
    <row r="1069" spans="2:18" ht="15" customHeight="1" x14ac:dyDescent="0.15">
      <c r="B1069" s="29" t="s">
        <v>18</v>
      </c>
      <c r="C1069" s="266">
        <v>44015</v>
      </c>
      <c r="D1069" s="29" t="s">
        <v>1338</v>
      </c>
      <c r="E1069" s="114" t="s">
        <v>90</v>
      </c>
      <c r="F1069" s="147">
        <v>0</v>
      </c>
      <c r="G1069" s="29" t="s">
        <v>1336</v>
      </c>
      <c r="I1069" s="29" t="s">
        <v>293</v>
      </c>
      <c r="J1069" s="29" t="s">
        <v>1337</v>
      </c>
      <c r="K1069" s="119">
        <v>5</v>
      </c>
      <c r="L1069" s="111" t="s">
        <v>2105</v>
      </c>
      <c r="O1069" s="111" t="s">
        <v>2106</v>
      </c>
      <c r="Q1069" s="23"/>
      <c r="R1069" s="23"/>
    </row>
    <row r="1070" spans="2:18" ht="15" customHeight="1" x14ac:dyDescent="0.15">
      <c r="B1070" s="29" t="s">
        <v>361</v>
      </c>
      <c r="C1070" s="266">
        <v>44015</v>
      </c>
      <c r="D1070" s="29" t="s">
        <v>1339</v>
      </c>
      <c r="E1070" s="114" t="s">
        <v>34</v>
      </c>
      <c r="F1070" s="147">
        <v>0.06</v>
      </c>
      <c r="I1070" s="29" t="s">
        <v>1350</v>
      </c>
      <c r="J1070" s="29" t="s">
        <v>1351</v>
      </c>
      <c r="K1070" s="119">
        <v>9</v>
      </c>
      <c r="L1070" s="111" t="s">
        <v>2108</v>
      </c>
      <c r="O1070" s="111" t="s">
        <v>2108</v>
      </c>
      <c r="Q1070" s="23"/>
      <c r="R1070" s="23"/>
    </row>
    <row r="1071" spans="2:18" ht="15" customHeight="1" x14ac:dyDescent="0.15">
      <c r="B1071" s="29" t="s">
        <v>9</v>
      </c>
      <c r="C1071" s="266">
        <v>44015</v>
      </c>
      <c r="D1071" s="29" t="s">
        <v>105</v>
      </c>
      <c r="E1071" s="114" t="s">
        <v>12</v>
      </c>
      <c r="F1071" s="147">
        <v>0.4</v>
      </c>
      <c r="I1071" s="29" t="s">
        <v>194</v>
      </c>
      <c r="J1071" s="29" t="s">
        <v>17</v>
      </c>
      <c r="K1071" s="119">
        <v>5.5</v>
      </c>
      <c r="L1071" s="111" t="s">
        <v>1506</v>
      </c>
      <c r="O1071" s="111" t="s">
        <v>1507</v>
      </c>
      <c r="Q1071" s="23"/>
      <c r="R1071" s="23"/>
    </row>
    <row r="1072" spans="2:18" ht="15" customHeight="1" x14ac:dyDescent="0.15">
      <c r="B1072" s="29" t="s">
        <v>35</v>
      </c>
      <c r="C1072" s="266">
        <v>44015</v>
      </c>
      <c r="D1072" s="29" t="s">
        <v>1340</v>
      </c>
      <c r="E1072" s="114" t="s">
        <v>90</v>
      </c>
      <c r="F1072" s="147">
        <v>0</v>
      </c>
      <c r="I1072" s="29" t="s">
        <v>1341</v>
      </c>
      <c r="J1072" s="29" t="s">
        <v>16</v>
      </c>
      <c r="K1072" s="119">
        <v>4</v>
      </c>
      <c r="L1072" s="111" t="s">
        <v>2109</v>
      </c>
      <c r="O1072" s="111" t="s">
        <v>2110</v>
      </c>
      <c r="Q1072" s="23"/>
      <c r="R1072" s="23"/>
    </row>
    <row r="1073" spans="2:18" ht="15" customHeight="1" x14ac:dyDescent="0.15">
      <c r="B1073" s="29" t="s">
        <v>41</v>
      </c>
      <c r="C1073" s="266">
        <v>44015</v>
      </c>
      <c r="D1073" s="29" t="s">
        <v>1342</v>
      </c>
      <c r="E1073" s="114" t="s">
        <v>34</v>
      </c>
      <c r="F1073" s="147">
        <v>8.2000000000000003E-2</v>
      </c>
      <c r="I1073" s="29" t="s">
        <v>1352</v>
      </c>
      <c r="J1073" s="29" t="s">
        <v>1353</v>
      </c>
      <c r="K1073" s="119">
        <v>6</v>
      </c>
      <c r="L1073" s="111" t="s">
        <v>1616</v>
      </c>
      <c r="O1073" s="111" t="s">
        <v>1586</v>
      </c>
      <c r="Q1073" s="23"/>
      <c r="R1073" s="23"/>
    </row>
    <row r="1074" spans="2:18" ht="15" customHeight="1" x14ac:dyDescent="0.15">
      <c r="B1074" s="29" t="s">
        <v>35</v>
      </c>
      <c r="C1074" s="266">
        <v>44015</v>
      </c>
      <c r="D1074" s="29" t="s">
        <v>1343</v>
      </c>
      <c r="E1074" s="114" t="s">
        <v>6</v>
      </c>
      <c r="F1074" s="147">
        <v>0</v>
      </c>
      <c r="I1074" s="29" t="s">
        <v>999</v>
      </c>
      <c r="J1074" s="29" t="s">
        <v>1358</v>
      </c>
      <c r="K1074" s="119">
        <v>3</v>
      </c>
      <c r="L1074" s="111" t="s">
        <v>158</v>
      </c>
      <c r="O1074" s="111" t="s">
        <v>1565</v>
      </c>
      <c r="Q1074" s="23"/>
      <c r="R1074" s="23"/>
    </row>
    <row r="1075" spans="2:18" ht="15" customHeight="1" x14ac:dyDescent="0.15">
      <c r="B1075" s="29" t="s">
        <v>18</v>
      </c>
      <c r="C1075" s="266">
        <v>44015</v>
      </c>
      <c r="D1075" s="29" t="s">
        <v>1345</v>
      </c>
      <c r="E1075" s="114" t="s">
        <v>90</v>
      </c>
      <c r="F1075" s="147">
        <v>0</v>
      </c>
      <c r="I1075" s="29" t="s">
        <v>1346</v>
      </c>
      <c r="J1075" s="29" t="s">
        <v>87</v>
      </c>
      <c r="K1075" s="119">
        <v>6.5</v>
      </c>
      <c r="L1075" s="111" t="s">
        <v>2111</v>
      </c>
      <c r="O1075" s="111" t="s">
        <v>2111</v>
      </c>
      <c r="Q1075" s="23"/>
      <c r="R1075" s="23"/>
    </row>
    <row r="1076" spans="2:18" ht="15" customHeight="1" x14ac:dyDescent="0.15">
      <c r="B1076" s="29" t="s">
        <v>61</v>
      </c>
      <c r="C1076" s="266">
        <v>44015</v>
      </c>
      <c r="D1076" s="29" t="s">
        <v>1357</v>
      </c>
      <c r="E1076" s="114" t="s">
        <v>6</v>
      </c>
      <c r="F1076" s="147">
        <v>6.4000000000000001E-2</v>
      </c>
      <c r="I1076" s="29" t="s">
        <v>1359</v>
      </c>
      <c r="J1076" s="29" t="s">
        <v>1360</v>
      </c>
      <c r="K1076" s="119">
        <v>7</v>
      </c>
      <c r="L1076" s="111" t="s">
        <v>2112</v>
      </c>
      <c r="O1076" s="111" t="s">
        <v>2113</v>
      </c>
      <c r="Q1076" s="23"/>
      <c r="R1076" s="23"/>
    </row>
    <row r="1077" spans="2:18" ht="15" customHeight="1" x14ac:dyDescent="0.15">
      <c r="B1077" s="29" t="s">
        <v>18</v>
      </c>
      <c r="C1077" s="266">
        <v>44015</v>
      </c>
      <c r="D1077" s="29" t="s">
        <v>1354</v>
      </c>
      <c r="E1077" s="114" t="s">
        <v>90</v>
      </c>
      <c r="F1077" s="232">
        <v>0</v>
      </c>
      <c r="I1077" s="29" t="s">
        <v>1355</v>
      </c>
      <c r="J1077" s="29" t="s">
        <v>1356</v>
      </c>
      <c r="K1077" s="119">
        <v>4</v>
      </c>
      <c r="L1077" s="111" t="s">
        <v>1589</v>
      </c>
      <c r="O1077" s="111" t="s">
        <v>1589</v>
      </c>
      <c r="Q1077" s="23"/>
      <c r="R1077" s="23"/>
    </row>
    <row r="1078" spans="2:18" ht="15" customHeight="1" x14ac:dyDescent="0.15">
      <c r="B1078" s="29" t="s">
        <v>45</v>
      </c>
      <c r="C1078" s="266">
        <v>44015</v>
      </c>
      <c r="D1078" s="29" t="s">
        <v>1361</v>
      </c>
      <c r="E1078" s="114" t="s">
        <v>6</v>
      </c>
      <c r="F1078" s="147">
        <v>3.4000000000000002E-2</v>
      </c>
      <c r="I1078" s="29" t="s">
        <v>3530</v>
      </c>
      <c r="J1078" s="29" t="s">
        <v>198</v>
      </c>
      <c r="K1078" s="119">
        <v>4.5</v>
      </c>
      <c r="L1078" s="111" t="s">
        <v>1542</v>
      </c>
      <c r="O1078" s="111" t="s">
        <v>1542</v>
      </c>
      <c r="Q1078" s="23"/>
      <c r="R1078" s="23"/>
    </row>
    <row r="1079" spans="2:18" ht="15" customHeight="1" x14ac:dyDescent="0.15">
      <c r="B1079" s="29" t="s">
        <v>41</v>
      </c>
      <c r="C1079" s="266">
        <v>44015</v>
      </c>
      <c r="D1079" s="29" t="s">
        <v>558</v>
      </c>
      <c r="E1079" s="114" t="s">
        <v>34</v>
      </c>
      <c r="F1079" s="147">
        <v>6.8000000000000005E-2</v>
      </c>
      <c r="I1079" s="29" t="s">
        <v>16</v>
      </c>
      <c r="J1079" s="29" t="s">
        <v>217</v>
      </c>
      <c r="K1079" s="119">
        <v>4.5</v>
      </c>
      <c r="L1079" s="111" t="s">
        <v>1477</v>
      </c>
      <c r="O1079" s="116" t="s">
        <v>1510</v>
      </c>
      <c r="Q1079" s="23"/>
      <c r="R1079" s="23"/>
    </row>
    <row r="1080" spans="2:18" ht="15" customHeight="1" x14ac:dyDescent="0.15">
      <c r="B1080" s="29" t="s">
        <v>26</v>
      </c>
      <c r="C1080" s="266">
        <v>44015</v>
      </c>
      <c r="D1080" s="29" t="s">
        <v>3470</v>
      </c>
      <c r="E1080" s="114" t="s">
        <v>34</v>
      </c>
      <c r="F1080" s="147">
        <v>0.06</v>
      </c>
      <c r="I1080" s="29" t="s">
        <v>1395</v>
      </c>
      <c r="J1080" s="29" t="s">
        <v>1396</v>
      </c>
      <c r="K1080" s="119">
        <v>3.5</v>
      </c>
      <c r="L1080" s="111" t="s">
        <v>2043</v>
      </c>
      <c r="O1080" s="111" t="s">
        <v>2043</v>
      </c>
      <c r="Q1080" s="23"/>
      <c r="R1080" s="23"/>
    </row>
    <row r="1081" spans="2:18" ht="15" customHeight="1" x14ac:dyDescent="0.15">
      <c r="B1081" s="29" t="s">
        <v>61</v>
      </c>
      <c r="C1081" s="266">
        <v>44015</v>
      </c>
      <c r="D1081" s="29" t="s">
        <v>2114</v>
      </c>
      <c r="E1081" s="114" t="s">
        <v>42</v>
      </c>
      <c r="F1081" s="147">
        <v>0.11</v>
      </c>
      <c r="I1081" s="29" t="s">
        <v>1365</v>
      </c>
      <c r="J1081" s="29" t="s">
        <v>781</v>
      </c>
      <c r="K1081" s="119">
        <v>3</v>
      </c>
      <c r="L1081" s="111" t="s">
        <v>2115</v>
      </c>
      <c r="O1081" s="111" t="s">
        <v>2116</v>
      </c>
      <c r="Q1081" s="23"/>
      <c r="R1081" s="23"/>
    </row>
    <row r="1082" spans="2:18" ht="15" customHeight="1" x14ac:dyDescent="0.15">
      <c r="B1082" s="29" t="s">
        <v>45</v>
      </c>
      <c r="C1082" s="266">
        <v>44015</v>
      </c>
      <c r="D1082" s="29" t="s">
        <v>1362</v>
      </c>
      <c r="E1082" s="114" t="s">
        <v>6</v>
      </c>
      <c r="F1082" s="147">
        <v>8.7999999999999995E-2</v>
      </c>
      <c r="I1082" s="29" t="s">
        <v>1372</v>
      </c>
      <c r="J1082" s="29" t="s">
        <v>1373</v>
      </c>
      <c r="K1082" s="119">
        <v>7</v>
      </c>
      <c r="L1082" s="111" t="s">
        <v>2046</v>
      </c>
      <c r="O1082" s="116" t="s">
        <v>2046</v>
      </c>
      <c r="Q1082" s="23"/>
      <c r="R1082" s="23"/>
    </row>
    <row r="1083" spans="2:18" ht="15" customHeight="1" x14ac:dyDescent="0.15">
      <c r="B1083" s="29" t="s">
        <v>361</v>
      </c>
      <c r="C1083" s="266">
        <v>44015</v>
      </c>
      <c r="D1083" s="29" t="s">
        <v>1363</v>
      </c>
      <c r="E1083" s="114" t="s">
        <v>34</v>
      </c>
      <c r="F1083" s="147">
        <v>0.06</v>
      </c>
      <c r="I1083" s="29" t="s">
        <v>772</v>
      </c>
      <c r="J1083" s="29" t="s">
        <v>1374</v>
      </c>
      <c r="K1083" s="119">
        <v>9</v>
      </c>
      <c r="L1083" s="111" t="s">
        <v>2108</v>
      </c>
      <c r="O1083" s="111" t="s">
        <v>2108</v>
      </c>
      <c r="Q1083" s="23"/>
      <c r="R1083" s="23"/>
    </row>
    <row r="1084" spans="2:18" ht="15" customHeight="1" x14ac:dyDescent="0.15">
      <c r="B1084" s="29" t="s">
        <v>35</v>
      </c>
      <c r="C1084" s="266">
        <v>44015</v>
      </c>
      <c r="D1084" s="29" t="s">
        <v>2117</v>
      </c>
      <c r="E1084" s="114" t="s">
        <v>6</v>
      </c>
      <c r="F1084" s="147">
        <v>5.5E-2</v>
      </c>
      <c r="I1084" s="29" t="s">
        <v>1367</v>
      </c>
      <c r="J1084" s="29" t="s">
        <v>1368</v>
      </c>
      <c r="K1084" s="119">
        <v>6.5</v>
      </c>
      <c r="L1084" s="111" t="s">
        <v>2000</v>
      </c>
      <c r="O1084" s="111" t="s">
        <v>2000</v>
      </c>
      <c r="Q1084" s="23"/>
      <c r="R1084" s="23"/>
    </row>
    <row r="1085" spans="2:18" ht="15" customHeight="1" x14ac:dyDescent="0.15">
      <c r="B1085" s="29" t="s">
        <v>9</v>
      </c>
      <c r="C1085" s="266">
        <v>44015</v>
      </c>
      <c r="D1085" s="29" t="s">
        <v>2118</v>
      </c>
      <c r="E1085" s="114" t="s">
        <v>90</v>
      </c>
      <c r="F1085" s="147">
        <v>0.43099999999999999</v>
      </c>
      <c r="I1085" s="29" t="s">
        <v>238</v>
      </c>
      <c r="J1085" s="29" t="s">
        <v>1364</v>
      </c>
      <c r="K1085" s="119">
        <v>8</v>
      </c>
      <c r="L1085" s="111" t="s">
        <v>2049</v>
      </c>
      <c r="O1085" s="116" t="s">
        <v>1516</v>
      </c>
      <c r="Q1085" s="23"/>
      <c r="R1085" s="23"/>
    </row>
    <row r="1086" spans="2:18" ht="15" customHeight="1" x14ac:dyDescent="0.15">
      <c r="B1086" s="29" t="s">
        <v>41</v>
      </c>
      <c r="C1086" s="266">
        <v>44015</v>
      </c>
      <c r="D1086" s="29" t="s">
        <v>1366</v>
      </c>
      <c r="E1086" s="114" t="s">
        <v>34</v>
      </c>
      <c r="F1086" s="147">
        <v>6.8000000000000005E-2</v>
      </c>
      <c r="I1086" s="29" t="s">
        <v>1369</v>
      </c>
      <c r="J1086" s="29" t="s">
        <v>1370</v>
      </c>
      <c r="K1086" s="119">
        <v>8</v>
      </c>
      <c r="L1086" s="111" t="s">
        <v>1308</v>
      </c>
      <c r="O1086" s="111" t="s">
        <v>1968</v>
      </c>
      <c r="Q1086" s="23"/>
      <c r="R1086" s="23"/>
    </row>
    <row r="1087" spans="2:18" ht="15" customHeight="1" x14ac:dyDescent="0.15">
      <c r="B1087" s="29" t="s">
        <v>41</v>
      </c>
      <c r="C1087" s="266">
        <v>44015</v>
      </c>
      <c r="D1087" s="29" t="s">
        <v>3002</v>
      </c>
      <c r="E1087" s="114" t="s">
        <v>190</v>
      </c>
      <c r="F1087" s="232">
        <v>0.1</v>
      </c>
      <c r="I1087" s="29" t="s">
        <v>322</v>
      </c>
      <c r="J1087" s="29" t="s">
        <v>1371</v>
      </c>
      <c r="K1087" s="119">
        <v>2.5</v>
      </c>
      <c r="L1087" s="111" t="s">
        <v>1779</v>
      </c>
      <c r="O1087" s="111" t="s">
        <v>1780</v>
      </c>
      <c r="Q1087" s="23"/>
      <c r="R1087" s="23"/>
    </row>
    <row r="1088" spans="2:18" ht="15" customHeight="1" x14ac:dyDescent="0.15">
      <c r="B1088" s="29" t="s">
        <v>38</v>
      </c>
      <c r="C1088" s="266">
        <v>44015</v>
      </c>
      <c r="D1088" s="29" t="s">
        <v>808</v>
      </c>
      <c r="E1088" s="114" t="s">
        <v>34</v>
      </c>
      <c r="F1088" s="147">
        <v>0.04</v>
      </c>
      <c r="I1088" s="29" t="s">
        <v>16</v>
      </c>
      <c r="J1088" s="29" t="s">
        <v>1375</v>
      </c>
      <c r="K1088" s="119">
        <v>8</v>
      </c>
      <c r="L1088" s="111" t="s">
        <v>1576</v>
      </c>
      <c r="O1088" s="116" t="s">
        <v>1533</v>
      </c>
      <c r="Q1088" s="23"/>
      <c r="R1088" s="23"/>
    </row>
    <row r="1089" spans="2:18" ht="15" customHeight="1" x14ac:dyDescent="0.15">
      <c r="B1089" s="29" t="s">
        <v>38</v>
      </c>
      <c r="C1089" s="266">
        <v>44015</v>
      </c>
      <c r="D1089" s="29" t="s">
        <v>3002</v>
      </c>
      <c r="E1089" s="114" t="s">
        <v>190</v>
      </c>
      <c r="F1089" s="232">
        <v>0.1</v>
      </c>
      <c r="I1089" s="29" t="s">
        <v>2994</v>
      </c>
      <c r="J1089" s="29" t="s">
        <v>89</v>
      </c>
      <c r="K1089" s="119">
        <v>4.5</v>
      </c>
      <c r="L1089" s="111" t="s">
        <v>1779</v>
      </c>
      <c r="O1089" s="111" t="s">
        <v>1780</v>
      </c>
      <c r="Q1089" s="23"/>
      <c r="R1089" s="23"/>
    </row>
    <row r="1090" spans="2:18" ht="15" customHeight="1" x14ac:dyDescent="0.15">
      <c r="B1090" s="29" t="s">
        <v>45</v>
      </c>
      <c r="C1090" s="266">
        <v>44015</v>
      </c>
      <c r="D1090" s="29" t="s">
        <v>3169</v>
      </c>
      <c r="E1090" s="105" t="s">
        <v>6</v>
      </c>
      <c r="F1090" s="147">
        <v>9.0999999999999998E-2</v>
      </c>
      <c r="I1090" s="29" t="s">
        <v>458</v>
      </c>
      <c r="J1090" s="29" t="s">
        <v>319</v>
      </c>
      <c r="K1090" s="119">
        <v>7</v>
      </c>
      <c r="L1090" s="111" t="s">
        <v>2119</v>
      </c>
      <c r="O1090" s="111" t="s">
        <v>2120</v>
      </c>
      <c r="Q1090" s="23"/>
      <c r="R1090" s="23"/>
    </row>
    <row r="1091" spans="2:18" ht="15" customHeight="1" x14ac:dyDescent="0.15">
      <c r="B1091" s="29" t="s">
        <v>361</v>
      </c>
      <c r="C1091" s="266">
        <v>44015</v>
      </c>
      <c r="D1091" s="29" t="s">
        <v>1376</v>
      </c>
      <c r="E1091" s="105" t="s">
        <v>32</v>
      </c>
      <c r="F1091" s="147">
        <v>0.4</v>
      </c>
      <c r="I1091" s="29" t="s">
        <v>1379</v>
      </c>
      <c r="J1091" s="29" t="s">
        <v>89</v>
      </c>
      <c r="K1091" s="119">
        <v>0.5</v>
      </c>
      <c r="L1091" s="111" t="s">
        <v>2121</v>
      </c>
      <c r="O1091" s="111" t="s">
        <v>2122</v>
      </c>
      <c r="Q1091" s="23"/>
      <c r="R1091" s="23"/>
    </row>
    <row r="1092" spans="2:18" ht="15" customHeight="1" x14ac:dyDescent="0.15">
      <c r="B1092" s="29" t="s">
        <v>41</v>
      </c>
      <c r="C1092" s="266">
        <v>44015</v>
      </c>
      <c r="D1092" s="29" t="s">
        <v>1377</v>
      </c>
      <c r="E1092" s="105" t="s">
        <v>190</v>
      </c>
      <c r="F1092" s="147">
        <v>0.14499999999999999</v>
      </c>
      <c r="I1092" s="29" t="s">
        <v>1389</v>
      </c>
      <c r="J1092" s="29" t="s">
        <v>20</v>
      </c>
      <c r="K1092" s="119">
        <v>8.5</v>
      </c>
      <c r="L1092" s="111" t="s">
        <v>2123</v>
      </c>
      <c r="O1092" s="111" t="s">
        <v>2123</v>
      </c>
      <c r="Q1092" s="23"/>
      <c r="R1092" s="23"/>
    </row>
    <row r="1093" spans="2:18" ht="15" customHeight="1" x14ac:dyDescent="0.15">
      <c r="B1093" s="29" t="s">
        <v>26</v>
      </c>
      <c r="C1093" s="266">
        <v>44015</v>
      </c>
      <c r="D1093" s="29" t="s">
        <v>1378</v>
      </c>
      <c r="E1093" s="105" t="s">
        <v>42</v>
      </c>
      <c r="F1093" s="147">
        <v>0.13500000000000001</v>
      </c>
      <c r="I1093" s="29" t="s">
        <v>1380</v>
      </c>
      <c r="J1093" s="29" t="s">
        <v>1381</v>
      </c>
      <c r="K1093" s="119">
        <v>6</v>
      </c>
      <c r="L1093" s="111" t="s">
        <v>1510</v>
      </c>
      <c r="O1093" s="111" t="s">
        <v>1510</v>
      </c>
      <c r="Q1093" s="23"/>
      <c r="R1093" s="23"/>
    </row>
    <row r="1094" spans="2:18" ht="15" customHeight="1" x14ac:dyDescent="0.15">
      <c r="B1094" s="29" t="s">
        <v>61</v>
      </c>
      <c r="C1094" s="266">
        <v>44015</v>
      </c>
      <c r="D1094" s="29" t="s">
        <v>2124</v>
      </c>
      <c r="E1094" s="105" t="s">
        <v>27</v>
      </c>
      <c r="F1094" s="147">
        <v>0.28000000000000003</v>
      </c>
      <c r="I1094" s="29" t="s">
        <v>1382</v>
      </c>
      <c r="J1094" s="29" t="s">
        <v>1383</v>
      </c>
      <c r="K1094" s="119">
        <v>0.5</v>
      </c>
      <c r="L1094" s="111" t="s">
        <v>2701</v>
      </c>
      <c r="O1094" s="116" t="s">
        <v>1520</v>
      </c>
      <c r="Q1094" s="23"/>
      <c r="R1094" s="23"/>
    </row>
    <row r="1095" spans="2:18" ht="15" customHeight="1" x14ac:dyDescent="0.15">
      <c r="B1095" s="29" t="s">
        <v>45</v>
      </c>
      <c r="C1095" s="266">
        <v>44015</v>
      </c>
      <c r="D1095" s="29" t="s">
        <v>2126</v>
      </c>
      <c r="E1095" s="105" t="s">
        <v>54</v>
      </c>
      <c r="F1095" s="147">
        <v>0.15</v>
      </c>
      <c r="I1095" s="29" t="s">
        <v>1384</v>
      </c>
      <c r="J1095" s="29" t="s">
        <v>1385</v>
      </c>
      <c r="K1095" s="119">
        <v>7.5</v>
      </c>
      <c r="L1095" s="111" t="s">
        <v>2127</v>
      </c>
      <c r="O1095" s="111" t="s">
        <v>2128</v>
      </c>
      <c r="Q1095" s="23"/>
      <c r="R1095" s="23"/>
    </row>
    <row r="1096" spans="2:18" ht="15" customHeight="1" x14ac:dyDescent="0.15">
      <c r="B1096" s="29" t="s">
        <v>18</v>
      </c>
      <c r="C1096" s="266">
        <v>44015</v>
      </c>
      <c r="D1096" s="29" t="s">
        <v>1388</v>
      </c>
      <c r="E1096" s="105" t="s">
        <v>90</v>
      </c>
      <c r="F1096" s="147">
        <v>0</v>
      </c>
      <c r="I1096" s="29" t="s">
        <v>1386</v>
      </c>
      <c r="J1096" s="29" t="s">
        <v>1387</v>
      </c>
      <c r="K1096" s="119">
        <v>2</v>
      </c>
      <c r="L1096" s="111" t="s">
        <v>2105</v>
      </c>
      <c r="O1096" s="111" t="s">
        <v>2106</v>
      </c>
      <c r="Q1096" s="23"/>
      <c r="R1096" s="23"/>
    </row>
    <row r="1097" spans="2:18" ht="15" customHeight="1" x14ac:dyDescent="0.15">
      <c r="B1097" s="29" t="s">
        <v>35</v>
      </c>
      <c r="C1097" s="266">
        <v>44015</v>
      </c>
      <c r="D1097" s="29" t="s">
        <v>1390</v>
      </c>
      <c r="E1097" s="105" t="s">
        <v>90</v>
      </c>
      <c r="F1097" s="147">
        <v>0</v>
      </c>
      <c r="I1097" s="29" t="s">
        <v>1391</v>
      </c>
      <c r="J1097" s="29" t="s">
        <v>2161</v>
      </c>
      <c r="K1097" s="119">
        <v>3.5</v>
      </c>
      <c r="L1097" s="111" t="s">
        <v>1773</v>
      </c>
      <c r="O1097" s="116" t="s">
        <v>1774</v>
      </c>
      <c r="Q1097" s="23"/>
      <c r="R1097" s="23"/>
    </row>
    <row r="1098" spans="2:18" ht="15" customHeight="1" x14ac:dyDescent="0.15">
      <c r="B1098" s="29" t="s">
        <v>38</v>
      </c>
      <c r="C1098" s="266">
        <v>44015</v>
      </c>
      <c r="D1098" s="29" t="s">
        <v>3007</v>
      </c>
      <c r="E1098" s="105" t="s">
        <v>190</v>
      </c>
      <c r="F1098" s="232">
        <v>0.1</v>
      </c>
      <c r="I1098" s="29" t="s">
        <v>1392</v>
      </c>
      <c r="J1098" s="29" t="s">
        <v>781</v>
      </c>
      <c r="K1098" s="119">
        <v>1</v>
      </c>
      <c r="L1098" s="111" t="s">
        <v>1779</v>
      </c>
      <c r="O1098" s="111" t="s">
        <v>1780</v>
      </c>
      <c r="Q1098" s="23"/>
      <c r="R1098" s="23"/>
    </row>
    <row r="1099" spans="2:18" ht="15" customHeight="1" x14ac:dyDescent="0.15">
      <c r="B1099" s="29" t="s">
        <v>18</v>
      </c>
      <c r="C1099" s="266">
        <v>44015</v>
      </c>
      <c r="D1099" s="29" t="s">
        <v>1338</v>
      </c>
      <c r="E1099" s="105" t="s">
        <v>90</v>
      </c>
      <c r="F1099" s="147">
        <v>0</v>
      </c>
      <c r="I1099" s="29" t="s">
        <v>1393</v>
      </c>
      <c r="J1099" s="29" t="s">
        <v>1394</v>
      </c>
      <c r="K1099" s="119">
        <v>4</v>
      </c>
      <c r="L1099" s="111" t="s">
        <v>2105</v>
      </c>
      <c r="O1099" s="111" t="s">
        <v>2106</v>
      </c>
      <c r="Q1099" s="23"/>
      <c r="R1099" s="23"/>
    </row>
    <row r="1100" spans="2:18" ht="15" customHeight="1" x14ac:dyDescent="0.15">
      <c r="B1100" s="29" t="s">
        <v>35</v>
      </c>
      <c r="C1100" s="266">
        <v>44015</v>
      </c>
      <c r="D1100" s="29" t="s">
        <v>1397</v>
      </c>
      <c r="E1100" s="105" t="s">
        <v>6</v>
      </c>
      <c r="F1100" s="147">
        <v>0</v>
      </c>
      <c r="I1100" s="29" t="s">
        <v>656</v>
      </c>
      <c r="J1100" s="29" t="s">
        <v>2573</v>
      </c>
      <c r="K1100" s="119">
        <v>4.5</v>
      </c>
      <c r="L1100" s="111" t="s">
        <v>1535</v>
      </c>
      <c r="O1100" s="111" t="s">
        <v>1535</v>
      </c>
      <c r="Q1100" s="23"/>
      <c r="R1100" s="23"/>
    </row>
    <row r="1101" spans="2:18" ht="15" customHeight="1" x14ac:dyDescent="0.15">
      <c r="B1101" s="29" t="s">
        <v>61</v>
      </c>
      <c r="C1101" s="266">
        <v>44015</v>
      </c>
      <c r="D1101" s="29" t="s">
        <v>681</v>
      </c>
      <c r="E1101" s="105" t="s">
        <v>6</v>
      </c>
      <c r="F1101" s="147">
        <v>6.5000000000000002E-2</v>
      </c>
      <c r="I1101" s="29" t="s">
        <v>15</v>
      </c>
      <c r="J1101" s="29" t="s">
        <v>2574</v>
      </c>
      <c r="K1101" s="119">
        <v>9</v>
      </c>
      <c r="L1101" s="111" t="s">
        <v>1535</v>
      </c>
      <c r="O1101" s="116" t="s">
        <v>1535</v>
      </c>
      <c r="Q1101" s="23"/>
      <c r="R1101" s="23"/>
    </row>
    <row r="1102" spans="2:18" ht="15" customHeight="1" x14ac:dyDescent="0.15">
      <c r="B1102" s="29" t="s">
        <v>26</v>
      </c>
      <c r="C1102" s="266">
        <v>44015</v>
      </c>
      <c r="D1102" s="29" t="s">
        <v>1398</v>
      </c>
      <c r="E1102" s="105" t="s">
        <v>34</v>
      </c>
      <c r="F1102" s="147">
        <v>0.04</v>
      </c>
      <c r="I1102" s="29" t="s">
        <v>1414</v>
      </c>
      <c r="J1102" s="29" t="s">
        <v>1415</v>
      </c>
      <c r="K1102" s="119">
        <v>7.5</v>
      </c>
      <c r="L1102" s="111" t="s">
        <v>1308</v>
      </c>
      <c r="O1102" s="111" t="s">
        <v>1968</v>
      </c>
      <c r="Q1102" s="23"/>
      <c r="R1102" s="23"/>
    </row>
    <row r="1103" spans="2:18" ht="15" customHeight="1" x14ac:dyDescent="0.15">
      <c r="B1103" s="29" t="s">
        <v>41</v>
      </c>
      <c r="C1103" s="266">
        <v>44015</v>
      </c>
      <c r="D1103" s="29" t="s">
        <v>1398</v>
      </c>
      <c r="E1103" s="105" t="s">
        <v>34</v>
      </c>
      <c r="F1103" s="147">
        <v>0.04</v>
      </c>
      <c r="I1103" s="29" t="s">
        <v>2306</v>
      </c>
      <c r="J1103" s="29" t="s">
        <v>1411</v>
      </c>
      <c r="K1103" s="119">
        <v>6</v>
      </c>
      <c r="L1103" s="111" t="s">
        <v>1308</v>
      </c>
      <c r="O1103" s="111" t="s">
        <v>1968</v>
      </c>
      <c r="Q1103" s="23"/>
      <c r="R1103" s="23"/>
    </row>
    <row r="1104" spans="2:18" ht="15" customHeight="1" x14ac:dyDescent="0.15">
      <c r="B1104" s="29" t="s">
        <v>45</v>
      </c>
      <c r="C1104" s="266">
        <v>44015</v>
      </c>
      <c r="D1104" s="29" t="s">
        <v>2129</v>
      </c>
      <c r="E1104" s="105" t="s">
        <v>6</v>
      </c>
      <c r="F1104" s="147">
        <v>6.4000000000000001E-2</v>
      </c>
      <c r="I1104" s="29" t="s">
        <v>1264</v>
      </c>
      <c r="J1104" s="29" t="s">
        <v>1416</v>
      </c>
      <c r="K1104" s="119">
        <v>6</v>
      </c>
      <c r="L1104" s="111" t="s">
        <v>1486</v>
      </c>
      <c r="O1104" s="111" t="s">
        <v>1486</v>
      </c>
      <c r="Q1104" s="23"/>
      <c r="R1104" s="23"/>
    </row>
    <row r="1105" spans="2:18" ht="15" customHeight="1" x14ac:dyDescent="0.15">
      <c r="B1105" s="29" t="s">
        <v>361</v>
      </c>
      <c r="C1105" s="266">
        <v>44015</v>
      </c>
      <c r="D1105" s="29" t="s">
        <v>2667</v>
      </c>
      <c r="E1105" s="105" t="s">
        <v>34</v>
      </c>
      <c r="F1105" s="147">
        <v>6.8000000000000005E-2</v>
      </c>
      <c r="I1105" s="29" t="s">
        <v>93</v>
      </c>
      <c r="J1105" s="29" t="s">
        <v>1412</v>
      </c>
      <c r="K1105" s="119">
        <v>7.5</v>
      </c>
      <c r="L1105" s="111" t="s">
        <v>2130</v>
      </c>
      <c r="O1105" s="111" t="s">
        <v>2071</v>
      </c>
      <c r="Q1105" s="23"/>
      <c r="R1105" s="23"/>
    </row>
    <row r="1106" spans="2:18" ht="15" customHeight="1" x14ac:dyDescent="0.15">
      <c r="B1106" s="29" t="s">
        <v>61</v>
      </c>
      <c r="C1106" s="266">
        <v>44015</v>
      </c>
      <c r="D1106" s="29" t="s">
        <v>3169</v>
      </c>
      <c r="E1106" s="105" t="s">
        <v>6</v>
      </c>
      <c r="F1106" s="147">
        <v>9.0999999999999998E-2</v>
      </c>
      <c r="I1106" s="29" t="s">
        <v>222</v>
      </c>
      <c r="J1106" s="29" t="s">
        <v>1413</v>
      </c>
      <c r="K1106" s="119">
        <v>6</v>
      </c>
      <c r="L1106" s="111" t="s">
        <v>2119</v>
      </c>
      <c r="O1106" s="111" t="s">
        <v>2120</v>
      </c>
      <c r="Q1106" s="23"/>
      <c r="R1106" s="23"/>
    </row>
    <row r="1107" spans="2:18" ht="15" customHeight="1" x14ac:dyDescent="0.15">
      <c r="B1107" s="29" t="s">
        <v>38</v>
      </c>
      <c r="C1107" s="266">
        <v>44015</v>
      </c>
      <c r="D1107" s="29" t="s">
        <v>1399</v>
      </c>
      <c r="E1107" s="105" t="s">
        <v>6</v>
      </c>
      <c r="F1107" s="147">
        <v>4.1000000000000002E-2</v>
      </c>
      <c r="I1107" s="29" t="s">
        <v>1400</v>
      </c>
      <c r="J1107" s="29" t="s">
        <v>1401</v>
      </c>
      <c r="K1107" s="119">
        <v>7.5</v>
      </c>
      <c r="L1107" s="111" t="s">
        <v>1999</v>
      </c>
      <c r="O1107" s="111" t="s">
        <v>1999</v>
      </c>
      <c r="Q1107" s="23"/>
      <c r="R1107" s="23"/>
    </row>
    <row r="1108" spans="2:18" ht="15" customHeight="1" x14ac:dyDescent="0.15">
      <c r="B1108" s="29" t="s">
        <v>361</v>
      </c>
      <c r="C1108" s="266">
        <v>44015</v>
      </c>
      <c r="D1108" s="29" t="s">
        <v>1063</v>
      </c>
      <c r="E1108" s="105" t="s">
        <v>32</v>
      </c>
      <c r="F1108" s="147">
        <v>0.04</v>
      </c>
      <c r="I1108" s="29" t="s">
        <v>329</v>
      </c>
      <c r="J1108" s="29" t="s">
        <v>1418</v>
      </c>
      <c r="K1108" s="119">
        <v>6.5</v>
      </c>
      <c r="L1108" s="111" t="s">
        <v>1879</v>
      </c>
      <c r="O1108" s="116" t="s">
        <v>1585</v>
      </c>
      <c r="Q1108" s="23"/>
      <c r="R1108" s="23"/>
    </row>
    <row r="1109" spans="2:18" ht="15" customHeight="1" x14ac:dyDescent="0.15">
      <c r="B1109" s="29" t="s">
        <v>35</v>
      </c>
      <c r="C1109" s="266">
        <v>44015</v>
      </c>
      <c r="D1109" s="29" t="s">
        <v>3169</v>
      </c>
      <c r="E1109" s="105" t="s">
        <v>6</v>
      </c>
      <c r="F1109" s="147">
        <v>9.0999999999999998E-2</v>
      </c>
      <c r="I1109" s="29" t="s">
        <v>176</v>
      </c>
      <c r="J1109" s="29" t="s">
        <v>1417</v>
      </c>
      <c r="K1109" s="119">
        <v>6.5</v>
      </c>
      <c r="L1109" s="111" t="s">
        <v>2119</v>
      </c>
      <c r="O1109" s="111" t="s">
        <v>2120</v>
      </c>
      <c r="Q1109" s="23"/>
      <c r="R1109" s="23"/>
    </row>
    <row r="1110" spans="2:18" ht="15" customHeight="1" x14ac:dyDescent="0.15">
      <c r="B1110" s="29" t="s">
        <v>45</v>
      </c>
      <c r="C1110" s="266">
        <v>44015</v>
      </c>
      <c r="D1110" s="29" t="s">
        <v>107</v>
      </c>
      <c r="E1110" s="105" t="s">
        <v>6</v>
      </c>
      <c r="F1110" s="147">
        <v>0.05</v>
      </c>
      <c r="I1110" s="29" t="s">
        <v>1423</v>
      </c>
      <c r="J1110" s="29" t="s">
        <v>237</v>
      </c>
      <c r="K1110" s="119">
        <v>6.5</v>
      </c>
      <c r="L1110" s="111" t="s">
        <v>1513</v>
      </c>
      <c r="O1110" s="116" t="s">
        <v>1513</v>
      </c>
      <c r="Q1110" s="23"/>
      <c r="R1110" s="23"/>
    </row>
    <row r="1111" spans="2:18" ht="15" customHeight="1" x14ac:dyDescent="0.15">
      <c r="B1111" s="29" t="s">
        <v>38</v>
      </c>
      <c r="C1111" s="266">
        <v>44015</v>
      </c>
      <c r="D1111" s="29" t="s">
        <v>1877</v>
      </c>
      <c r="E1111" s="105" t="s">
        <v>34</v>
      </c>
      <c r="F1111" s="147">
        <v>0.04</v>
      </c>
      <c r="I1111" s="29" t="s">
        <v>656</v>
      </c>
      <c r="J1111" s="29" t="s">
        <v>1419</v>
      </c>
      <c r="K1111" s="119">
        <v>8</v>
      </c>
      <c r="L1111" s="111" t="s">
        <v>1472</v>
      </c>
      <c r="O1111" s="116" t="s">
        <v>1455</v>
      </c>
      <c r="Q1111" s="23"/>
      <c r="R1111" s="23"/>
    </row>
    <row r="1112" spans="2:18" ht="15" customHeight="1" x14ac:dyDescent="0.15">
      <c r="B1112" s="29" t="s">
        <v>38</v>
      </c>
      <c r="C1112" s="266">
        <v>44015</v>
      </c>
      <c r="D1112" s="29" t="s">
        <v>3005</v>
      </c>
      <c r="E1112" s="105" t="s">
        <v>190</v>
      </c>
      <c r="F1112" s="232">
        <v>0.1</v>
      </c>
      <c r="I1112" s="29" t="s">
        <v>252</v>
      </c>
      <c r="J1112" s="29" t="s">
        <v>1422</v>
      </c>
      <c r="K1112" s="119">
        <v>3</v>
      </c>
      <c r="L1112" s="111" t="s">
        <v>1779</v>
      </c>
      <c r="O1112" s="111" t="s">
        <v>1780</v>
      </c>
      <c r="Q1112" s="23"/>
      <c r="R1112" s="23"/>
    </row>
    <row r="1113" spans="2:18" ht="15" customHeight="1" x14ac:dyDescent="0.15">
      <c r="B1113" s="29" t="s">
        <v>38</v>
      </c>
      <c r="C1113" s="266">
        <v>44015</v>
      </c>
      <c r="D1113" s="29" t="s">
        <v>1420</v>
      </c>
      <c r="E1113" s="105" t="s">
        <v>6</v>
      </c>
      <c r="F1113" s="147">
        <v>3.9E-2</v>
      </c>
      <c r="I1113" s="29" t="s">
        <v>653</v>
      </c>
      <c r="J1113" s="29" t="s">
        <v>1436</v>
      </c>
      <c r="K1113" s="119">
        <v>6</v>
      </c>
      <c r="L1113" s="111" t="s">
        <v>1091</v>
      </c>
      <c r="O1113" s="111" t="s">
        <v>1999</v>
      </c>
      <c r="Q1113" s="23"/>
      <c r="R1113" s="23"/>
    </row>
    <row r="1114" spans="2:18" ht="15" customHeight="1" x14ac:dyDescent="0.15">
      <c r="B1114" s="29" t="s">
        <v>61</v>
      </c>
      <c r="C1114" s="266">
        <v>44015</v>
      </c>
      <c r="D1114" s="29" t="s">
        <v>1421</v>
      </c>
      <c r="E1114" s="105" t="s">
        <v>6</v>
      </c>
      <c r="F1114" s="147">
        <v>4.3999999999999997E-2</v>
      </c>
      <c r="I1114" s="29" t="s">
        <v>853</v>
      </c>
      <c r="J1114" s="29" t="s">
        <v>2361</v>
      </c>
      <c r="K1114" s="119">
        <v>6</v>
      </c>
      <c r="L1114" s="111" t="s">
        <v>1089</v>
      </c>
      <c r="O1114" s="111" t="s">
        <v>1866</v>
      </c>
      <c r="Q1114" s="23"/>
      <c r="R1114" s="23"/>
    </row>
    <row r="1115" spans="2:18" ht="15" customHeight="1" x14ac:dyDescent="0.15">
      <c r="B1115" s="29" t="s">
        <v>361</v>
      </c>
      <c r="C1115" s="266">
        <v>44015</v>
      </c>
      <c r="D1115" s="29" t="s">
        <v>2131</v>
      </c>
      <c r="E1115" s="105" t="s">
        <v>32</v>
      </c>
      <c r="F1115" s="147">
        <v>0.04</v>
      </c>
      <c r="I1115" s="29" t="s">
        <v>16</v>
      </c>
      <c r="J1115" s="29" t="s">
        <v>1435</v>
      </c>
      <c r="K1115" s="119">
        <v>5</v>
      </c>
      <c r="L1115" s="111" t="s">
        <v>1879</v>
      </c>
      <c r="O1115" s="116" t="s">
        <v>1585</v>
      </c>
      <c r="Q1115" s="23"/>
      <c r="R1115" s="23"/>
    </row>
    <row r="1116" spans="2:18" ht="15" customHeight="1" x14ac:dyDescent="0.15">
      <c r="B1116" s="29" t="s">
        <v>26</v>
      </c>
      <c r="C1116" s="266">
        <v>44015</v>
      </c>
      <c r="D1116" s="29" t="s">
        <v>3471</v>
      </c>
      <c r="E1116" s="105" t="s">
        <v>34</v>
      </c>
      <c r="F1116" s="147">
        <v>0.06</v>
      </c>
      <c r="I1116" s="29" t="s">
        <v>1433</v>
      </c>
      <c r="J1116" s="29" t="s">
        <v>1434</v>
      </c>
      <c r="K1116" s="119">
        <v>1.5</v>
      </c>
      <c r="L1116" s="111" t="s">
        <v>2043</v>
      </c>
      <c r="O1116" s="111" t="s">
        <v>2043</v>
      </c>
      <c r="Q1116" s="23"/>
      <c r="R1116" s="23"/>
    </row>
    <row r="1117" spans="2:18" ht="15" customHeight="1" x14ac:dyDescent="0.15">
      <c r="B1117" s="29" t="s">
        <v>35</v>
      </c>
      <c r="C1117" s="266">
        <v>44015</v>
      </c>
      <c r="D1117" s="29" t="s">
        <v>1424</v>
      </c>
      <c r="E1117" s="105" t="s">
        <v>6</v>
      </c>
      <c r="F1117" s="147">
        <v>3.9E-2</v>
      </c>
      <c r="I1117" s="29" t="s">
        <v>198</v>
      </c>
      <c r="J1117" s="29" t="s">
        <v>1431</v>
      </c>
      <c r="K1117" s="119">
        <v>5.5</v>
      </c>
      <c r="L1117" s="111" t="s">
        <v>1544</v>
      </c>
      <c r="O1117" s="111" t="s">
        <v>1544</v>
      </c>
      <c r="Q1117" s="23"/>
      <c r="R1117" s="23"/>
    </row>
    <row r="1118" spans="2:18" ht="15" customHeight="1" x14ac:dyDescent="0.15">
      <c r="B1118" s="29" t="s">
        <v>38</v>
      </c>
      <c r="C1118" s="266">
        <v>44015</v>
      </c>
      <c r="D1118" s="29" t="s">
        <v>3006</v>
      </c>
      <c r="E1118" s="105" t="s">
        <v>190</v>
      </c>
      <c r="F1118" s="232">
        <v>0.1</v>
      </c>
      <c r="I1118" s="29" t="s">
        <v>1264</v>
      </c>
      <c r="J1118" s="29" t="s">
        <v>89</v>
      </c>
      <c r="K1118" s="119">
        <v>5</v>
      </c>
      <c r="L1118" s="111" t="s">
        <v>1779</v>
      </c>
      <c r="O1118" s="111" t="s">
        <v>1780</v>
      </c>
      <c r="Q1118" s="23"/>
      <c r="R1118" s="23"/>
    </row>
    <row r="1119" spans="2:18" ht="15" customHeight="1" x14ac:dyDescent="0.15">
      <c r="B1119" s="29" t="s">
        <v>26</v>
      </c>
      <c r="C1119" s="266">
        <v>44015</v>
      </c>
      <c r="D1119" s="29" t="s">
        <v>2132</v>
      </c>
      <c r="E1119" s="105" t="s">
        <v>42</v>
      </c>
      <c r="F1119" s="147">
        <v>0.13500000000000001</v>
      </c>
      <c r="I1119" s="29" t="s">
        <v>2337</v>
      </c>
      <c r="J1119" s="29" t="s">
        <v>1425</v>
      </c>
      <c r="K1119" s="119">
        <v>4</v>
      </c>
      <c r="L1119" s="111" t="s">
        <v>2133</v>
      </c>
      <c r="O1119" s="111" t="s">
        <v>1594</v>
      </c>
      <c r="Q1119" s="23"/>
      <c r="R1119" s="23"/>
    </row>
    <row r="1120" spans="2:18" ht="15" customHeight="1" x14ac:dyDescent="0.15">
      <c r="B1120" s="29" t="s">
        <v>361</v>
      </c>
      <c r="C1120" s="266">
        <v>44015</v>
      </c>
      <c r="D1120" s="29" t="s">
        <v>68</v>
      </c>
      <c r="E1120" s="105" t="s">
        <v>32</v>
      </c>
      <c r="F1120" s="147">
        <v>0.375</v>
      </c>
      <c r="G1120" s="29" t="s">
        <v>1426</v>
      </c>
      <c r="I1120" s="29" t="s">
        <v>1427</v>
      </c>
      <c r="J1120" s="29" t="s">
        <v>1428</v>
      </c>
      <c r="K1120" s="119">
        <v>4.5</v>
      </c>
      <c r="L1120" s="111" t="s">
        <v>766</v>
      </c>
      <c r="O1120" s="116" t="s">
        <v>1516</v>
      </c>
      <c r="Q1120" s="23"/>
      <c r="R1120" s="23"/>
    </row>
    <row r="1121" spans="2:18" ht="15" customHeight="1" x14ac:dyDescent="0.15">
      <c r="B1121" s="29" t="s">
        <v>45</v>
      </c>
      <c r="C1121" s="266">
        <v>44015</v>
      </c>
      <c r="D1121" s="29" t="s">
        <v>2134</v>
      </c>
      <c r="E1121" s="105" t="s">
        <v>42</v>
      </c>
      <c r="F1121" s="147">
        <v>0.11</v>
      </c>
      <c r="I1121" s="29" t="s">
        <v>1429</v>
      </c>
      <c r="J1121" s="29" t="s">
        <v>1430</v>
      </c>
      <c r="K1121" s="119">
        <v>5</v>
      </c>
      <c r="L1121" s="111" t="s">
        <v>1848</v>
      </c>
      <c r="O1121" s="111" t="s">
        <v>1849</v>
      </c>
      <c r="Q1121" s="23"/>
      <c r="R1121" s="23"/>
    </row>
    <row r="1122" spans="2:18" ht="15" customHeight="1" x14ac:dyDescent="0.15">
      <c r="B1122" s="29" t="s">
        <v>41</v>
      </c>
      <c r="C1122" s="266">
        <v>44015</v>
      </c>
      <c r="D1122" s="29" t="s">
        <v>3007</v>
      </c>
      <c r="E1122" s="105" t="s">
        <v>190</v>
      </c>
      <c r="F1122" s="232">
        <v>0.1</v>
      </c>
      <c r="I1122" s="29" t="s">
        <v>322</v>
      </c>
      <c r="J1122" s="29" t="s">
        <v>1432</v>
      </c>
      <c r="K1122" s="119">
        <v>1</v>
      </c>
      <c r="L1122" s="111" t="s">
        <v>1779</v>
      </c>
      <c r="O1122" s="111" t="s">
        <v>1780</v>
      </c>
      <c r="Q1122" s="23"/>
      <c r="R1122" s="23"/>
    </row>
    <row r="1123" spans="2:18" ht="15" customHeight="1" x14ac:dyDescent="0.15">
      <c r="B1123" s="29" t="s">
        <v>361</v>
      </c>
      <c r="C1123" s="266">
        <v>44015</v>
      </c>
      <c r="D1123" s="29" t="s">
        <v>2135</v>
      </c>
      <c r="E1123" s="105" t="s">
        <v>34</v>
      </c>
      <c r="F1123" s="147">
        <v>0.04</v>
      </c>
      <c r="I1123" s="29" t="s">
        <v>15</v>
      </c>
      <c r="J1123" s="29" t="s">
        <v>34</v>
      </c>
      <c r="K1123" s="119">
        <v>6</v>
      </c>
      <c r="L1123" s="111" t="s">
        <v>1086</v>
      </c>
      <c r="O1123" s="116" t="s">
        <v>1608</v>
      </c>
      <c r="Q1123" s="23"/>
      <c r="R1123" s="23"/>
    </row>
    <row r="1124" spans="2:18" ht="15" customHeight="1" x14ac:dyDescent="0.15">
      <c r="B1124" s="29" t="s">
        <v>45</v>
      </c>
      <c r="C1124" s="266">
        <v>44015</v>
      </c>
      <c r="D1124" s="29" t="s">
        <v>2069</v>
      </c>
      <c r="E1124" s="105" t="s">
        <v>6</v>
      </c>
      <c r="F1124" s="147">
        <v>0.04</v>
      </c>
      <c r="I1124" s="29" t="s">
        <v>264</v>
      </c>
      <c r="J1124" s="29" t="s">
        <v>6</v>
      </c>
      <c r="K1124" s="119">
        <v>7</v>
      </c>
      <c r="L1124" s="111" t="s">
        <v>1515</v>
      </c>
      <c r="O1124" s="116" t="s">
        <v>1515</v>
      </c>
      <c r="Q1124" s="23"/>
      <c r="R1124" s="23"/>
    </row>
    <row r="1125" spans="2:18" ht="15" customHeight="1" x14ac:dyDescent="0.15">
      <c r="B1125" s="29" t="s">
        <v>38</v>
      </c>
      <c r="C1125" s="266">
        <v>44015</v>
      </c>
      <c r="D1125" s="29" t="s">
        <v>2136</v>
      </c>
      <c r="E1125" s="105" t="s">
        <v>6</v>
      </c>
      <c r="F1125" s="147">
        <v>3.5999999999999997E-2</v>
      </c>
      <c r="I1125" s="29" t="s">
        <v>1438</v>
      </c>
      <c r="J1125" s="29" t="s">
        <v>1437</v>
      </c>
      <c r="K1125" s="119">
        <v>6</v>
      </c>
      <c r="L1125" s="111" t="s">
        <v>1999</v>
      </c>
      <c r="O1125" s="111" t="s">
        <v>1999</v>
      </c>
      <c r="Q1125" s="23"/>
      <c r="R1125" s="23"/>
    </row>
    <row r="1126" spans="2:18" ht="14" x14ac:dyDescent="0.15">
      <c r="B1126" s="29" t="s">
        <v>73</v>
      </c>
      <c r="C1126" s="266">
        <v>44015</v>
      </c>
      <c r="D1126" s="29" t="s">
        <v>1439</v>
      </c>
      <c r="E1126" s="105" t="s">
        <v>6</v>
      </c>
      <c r="F1126" s="147">
        <v>0.06</v>
      </c>
      <c r="I1126" s="29" t="s">
        <v>159</v>
      </c>
      <c r="J1126" s="29" t="s">
        <v>502</v>
      </c>
      <c r="K1126" s="119">
        <v>8</v>
      </c>
      <c r="L1126" s="111" t="s">
        <v>2137</v>
      </c>
      <c r="O1126" s="111" t="s">
        <v>2138</v>
      </c>
      <c r="Q1126" s="23"/>
      <c r="R1126" s="23"/>
    </row>
    <row r="1127" spans="2:18" ht="14" x14ac:dyDescent="0.15">
      <c r="B1127" s="29" t="s">
        <v>45</v>
      </c>
      <c r="C1127" s="266">
        <v>44015</v>
      </c>
      <c r="D1127" s="29" t="s">
        <v>2139</v>
      </c>
      <c r="E1127" s="105" t="s">
        <v>65</v>
      </c>
      <c r="F1127" s="147">
        <v>0.4</v>
      </c>
      <c r="G1127" s="29" t="s">
        <v>28</v>
      </c>
      <c r="I1127" s="29" t="s">
        <v>16</v>
      </c>
      <c r="J1127" s="29" t="s">
        <v>629</v>
      </c>
      <c r="K1127" s="119">
        <v>6.5</v>
      </c>
      <c r="L1127" s="111" t="s">
        <v>2139</v>
      </c>
      <c r="O1127" s="111" t="s">
        <v>2140</v>
      </c>
      <c r="Q1127" s="23"/>
      <c r="R1127" s="23"/>
    </row>
    <row r="1128" spans="2:18" ht="15" customHeight="1" x14ac:dyDescent="0.15">
      <c r="B1128" s="29" t="s">
        <v>61</v>
      </c>
      <c r="C1128" s="266">
        <v>44015</v>
      </c>
      <c r="D1128" s="29" t="s">
        <v>2141</v>
      </c>
      <c r="E1128" s="105" t="s">
        <v>42</v>
      </c>
      <c r="F1128" s="147">
        <v>0.11</v>
      </c>
      <c r="I1128" s="29" t="s">
        <v>1440</v>
      </c>
      <c r="J1128" s="29" t="s">
        <v>1441</v>
      </c>
      <c r="K1128" s="119">
        <v>2</v>
      </c>
      <c r="L1128" s="111" t="s">
        <v>2115</v>
      </c>
      <c r="O1128" s="111" t="s">
        <v>2116</v>
      </c>
      <c r="Q1128" s="23"/>
      <c r="R1128" s="23"/>
    </row>
    <row r="1129" spans="2:18" ht="15" customHeight="1" x14ac:dyDescent="0.15">
      <c r="B1129" s="29" t="s">
        <v>361</v>
      </c>
      <c r="C1129" s="266">
        <v>44015</v>
      </c>
      <c r="D1129" s="29" t="s">
        <v>1052</v>
      </c>
      <c r="E1129" s="105" t="s">
        <v>34</v>
      </c>
      <c r="F1129" s="147">
        <v>0.05</v>
      </c>
      <c r="I1129" s="29" t="s">
        <v>244</v>
      </c>
      <c r="J1129" s="29" t="s">
        <v>34</v>
      </c>
      <c r="K1129" s="119">
        <v>6</v>
      </c>
      <c r="L1129" s="111" t="s">
        <v>1086</v>
      </c>
      <c r="O1129" s="116" t="s">
        <v>1608</v>
      </c>
      <c r="Q1129" s="23"/>
      <c r="R1129" s="23"/>
    </row>
    <row r="1130" spans="2:18" ht="15" customHeight="1" x14ac:dyDescent="0.15">
      <c r="B1130" s="29" t="s">
        <v>26</v>
      </c>
      <c r="C1130" s="266">
        <v>44015</v>
      </c>
      <c r="D1130" s="29" t="s">
        <v>2142</v>
      </c>
      <c r="E1130" s="105" t="s">
        <v>34</v>
      </c>
      <c r="F1130" s="147">
        <v>0.04</v>
      </c>
      <c r="I1130" s="29" t="s">
        <v>1442</v>
      </c>
      <c r="J1130" s="29" t="s">
        <v>351</v>
      </c>
      <c r="K1130" s="119">
        <v>7.5</v>
      </c>
      <c r="L1130" s="111" t="s">
        <v>1704</v>
      </c>
      <c r="O1130" s="111" t="s">
        <v>1705</v>
      </c>
      <c r="Q1130" s="23"/>
      <c r="R1130" s="23"/>
    </row>
    <row r="1131" spans="2:18" ht="15" customHeight="1" x14ac:dyDescent="0.15">
      <c r="B1131" s="29" t="s">
        <v>26</v>
      </c>
      <c r="C1131" s="266">
        <v>44022</v>
      </c>
      <c r="D1131" s="29" t="s">
        <v>1889</v>
      </c>
      <c r="E1131" s="105" t="s">
        <v>34</v>
      </c>
      <c r="F1131" s="147">
        <v>0.04</v>
      </c>
      <c r="I1131" s="29" t="s">
        <v>289</v>
      </c>
      <c r="J1131" s="29" t="s">
        <v>465</v>
      </c>
      <c r="K1131" s="119">
        <v>8</v>
      </c>
      <c r="L1131" s="111" t="s">
        <v>1472</v>
      </c>
      <c r="O1131" s="116" t="s">
        <v>1455</v>
      </c>
      <c r="Q1131" s="23"/>
      <c r="R1131" s="23"/>
    </row>
    <row r="1132" spans="2:18" ht="15" customHeight="1" x14ac:dyDescent="0.15">
      <c r="B1132" s="29" t="s">
        <v>45</v>
      </c>
      <c r="C1132" s="266">
        <v>44022</v>
      </c>
      <c r="D1132" s="29" t="s">
        <v>1890</v>
      </c>
      <c r="E1132" s="105" t="s">
        <v>6</v>
      </c>
      <c r="F1132" s="147">
        <v>6.7000000000000004E-2</v>
      </c>
      <c r="I1132" s="29" t="s">
        <v>1894</v>
      </c>
      <c r="J1132" s="29" t="s">
        <v>1895</v>
      </c>
      <c r="K1132" s="119">
        <v>6.5</v>
      </c>
      <c r="L1132" s="111" t="s">
        <v>1090</v>
      </c>
      <c r="O1132" s="111" t="s">
        <v>1798</v>
      </c>
      <c r="Q1132" s="23"/>
      <c r="R1132" s="23"/>
    </row>
    <row r="1133" spans="2:18" ht="15" customHeight="1" x14ac:dyDescent="0.15">
      <c r="B1133" s="29" t="s">
        <v>41</v>
      </c>
      <c r="C1133" s="266">
        <v>44022</v>
      </c>
      <c r="D1133" s="29" t="s">
        <v>1891</v>
      </c>
      <c r="E1133" s="105" t="s">
        <v>34</v>
      </c>
      <c r="F1133" s="147">
        <v>0.04</v>
      </c>
      <c r="I1133" s="29" t="s">
        <v>1896</v>
      </c>
      <c r="J1133" s="29" t="s">
        <v>1897</v>
      </c>
      <c r="K1133" s="119">
        <v>6</v>
      </c>
      <c r="L1133" s="111" t="s">
        <v>1308</v>
      </c>
      <c r="O1133" s="111" t="s">
        <v>1968</v>
      </c>
      <c r="Q1133" s="23"/>
      <c r="R1133" s="23"/>
    </row>
    <row r="1134" spans="2:18" ht="15" customHeight="1" x14ac:dyDescent="0.15">
      <c r="B1134" s="29" t="s">
        <v>26</v>
      </c>
      <c r="C1134" s="266">
        <v>44022</v>
      </c>
      <c r="D1134" s="29" t="s">
        <v>3122</v>
      </c>
      <c r="E1134" s="105" t="s">
        <v>34</v>
      </c>
      <c r="F1134" s="147">
        <v>4.4999999999999998E-2</v>
      </c>
      <c r="I1134" s="29" t="s">
        <v>458</v>
      </c>
      <c r="J1134" s="29" t="s">
        <v>970</v>
      </c>
      <c r="K1134" s="119">
        <v>7</v>
      </c>
      <c r="L1134" s="111" t="s">
        <v>1892</v>
      </c>
      <c r="O1134" s="111" t="s">
        <v>1565</v>
      </c>
      <c r="Q1134" s="23"/>
      <c r="R1134" s="23"/>
    </row>
    <row r="1135" spans="2:18" ht="15" customHeight="1" x14ac:dyDescent="0.15">
      <c r="B1135" s="29" t="s">
        <v>41</v>
      </c>
      <c r="C1135" s="266">
        <v>44022</v>
      </c>
      <c r="D1135" s="29" t="s">
        <v>1898</v>
      </c>
      <c r="E1135" s="105" t="s">
        <v>6</v>
      </c>
      <c r="F1135" s="147">
        <v>0.06</v>
      </c>
      <c r="I1135" s="29" t="s">
        <v>217</v>
      </c>
      <c r="J1135" s="29" t="s">
        <v>1899</v>
      </c>
      <c r="K1135" s="119">
        <v>4</v>
      </c>
      <c r="L1135" s="111" t="s">
        <v>898</v>
      </c>
      <c r="O1135" s="116" t="s">
        <v>1817</v>
      </c>
      <c r="Q1135" s="23"/>
      <c r="R1135" s="23"/>
    </row>
    <row r="1136" spans="2:18" ht="15" customHeight="1" x14ac:dyDescent="0.15">
      <c r="B1136" s="29" t="s">
        <v>41</v>
      </c>
      <c r="C1136" s="266">
        <v>44022</v>
      </c>
      <c r="D1136" s="29" t="s">
        <v>1900</v>
      </c>
      <c r="E1136" s="105" t="s">
        <v>34</v>
      </c>
      <c r="F1136" s="147">
        <v>0.06</v>
      </c>
      <c r="I1136" s="29" t="s">
        <v>217</v>
      </c>
      <c r="J1136" s="29" t="s">
        <v>1901</v>
      </c>
      <c r="K1136" s="119">
        <v>4</v>
      </c>
      <c r="L1136" s="111" t="s">
        <v>898</v>
      </c>
      <c r="O1136" s="116" t="s">
        <v>1817</v>
      </c>
      <c r="Q1136" s="23"/>
      <c r="R1136" s="23"/>
    </row>
    <row r="1137" spans="2:18" ht="15" customHeight="1" x14ac:dyDescent="0.15">
      <c r="B1137" s="29" t="s">
        <v>41</v>
      </c>
      <c r="C1137" s="266">
        <v>44022</v>
      </c>
      <c r="D1137" s="29" t="s">
        <v>1924</v>
      </c>
      <c r="E1137" s="105" t="s">
        <v>6</v>
      </c>
      <c r="F1137" s="147">
        <v>0.06</v>
      </c>
      <c r="I1137" s="29" t="s">
        <v>927</v>
      </c>
      <c r="J1137" s="29" t="s">
        <v>89</v>
      </c>
      <c r="K1137" s="119">
        <v>3</v>
      </c>
      <c r="L1137" s="111" t="s">
        <v>898</v>
      </c>
      <c r="O1137" s="116" t="s">
        <v>1817</v>
      </c>
      <c r="Q1137" s="23"/>
      <c r="R1137" s="23"/>
    </row>
    <row r="1138" spans="2:18" ht="15" customHeight="1" x14ac:dyDescent="0.15">
      <c r="B1138" s="29" t="s">
        <v>361</v>
      </c>
      <c r="C1138" s="266">
        <v>44022</v>
      </c>
      <c r="D1138" s="29" t="s">
        <v>1902</v>
      </c>
      <c r="E1138" s="105" t="s">
        <v>6</v>
      </c>
      <c r="F1138" s="147">
        <v>0.05</v>
      </c>
      <c r="I1138" s="29" t="s">
        <v>1903</v>
      </c>
      <c r="J1138" s="29" t="s">
        <v>1899</v>
      </c>
      <c r="K1138" s="119">
        <v>7</v>
      </c>
      <c r="L1138" s="111" t="s">
        <v>1969</v>
      </c>
      <c r="O1138" s="111" t="s">
        <v>1969</v>
      </c>
      <c r="Q1138" s="23"/>
      <c r="R1138" s="23"/>
    </row>
    <row r="1139" spans="2:18" ht="15" customHeight="1" x14ac:dyDescent="0.15">
      <c r="B1139" s="29" t="s">
        <v>61</v>
      </c>
      <c r="C1139" s="266">
        <v>44022</v>
      </c>
      <c r="D1139" s="29" t="s">
        <v>922</v>
      </c>
      <c r="E1139" s="105" t="s">
        <v>65</v>
      </c>
      <c r="F1139" s="147">
        <v>0.375</v>
      </c>
      <c r="G1139" s="29" t="s">
        <v>429</v>
      </c>
      <c r="H1139" s="29" t="s">
        <v>1905</v>
      </c>
      <c r="I1139" s="29" t="s">
        <v>1920</v>
      </c>
      <c r="J1139" s="29" t="s">
        <v>1919</v>
      </c>
      <c r="K1139" s="119">
        <v>7.5</v>
      </c>
      <c r="L1139" s="111" t="s">
        <v>1828</v>
      </c>
      <c r="O1139" s="116" t="s">
        <v>1828</v>
      </c>
      <c r="Q1139" s="23"/>
      <c r="R1139" s="23"/>
    </row>
    <row r="1140" spans="2:18" ht="15" customHeight="1" x14ac:dyDescent="0.15">
      <c r="B1140" s="29" t="s">
        <v>1120</v>
      </c>
      <c r="C1140" s="266">
        <v>44022</v>
      </c>
      <c r="D1140" s="29" t="s">
        <v>1906</v>
      </c>
      <c r="E1140" s="105" t="s">
        <v>36</v>
      </c>
      <c r="F1140" s="147">
        <v>0.4</v>
      </c>
      <c r="G1140" s="29" t="s">
        <v>429</v>
      </c>
      <c r="H1140" s="29" t="s">
        <v>1905</v>
      </c>
      <c r="I1140" s="29" t="s">
        <v>1921</v>
      </c>
      <c r="J1140" s="29" t="s">
        <v>1922</v>
      </c>
      <c r="K1140" s="119">
        <v>7</v>
      </c>
      <c r="L1140" s="111" t="s">
        <v>1970</v>
      </c>
      <c r="O1140" s="111" t="s">
        <v>1462</v>
      </c>
      <c r="Q1140" s="23"/>
      <c r="R1140" s="23"/>
    </row>
    <row r="1141" spans="2:18" ht="15" customHeight="1" x14ac:dyDescent="0.15">
      <c r="B1141" s="29" t="s">
        <v>38</v>
      </c>
      <c r="C1141" s="266">
        <v>44022</v>
      </c>
      <c r="D1141" s="29" t="s">
        <v>1904</v>
      </c>
      <c r="E1141" s="105" t="s">
        <v>6</v>
      </c>
      <c r="F1141" s="147">
        <v>4.2000000000000003E-2</v>
      </c>
      <c r="I1141" s="29" t="s">
        <v>1907</v>
      </c>
      <c r="J1141" s="29" t="s">
        <v>1908</v>
      </c>
      <c r="K1141" s="119">
        <v>6.5</v>
      </c>
      <c r="L1141" s="111" t="s">
        <v>1904</v>
      </c>
      <c r="O1141" s="111" t="s">
        <v>1533</v>
      </c>
      <c r="Q1141" s="23"/>
      <c r="R1141" s="23"/>
    </row>
    <row r="1142" spans="2:18" ht="15" customHeight="1" x14ac:dyDescent="0.15">
      <c r="B1142" s="29" t="s">
        <v>38</v>
      </c>
      <c r="C1142" s="266">
        <v>44022</v>
      </c>
      <c r="D1142" s="29" t="s">
        <v>940</v>
      </c>
      <c r="E1142" s="105" t="s">
        <v>6</v>
      </c>
      <c r="F1142" s="147">
        <v>5.3999999999999999E-2</v>
      </c>
      <c r="I1142" s="29" t="s">
        <v>1918</v>
      </c>
      <c r="J1142" s="29" t="s">
        <v>1065</v>
      </c>
      <c r="K1142" s="119">
        <v>8.5</v>
      </c>
      <c r="L1142" s="111" t="s">
        <v>765</v>
      </c>
      <c r="O1142" s="116" t="s">
        <v>1569</v>
      </c>
      <c r="Q1142" s="23"/>
      <c r="R1142" s="23"/>
    </row>
    <row r="1143" spans="2:18" ht="15" customHeight="1" x14ac:dyDescent="0.15">
      <c r="B1143" s="29" t="s">
        <v>45</v>
      </c>
      <c r="C1143" s="266">
        <v>44022</v>
      </c>
      <c r="D1143" s="29" t="s">
        <v>3687</v>
      </c>
      <c r="E1143" s="105" t="s">
        <v>6</v>
      </c>
      <c r="F1143" s="147">
        <v>5.5E-2</v>
      </c>
      <c r="I1143" s="29" t="s">
        <v>1909</v>
      </c>
      <c r="J1143" s="29" t="s">
        <v>1910</v>
      </c>
      <c r="K1143" s="119">
        <v>6</v>
      </c>
      <c r="L1143" s="111" t="s">
        <v>1544</v>
      </c>
      <c r="O1143" s="116" t="s">
        <v>1544</v>
      </c>
      <c r="Q1143" s="23"/>
      <c r="R1143" s="23"/>
    </row>
    <row r="1144" spans="2:18" ht="15" customHeight="1" x14ac:dyDescent="0.15">
      <c r="B1144" s="29" t="s">
        <v>45</v>
      </c>
      <c r="C1144" s="266">
        <v>44022</v>
      </c>
      <c r="D1144" s="29" t="s">
        <v>1924</v>
      </c>
      <c r="E1144" s="105" t="s">
        <v>6</v>
      </c>
      <c r="F1144" s="147">
        <v>0.06</v>
      </c>
      <c r="I1144" s="29" t="s">
        <v>146</v>
      </c>
      <c r="J1144" s="29" t="s">
        <v>1917</v>
      </c>
      <c r="K1144" s="119">
        <v>6</v>
      </c>
      <c r="L1144" s="111" t="s">
        <v>898</v>
      </c>
      <c r="O1144" s="116" t="s">
        <v>1817</v>
      </c>
      <c r="Q1144" s="23"/>
      <c r="R1144" s="23"/>
    </row>
    <row r="1145" spans="2:18" ht="15" customHeight="1" x14ac:dyDescent="0.15">
      <c r="B1145" s="29" t="s">
        <v>26</v>
      </c>
      <c r="C1145" s="266">
        <v>44022</v>
      </c>
      <c r="D1145" s="29" t="s">
        <v>1911</v>
      </c>
      <c r="E1145" s="105" t="s">
        <v>32</v>
      </c>
      <c r="F1145" s="147">
        <v>4.7E-2</v>
      </c>
      <c r="I1145" s="29" t="s">
        <v>775</v>
      </c>
      <c r="J1145" s="29" t="s">
        <v>1929</v>
      </c>
      <c r="K1145" s="119">
        <v>4.5</v>
      </c>
      <c r="L1145" s="111" t="s">
        <v>766</v>
      </c>
      <c r="O1145" s="116" t="s">
        <v>1516</v>
      </c>
      <c r="Q1145" s="23"/>
      <c r="R1145" s="23"/>
    </row>
    <row r="1146" spans="2:18" ht="15" customHeight="1" x14ac:dyDescent="0.15">
      <c r="B1146" s="29" t="s">
        <v>26</v>
      </c>
      <c r="C1146" s="266">
        <v>44022</v>
      </c>
      <c r="D1146" s="29" t="s">
        <v>1912</v>
      </c>
      <c r="E1146" s="105" t="s">
        <v>42</v>
      </c>
      <c r="F1146" s="147">
        <v>0.13500000000000001</v>
      </c>
      <c r="I1146" s="29" t="s">
        <v>3557</v>
      </c>
      <c r="J1146" s="29" t="s">
        <v>233</v>
      </c>
      <c r="K1146" s="119">
        <v>7.5</v>
      </c>
      <c r="L1146" s="111" t="s">
        <v>1971</v>
      </c>
      <c r="O1146" s="111" t="s">
        <v>1971</v>
      </c>
      <c r="Q1146" s="23"/>
      <c r="R1146" s="23"/>
    </row>
    <row r="1147" spans="2:18" ht="15" customHeight="1" x14ac:dyDescent="0.15">
      <c r="B1147" s="29" t="s">
        <v>41</v>
      </c>
      <c r="C1147" s="266">
        <v>44022</v>
      </c>
      <c r="D1147" s="29" t="s">
        <v>3008</v>
      </c>
      <c r="E1147" s="105" t="s">
        <v>190</v>
      </c>
      <c r="F1147" s="232">
        <v>0.1</v>
      </c>
      <c r="I1147" s="29" t="s">
        <v>1913</v>
      </c>
      <c r="J1147" s="29" t="s">
        <v>1914</v>
      </c>
      <c r="K1147" s="119">
        <v>4</v>
      </c>
      <c r="L1147" s="111" t="s">
        <v>1779</v>
      </c>
      <c r="O1147" s="111" t="s">
        <v>1780</v>
      </c>
      <c r="Q1147" s="23"/>
      <c r="R1147" s="23"/>
    </row>
    <row r="1148" spans="2:18" ht="15" customHeight="1" x14ac:dyDescent="0.15">
      <c r="B1148" s="29" t="s">
        <v>361</v>
      </c>
      <c r="C1148" s="266">
        <v>44022</v>
      </c>
      <c r="D1148" s="29" t="s">
        <v>3444</v>
      </c>
      <c r="E1148" s="105" t="s">
        <v>65</v>
      </c>
      <c r="F1148" s="147">
        <v>0.25</v>
      </c>
      <c r="I1148" s="29" t="s">
        <v>265</v>
      </c>
      <c r="J1148" s="29" t="s">
        <v>3482</v>
      </c>
      <c r="K1148" s="119">
        <v>4.5</v>
      </c>
      <c r="L1148" s="111" t="s">
        <v>1587</v>
      </c>
      <c r="O1148" s="116" t="s">
        <v>1516</v>
      </c>
      <c r="Q1148" s="23"/>
      <c r="R1148" s="23"/>
    </row>
    <row r="1149" spans="2:18" ht="15" customHeight="1" x14ac:dyDescent="0.15">
      <c r="B1149" s="29" t="s">
        <v>45</v>
      </c>
      <c r="C1149" s="266">
        <v>44022</v>
      </c>
      <c r="D1149" s="29" t="s">
        <v>3444</v>
      </c>
      <c r="E1149" s="105" t="s">
        <v>65</v>
      </c>
      <c r="F1149" s="147">
        <v>0.25</v>
      </c>
      <c r="I1149" s="29" t="s">
        <v>306</v>
      </c>
      <c r="J1149" s="29" t="s">
        <v>46</v>
      </c>
      <c r="K1149" s="119">
        <v>5</v>
      </c>
      <c r="L1149" s="111" t="s">
        <v>1587</v>
      </c>
      <c r="O1149" s="116" t="s">
        <v>1516</v>
      </c>
      <c r="Q1149" s="23"/>
      <c r="R1149" s="23"/>
    </row>
    <row r="1150" spans="2:18" ht="15" customHeight="1" x14ac:dyDescent="0.15">
      <c r="B1150" s="29" t="s">
        <v>1120</v>
      </c>
      <c r="C1150" s="266">
        <v>44022</v>
      </c>
      <c r="D1150" s="29" t="s">
        <v>1972</v>
      </c>
      <c r="E1150" s="105" t="s">
        <v>32</v>
      </c>
      <c r="F1150" s="147">
        <v>0.2</v>
      </c>
      <c r="I1150" s="29" t="s">
        <v>1915</v>
      </c>
      <c r="J1150" s="29" t="s">
        <v>1916</v>
      </c>
      <c r="K1150" s="119">
        <v>1</v>
      </c>
      <c r="L1150" s="111" t="s">
        <v>1973</v>
      </c>
      <c r="O1150" s="111" t="s">
        <v>1447</v>
      </c>
      <c r="Q1150" s="23"/>
      <c r="R1150" s="23"/>
    </row>
    <row r="1151" spans="2:18" ht="15" customHeight="1" x14ac:dyDescent="0.15">
      <c r="B1151" s="29" t="s">
        <v>61</v>
      </c>
      <c r="C1151" s="266">
        <v>44022</v>
      </c>
      <c r="D1151" s="29" t="s">
        <v>1972</v>
      </c>
      <c r="E1151" s="105" t="s">
        <v>32</v>
      </c>
      <c r="F1151" s="147">
        <v>0.2</v>
      </c>
      <c r="I1151" s="29" t="s">
        <v>525</v>
      </c>
      <c r="J1151" s="29" t="s">
        <v>191</v>
      </c>
      <c r="K1151" s="119">
        <v>2</v>
      </c>
      <c r="L1151" s="111" t="s">
        <v>1973</v>
      </c>
      <c r="O1151" s="111" t="s">
        <v>1447</v>
      </c>
      <c r="Q1151" s="23"/>
      <c r="R1151" s="23"/>
    </row>
    <row r="1152" spans="2:18" ht="15" customHeight="1" x14ac:dyDescent="0.15">
      <c r="B1152" s="29" t="s">
        <v>38</v>
      </c>
      <c r="C1152" s="266">
        <v>44022</v>
      </c>
      <c r="D1152" s="29" t="s">
        <v>1925</v>
      </c>
      <c r="E1152" s="105" t="s">
        <v>34</v>
      </c>
      <c r="F1152" s="147">
        <v>0.05</v>
      </c>
      <c r="I1152" s="29" t="s">
        <v>15</v>
      </c>
      <c r="J1152" s="29" t="s">
        <v>3565</v>
      </c>
      <c r="K1152" s="119">
        <v>8</v>
      </c>
      <c r="L1152" s="111" t="s">
        <v>1974</v>
      </c>
      <c r="O1152" s="111" t="s">
        <v>1975</v>
      </c>
      <c r="Q1152" s="23"/>
      <c r="R1152" s="23"/>
    </row>
    <row r="1153" spans="2:18" ht="15" customHeight="1" x14ac:dyDescent="0.15">
      <c r="B1153" s="29" t="s">
        <v>361</v>
      </c>
      <c r="C1153" s="266">
        <v>44022</v>
      </c>
      <c r="D1153" s="29" t="s">
        <v>1924</v>
      </c>
      <c r="E1153" s="105" t="s">
        <v>6</v>
      </c>
      <c r="F1153" s="147">
        <v>0.06</v>
      </c>
      <c r="I1153" s="29" t="s">
        <v>1395</v>
      </c>
      <c r="J1153" s="29" t="s">
        <v>1923</v>
      </c>
      <c r="K1153" s="119">
        <v>2</v>
      </c>
      <c r="L1153" s="111" t="s">
        <v>898</v>
      </c>
      <c r="O1153" s="116" t="s">
        <v>1817</v>
      </c>
      <c r="Q1153" s="23"/>
      <c r="R1153" s="23"/>
    </row>
    <row r="1154" spans="2:18" ht="15" customHeight="1" x14ac:dyDescent="0.15">
      <c r="B1154" s="29" t="s">
        <v>61</v>
      </c>
      <c r="C1154" s="266">
        <v>44022</v>
      </c>
      <c r="D1154" s="29" t="s">
        <v>1926</v>
      </c>
      <c r="E1154" s="105" t="s">
        <v>6</v>
      </c>
      <c r="F1154" s="147">
        <v>6.2E-2</v>
      </c>
      <c r="I1154" s="29" t="s">
        <v>1940</v>
      </c>
      <c r="J1154" s="29" t="s">
        <v>1941</v>
      </c>
      <c r="K1154" s="119">
        <v>1</v>
      </c>
      <c r="L1154" s="111" t="s">
        <v>765</v>
      </c>
      <c r="O1154" s="116" t="s">
        <v>1569</v>
      </c>
      <c r="Q1154" s="23"/>
      <c r="R1154" s="23"/>
    </row>
    <row r="1155" spans="2:18" ht="15" customHeight="1" x14ac:dyDescent="0.15">
      <c r="B1155" s="29" t="s">
        <v>45</v>
      </c>
      <c r="C1155" s="266">
        <v>44022</v>
      </c>
      <c r="D1155" s="29" t="s">
        <v>1928</v>
      </c>
      <c r="E1155" s="105" t="s">
        <v>6</v>
      </c>
      <c r="F1155" s="147">
        <v>0.04</v>
      </c>
      <c r="I1155" s="29" t="s">
        <v>3353</v>
      </c>
      <c r="J1155" s="29" t="s">
        <v>1938</v>
      </c>
      <c r="K1155" s="119">
        <v>7</v>
      </c>
      <c r="L1155" s="111" t="s">
        <v>1927</v>
      </c>
      <c r="O1155" s="111" t="s">
        <v>1978</v>
      </c>
      <c r="Q1155" s="23"/>
      <c r="R1155" s="23"/>
    </row>
    <row r="1156" spans="2:18" ht="15" customHeight="1" x14ac:dyDescent="0.15">
      <c r="B1156" s="29" t="s">
        <v>41</v>
      </c>
      <c r="C1156" s="266">
        <v>44022</v>
      </c>
      <c r="D1156" s="29" t="s">
        <v>1932</v>
      </c>
      <c r="E1156" s="105" t="s">
        <v>190</v>
      </c>
      <c r="F1156" s="147">
        <v>0.4</v>
      </c>
      <c r="I1156" s="29" t="s">
        <v>321</v>
      </c>
      <c r="J1156" s="29" t="s">
        <v>232</v>
      </c>
      <c r="K1156" s="119">
        <v>7</v>
      </c>
      <c r="L1156" s="111" t="s">
        <v>1976</v>
      </c>
      <c r="O1156" s="116" t="s">
        <v>1977</v>
      </c>
      <c r="Q1156" s="23"/>
      <c r="R1156" s="23"/>
    </row>
    <row r="1157" spans="2:18" ht="15" customHeight="1" x14ac:dyDescent="0.15">
      <c r="B1157" s="29" t="s">
        <v>26</v>
      </c>
      <c r="C1157" s="266">
        <v>44022</v>
      </c>
      <c r="D1157" s="29" t="s">
        <v>1930</v>
      </c>
      <c r="E1157" s="105" t="s">
        <v>34</v>
      </c>
      <c r="F1157" s="147">
        <v>4.1000000000000002E-2</v>
      </c>
      <c r="I1157" s="29" t="s">
        <v>351</v>
      </c>
      <c r="J1157" s="29" t="s">
        <v>1948</v>
      </c>
      <c r="K1157" s="119">
        <v>6</v>
      </c>
      <c r="L1157" s="111" t="s">
        <v>1931</v>
      </c>
      <c r="O1157" s="111" t="s">
        <v>1931</v>
      </c>
      <c r="Q1157" s="23"/>
      <c r="R1157" s="23"/>
    </row>
    <row r="1158" spans="2:18" ht="15" customHeight="1" x14ac:dyDescent="0.15">
      <c r="B1158" s="29" t="s">
        <v>361</v>
      </c>
      <c r="C1158" s="266">
        <v>44022</v>
      </c>
      <c r="D1158" s="29" t="s">
        <v>1933</v>
      </c>
      <c r="E1158" s="105" t="s">
        <v>6</v>
      </c>
      <c r="F1158" s="147">
        <v>0.05</v>
      </c>
      <c r="I1158" s="29" t="s">
        <v>1944</v>
      </c>
      <c r="J1158" s="29" t="s">
        <v>1945</v>
      </c>
      <c r="K1158" s="119">
        <v>6</v>
      </c>
      <c r="L1158" s="111" t="s">
        <v>1979</v>
      </c>
      <c r="O1158" s="111" t="s">
        <v>1980</v>
      </c>
      <c r="Q1158" s="23"/>
      <c r="R1158" s="23"/>
    </row>
    <row r="1159" spans="2:18" ht="15" customHeight="1" x14ac:dyDescent="0.15">
      <c r="B1159" s="29" t="s">
        <v>73</v>
      </c>
      <c r="C1159" s="266">
        <v>44022</v>
      </c>
      <c r="D1159" s="29" t="s">
        <v>1807</v>
      </c>
      <c r="E1159" s="105" t="s">
        <v>190</v>
      </c>
      <c r="F1159" s="147">
        <v>0.4</v>
      </c>
      <c r="G1159" s="29" t="s">
        <v>1934</v>
      </c>
      <c r="I1159" s="29" t="s">
        <v>1935</v>
      </c>
      <c r="J1159" s="29" t="s">
        <v>1936</v>
      </c>
      <c r="K1159" s="119">
        <v>9</v>
      </c>
      <c r="L1159" s="111" t="s">
        <v>1808</v>
      </c>
      <c r="O1159" s="116" t="s">
        <v>1808</v>
      </c>
      <c r="Q1159" s="23"/>
      <c r="R1159" s="23"/>
    </row>
    <row r="1160" spans="2:18" ht="15" customHeight="1" x14ac:dyDescent="0.15">
      <c r="B1160" s="29" t="s">
        <v>35</v>
      </c>
      <c r="C1160" s="266">
        <v>44022</v>
      </c>
      <c r="D1160" s="29" t="s">
        <v>1937</v>
      </c>
      <c r="E1160" s="105" t="s">
        <v>34</v>
      </c>
      <c r="F1160" s="147">
        <v>4.5999999999999999E-2</v>
      </c>
      <c r="I1160" s="29" t="s">
        <v>198</v>
      </c>
      <c r="J1160" s="29" t="s">
        <v>1942</v>
      </c>
      <c r="K1160" s="119">
        <v>4</v>
      </c>
      <c r="L1160" s="111" t="s">
        <v>1981</v>
      </c>
      <c r="O1160" s="111" t="s">
        <v>1982</v>
      </c>
      <c r="Q1160" s="23"/>
      <c r="R1160" s="23"/>
    </row>
    <row r="1161" spans="2:18" ht="15" customHeight="1" x14ac:dyDescent="0.15">
      <c r="B1161" s="29" t="s">
        <v>38</v>
      </c>
      <c r="C1161" s="266">
        <v>44022</v>
      </c>
      <c r="D1161" s="29" t="s">
        <v>1939</v>
      </c>
      <c r="E1161" s="105" t="s">
        <v>6</v>
      </c>
      <c r="F1161" s="147">
        <v>4.4999999999999998E-2</v>
      </c>
      <c r="I1161" s="29" t="s">
        <v>1234</v>
      </c>
      <c r="J1161" s="29" t="s">
        <v>1950</v>
      </c>
      <c r="K1161" s="119">
        <v>7.5</v>
      </c>
      <c r="L1161" s="111" t="s">
        <v>1983</v>
      </c>
      <c r="O1161" s="111" t="s">
        <v>2145</v>
      </c>
      <c r="Q1161" s="23"/>
      <c r="R1161" s="23"/>
    </row>
    <row r="1162" spans="2:18" ht="15" customHeight="1" x14ac:dyDescent="0.15">
      <c r="B1162" s="29" t="s">
        <v>1120</v>
      </c>
      <c r="C1162" s="266">
        <v>44022</v>
      </c>
      <c r="D1162" s="29" t="s">
        <v>905</v>
      </c>
      <c r="E1162" s="105" t="s">
        <v>6</v>
      </c>
      <c r="F1162" s="147">
        <v>4.2000000000000003E-2</v>
      </c>
      <c r="I1162" s="29" t="s">
        <v>525</v>
      </c>
      <c r="J1162" s="29" t="s">
        <v>1943</v>
      </c>
      <c r="K1162" s="119">
        <v>6</v>
      </c>
      <c r="L1162" s="111" t="s">
        <v>980</v>
      </c>
      <c r="O1162" s="116" t="s">
        <v>1862</v>
      </c>
      <c r="Q1162" s="23"/>
      <c r="R1162" s="23"/>
    </row>
    <row r="1163" spans="2:18" ht="15" customHeight="1" x14ac:dyDescent="0.15">
      <c r="B1163" s="29" t="s">
        <v>35</v>
      </c>
      <c r="C1163" s="266">
        <v>44022</v>
      </c>
      <c r="D1163" s="29" t="s">
        <v>1473</v>
      </c>
      <c r="E1163" s="105" t="s">
        <v>6</v>
      </c>
      <c r="F1163" s="147">
        <v>4.2999999999999997E-2</v>
      </c>
      <c r="I1163" s="29" t="s">
        <v>1951</v>
      </c>
      <c r="J1163" s="29" t="s">
        <v>1952</v>
      </c>
      <c r="K1163" s="119">
        <v>5.5</v>
      </c>
      <c r="L1163" s="111" t="s">
        <v>1473</v>
      </c>
      <c r="O1163" s="111" t="s">
        <v>1463</v>
      </c>
      <c r="Q1163" s="23"/>
      <c r="R1163" s="23"/>
    </row>
    <row r="1164" spans="2:18" ht="15" customHeight="1" x14ac:dyDescent="0.15">
      <c r="B1164" s="29" t="s">
        <v>45</v>
      </c>
      <c r="C1164" s="266">
        <v>44022</v>
      </c>
      <c r="D1164" s="29" t="s">
        <v>1949</v>
      </c>
      <c r="E1164" s="105" t="s">
        <v>6</v>
      </c>
      <c r="F1164" s="147">
        <v>5.8999999999999997E-2</v>
      </c>
      <c r="I1164" s="29" t="s">
        <v>25</v>
      </c>
      <c r="J1164" s="29" t="s">
        <v>857</v>
      </c>
      <c r="K1164" s="119">
        <v>7</v>
      </c>
      <c r="L1164" s="111" t="s">
        <v>1984</v>
      </c>
      <c r="O1164" s="111" t="s">
        <v>1985</v>
      </c>
      <c r="Q1164" s="23"/>
      <c r="R1164" s="23"/>
    </row>
    <row r="1165" spans="2:18" ht="15" customHeight="1" x14ac:dyDescent="0.15">
      <c r="B1165" s="29" t="s">
        <v>38</v>
      </c>
      <c r="C1165" s="266">
        <v>44022</v>
      </c>
      <c r="D1165" s="29" t="s">
        <v>1953</v>
      </c>
      <c r="E1165" s="105" t="s">
        <v>34</v>
      </c>
      <c r="F1165" s="147">
        <v>0.04</v>
      </c>
      <c r="I1165" s="29" t="s">
        <v>622</v>
      </c>
      <c r="J1165" s="29" t="s">
        <v>465</v>
      </c>
      <c r="K1165" s="119">
        <v>7.5</v>
      </c>
      <c r="L1165" s="111" t="s">
        <v>1864</v>
      </c>
      <c r="O1165" s="116" t="s">
        <v>1863</v>
      </c>
      <c r="Q1165" s="23"/>
      <c r="R1165" s="23"/>
    </row>
    <row r="1166" spans="2:18" ht="15" customHeight="1" x14ac:dyDescent="0.15">
      <c r="B1166" s="29" t="s">
        <v>26</v>
      </c>
      <c r="C1166" s="266">
        <v>44022</v>
      </c>
      <c r="D1166" s="29" t="s">
        <v>1115</v>
      </c>
      <c r="E1166" s="105" t="s">
        <v>6</v>
      </c>
      <c r="F1166" s="147">
        <v>3.5999999999999997E-2</v>
      </c>
      <c r="I1166" s="29" t="s">
        <v>1114</v>
      </c>
      <c r="J1166" s="29" t="s">
        <v>25</v>
      </c>
      <c r="K1166" s="119">
        <v>6</v>
      </c>
      <c r="L1166" s="111" t="s">
        <v>764</v>
      </c>
      <c r="O1166" s="111" t="s">
        <v>1539</v>
      </c>
      <c r="Q1166" s="23"/>
      <c r="R1166" s="23"/>
    </row>
    <row r="1167" spans="2:18" ht="15" customHeight="1" x14ac:dyDescent="0.15">
      <c r="B1167" s="29" t="s">
        <v>35</v>
      </c>
      <c r="C1167" s="266">
        <v>44022</v>
      </c>
      <c r="D1167" s="29" t="s">
        <v>1986</v>
      </c>
      <c r="E1167" s="105" t="s">
        <v>12</v>
      </c>
      <c r="F1167" s="147">
        <v>0</v>
      </c>
      <c r="G1167" s="105" t="s">
        <v>1955</v>
      </c>
      <c r="I1167" s="29" t="s">
        <v>1944</v>
      </c>
      <c r="J1167" s="29" t="s">
        <v>1368</v>
      </c>
      <c r="K1167" s="119">
        <v>6</v>
      </c>
      <c r="L1167" s="111" t="s">
        <v>1987</v>
      </c>
      <c r="O1167" s="111" t="s">
        <v>1988</v>
      </c>
      <c r="Q1167" s="23"/>
      <c r="R1167" s="23"/>
    </row>
    <row r="1168" spans="2:18" ht="15" customHeight="1" x14ac:dyDescent="0.15">
      <c r="B1168" s="29" t="s">
        <v>361</v>
      </c>
      <c r="C1168" s="266">
        <v>44022</v>
      </c>
      <c r="D1168" s="29" t="s">
        <v>1661</v>
      </c>
      <c r="E1168" s="105" t="s">
        <v>65</v>
      </c>
      <c r="F1168" s="147">
        <v>0.375</v>
      </c>
      <c r="G1168" s="29" t="s">
        <v>1956</v>
      </c>
      <c r="I1168" s="29" t="s">
        <v>1957</v>
      </c>
      <c r="J1168" s="29" t="s">
        <v>1958</v>
      </c>
      <c r="K1168" s="119">
        <v>9</v>
      </c>
      <c r="L1168" s="111" t="s">
        <v>1662</v>
      </c>
      <c r="O1168" s="116" t="s">
        <v>1663</v>
      </c>
      <c r="Q1168" s="23"/>
      <c r="R1168" s="23"/>
    </row>
    <row r="1169" spans="2:18" ht="15" customHeight="1" x14ac:dyDescent="0.15">
      <c r="B1169" s="29" t="s">
        <v>26</v>
      </c>
      <c r="C1169" s="266">
        <v>44022</v>
      </c>
      <c r="D1169" s="29" t="s">
        <v>1959</v>
      </c>
      <c r="E1169" s="105" t="s">
        <v>42</v>
      </c>
      <c r="F1169" s="147">
        <v>0.12</v>
      </c>
      <c r="I1169" s="29" t="s">
        <v>1960</v>
      </c>
      <c r="J1169" s="29" t="s">
        <v>1961</v>
      </c>
      <c r="K1169" s="119">
        <v>5</v>
      </c>
      <c r="L1169" s="111" t="s">
        <v>1989</v>
      </c>
      <c r="O1169" s="111" t="s">
        <v>1989</v>
      </c>
      <c r="Q1169" s="23"/>
      <c r="R1169" s="23"/>
    </row>
    <row r="1170" spans="2:18" ht="15" customHeight="1" x14ac:dyDescent="0.15">
      <c r="B1170" s="29" t="s">
        <v>45</v>
      </c>
      <c r="C1170" s="266">
        <v>44022</v>
      </c>
      <c r="D1170" s="29" t="s">
        <v>3467</v>
      </c>
      <c r="E1170" s="105" t="s">
        <v>65</v>
      </c>
      <c r="F1170" s="147">
        <v>0.35</v>
      </c>
      <c r="I1170" s="29" t="s">
        <v>1962</v>
      </c>
      <c r="J1170" s="29" t="s">
        <v>1963</v>
      </c>
      <c r="K1170" s="119">
        <v>3</v>
      </c>
      <c r="L1170" s="111" t="s">
        <v>1587</v>
      </c>
      <c r="O1170" s="116" t="s">
        <v>1516</v>
      </c>
      <c r="Q1170" s="23"/>
      <c r="R1170" s="23"/>
    </row>
    <row r="1171" spans="2:18" ht="15" customHeight="1" x14ac:dyDescent="0.15">
      <c r="B1171" s="29" t="s">
        <v>361</v>
      </c>
      <c r="C1171" s="266">
        <v>44022</v>
      </c>
      <c r="D1171" s="29" t="s">
        <v>133</v>
      </c>
      <c r="E1171" s="105" t="s">
        <v>27</v>
      </c>
      <c r="F1171" s="147">
        <v>0.3</v>
      </c>
      <c r="I1171" s="29" t="s">
        <v>87</v>
      </c>
      <c r="J1171" s="29" t="s">
        <v>3566</v>
      </c>
      <c r="K1171" s="119">
        <v>9.5</v>
      </c>
      <c r="L1171" s="111" t="s">
        <v>1786</v>
      </c>
      <c r="O1171" s="116" t="s">
        <v>1532</v>
      </c>
      <c r="Q1171" s="23"/>
      <c r="R1171" s="23"/>
    </row>
    <row r="1172" spans="2:18" ht="15" customHeight="1" x14ac:dyDescent="0.15">
      <c r="B1172" s="29" t="s">
        <v>35</v>
      </c>
      <c r="C1172" s="266">
        <v>44022</v>
      </c>
      <c r="D1172" s="29" t="s">
        <v>1954</v>
      </c>
      <c r="E1172" s="105" t="s">
        <v>12</v>
      </c>
      <c r="F1172" s="147">
        <v>0</v>
      </c>
      <c r="I1172" s="29" t="s">
        <v>1964</v>
      </c>
      <c r="J1172" s="29" t="s">
        <v>1108</v>
      </c>
      <c r="K1172" s="119">
        <v>3</v>
      </c>
      <c r="L1172" s="111" t="s">
        <v>1987</v>
      </c>
      <c r="O1172" s="111" t="s">
        <v>1988</v>
      </c>
      <c r="Q1172" s="23"/>
      <c r="R1172" s="23"/>
    </row>
    <row r="1173" spans="2:18" ht="15" customHeight="1" x14ac:dyDescent="0.15">
      <c r="B1173" s="29" t="s">
        <v>26</v>
      </c>
      <c r="C1173" s="266">
        <v>44022</v>
      </c>
      <c r="D1173" s="29" t="s">
        <v>1270</v>
      </c>
      <c r="E1173" s="105" t="s">
        <v>6</v>
      </c>
      <c r="F1173" s="147">
        <v>5.6000000000000001E-2</v>
      </c>
      <c r="I1173" s="29" t="s">
        <v>1965</v>
      </c>
      <c r="J1173" s="29" t="s">
        <v>1961</v>
      </c>
      <c r="K1173" s="119">
        <v>4</v>
      </c>
      <c r="L1173" s="111" t="s">
        <v>764</v>
      </c>
      <c r="O1173" s="111" t="s">
        <v>1539</v>
      </c>
      <c r="Q1173" s="23"/>
      <c r="R1173" s="23"/>
    </row>
    <row r="1174" spans="2:18" ht="15" customHeight="1" x14ac:dyDescent="0.15">
      <c r="B1174" s="29" t="s">
        <v>26</v>
      </c>
      <c r="C1174" s="266">
        <v>44029</v>
      </c>
      <c r="D1174" s="29" t="s">
        <v>2593</v>
      </c>
      <c r="E1174" s="105" t="s">
        <v>190</v>
      </c>
      <c r="F1174" s="147">
        <v>0.05</v>
      </c>
      <c r="I1174" s="29" t="s">
        <v>262</v>
      </c>
      <c r="J1174" s="29" t="s">
        <v>2594</v>
      </c>
      <c r="K1174" s="119">
        <v>7</v>
      </c>
      <c r="L1174" s="111" t="s">
        <v>1472</v>
      </c>
      <c r="O1174" s="111" t="s">
        <v>1455</v>
      </c>
      <c r="Q1174" s="23"/>
      <c r="R1174" s="23"/>
    </row>
    <row r="1175" spans="2:18" ht="15" customHeight="1" x14ac:dyDescent="0.15">
      <c r="B1175" s="29" t="s">
        <v>26</v>
      </c>
      <c r="C1175" s="266">
        <v>44029</v>
      </c>
      <c r="D1175" s="29" t="s">
        <v>2595</v>
      </c>
      <c r="E1175" s="105" t="s">
        <v>190</v>
      </c>
      <c r="F1175" s="147">
        <v>0.05</v>
      </c>
      <c r="I1175" s="29" t="s">
        <v>246</v>
      </c>
      <c r="J1175" s="29" t="s">
        <v>2601</v>
      </c>
      <c r="K1175" s="119">
        <v>6.5</v>
      </c>
      <c r="L1175" s="111" t="s">
        <v>1472</v>
      </c>
      <c r="O1175" s="111" t="s">
        <v>1455</v>
      </c>
      <c r="Q1175" s="23"/>
      <c r="R1175" s="23"/>
    </row>
    <row r="1176" spans="2:18" ht="15" customHeight="1" x14ac:dyDescent="0.15">
      <c r="B1176" s="29" t="s">
        <v>45</v>
      </c>
      <c r="C1176" s="266">
        <v>44029</v>
      </c>
      <c r="D1176" s="29" t="s">
        <v>2596</v>
      </c>
      <c r="E1176" s="105" t="s">
        <v>6</v>
      </c>
      <c r="F1176" s="147">
        <v>7.0000000000000007E-2</v>
      </c>
      <c r="I1176" s="29" t="s">
        <v>691</v>
      </c>
      <c r="J1176" s="29" t="s">
        <v>2604</v>
      </c>
      <c r="K1176" s="119">
        <v>8</v>
      </c>
      <c r="L1176" s="111" t="s">
        <v>2658</v>
      </c>
      <c r="O1176" s="111" t="s">
        <v>2658</v>
      </c>
      <c r="Q1176" s="23"/>
      <c r="R1176" s="23"/>
    </row>
    <row r="1177" spans="2:18" ht="15" customHeight="1" x14ac:dyDescent="0.15">
      <c r="B1177" s="29" t="s">
        <v>361</v>
      </c>
      <c r="C1177" s="266">
        <v>44029</v>
      </c>
      <c r="D1177" s="29" t="s">
        <v>2597</v>
      </c>
      <c r="E1177" s="105" t="s">
        <v>34</v>
      </c>
      <c r="F1177" s="147">
        <v>0.06</v>
      </c>
      <c r="I1177" s="29" t="s">
        <v>1957</v>
      </c>
      <c r="J1177" s="29" t="s">
        <v>2605</v>
      </c>
      <c r="K1177" s="119">
        <v>9.5</v>
      </c>
      <c r="L1177" s="111" t="s">
        <v>2108</v>
      </c>
      <c r="O1177" s="111" t="s">
        <v>2108</v>
      </c>
      <c r="Q1177" s="23"/>
      <c r="R1177" s="23"/>
    </row>
    <row r="1178" spans="2:18" ht="15" customHeight="1" x14ac:dyDescent="0.15">
      <c r="B1178" s="29" t="s">
        <v>41</v>
      </c>
      <c r="C1178" s="266">
        <v>44029</v>
      </c>
      <c r="D1178" s="29" t="s">
        <v>2598</v>
      </c>
      <c r="E1178" s="105" t="s">
        <v>34</v>
      </c>
      <c r="F1178" s="147">
        <v>0.04</v>
      </c>
      <c r="I1178" s="29" t="s">
        <v>2599</v>
      </c>
      <c r="J1178" s="29" t="s">
        <v>2600</v>
      </c>
      <c r="K1178" s="119">
        <v>4</v>
      </c>
      <c r="L1178" s="111" t="s">
        <v>3157</v>
      </c>
      <c r="O1178" s="111" t="s">
        <v>1589</v>
      </c>
      <c r="Q1178" s="23"/>
      <c r="R1178" s="23"/>
    </row>
    <row r="1179" spans="2:18" ht="15" customHeight="1" x14ac:dyDescent="0.15">
      <c r="B1179" s="29" t="s">
        <v>41</v>
      </c>
      <c r="C1179" s="266">
        <v>44029</v>
      </c>
      <c r="D1179" s="29" t="s">
        <v>1204</v>
      </c>
      <c r="E1179" s="105" t="s">
        <v>34</v>
      </c>
      <c r="F1179" s="147">
        <v>8.4000000000000005E-2</v>
      </c>
      <c r="I1179" s="29" t="s">
        <v>16</v>
      </c>
      <c r="J1179" s="29" t="s">
        <v>1107</v>
      </c>
      <c r="K1179" s="119">
        <v>3</v>
      </c>
      <c r="L1179" s="111" t="s">
        <v>1308</v>
      </c>
      <c r="O1179" s="111" t="s">
        <v>1968</v>
      </c>
      <c r="Q1179" s="23"/>
      <c r="R1179" s="23"/>
    </row>
    <row r="1180" spans="2:18" ht="15" customHeight="1" x14ac:dyDescent="0.15">
      <c r="B1180" s="29" t="s">
        <v>26</v>
      </c>
      <c r="C1180" s="266">
        <v>44029</v>
      </c>
      <c r="D1180" s="29" t="s">
        <v>2602</v>
      </c>
      <c r="E1180" s="105" t="s">
        <v>34</v>
      </c>
      <c r="F1180" s="147">
        <v>6.8000000000000005E-2</v>
      </c>
      <c r="I1180" s="29" t="s">
        <v>168</v>
      </c>
      <c r="J1180" s="29" t="s">
        <v>20</v>
      </c>
      <c r="K1180" s="119">
        <v>8</v>
      </c>
      <c r="L1180" s="111" t="s">
        <v>1308</v>
      </c>
      <c r="O1180" s="111" t="s">
        <v>1968</v>
      </c>
      <c r="Q1180" s="23"/>
      <c r="R1180" s="23"/>
    </row>
    <row r="1181" spans="2:18" ht="15" customHeight="1" x14ac:dyDescent="0.15">
      <c r="B1181" s="29" t="s">
        <v>38</v>
      </c>
      <c r="C1181" s="266">
        <v>44029</v>
      </c>
      <c r="D1181" s="29" t="s">
        <v>2603</v>
      </c>
      <c r="E1181" s="105" t="s">
        <v>6</v>
      </c>
      <c r="F1181" s="147">
        <v>5.5E-2</v>
      </c>
      <c r="I1181" s="29" t="s">
        <v>15</v>
      </c>
      <c r="J1181" s="29" t="s">
        <v>1136</v>
      </c>
      <c r="K1181" s="119">
        <v>7.5</v>
      </c>
      <c r="L1181" s="111" t="s">
        <v>2664</v>
      </c>
      <c r="O1181" s="111" t="s">
        <v>2663</v>
      </c>
      <c r="Q1181" s="23"/>
      <c r="R1181" s="23"/>
    </row>
    <row r="1182" spans="2:18" ht="15" customHeight="1" x14ac:dyDescent="0.15">
      <c r="B1182" s="29" t="s">
        <v>361</v>
      </c>
      <c r="C1182" s="266">
        <v>44029</v>
      </c>
      <c r="D1182" s="29" t="s">
        <v>2651</v>
      </c>
      <c r="E1182" s="105" t="s">
        <v>34</v>
      </c>
      <c r="F1182" s="147">
        <v>6.8000000000000005E-2</v>
      </c>
      <c r="I1182" s="29" t="s">
        <v>2618</v>
      </c>
      <c r="J1182" s="29" t="s">
        <v>1370</v>
      </c>
      <c r="K1182" s="119">
        <v>6.5</v>
      </c>
      <c r="L1182" s="111" t="s">
        <v>2652</v>
      </c>
      <c r="O1182" s="111" t="s">
        <v>2652</v>
      </c>
      <c r="Q1182" s="23"/>
      <c r="R1182" s="23"/>
    </row>
    <row r="1183" spans="2:18" ht="15" customHeight="1" x14ac:dyDescent="0.15">
      <c r="B1183" s="29" t="s">
        <v>41</v>
      </c>
      <c r="C1183" s="266">
        <v>44029</v>
      </c>
      <c r="D1183" s="29" t="s">
        <v>2606</v>
      </c>
      <c r="E1183" s="105" t="s">
        <v>34</v>
      </c>
      <c r="F1183" s="147">
        <v>7.4999999999999997E-2</v>
      </c>
      <c r="I1183" s="29" t="s">
        <v>2608</v>
      </c>
      <c r="J1183" s="29" t="s">
        <v>2609</v>
      </c>
      <c r="K1183" s="119">
        <v>0</v>
      </c>
      <c r="L1183" s="111" t="s">
        <v>2656</v>
      </c>
      <c r="O1183" s="111" t="s">
        <v>2657</v>
      </c>
      <c r="Q1183" s="23"/>
      <c r="R1183" s="23"/>
    </row>
    <row r="1184" spans="2:18" ht="15" customHeight="1" x14ac:dyDescent="0.15">
      <c r="B1184" s="29" t="s">
        <v>38</v>
      </c>
      <c r="C1184" s="266">
        <v>44029</v>
      </c>
      <c r="D1184" s="29" t="s">
        <v>2607</v>
      </c>
      <c r="E1184" s="105" t="s">
        <v>6</v>
      </c>
      <c r="F1184" s="147">
        <v>0.04</v>
      </c>
      <c r="I1184" s="29" t="s">
        <v>2612</v>
      </c>
      <c r="J1184" s="29" t="s">
        <v>2613</v>
      </c>
      <c r="K1184" s="119">
        <v>3</v>
      </c>
      <c r="L1184" s="111" t="s">
        <v>2059</v>
      </c>
      <c r="O1184" s="116" t="s">
        <v>2060</v>
      </c>
      <c r="Q1184" s="23"/>
      <c r="R1184" s="23"/>
    </row>
    <row r="1185" spans="2:18" ht="15" customHeight="1" x14ac:dyDescent="0.15">
      <c r="B1185" s="29" t="s">
        <v>45</v>
      </c>
      <c r="C1185" s="266">
        <v>44029</v>
      </c>
      <c r="D1185" s="29" t="s">
        <v>2660</v>
      </c>
      <c r="E1185" s="105" t="s">
        <v>6</v>
      </c>
      <c r="F1185" s="147">
        <v>5.7000000000000002E-2</v>
      </c>
      <c r="I1185" s="29" t="s">
        <v>2619</v>
      </c>
      <c r="J1185" s="29" t="s">
        <v>2620</v>
      </c>
      <c r="K1185" s="119">
        <v>6.5</v>
      </c>
      <c r="L1185" s="111" t="s">
        <v>2661</v>
      </c>
      <c r="O1185" s="111" t="s">
        <v>2662</v>
      </c>
      <c r="Q1185" s="23"/>
      <c r="R1185" s="23"/>
    </row>
    <row r="1186" spans="2:18" ht="15" customHeight="1" x14ac:dyDescent="0.15">
      <c r="B1186" s="29" t="s">
        <v>41</v>
      </c>
      <c r="C1186" s="266">
        <v>44029</v>
      </c>
      <c r="D1186" s="29" t="s">
        <v>2610</v>
      </c>
      <c r="E1186" s="105" t="s">
        <v>34</v>
      </c>
      <c r="F1186" s="147">
        <v>0.04</v>
      </c>
      <c r="I1186" s="29" t="s">
        <v>416</v>
      </c>
      <c r="J1186" s="29" t="s">
        <v>2604</v>
      </c>
      <c r="K1186" s="119">
        <v>6.5</v>
      </c>
      <c r="L1186" s="111" t="s">
        <v>1308</v>
      </c>
      <c r="O1186" s="111" t="s">
        <v>1968</v>
      </c>
      <c r="Q1186" s="23"/>
      <c r="R1186" s="23"/>
    </row>
    <row r="1187" spans="2:18" ht="15" customHeight="1" x14ac:dyDescent="0.15">
      <c r="B1187" s="29" t="s">
        <v>26</v>
      </c>
      <c r="C1187" s="266">
        <v>44029</v>
      </c>
      <c r="D1187" s="29" t="s">
        <v>2611</v>
      </c>
      <c r="E1187" s="105" t="s">
        <v>34</v>
      </c>
      <c r="F1187" s="147">
        <v>4.4999999999999998E-2</v>
      </c>
      <c r="I1187" s="29" t="s">
        <v>204</v>
      </c>
      <c r="J1187" s="29" t="s">
        <v>2629</v>
      </c>
      <c r="K1187" s="119">
        <v>6.5</v>
      </c>
      <c r="L1187" s="111" t="s">
        <v>2070</v>
      </c>
      <c r="O1187" s="111" t="s">
        <v>2071</v>
      </c>
      <c r="Q1187" s="23"/>
      <c r="R1187" s="23"/>
    </row>
    <row r="1188" spans="2:18" ht="15" customHeight="1" x14ac:dyDescent="0.15">
      <c r="B1188" s="29" t="s">
        <v>41</v>
      </c>
      <c r="C1188" s="266">
        <v>44029</v>
      </c>
      <c r="D1188" s="29" t="s">
        <v>2666</v>
      </c>
      <c r="E1188" s="105" t="s">
        <v>34</v>
      </c>
      <c r="F1188" s="147">
        <v>8.2000000000000003E-2</v>
      </c>
      <c r="I1188" s="29" t="s">
        <v>132</v>
      </c>
      <c r="J1188" s="29" t="s">
        <v>2623</v>
      </c>
      <c r="K1188" s="119">
        <v>5</v>
      </c>
      <c r="L1188" s="111" t="s">
        <v>2130</v>
      </c>
      <c r="O1188" s="111" t="s">
        <v>2071</v>
      </c>
      <c r="Q1188" s="23"/>
      <c r="R1188" s="23"/>
    </row>
    <row r="1189" spans="2:18" ht="15" customHeight="1" x14ac:dyDescent="0.15">
      <c r="B1189" s="29" t="s">
        <v>26</v>
      </c>
      <c r="C1189" s="266">
        <v>44029</v>
      </c>
      <c r="D1189" s="29" t="s">
        <v>2653</v>
      </c>
      <c r="E1189" s="105" t="s">
        <v>42</v>
      </c>
      <c r="F1189" s="147">
        <v>0.13</v>
      </c>
      <c r="I1189" s="29" t="s">
        <v>194</v>
      </c>
      <c r="J1189" s="29" t="s">
        <v>321</v>
      </c>
      <c r="K1189" s="119">
        <v>7</v>
      </c>
      <c r="L1189" s="111" t="s">
        <v>2654</v>
      </c>
      <c r="O1189" s="111" t="s">
        <v>2655</v>
      </c>
      <c r="Q1189" s="23"/>
      <c r="R1189" s="23"/>
    </row>
    <row r="1190" spans="2:18" ht="15" customHeight="1" x14ac:dyDescent="0.15">
      <c r="B1190" s="29" t="s">
        <v>361</v>
      </c>
      <c r="C1190" s="266">
        <v>44029</v>
      </c>
      <c r="D1190" s="29" t="s">
        <v>2616</v>
      </c>
      <c r="E1190" s="105" t="s">
        <v>54</v>
      </c>
      <c r="F1190" s="147">
        <v>0.2</v>
      </c>
      <c r="I1190" s="29" t="s">
        <v>2614</v>
      </c>
      <c r="J1190" s="29" t="s">
        <v>2615</v>
      </c>
      <c r="K1190" s="119">
        <v>3</v>
      </c>
      <c r="L1190" s="111" t="s">
        <v>2057</v>
      </c>
      <c r="O1190" s="111" t="s">
        <v>1859</v>
      </c>
      <c r="Q1190" s="23"/>
      <c r="R1190" s="23"/>
    </row>
    <row r="1191" spans="2:18" ht="15" customHeight="1" x14ac:dyDescent="0.15">
      <c r="B1191" s="29" t="s">
        <v>41</v>
      </c>
      <c r="C1191" s="266">
        <v>44029</v>
      </c>
      <c r="D1191" s="29" t="s">
        <v>28</v>
      </c>
      <c r="E1191" s="105" t="s">
        <v>90</v>
      </c>
      <c r="F1191" s="147">
        <v>0</v>
      </c>
      <c r="I1191" s="29" t="s">
        <v>2617</v>
      </c>
      <c r="J1191" s="29" t="s">
        <v>161</v>
      </c>
      <c r="K1191" s="119">
        <v>2</v>
      </c>
      <c r="L1191" s="111" t="s">
        <v>2668</v>
      </c>
      <c r="O1191" s="111" t="s">
        <v>2669</v>
      </c>
      <c r="Q1191" s="23"/>
      <c r="R1191" s="23"/>
    </row>
    <row r="1192" spans="2:18" ht="15" customHeight="1" x14ac:dyDescent="0.15">
      <c r="B1192" s="29" t="s">
        <v>38</v>
      </c>
      <c r="C1192" s="266">
        <v>44029</v>
      </c>
      <c r="D1192" s="29" t="s">
        <v>1024</v>
      </c>
      <c r="E1192" s="105" t="s">
        <v>6</v>
      </c>
      <c r="F1192" s="147">
        <v>0.04</v>
      </c>
      <c r="I1192" s="29" t="s">
        <v>2501</v>
      </c>
      <c r="J1192" s="29" t="s">
        <v>2625</v>
      </c>
      <c r="K1192" s="119">
        <v>6</v>
      </c>
      <c r="L1192" s="111" t="s">
        <v>1757</v>
      </c>
      <c r="O1192" s="111" t="s">
        <v>1757</v>
      </c>
      <c r="Q1192" s="23"/>
      <c r="R1192" s="23"/>
    </row>
    <row r="1193" spans="2:18" ht="15" customHeight="1" x14ac:dyDescent="0.15">
      <c r="B1193" s="29" t="s">
        <v>35</v>
      </c>
      <c r="C1193" s="266">
        <v>44029</v>
      </c>
      <c r="D1193" s="29" t="s">
        <v>2621</v>
      </c>
      <c r="E1193" s="105" t="s">
        <v>42</v>
      </c>
      <c r="F1193" s="147">
        <v>0.12</v>
      </c>
      <c r="I1193" s="29" t="s">
        <v>132</v>
      </c>
      <c r="J1193" s="29" t="s">
        <v>288</v>
      </c>
      <c r="K1193" s="119">
        <v>5.5</v>
      </c>
      <c r="L1193" s="111" t="s">
        <v>2670</v>
      </c>
      <c r="O1193" s="111" t="s">
        <v>2670</v>
      </c>
      <c r="Q1193" s="23"/>
      <c r="R1193" s="23"/>
    </row>
    <row r="1194" spans="2:18" ht="15" customHeight="1" x14ac:dyDescent="0.15">
      <c r="B1194" s="29" t="s">
        <v>45</v>
      </c>
      <c r="C1194" s="266">
        <v>44029</v>
      </c>
      <c r="D1194" s="29" t="s">
        <v>2622</v>
      </c>
      <c r="E1194" s="105" t="s">
        <v>6</v>
      </c>
      <c r="F1194" s="147">
        <v>7.1999999999999995E-2</v>
      </c>
      <c r="I1194" s="29" t="s">
        <v>24</v>
      </c>
      <c r="J1194" s="29" t="s">
        <v>25</v>
      </c>
      <c r="K1194" s="119">
        <v>8</v>
      </c>
      <c r="L1194" s="111" t="s">
        <v>1089</v>
      </c>
      <c r="O1194" s="111" t="s">
        <v>1866</v>
      </c>
      <c r="Q1194" s="23"/>
      <c r="R1194" s="23"/>
    </row>
    <row r="1195" spans="2:18" ht="15" customHeight="1" x14ac:dyDescent="0.15">
      <c r="B1195" s="29" t="s">
        <v>361</v>
      </c>
      <c r="C1195" s="266">
        <v>44029</v>
      </c>
      <c r="D1195" s="29" t="s">
        <v>2673</v>
      </c>
      <c r="E1195" s="105" t="s">
        <v>34</v>
      </c>
      <c r="F1195" s="147">
        <v>0.04</v>
      </c>
      <c r="I1195" s="29" t="s">
        <v>2627</v>
      </c>
      <c r="J1195" s="29" t="s">
        <v>2628</v>
      </c>
      <c r="K1195" s="119">
        <v>4.5</v>
      </c>
      <c r="L1195" s="111" t="s">
        <v>1483</v>
      </c>
      <c r="O1195" s="111" t="s">
        <v>1483</v>
      </c>
      <c r="Q1195" s="23"/>
      <c r="R1195" s="23"/>
    </row>
    <row r="1196" spans="2:18" ht="15" customHeight="1" x14ac:dyDescent="0.15">
      <c r="B1196" s="29" t="s">
        <v>189</v>
      </c>
      <c r="C1196" s="266">
        <v>44029</v>
      </c>
      <c r="D1196" s="29" t="s">
        <v>2674</v>
      </c>
      <c r="E1196" s="105" t="s">
        <v>42</v>
      </c>
      <c r="F1196" s="147">
        <v>0.125</v>
      </c>
      <c r="I1196" s="29" t="s">
        <v>132</v>
      </c>
      <c r="J1196" s="29" t="s">
        <v>15</v>
      </c>
      <c r="K1196" s="119">
        <v>7</v>
      </c>
      <c r="L1196" s="111" t="s">
        <v>2675</v>
      </c>
      <c r="O1196" s="111" t="s">
        <v>1492</v>
      </c>
      <c r="Q1196" s="23"/>
      <c r="R1196" s="23"/>
    </row>
    <row r="1197" spans="2:18" ht="15" customHeight="1" x14ac:dyDescent="0.15">
      <c r="B1197" s="29" t="s">
        <v>41</v>
      </c>
      <c r="C1197" s="266">
        <v>44029</v>
      </c>
      <c r="D1197" s="29" t="s">
        <v>2624</v>
      </c>
      <c r="E1197" s="105" t="s">
        <v>34</v>
      </c>
      <c r="F1197" s="147">
        <v>0.04</v>
      </c>
      <c r="I1197" s="29" t="s">
        <v>2630</v>
      </c>
      <c r="J1197" s="29" t="s">
        <v>2631</v>
      </c>
      <c r="K1197" s="119">
        <v>7.5</v>
      </c>
      <c r="L1197" s="111" t="s">
        <v>1308</v>
      </c>
      <c r="O1197" s="111" t="s">
        <v>1968</v>
      </c>
      <c r="Q1197" s="23"/>
      <c r="R1197" s="23"/>
    </row>
    <row r="1198" spans="2:18" ht="15" customHeight="1" x14ac:dyDescent="0.15">
      <c r="B1198" s="29" t="s">
        <v>35</v>
      </c>
      <c r="C1198" s="266">
        <v>44029</v>
      </c>
      <c r="D1198" s="29" t="s">
        <v>2626</v>
      </c>
      <c r="E1198" s="105" t="s">
        <v>6</v>
      </c>
      <c r="F1198" s="147">
        <v>5.5E-2</v>
      </c>
      <c r="I1198" s="29" t="s">
        <v>15</v>
      </c>
      <c r="J1198" s="29" t="s">
        <v>2632</v>
      </c>
      <c r="K1198" s="119">
        <v>7</v>
      </c>
      <c r="L1198" s="111" t="s">
        <v>2676</v>
      </c>
      <c r="O1198" s="111" t="s">
        <v>1496</v>
      </c>
      <c r="Q1198" s="23"/>
      <c r="R1198" s="23"/>
    </row>
    <row r="1199" spans="2:18" ht="16" customHeight="1" x14ac:dyDescent="0.15">
      <c r="B1199" s="29" t="s">
        <v>26</v>
      </c>
      <c r="C1199" s="266">
        <v>44029</v>
      </c>
      <c r="D1199" s="29" t="s">
        <v>2624</v>
      </c>
      <c r="E1199" s="105" t="s">
        <v>34</v>
      </c>
      <c r="F1199" s="147">
        <v>0.04</v>
      </c>
      <c r="I1199" s="29" t="s">
        <v>1412</v>
      </c>
      <c r="J1199" s="29" t="s">
        <v>2646</v>
      </c>
      <c r="K1199" s="119">
        <v>7</v>
      </c>
      <c r="L1199" s="111" t="s">
        <v>1308</v>
      </c>
      <c r="O1199" s="111" t="s">
        <v>1968</v>
      </c>
      <c r="Q1199" s="23"/>
      <c r="R1199" s="23"/>
    </row>
    <row r="1200" spans="2:18" ht="16" customHeight="1" x14ac:dyDescent="0.15">
      <c r="B1200" s="29" t="s">
        <v>38</v>
      </c>
      <c r="C1200" s="266">
        <v>44029</v>
      </c>
      <c r="D1200" s="29" t="s">
        <v>2633</v>
      </c>
      <c r="E1200" s="105" t="s">
        <v>6</v>
      </c>
      <c r="F1200" s="147">
        <v>4.3999999999999997E-2</v>
      </c>
      <c r="I1200" s="29" t="s">
        <v>458</v>
      </c>
      <c r="J1200" s="29" t="s">
        <v>2641</v>
      </c>
      <c r="K1200" s="119">
        <v>6</v>
      </c>
      <c r="L1200" s="111" t="s">
        <v>1752</v>
      </c>
      <c r="O1200" s="111" t="s">
        <v>1752</v>
      </c>
      <c r="Q1200" s="23"/>
      <c r="R1200" s="23"/>
    </row>
    <row r="1201" spans="2:18" ht="15" customHeight="1" x14ac:dyDescent="0.15">
      <c r="B1201" s="29" t="s">
        <v>45</v>
      </c>
      <c r="C1201" s="266">
        <v>44029</v>
      </c>
      <c r="D1201" s="29" t="s">
        <v>2677</v>
      </c>
      <c r="E1201" s="105" t="s">
        <v>6</v>
      </c>
      <c r="F1201" s="147">
        <v>0.06</v>
      </c>
      <c r="I1201" s="29" t="s">
        <v>112</v>
      </c>
      <c r="J1201" s="29" t="s">
        <v>6</v>
      </c>
      <c r="K1201" s="119">
        <v>7</v>
      </c>
      <c r="L1201" s="111" t="s">
        <v>2679</v>
      </c>
      <c r="M1201" s="111" t="s">
        <v>2678</v>
      </c>
      <c r="O1201" s="111" t="s">
        <v>2680</v>
      </c>
      <c r="Q1201" s="23"/>
      <c r="R1201" s="23"/>
    </row>
    <row r="1202" spans="2:18" ht="15" customHeight="1" x14ac:dyDescent="0.15">
      <c r="B1202" s="29" t="s">
        <v>35</v>
      </c>
      <c r="C1202" s="266">
        <v>44029</v>
      </c>
      <c r="D1202" s="29" t="s">
        <v>2634</v>
      </c>
      <c r="E1202" s="105" t="s">
        <v>190</v>
      </c>
      <c r="F1202" s="147">
        <v>0.33500000000000002</v>
      </c>
      <c r="I1202" s="29" t="s">
        <v>236</v>
      </c>
      <c r="J1202" s="29" t="s">
        <v>340</v>
      </c>
      <c r="K1202" s="119">
        <v>6</v>
      </c>
      <c r="L1202" s="111" t="s">
        <v>2681</v>
      </c>
      <c r="O1202" s="111" t="s">
        <v>2682</v>
      </c>
      <c r="Q1202" s="23"/>
      <c r="R1202" s="23"/>
    </row>
    <row r="1203" spans="2:18" ht="15" customHeight="1" x14ac:dyDescent="0.15">
      <c r="B1203" s="29" t="s">
        <v>1120</v>
      </c>
      <c r="C1203" s="266">
        <v>44029</v>
      </c>
      <c r="D1203" s="29" t="s">
        <v>2650</v>
      </c>
      <c r="E1203" s="105" t="s">
        <v>27</v>
      </c>
      <c r="F1203" s="147">
        <v>0.18</v>
      </c>
      <c r="I1203" s="29" t="s">
        <v>2639</v>
      </c>
      <c r="J1203" s="29" t="s">
        <v>1901</v>
      </c>
      <c r="K1203" s="119">
        <v>5</v>
      </c>
      <c r="L1203" s="111" t="s">
        <v>2684</v>
      </c>
      <c r="O1203" s="111" t="s">
        <v>2683</v>
      </c>
      <c r="Q1203" s="23"/>
      <c r="R1203" s="23"/>
    </row>
    <row r="1204" spans="2:18" ht="15" customHeight="1" x14ac:dyDescent="0.15">
      <c r="B1204" s="29" t="s">
        <v>26</v>
      </c>
      <c r="C1204" s="266">
        <v>44029</v>
      </c>
      <c r="D1204" s="29" t="s">
        <v>2685</v>
      </c>
      <c r="E1204" s="105" t="s">
        <v>42</v>
      </c>
      <c r="F1204" s="147">
        <v>0.105</v>
      </c>
      <c r="I1204" s="29" t="s">
        <v>775</v>
      </c>
      <c r="J1204" s="29" t="s">
        <v>2512</v>
      </c>
      <c r="K1204" s="119">
        <v>5</v>
      </c>
      <c r="L1204" s="111" t="s">
        <v>2686</v>
      </c>
      <c r="O1204" s="111" t="s">
        <v>1872</v>
      </c>
      <c r="Q1204" s="23"/>
      <c r="R1204" s="23"/>
    </row>
    <row r="1205" spans="2:18" ht="15" customHeight="1" x14ac:dyDescent="0.15">
      <c r="B1205" s="29" t="s">
        <v>45</v>
      </c>
      <c r="C1205" s="266">
        <v>44029</v>
      </c>
      <c r="D1205" s="29" t="s">
        <v>2649</v>
      </c>
      <c r="E1205" s="105" t="s">
        <v>12</v>
      </c>
      <c r="F1205" s="147">
        <v>0.43</v>
      </c>
      <c r="I1205" s="29" t="s">
        <v>2635</v>
      </c>
      <c r="J1205" s="29" t="s">
        <v>2636</v>
      </c>
      <c r="K1205" s="119">
        <v>4</v>
      </c>
      <c r="L1205" s="111" t="s">
        <v>1581</v>
      </c>
      <c r="O1205" s="116" t="s">
        <v>1537</v>
      </c>
      <c r="Q1205" s="23"/>
      <c r="R1205" s="23"/>
    </row>
    <row r="1206" spans="2:18" ht="15" customHeight="1" x14ac:dyDescent="0.15">
      <c r="B1206" s="29" t="s">
        <v>41</v>
      </c>
      <c r="C1206" s="266">
        <v>44029</v>
      </c>
      <c r="D1206" s="29" t="s">
        <v>2637</v>
      </c>
      <c r="E1206" s="105" t="s">
        <v>12</v>
      </c>
      <c r="F1206" s="147">
        <v>0.25</v>
      </c>
      <c r="I1206" s="29" t="s">
        <v>2638</v>
      </c>
      <c r="J1206" s="29" t="s">
        <v>706</v>
      </c>
      <c r="K1206" s="119">
        <v>8</v>
      </c>
      <c r="L1206" s="111" t="s">
        <v>1893</v>
      </c>
      <c r="O1206" s="111" t="s">
        <v>1893</v>
      </c>
      <c r="Q1206" s="23"/>
      <c r="R1206" s="23"/>
    </row>
    <row r="1207" spans="2:18" ht="15" customHeight="1" x14ac:dyDescent="0.15">
      <c r="B1207" s="29" t="s">
        <v>61</v>
      </c>
      <c r="C1207" s="266">
        <v>44029</v>
      </c>
      <c r="D1207" s="29" t="s">
        <v>2100</v>
      </c>
      <c r="E1207" s="105" t="s">
        <v>190</v>
      </c>
      <c r="F1207" s="147">
        <v>0.35</v>
      </c>
      <c r="I1207" s="29" t="s">
        <v>384</v>
      </c>
      <c r="J1207" s="29" t="s">
        <v>853</v>
      </c>
      <c r="K1207" s="119">
        <v>2.5</v>
      </c>
      <c r="L1207" s="111" t="s">
        <v>2099</v>
      </c>
      <c r="O1207" s="111" t="s">
        <v>2099</v>
      </c>
      <c r="Q1207" s="23"/>
      <c r="R1207" s="23"/>
    </row>
    <row r="1208" spans="2:18" ht="15" customHeight="1" x14ac:dyDescent="0.15">
      <c r="B1208" s="29" t="s">
        <v>1120</v>
      </c>
      <c r="C1208" s="266">
        <v>44029</v>
      </c>
      <c r="D1208" s="29" t="s">
        <v>2688</v>
      </c>
      <c r="E1208" s="105" t="s">
        <v>42</v>
      </c>
      <c r="F1208" s="147">
        <v>0.13500000000000001</v>
      </c>
      <c r="G1208" s="29" t="s">
        <v>28</v>
      </c>
      <c r="I1208" s="29" t="s">
        <v>3558</v>
      </c>
      <c r="J1208" s="29" t="s">
        <v>1348</v>
      </c>
      <c r="K1208" s="119">
        <v>4</v>
      </c>
      <c r="L1208" s="111" t="s">
        <v>1547</v>
      </c>
      <c r="O1208" s="111" t="s">
        <v>2689</v>
      </c>
      <c r="Q1208" s="23"/>
      <c r="R1208" s="23"/>
    </row>
    <row r="1209" spans="2:18" ht="15" customHeight="1" x14ac:dyDescent="0.15">
      <c r="B1209" s="29" t="s">
        <v>61</v>
      </c>
      <c r="C1209" s="266">
        <v>44029</v>
      </c>
      <c r="D1209" s="29" t="s">
        <v>2688</v>
      </c>
      <c r="E1209" s="105" t="s">
        <v>42</v>
      </c>
      <c r="F1209" s="147">
        <v>0.13500000000000001</v>
      </c>
      <c r="G1209" s="29" t="s">
        <v>28</v>
      </c>
      <c r="I1209" s="29" t="s">
        <v>2648</v>
      </c>
      <c r="J1209" s="29" t="s">
        <v>1235</v>
      </c>
      <c r="K1209" s="119">
        <v>6</v>
      </c>
      <c r="L1209" s="111" t="s">
        <v>1547</v>
      </c>
      <c r="O1209" s="111" t="s">
        <v>2689</v>
      </c>
      <c r="Q1209" s="23"/>
      <c r="R1209" s="23"/>
    </row>
    <row r="1210" spans="2:18" ht="15" customHeight="1" x14ac:dyDescent="0.15">
      <c r="B1210" s="29" t="s">
        <v>35</v>
      </c>
      <c r="C1210" s="266">
        <v>44029</v>
      </c>
      <c r="D1210" s="29" t="s">
        <v>2634</v>
      </c>
      <c r="E1210" s="105" t="s">
        <v>190</v>
      </c>
      <c r="F1210" s="147">
        <v>0.33500000000000002</v>
      </c>
      <c r="G1210" s="29" t="s">
        <v>161</v>
      </c>
      <c r="I1210" s="29" t="s">
        <v>575</v>
      </c>
      <c r="J1210" s="29" t="s">
        <v>229</v>
      </c>
      <c r="K1210" s="119">
        <v>6.5</v>
      </c>
      <c r="L1210" s="111" t="s">
        <v>2681</v>
      </c>
      <c r="O1210" s="111" t="s">
        <v>2682</v>
      </c>
      <c r="Q1210" s="23"/>
      <c r="R1210" s="23"/>
    </row>
    <row r="1211" spans="2:18" ht="15" customHeight="1" x14ac:dyDescent="0.15">
      <c r="B1211" s="29" t="s">
        <v>189</v>
      </c>
      <c r="C1211" s="266">
        <v>44029</v>
      </c>
      <c r="D1211" s="29" t="s">
        <v>2640</v>
      </c>
      <c r="E1211" s="105" t="s">
        <v>42</v>
      </c>
      <c r="F1211" s="147">
        <v>0.125</v>
      </c>
      <c r="I1211" s="29" t="s">
        <v>2647</v>
      </c>
      <c r="J1211" s="29" t="s">
        <v>42</v>
      </c>
      <c r="K1211" s="119">
        <v>6</v>
      </c>
      <c r="L1211" s="111" t="s">
        <v>1492</v>
      </c>
      <c r="O1211" s="111" t="s">
        <v>1492</v>
      </c>
      <c r="Q1211" s="23"/>
      <c r="R1211" s="23"/>
    </row>
    <row r="1212" spans="2:18" ht="15" customHeight="1" x14ac:dyDescent="0.15">
      <c r="B1212" s="29" t="s">
        <v>361</v>
      </c>
      <c r="C1212" s="266">
        <v>44029</v>
      </c>
      <c r="D1212" s="29" t="s">
        <v>2690</v>
      </c>
      <c r="E1212" s="105" t="s">
        <v>34</v>
      </c>
      <c r="F1212" s="147">
        <v>0.04</v>
      </c>
      <c r="I1212" s="29" t="s">
        <v>2642</v>
      </c>
      <c r="J1212" s="29" t="s">
        <v>932</v>
      </c>
      <c r="K1212" s="119">
        <v>6.5</v>
      </c>
      <c r="L1212" s="111" t="s">
        <v>1472</v>
      </c>
      <c r="O1212" s="111" t="s">
        <v>1455</v>
      </c>
      <c r="Q1212" s="23"/>
      <c r="R1212" s="23"/>
    </row>
    <row r="1213" spans="2:18" ht="15" customHeight="1" x14ac:dyDescent="0.15">
      <c r="B1213" s="29" t="s">
        <v>41</v>
      </c>
      <c r="C1213" s="266">
        <v>44029</v>
      </c>
      <c r="D1213" s="29" t="s">
        <v>975</v>
      </c>
      <c r="E1213" s="105" t="s">
        <v>34</v>
      </c>
      <c r="F1213" s="147">
        <v>0.04</v>
      </c>
      <c r="I1213" s="29" t="s">
        <v>2643</v>
      </c>
      <c r="J1213" s="29" t="s">
        <v>2644</v>
      </c>
      <c r="K1213" s="119">
        <v>6.5</v>
      </c>
      <c r="L1213" s="111" t="s">
        <v>1576</v>
      </c>
      <c r="O1213" s="116" t="s">
        <v>1533</v>
      </c>
      <c r="Q1213" s="23"/>
      <c r="R1213" s="23"/>
    </row>
    <row r="1214" spans="2:18" ht="15" customHeight="1" x14ac:dyDescent="0.15">
      <c r="B1214" s="29" t="s">
        <v>35</v>
      </c>
      <c r="C1214" s="266">
        <v>44029</v>
      </c>
      <c r="D1214" s="29" t="s">
        <v>2645</v>
      </c>
      <c r="E1214" s="105" t="s">
        <v>12</v>
      </c>
      <c r="F1214" s="147">
        <v>0.433</v>
      </c>
      <c r="G1214" s="29" t="s">
        <v>1955</v>
      </c>
      <c r="I1214" s="29" t="s">
        <v>25</v>
      </c>
      <c r="J1214" s="29" t="s">
        <v>465</v>
      </c>
      <c r="K1214" s="119">
        <v>7</v>
      </c>
      <c r="L1214" s="111" t="s">
        <v>2691</v>
      </c>
      <c r="O1214" s="111" t="s">
        <v>1880</v>
      </c>
      <c r="Q1214" s="23"/>
      <c r="R1214" s="23"/>
    </row>
    <row r="1215" spans="2:18" ht="15" customHeight="1" x14ac:dyDescent="0.15">
      <c r="B1215" s="29" t="s">
        <v>38</v>
      </c>
      <c r="C1215" s="266">
        <v>44029</v>
      </c>
      <c r="D1215" s="29" t="s">
        <v>2692</v>
      </c>
      <c r="E1215" s="105" t="s">
        <v>6</v>
      </c>
      <c r="F1215" s="147">
        <v>0.05</v>
      </c>
      <c r="I1215" s="29" t="s">
        <v>272</v>
      </c>
      <c r="J1215" s="29" t="s">
        <v>2625</v>
      </c>
      <c r="K1215" s="119">
        <v>6</v>
      </c>
      <c r="L1215" s="111" t="s">
        <v>1711</v>
      </c>
      <c r="O1215" s="116" t="s">
        <v>1688</v>
      </c>
      <c r="Q1215" s="23"/>
      <c r="R1215" s="23"/>
    </row>
    <row r="1216" spans="2:18" ht="15" customHeight="1" x14ac:dyDescent="0.15">
      <c r="B1216" s="29" t="s">
        <v>26</v>
      </c>
      <c r="C1216" s="266">
        <v>44029</v>
      </c>
      <c r="D1216" s="29" t="s">
        <v>2694</v>
      </c>
      <c r="E1216" s="105" t="s">
        <v>34</v>
      </c>
      <c r="F1216" s="147">
        <v>7.3999999999999996E-2</v>
      </c>
      <c r="I1216" s="29" t="s">
        <v>291</v>
      </c>
      <c r="J1216" s="29" t="s">
        <v>34</v>
      </c>
      <c r="K1216" s="119">
        <v>7</v>
      </c>
      <c r="L1216" s="111" t="s">
        <v>1483</v>
      </c>
      <c r="O1216" s="116" t="s">
        <v>1483</v>
      </c>
      <c r="Q1216" s="23"/>
      <c r="R1216" s="23"/>
    </row>
    <row r="1217" spans="2:18" ht="15" customHeight="1" x14ac:dyDescent="0.15">
      <c r="B1217" s="29" t="s">
        <v>35</v>
      </c>
      <c r="C1217" s="266">
        <v>44029</v>
      </c>
      <c r="D1217" s="29" t="s">
        <v>2695</v>
      </c>
      <c r="E1217" s="105" t="s">
        <v>12</v>
      </c>
      <c r="F1217" s="147">
        <v>0.39</v>
      </c>
      <c r="G1217" s="29" t="s">
        <v>1955</v>
      </c>
      <c r="I1217" s="29" t="s">
        <v>323</v>
      </c>
      <c r="J1217" s="29" t="s">
        <v>1373</v>
      </c>
      <c r="K1217" s="119">
        <v>6.5</v>
      </c>
      <c r="L1217" s="111" t="s">
        <v>2696</v>
      </c>
      <c r="O1217" s="111" t="s">
        <v>2697</v>
      </c>
      <c r="Q1217" s="23"/>
      <c r="R1217" s="23"/>
    </row>
    <row r="1218" spans="2:18" ht="15" customHeight="1" x14ac:dyDescent="0.15">
      <c r="B1218" s="29" t="s">
        <v>189</v>
      </c>
      <c r="C1218" s="266">
        <v>44036</v>
      </c>
      <c r="D1218" s="29" t="s">
        <v>2710</v>
      </c>
      <c r="E1218" s="105" t="s">
        <v>42</v>
      </c>
      <c r="F1218" s="147">
        <v>0.13500000000000001</v>
      </c>
      <c r="I1218" s="29" t="s">
        <v>215</v>
      </c>
      <c r="J1218" s="29" t="s">
        <v>1347</v>
      </c>
      <c r="K1218" s="119">
        <v>8</v>
      </c>
      <c r="L1218" s="111" t="s">
        <v>2766</v>
      </c>
      <c r="O1218" s="111" t="s">
        <v>2766</v>
      </c>
    </row>
    <row r="1219" spans="2:18" ht="15" customHeight="1" x14ac:dyDescent="0.15">
      <c r="B1219" s="29" t="s">
        <v>26</v>
      </c>
      <c r="C1219" s="266">
        <v>44036</v>
      </c>
      <c r="D1219" s="29" t="s">
        <v>1172</v>
      </c>
      <c r="E1219" s="105" t="s">
        <v>34</v>
      </c>
      <c r="F1219" s="147">
        <v>0.04</v>
      </c>
      <c r="I1219" s="29" t="s">
        <v>2711</v>
      </c>
      <c r="J1219" s="29" t="s">
        <v>1432</v>
      </c>
      <c r="K1219" s="119">
        <v>4</v>
      </c>
      <c r="L1219" s="111" t="s">
        <v>2043</v>
      </c>
      <c r="O1219" s="111" t="s">
        <v>2043</v>
      </c>
    </row>
    <row r="1220" spans="2:18" ht="15" customHeight="1" x14ac:dyDescent="0.15">
      <c r="B1220" s="29" t="s">
        <v>73</v>
      </c>
      <c r="C1220" s="266">
        <v>44036</v>
      </c>
      <c r="D1220" s="29" t="s">
        <v>3617</v>
      </c>
      <c r="E1220" s="105" t="s">
        <v>6</v>
      </c>
      <c r="F1220" s="147">
        <v>0.105</v>
      </c>
      <c r="I1220" s="29" t="s">
        <v>311</v>
      </c>
      <c r="J1220" s="29" t="s">
        <v>491</v>
      </c>
      <c r="K1220" s="119">
        <v>8.5</v>
      </c>
      <c r="L1220" s="111" t="s">
        <v>1819</v>
      </c>
      <c r="O1220" s="111" t="s">
        <v>1819</v>
      </c>
    </row>
    <row r="1221" spans="2:18" ht="15" customHeight="1" x14ac:dyDescent="0.15">
      <c r="B1221" s="29" t="s">
        <v>38</v>
      </c>
      <c r="C1221" s="266">
        <v>44036</v>
      </c>
      <c r="D1221" s="29" t="s">
        <v>913</v>
      </c>
      <c r="E1221" s="105" t="s">
        <v>32</v>
      </c>
      <c r="F1221" s="147">
        <v>0.05</v>
      </c>
      <c r="I1221" s="29" t="s">
        <v>2712</v>
      </c>
      <c r="J1221" s="29" t="s">
        <v>2713</v>
      </c>
      <c r="K1221" s="119">
        <v>3</v>
      </c>
      <c r="L1221" s="111" t="s">
        <v>1868</v>
      </c>
      <c r="O1221" s="111" t="s">
        <v>1867</v>
      </c>
    </row>
    <row r="1222" spans="2:18" ht="15" customHeight="1" x14ac:dyDescent="0.15">
      <c r="B1222" s="29" t="s">
        <v>26</v>
      </c>
      <c r="C1222" s="266">
        <v>44036</v>
      </c>
      <c r="D1222" s="29" t="s">
        <v>2714</v>
      </c>
      <c r="E1222" s="105" t="s">
        <v>34</v>
      </c>
      <c r="F1222" s="147">
        <v>0.04</v>
      </c>
      <c r="I1222" s="29" t="s">
        <v>2236</v>
      </c>
      <c r="J1222" s="29" t="s">
        <v>3482</v>
      </c>
      <c r="K1222" s="119">
        <v>4</v>
      </c>
      <c r="L1222" s="111" t="s">
        <v>1931</v>
      </c>
      <c r="O1222" s="111" t="s">
        <v>1931</v>
      </c>
    </row>
    <row r="1223" spans="2:18" ht="15" customHeight="1" x14ac:dyDescent="0.15">
      <c r="B1223" s="29" t="s">
        <v>73</v>
      </c>
      <c r="C1223" s="266">
        <v>44036</v>
      </c>
      <c r="D1223" s="29" t="s">
        <v>3618</v>
      </c>
      <c r="E1223" s="105" t="s">
        <v>6</v>
      </c>
      <c r="F1223" s="147">
        <v>0.115</v>
      </c>
      <c r="I1223" s="29" t="s">
        <v>16</v>
      </c>
      <c r="J1223" s="29" t="s">
        <v>2721</v>
      </c>
      <c r="K1223" s="119">
        <v>6</v>
      </c>
      <c r="L1223" s="111" t="s">
        <v>1819</v>
      </c>
      <c r="O1223" s="111" t="s">
        <v>1819</v>
      </c>
    </row>
    <row r="1224" spans="2:18" ht="15" customHeight="1" x14ac:dyDescent="0.15">
      <c r="B1224" s="29" t="s">
        <v>73</v>
      </c>
      <c r="C1224" s="266">
        <v>44036</v>
      </c>
      <c r="D1224" s="29" t="s">
        <v>2718</v>
      </c>
      <c r="E1224" s="105" t="s">
        <v>27</v>
      </c>
      <c r="F1224" s="147">
        <v>0.38</v>
      </c>
      <c r="I1224" s="29" t="s">
        <v>1433</v>
      </c>
      <c r="J1224" s="29" t="s">
        <v>2717</v>
      </c>
      <c r="K1224" s="119">
        <v>0.5</v>
      </c>
      <c r="L1224" s="111" t="s">
        <v>1468</v>
      </c>
      <c r="O1224" s="111" t="s">
        <v>1468</v>
      </c>
    </row>
    <row r="1225" spans="2:18" ht="15" customHeight="1" x14ac:dyDescent="0.15">
      <c r="B1225" s="29" t="s">
        <v>26</v>
      </c>
      <c r="C1225" s="266">
        <v>44036</v>
      </c>
      <c r="D1225" s="29" t="s">
        <v>2716</v>
      </c>
      <c r="E1225" s="105" t="s">
        <v>27</v>
      </c>
      <c r="F1225" s="147">
        <v>0.2</v>
      </c>
      <c r="I1225" s="29" t="s">
        <v>548</v>
      </c>
      <c r="J1225" s="29" t="s">
        <v>2462</v>
      </c>
      <c r="K1225" s="119">
        <v>5.5</v>
      </c>
      <c r="L1225" s="111" t="s">
        <v>2767</v>
      </c>
      <c r="O1225" s="111" t="s">
        <v>2768</v>
      </c>
    </row>
    <row r="1226" spans="2:18" ht="15" customHeight="1" x14ac:dyDescent="0.15">
      <c r="B1226" s="29" t="s">
        <v>41</v>
      </c>
      <c r="C1226" s="266">
        <v>44036</v>
      </c>
      <c r="D1226" s="29" t="s">
        <v>2756</v>
      </c>
      <c r="E1226" s="105" t="s">
        <v>12</v>
      </c>
      <c r="F1226" s="147">
        <v>0.25</v>
      </c>
      <c r="I1226" s="29" t="s">
        <v>1046</v>
      </c>
      <c r="J1226" s="29" t="s">
        <v>1234</v>
      </c>
      <c r="K1226" s="119">
        <v>7</v>
      </c>
      <c r="L1226" s="111" t="s">
        <v>1893</v>
      </c>
      <c r="O1226" s="111" t="s">
        <v>1893</v>
      </c>
    </row>
    <row r="1227" spans="2:18" ht="15" customHeight="1" x14ac:dyDescent="0.15">
      <c r="B1227" s="29" t="s">
        <v>26</v>
      </c>
      <c r="C1227" s="266">
        <v>44036</v>
      </c>
      <c r="D1227" s="29" t="s">
        <v>2719</v>
      </c>
      <c r="E1227" s="105" t="s">
        <v>34</v>
      </c>
      <c r="F1227" s="147">
        <v>4.8000000000000001E-2</v>
      </c>
      <c r="I1227" s="29" t="s">
        <v>2720</v>
      </c>
      <c r="J1227" s="29" t="s">
        <v>2643</v>
      </c>
      <c r="K1227" s="119">
        <v>6.5</v>
      </c>
      <c r="L1227" s="111" t="s">
        <v>1308</v>
      </c>
      <c r="O1227" s="111" t="s">
        <v>1968</v>
      </c>
    </row>
    <row r="1228" spans="2:18" ht="15" customHeight="1" x14ac:dyDescent="0.15">
      <c r="B1228" s="29" t="s">
        <v>361</v>
      </c>
      <c r="C1228" s="266">
        <v>44036</v>
      </c>
      <c r="D1228" s="29" t="s">
        <v>1150</v>
      </c>
      <c r="E1228" s="105" t="s">
        <v>6</v>
      </c>
      <c r="F1228" s="147">
        <v>4.5999999999999999E-2</v>
      </c>
      <c r="I1228" s="29" t="s">
        <v>316</v>
      </c>
      <c r="J1228" s="29" t="s">
        <v>13</v>
      </c>
      <c r="K1228" s="119">
        <v>8</v>
      </c>
      <c r="L1228" s="111" t="s">
        <v>1515</v>
      </c>
      <c r="O1228" s="111" t="s">
        <v>1515</v>
      </c>
    </row>
    <row r="1229" spans="2:18" ht="15" customHeight="1" x14ac:dyDescent="0.15">
      <c r="B1229" s="29" t="s">
        <v>26</v>
      </c>
      <c r="C1229" s="266">
        <v>44036</v>
      </c>
      <c r="D1229" s="29" t="s">
        <v>1150</v>
      </c>
      <c r="E1229" s="105" t="s">
        <v>6</v>
      </c>
      <c r="F1229" s="147">
        <v>4.5999999999999999E-2</v>
      </c>
      <c r="I1229" s="29" t="s">
        <v>2722</v>
      </c>
      <c r="J1229" s="29" t="s">
        <v>13</v>
      </c>
      <c r="K1229" s="119">
        <v>6.5</v>
      </c>
      <c r="L1229" s="111" t="s">
        <v>1515</v>
      </c>
      <c r="O1229" s="111" t="s">
        <v>1515</v>
      </c>
    </row>
    <row r="1230" spans="2:18" ht="15" customHeight="1" x14ac:dyDescent="0.15">
      <c r="B1230" s="29" t="s">
        <v>26</v>
      </c>
      <c r="C1230" s="266">
        <v>44043</v>
      </c>
      <c r="D1230" s="29" t="s">
        <v>2723</v>
      </c>
      <c r="E1230" s="105" t="s">
        <v>34</v>
      </c>
      <c r="F1230" s="147">
        <v>0.04</v>
      </c>
      <c r="I1230" s="29" t="s">
        <v>2285</v>
      </c>
      <c r="J1230" s="29" t="s">
        <v>2462</v>
      </c>
      <c r="K1230" s="119">
        <v>9</v>
      </c>
      <c r="L1230" s="111" t="s">
        <v>2724</v>
      </c>
      <c r="O1230" s="111" t="s">
        <v>2725</v>
      </c>
    </row>
    <row r="1231" spans="2:18" ht="15" customHeight="1" x14ac:dyDescent="0.15">
      <c r="B1231" s="29" t="s">
        <v>38</v>
      </c>
      <c r="C1231" s="266">
        <v>44043</v>
      </c>
      <c r="D1231" s="29" t="s">
        <v>2726</v>
      </c>
      <c r="E1231" s="105" t="s">
        <v>12</v>
      </c>
      <c r="F1231" s="147">
        <v>5.3999999999999999E-2</v>
      </c>
      <c r="I1231" s="29" t="s">
        <v>232</v>
      </c>
      <c r="J1231" s="29" t="s">
        <v>2364</v>
      </c>
      <c r="K1231" s="119">
        <v>8</v>
      </c>
      <c r="L1231" s="111" t="s">
        <v>953</v>
      </c>
      <c r="O1231" s="111" t="s">
        <v>1516</v>
      </c>
    </row>
    <row r="1232" spans="2:18" ht="15" customHeight="1" x14ac:dyDescent="0.15">
      <c r="B1232" s="29" t="s">
        <v>41</v>
      </c>
      <c r="C1232" s="266">
        <v>44043</v>
      </c>
      <c r="D1232" s="29" t="s">
        <v>2727</v>
      </c>
      <c r="E1232" s="105" t="s">
        <v>34</v>
      </c>
      <c r="F1232" s="147">
        <v>0.06</v>
      </c>
      <c r="I1232" s="29" t="s">
        <v>775</v>
      </c>
      <c r="J1232" s="29" t="s">
        <v>1901</v>
      </c>
      <c r="K1232" s="119">
        <v>4</v>
      </c>
      <c r="L1232" s="111" t="s">
        <v>1308</v>
      </c>
      <c r="O1232" s="111" t="s">
        <v>1968</v>
      </c>
    </row>
    <row r="1233" spans="2:15" ht="15" customHeight="1" x14ac:dyDescent="0.15">
      <c r="B1233" s="29" t="s">
        <v>38</v>
      </c>
      <c r="C1233" s="266">
        <v>44043</v>
      </c>
      <c r="D1233" s="29" t="s">
        <v>3690</v>
      </c>
      <c r="E1233" s="105" t="s">
        <v>6</v>
      </c>
      <c r="F1233" s="147">
        <v>0.06</v>
      </c>
      <c r="I1233" s="29" t="s">
        <v>2734</v>
      </c>
      <c r="J1233" s="29" t="s">
        <v>550</v>
      </c>
      <c r="K1233" s="119">
        <v>8</v>
      </c>
      <c r="L1233" s="111" t="s">
        <v>1544</v>
      </c>
      <c r="O1233" s="111" t="s">
        <v>1544</v>
      </c>
    </row>
    <row r="1234" spans="2:15" ht="15" customHeight="1" x14ac:dyDescent="0.15">
      <c r="B1234" s="29" t="s">
        <v>26</v>
      </c>
      <c r="C1234" s="266">
        <v>44043</v>
      </c>
      <c r="D1234" s="29" t="s">
        <v>2728</v>
      </c>
      <c r="E1234" s="105" t="s">
        <v>34</v>
      </c>
      <c r="F1234" s="147">
        <v>0.04</v>
      </c>
      <c r="I1234" s="29" t="s">
        <v>1140</v>
      </c>
      <c r="J1234" s="29" t="s">
        <v>264</v>
      </c>
      <c r="K1234" s="119">
        <v>8.5</v>
      </c>
      <c r="L1234" s="111" t="s">
        <v>2724</v>
      </c>
      <c r="O1234" s="111" t="s">
        <v>2725</v>
      </c>
    </row>
    <row r="1235" spans="2:15" ht="15" customHeight="1" x14ac:dyDescent="0.15">
      <c r="B1235" s="29" t="s">
        <v>189</v>
      </c>
      <c r="C1235" s="266">
        <v>44043</v>
      </c>
      <c r="D1235" s="29" t="s">
        <v>2729</v>
      </c>
      <c r="E1235" s="105" t="s">
        <v>42</v>
      </c>
      <c r="F1235" s="147">
        <v>0.14000000000000001</v>
      </c>
      <c r="I1235" s="29" t="s">
        <v>2736</v>
      </c>
      <c r="J1235" s="29" t="s">
        <v>1414</v>
      </c>
      <c r="K1235" s="119">
        <v>8</v>
      </c>
      <c r="L1235" s="111" t="s">
        <v>2772</v>
      </c>
      <c r="O1235" s="111" t="s">
        <v>2772</v>
      </c>
    </row>
    <row r="1236" spans="2:15" ht="15" customHeight="1" x14ac:dyDescent="0.15">
      <c r="B1236" s="29" t="s">
        <v>41</v>
      </c>
      <c r="C1236" s="266">
        <v>44043</v>
      </c>
      <c r="D1236" s="29" t="s">
        <v>2730</v>
      </c>
      <c r="E1236" s="105" t="s">
        <v>65</v>
      </c>
      <c r="F1236" s="147">
        <v>0.08</v>
      </c>
      <c r="I1236" s="29" t="s">
        <v>24</v>
      </c>
      <c r="J1236" s="29" t="s">
        <v>1914</v>
      </c>
      <c r="K1236" s="119">
        <v>8</v>
      </c>
      <c r="L1236" s="111" t="s">
        <v>2773</v>
      </c>
      <c r="O1236" s="111" t="s">
        <v>2774</v>
      </c>
    </row>
    <row r="1237" spans="2:15" ht="15" customHeight="1" x14ac:dyDescent="0.15">
      <c r="B1237" s="29" t="s">
        <v>35</v>
      </c>
      <c r="C1237" s="266">
        <v>44043</v>
      </c>
      <c r="D1237" s="29" t="s">
        <v>2775</v>
      </c>
      <c r="E1237" s="105" t="s">
        <v>6</v>
      </c>
      <c r="F1237" s="147">
        <v>3.9E-2</v>
      </c>
      <c r="I1237" s="29" t="s">
        <v>931</v>
      </c>
      <c r="J1237" s="29" t="s">
        <v>1114</v>
      </c>
      <c r="K1237" s="119">
        <v>6.5</v>
      </c>
      <c r="L1237" s="111" t="s">
        <v>1447</v>
      </c>
      <c r="M1237" s="111" t="s">
        <v>2776</v>
      </c>
      <c r="O1237" s="111" t="s">
        <v>1447</v>
      </c>
    </row>
    <row r="1238" spans="2:15" ht="15" customHeight="1" x14ac:dyDescent="0.15">
      <c r="B1238" s="29" t="s">
        <v>189</v>
      </c>
      <c r="C1238" s="266">
        <v>44043</v>
      </c>
      <c r="D1238" s="29" t="s">
        <v>2731</v>
      </c>
      <c r="E1238" s="105" t="s">
        <v>48</v>
      </c>
      <c r="F1238" s="147">
        <v>0.2</v>
      </c>
      <c r="I1238" s="29" t="s">
        <v>2733</v>
      </c>
      <c r="J1238" s="29" t="s">
        <v>2732</v>
      </c>
      <c r="K1238" s="119">
        <v>10</v>
      </c>
      <c r="L1238" s="111" t="s">
        <v>2786</v>
      </c>
      <c r="O1238" s="111" t="s">
        <v>2786</v>
      </c>
    </row>
    <row r="1239" spans="2:15" ht="15" customHeight="1" x14ac:dyDescent="0.15">
      <c r="B1239" s="29" t="s">
        <v>38</v>
      </c>
      <c r="C1239" s="266">
        <v>44043</v>
      </c>
      <c r="D1239" s="29" t="s">
        <v>2735</v>
      </c>
      <c r="E1239" s="105" t="s">
        <v>42</v>
      </c>
      <c r="F1239" s="147">
        <v>0.13</v>
      </c>
      <c r="I1239" s="29" t="s">
        <v>2742</v>
      </c>
      <c r="J1239" s="29" t="s">
        <v>259</v>
      </c>
      <c r="K1239" s="119">
        <v>5</v>
      </c>
      <c r="L1239" s="111" t="s">
        <v>2654</v>
      </c>
      <c r="O1239" s="111" t="s">
        <v>2655</v>
      </c>
    </row>
    <row r="1240" spans="2:15" ht="15" customHeight="1" x14ac:dyDescent="0.15">
      <c r="B1240" s="29" t="s">
        <v>41</v>
      </c>
      <c r="C1240" s="266">
        <v>44043</v>
      </c>
      <c r="D1240" s="29" t="s">
        <v>2777</v>
      </c>
      <c r="E1240" s="105" t="s">
        <v>65</v>
      </c>
      <c r="F1240" s="147">
        <v>0.08</v>
      </c>
      <c r="I1240" s="29" t="s">
        <v>2738</v>
      </c>
      <c r="J1240" s="29" t="s">
        <v>2739</v>
      </c>
      <c r="K1240" s="119">
        <v>9</v>
      </c>
      <c r="L1240" s="111" t="s">
        <v>2773</v>
      </c>
      <c r="O1240" s="111" t="s">
        <v>2774</v>
      </c>
    </row>
    <row r="1241" spans="2:15" ht="15" customHeight="1" x14ac:dyDescent="0.15">
      <c r="B1241" s="29" t="s">
        <v>61</v>
      </c>
      <c r="C1241" s="266">
        <v>44043</v>
      </c>
      <c r="D1241" s="29" t="s">
        <v>2740</v>
      </c>
      <c r="E1241" s="105" t="s">
        <v>6</v>
      </c>
      <c r="F1241" s="147">
        <v>5.6000000000000001E-2</v>
      </c>
      <c r="I1241" s="29" t="s">
        <v>2746</v>
      </c>
      <c r="J1241" s="29" t="s">
        <v>15</v>
      </c>
      <c r="K1241" s="119">
        <v>6.5</v>
      </c>
      <c r="L1241" s="111" t="s">
        <v>2581</v>
      </c>
      <c r="O1241" s="111" t="s">
        <v>2778</v>
      </c>
    </row>
    <row r="1242" spans="2:15" ht="15" customHeight="1" x14ac:dyDescent="0.15">
      <c r="B1242" s="29" t="s">
        <v>26</v>
      </c>
      <c r="C1242" s="266">
        <v>44043</v>
      </c>
      <c r="D1242" s="29" t="s">
        <v>2737</v>
      </c>
      <c r="E1242" s="105" t="s">
        <v>34</v>
      </c>
      <c r="F1242" s="147">
        <v>0.04</v>
      </c>
      <c r="I1242" s="29" t="s">
        <v>93</v>
      </c>
      <c r="J1242" s="29" t="s">
        <v>312</v>
      </c>
      <c r="K1242" s="119">
        <v>8.5</v>
      </c>
      <c r="L1242" s="111" t="s">
        <v>2724</v>
      </c>
      <c r="O1242" s="111" t="s">
        <v>2725</v>
      </c>
    </row>
    <row r="1243" spans="2:15" ht="15" customHeight="1" x14ac:dyDescent="0.15">
      <c r="B1243" s="29" t="s">
        <v>189</v>
      </c>
      <c r="C1243" s="266">
        <v>44043</v>
      </c>
      <c r="D1243" s="29" t="s">
        <v>2741</v>
      </c>
      <c r="E1243" s="105" t="s">
        <v>42</v>
      </c>
      <c r="F1243" s="147">
        <v>0.13500000000000001</v>
      </c>
      <c r="I1243" s="29" t="s">
        <v>3559</v>
      </c>
      <c r="J1243" s="29" t="s">
        <v>2747</v>
      </c>
      <c r="K1243" s="119">
        <v>8.5</v>
      </c>
      <c r="L1243" s="111" t="s">
        <v>2779</v>
      </c>
      <c r="O1243" s="111" t="s">
        <v>2779</v>
      </c>
    </row>
    <row r="1244" spans="2:15" ht="15" customHeight="1" x14ac:dyDescent="0.15">
      <c r="B1244" s="29" t="s">
        <v>41</v>
      </c>
      <c r="C1244" s="266">
        <v>44043</v>
      </c>
      <c r="D1244" s="29" t="s">
        <v>2743</v>
      </c>
      <c r="E1244" s="105" t="s">
        <v>36</v>
      </c>
      <c r="F1244" s="147">
        <v>0.1</v>
      </c>
      <c r="I1244" s="29" t="s">
        <v>2744</v>
      </c>
      <c r="J1244" s="29" t="s">
        <v>1292</v>
      </c>
      <c r="K1244" s="119">
        <v>7</v>
      </c>
      <c r="L1244" s="111" t="s">
        <v>2773</v>
      </c>
      <c r="O1244" s="111" t="s">
        <v>2774</v>
      </c>
    </row>
    <row r="1245" spans="2:15" ht="15" customHeight="1" x14ac:dyDescent="0.15">
      <c r="B1245" s="29" t="s">
        <v>38</v>
      </c>
      <c r="C1245" s="266">
        <v>44043</v>
      </c>
      <c r="D1245" s="29" t="s">
        <v>1028</v>
      </c>
      <c r="E1245" s="105" t="s">
        <v>42</v>
      </c>
      <c r="F1245" s="147">
        <v>0.13500000000000001</v>
      </c>
      <c r="I1245" s="29" t="s">
        <v>2750</v>
      </c>
      <c r="J1245" s="29" t="s">
        <v>192</v>
      </c>
      <c r="K1245" s="119">
        <v>8</v>
      </c>
      <c r="L1245" s="111" t="s">
        <v>2780</v>
      </c>
      <c r="O1245" s="111" t="s">
        <v>2780</v>
      </c>
    </row>
    <row r="1246" spans="2:15" ht="15" customHeight="1" x14ac:dyDescent="0.15">
      <c r="B1246" s="29" t="s">
        <v>18</v>
      </c>
      <c r="C1246" s="266">
        <v>44043</v>
      </c>
      <c r="D1246" s="29" t="s">
        <v>2745</v>
      </c>
      <c r="E1246" s="105" t="s">
        <v>6</v>
      </c>
      <c r="F1246" s="147">
        <v>0.03</v>
      </c>
      <c r="I1246" s="29" t="s">
        <v>15</v>
      </c>
      <c r="J1246" s="29" t="s">
        <v>2751</v>
      </c>
      <c r="K1246" s="119">
        <v>7.5</v>
      </c>
      <c r="L1246" s="111" t="s">
        <v>1267</v>
      </c>
      <c r="O1246" s="111" t="s">
        <v>1565</v>
      </c>
    </row>
    <row r="1247" spans="2:15" ht="15" customHeight="1" x14ac:dyDescent="0.15">
      <c r="B1247" s="29" t="s">
        <v>26</v>
      </c>
      <c r="C1247" s="266">
        <v>44043</v>
      </c>
      <c r="D1247" s="29" t="s">
        <v>2749</v>
      </c>
      <c r="E1247" s="105" t="s">
        <v>34</v>
      </c>
      <c r="F1247" s="147">
        <v>0.04</v>
      </c>
      <c r="I1247" s="29" t="s">
        <v>1234</v>
      </c>
      <c r="J1247" s="29" t="s">
        <v>1929</v>
      </c>
      <c r="K1247" s="119">
        <v>8</v>
      </c>
      <c r="L1247" s="111" t="s">
        <v>2724</v>
      </c>
      <c r="O1247" s="111" t="s">
        <v>2725</v>
      </c>
    </row>
    <row r="1248" spans="2:15" ht="15" customHeight="1" x14ac:dyDescent="0.15">
      <c r="B1248" s="29" t="s">
        <v>9</v>
      </c>
      <c r="C1248" s="266">
        <v>44043</v>
      </c>
      <c r="D1248" s="29" t="s">
        <v>2745</v>
      </c>
      <c r="E1248" s="105" t="s">
        <v>6</v>
      </c>
      <c r="F1248" s="147">
        <v>0.03</v>
      </c>
      <c r="I1248" s="29" t="s">
        <v>430</v>
      </c>
      <c r="J1248" s="29" t="s">
        <v>16</v>
      </c>
      <c r="K1248" s="119">
        <v>9.5</v>
      </c>
      <c r="L1248" s="111" t="s">
        <v>1267</v>
      </c>
      <c r="O1248" s="111" t="s">
        <v>1565</v>
      </c>
    </row>
    <row r="1249" spans="2:15" ht="15" customHeight="1" x14ac:dyDescent="0.15">
      <c r="B1249" s="29" t="s">
        <v>41</v>
      </c>
      <c r="C1249" s="266">
        <v>44043</v>
      </c>
      <c r="D1249" s="23" t="s">
        <v>2781</v>
      </c>
      <c r="E1249" s="105" t="s">
        <v>36</v>
      </c>
      <c r="F1249" s="147">
        <v>0.12</v>
      </c>
      <c r="I1249" s="29" t="s">
        <v>3533</v>
      </c>
      <c r="J1249" s="29" t="s">
        <v>24</v>
      </c>
      <c r="K1249" s="119">
        <v>7</v>
      </c>
      <c r="L1249" s="111" t="s">
        <v>2773</v>
      </c>
      <c r="O1249" s="111" t="s">
        <v>2774</v>
      </c>
    </row>
    <row r="1250" spans="2:15" ht="15" customHeight="1" x14ac:dyDescent="0.15">
      <c r="B1250" s="29" t="s">
        <v>73</v>
      </c>
      <c r="C1250" s="266">
        <v>44043</v>
      </c>
      <c r="D1250" s="29" t="s">
        <v>2782</v>
      </c>
      <c r="E1250" s="105" t="s">
        <v>6</v>
      </c>
      <c r="F1250" s="147">
        <v>0.1</v>
      </c>
      <c r="I1250" s="29" t="s">
        <v>968</v>
      </c>
      <c r="J1250" s="29" t="s">
        <v>2748</v>
      </c>
      <c r="K1250" s="119">
        <v>8</v>
      </c>
      <c r="L1250" s="111" t="s">
        <v>2783</v>
      </c>
      <c r="O1250" s="111" t="s">
        <v>2784</v>
      </c>
    </row>
    <row r="1251" spans="2:15" ht="15" customHeight="1" x14ac:dyDescent="0.15">
      <c r="B1251" s="29" t="s">
        <v>61</v>
      </c>
      <c r="C1251" s="266">
        <v>44043</v>
      </c>
      <c r="D1251" s="29" t="s">
        <v>2789</v>
      </c>
      <c r="E1251" s="105" t="s">
        <v>190</v>
      </c>
      <c r="F1251" s="147">
        <v>0.04</v>
      </c>
      <c r="I1251" s="29" t="s">
        <v>16</v>
      </c>
      <c r="J1251" s="29" t="s">
        <v>2752</v>
      </c>
      <c r="K1251" s="119">
        <v>6.5</v>
      </c>
      <c r="L1251" s="111" t="s">
        <v>2785</v>
      </c>
      <c r="O1251" s="111" t="s">
        <v>1447</v>
      </c>
    </row>
    <row r="1252" spans="2:15" ht="15" customHeight="1" x14ac:dyDescent="0.15">
      <c r="B1252" s="29" t="s">
        <v>26</v>
      </c>
      <c r="C1252" s="266">
        <v>44043</v>
      </c>
      <c r="D1252" s="29" t="s">
        <v>2753</v>
      </c>
      <c r="E1252" s="105" t="s">
        <v>34</v>
      </c>
      <c r="F1252" s="147">
        <v>5.1999999999999998E-2</v>
      </c>
      <c r="I1252" s="29" t="s">
        <v>93</v>
      </c>
      <c r="J1252" s="29" t="s">
        <v>2764</v>
      </c>
      <c r="K1252" s="119">
        <v>8.5</v>
      </c>
      <c r="L1252" s="111" t="s">
        <v>1308</v>
      </c>
      <c r="O1252" s="111" t="s">
        <v>1968</v>
      </c>
    </row>
    <row r="1253" spans="2:15" ht="15" customHeight="1" x14ac:dyDescent="0.15">
      <c r="B1253" s="29" t="s">
        <v>189</v>
      </c>
      <c r="C1253" s="266">
        <v>44043</v>
      </c>
      <c r="D1253" s="29" t="s">
        <v>2754</v>
      </c>
      <c r="E1253" s="105" t="s">
        <v>12</v>
      </c>
      <c r="F1253" s="147">
        <v>0.2</v>
      </c>
      <c r="I1253" s="29" t="s">
        <v>691</v>
      </c>
      <c r="J1253" s="29" t="s">
        <v>3489</v>
      </c>
      <c r="K1253" s="119">
        <v>7</v>
      </c>
      <c r="L1253" s="111" t="s">
        <v>2786</v>
      </c>
      <c r="O1253" s="111" t="s">
        <v>2786</v>
      </c>
    </row>
    <row r="1254" spans="2:15" ht="15" customHeight="1" x14ac:dyDescent="0.15">
      <c r="B1254" s="29" t="s">
        <v>18</v>
      </c>
      <c r="C1254" s="266">
        <v>44043</v>
      </c>
      <c r="D1254" s="29" t="s">
        <v>981</v>
      </c>
      <c r="E1254" s="105" t="s">
        <v>27</v>
      </c>
      <c r="F1254" s="147">
        <v>0.2</v>
      </c>
      <c r="G1254" s="29" t="s">
        <v>2755</v>
      </c>
      <c r="I1254" s="29" t="s">
        <v>2759</v>
      </c>
      <c r="J1254" s="29" t="s">
        <v>16</v>
      </c>
      <c r="K1254" s="119">
        <v>6</v>
      </c>
      <c r="L1254" s="111" t="s">
        <v>981</v>
      </c>
      <c r="O1254" s="111" t="s">
        <v>1465</v>
      </c>
    </row>
    <row r="1255" spans="2:15" ht="15" customHeight="1" x14ac:dyDescent="0.15">
      <c r="B1255" s="29" t="s">
        <v>73</v>
      </c>
      <c r="C1255" s="266">
        <v>44043</v>
      </c>
      <c r="D1255" s="29" t="s">
        <v>755</v>
      </c>
      <c r="E1255" s="105" t="s">
        <v>65</v>
      </c>
      <c r="F1255" s="147">
        <v>0.65</v>
      </c>
      <c r="G1255" s="29" t="s">
        <v>1268</v>
      </c>
      <c r="I1255" s="29" t="s">
        <v>192</v>
      </c>
      <c r="J1255" s="29" t="s">
        <v>2760</v>
      </c>
      <c r="K1255" s="119">
        <v>7</v>
      </c>
      <c r="L1255" s="111" t="s">
        <v>1809</v>
      </c>
      <c r="O1255" s="111" t="s">
        <v>1809</v>
      </c>
    </row>
    <row r="1256" spans="2:15" ht="15" customHeight="1" x14ac:dyDescent="0.15">
      <c r="B1256" s="29" t="s">
        <v>26</v>
      </c>
      <c r="C1256" s="266">
        <v>44043</v>
      </c>
      <c r="D1256" s="29" t="s">
        <v>2787</v>
      </c>
      <c r="E1256" s="105" t="s">
        <v>42</v>
      </c>
      <c r="F1256" s="147">
        <v>0.125</v>
      </c>
      <c r="I1256" s="29" t="s">
        <v>2339</v>
      </c>
      <c r="J1256" s="29" t="s">
        <v>2757</v>
      </c>
      <c r="K1256" s="119">
        <v>8</v>
      </c>
      <c r="L1256" s="111" t="s">
        <v>2788</v>
      </c>
      <c r="O1256" s="111" t="s">
        <v>2788</v>
      </c>
    </row>
    <row r="1257" spans="2:15" ht="15" customHeight="1" x14ac:dyDescent="0.15">
      <c r="B1257" s="29" t="s">
        <v>61</v>
      </c>
      <c r="C1257" s="266">
        <v>44043</v>
      </c>
      <c r="D1257" s="29" t="s">
        <v>470</v>
      </c>
      <c r="E1257" s="105" t="s">
        <v>27</v>
      </c>
      <c r="F1257" s="147">
        <v>0.35</v>
      </c>
      <c r="I1257" s="29" t="s">
        <v>201</v>
      </c>
      <c r="J1257" s="29" t="s">
        <v>2758</v>
      </c>
      <c r="K1257" s="119">
        <v>4</v>
      </c>
      <c r="L1257" s="111" t="s">
        <v>470</v>
      </c>
      <c r="O1257" s="111" t="s">
        <v>1707</v>
      </c>
    </row>
    <row r="1258" spans="2:15" ht="15" customHeight="1" x14ac:dyDescent="0.15">
      <c r="B1258" s="29" t="s">
        <v>41</v>
      </c>
      <c r="C1258" s="266">
        <v>44043</v>
      </c>
      <c r="D1258" s="29" t="s">
        <v>3444</v>
      </c>
      <c r="E1258" s="105" t="s">
        <v>65</v>
      </c>
      <c r="F1258" s="147">
        <v>0.25</v>
      </c>
      <c r="I1258" s="29" t="s">
        <v>265</v>
      </c>
      <c r="J1258" s="29" t="s">
        <v>1107</v>
      </c>
      <c r="K1258" s="119">
        <v>3</v>
      </c>
      <c r="L1258" s="111" t="s">
        <v>1587</v>
      </c>
      <c r="O1258" s="111" t="s">
        <v>1516</v>
      </c>
    </row>
    <row r="1259" spans="2:15" ht="15" customHeight="1" x14ac:dyDescent="0.15">
      <c r="B1259" s="29" t="s">
        <v>18</v>
      </c>
      <c r="C1259" s="266">
        <v>44043</v>
      </c>
      <c r="D1259" s="29" t="s">
        <v>2745</v>
      </c>
      <c r="E1259" s="105" t="s">
        <v>6</v>
      </c>
      <c r="F1259" s="147">
        <v>0.03</v>
      </c>
      <c r="G1259" s="29" t="s">
        <v>2762</v>
      </c>
      <c r="I1259" s="29" t="s">
        <v>46</v>
      </c>
      <c r="J1259" s="29" t="s">
        <v>2761</v>
      </c>
      <c r="K1259" s="119">
        <v>4</v>
      </c>
      <c r="L1259" s="111" t="s">
        <v>1267</v>
      </c>
      <c r="O1259" s="111" t="s">
        <v>1565</v>
      </c>
    </row>
    <row r="1260" spans="2:15" ht="15" customHeight="1" x14ac:dyDescent="0.15">
      <c r="B1260" s="29" t="s">
        <v>61</v>
      </c>
      <c r="C1260" s="266">
        <v>44043</v>
      </c>
      <c r="D1260" s="29" t="s">
        <v>2790</v>
      </c>
      <c r="E1260" s="105" t="s">
        <v>190</v>
      </c>
      <c r="F1260" s="147">
        <v>0.04</v>
      </c>
      <c r="I1260" s="29" t="s">
        <v>2167</v>
      </c>
      <c r="J1260" s="29" t="s">
        <v>2763</v>
      </c>
      <c r="K1260" s="119">
        <v>4.5</v>
      </c>
      <c r="L1260" s="111" t="s">
        <v>2785</v>
      </c>
      <c r="O1260" s="111" t="s">
        <v>1447</v>
      </c>
    </row>
    <row r="1261" spans="2:15" ht="15" customHeight="1" x14ac:dyDescent="0.15">
      <c r="B1261" s="29" t="s">
        <v>26</v>
      </c>
      <c r="C1261" s="266">
        <v>44043</v>
      </c>
      <c r="D1261" s="29" t="s">
        <v>1304</v>
      </c>
      <c r="E1261" s="105" t="s">
        <v>6</v>
      </c>
      <c r="F1261" s="147">
        <v>6.5000000000000002E-2</v>
      </c>
      <c r="I1261" s="29" t="s">
        <v>2191</v>
      </c>
      <c r="J1261" s="29" t="s">
        <v>2765</v>
      </c>
      <c r="K1261" s="119">
        <v>6.5</v>
      </c>
      <c r="L1261" s="111" t="s">
        <v>764</v>
      </c>
      <c r="O1261" s="111" t="s">
        <v>1539</v>
      </c>
    </row>
    <row r="1262" spans="2:15" ht="15" customHeight="1" x14ac:dyDescent="0.15">
      <c r="B1262" s="29" t="s">
        <v>26</v>
      </c>
      <c r="C1262" s="266">
        <v>44050</v>
      </c>
      <c r="D1262" s="29" t="s">
        <v>2791</v>
      </c>
      <c r="E1262" s="105" t="s">
        <v>34</v>
      </c>
      <c r="F1262" s="147">
        <v>0.05</v>
      </c>
      <c r="I1262" s="29" t="s">
        <v>235</v>
      </c>
      <c r="J1262" s="29" t="s">
        <v>368</v>
      </c>
      <c r="K1262" s="119">
        <v>6.5</v>
      </c>
      <c r="L1262" s="111" t="s">
        <v>1534</v>
      </c>
      <c r="O1262" s="111" t="s">
        <v>1533</v>
      </c>
    </row>
    <row r="1263" spans="2:15" ht="15" customHeight="1" x14ac:dyDescent="0.15">
      <c r="B1263" s="29" t="s">
        <v>73</v>
      </c>
      <c r="C1263" s="266">
        <v>44050</v>
      </c>
      <c r="D1263" s="29" t="s">
        <v>2792</v>
      </c>
      <c r="E1263" s="105" t="s">
        <v>6</v>
      </c>
      <c r="F1263" s="147">
        <v>7.0000000000000007E-2</v>
      </c>
      <c r="I1263" s="29" t="s">
        <v>2794</v>
      </c>
      <c r="J1263" s="29" t="s">
        <v>238</v>
      </c>
      <c r="K1263" s="119">
        <v>9</v>
      </c>
      <c r="L1263" s="111" t="s">
        <v>2658</v>
      </c>
      <c r="O1263" s="111" t="s">
        <v>2658</v>
      </c>
    </row>
    <row r="1264" spans="2:15" ht="15" customHeight="1" x14ac:dyDescent="0.15">
      <c r="B1264" s="29" t="s">
        <v>26</v>
      </c>
      <c r="C1264" s="266">
        <v>44050</v>
      </c>
      <c r="D1264" s="29" t="s">
        <v>2838</v>
      </c>
      <c r="E1264" s="105" t="s">
        <v>6</v>
      </c>
      <c r="F1264" s="147">
        <v>0.05</v>
      </c>
      <c r="I1264" s="29" t="s">
        <v>14</v>
      </c>
      <c r="J1264" s="29" t="s">
        <v>1111</v>
      </c>
      <c r="K1264" s="119">
        <v>7</v>
      </c>
      <c r="L1264" s="111" t="s">
        <v>2793</v>
      </c>
      <c r="O1264" s="111" t="s">
        <v>2839</v>
      </c>
    </row>
    <row r="1265" spans="2:15" ht="15" customHeight="1" x14ac:dyDescent="0.15">
      <c r="B1265" s="29" t="s">
        <v>361</v>
      </c>
      <c r="C1265" s="266">
        <v>44050</v>
      </c>
      <c r="D1265" s="29" t="s">
        <v>2838</v>
      </c>
      <c r="E1265" s="105" t="s">
        <v>6</v>
      </c>
      <c r="F1265" s="147">
        <v>0.05</v>
      </c>
      <c r="I1265" s="29" t="s">
        <v>194</v>
      </c>
      <c r="J1265" s="29" t="s">
        <v>232</v>
      </c>
      <c r="K1265" s="119">
        <v>8</v>
      </c>
      <c r="L1265" s="111" t="s">
        <v>2793</v>
      </c>
      <c r="O1265" s="111" t="s">
        <v>2839</v>
      </c>
    </row>
    <row r="1266" spans="2:15" ht="15" customHeight="1" x14ac:dyDescent="0.15">
      <c r="B1266" s="29" t="s">
        <v>361</v>
      </c>
      <c r="C1266" s="266">
        <v>44050</v>
      </c>
      <c r="D1266" s="29" t="s">
        <v>2840</v>
      </c>
      <c r="E1266" s="105" t="s">
        <v>6</v>
      </c>
      <c r="F1266" s="147">
        <v>3.9E-2</v>
      </c>
      <c r="I1266" s="29" t="s">
        <v>2801</v>
      </c>
      <c r="J1266" s="29" t="s">
        <v>2802</v>
      </c>
      <c r="K1266" s="119">
        <v>7</v>
      </c>
      <c r="L1266" s="111" t="s">
        <v>2841</v>
      </c>
      <c r="O1266" s="111" t="s">
        <v>2841</v>
      </c>
    </row>
    <row r="1267" spans="2:15" ht="15" customHeight="1" x14ac:dyDescent="0.15">
      <c r="B1267" s="29" t="s">
        <v>26</v>
      </c>
      <c r="C1267" s="266">
        <v>44050</v>
      </c>
      <c r="D1267" s="29" t="s">
        <v>2840</v>
      </c>
      <c r="E1267" s="105" t="s">
        <v>6</v>
      </c>
      <c r="F1267" s="147">
        <v>3.9E-2</v>
      </c>
      <c r="I1267" s="29" t="s">
        <v>2803</v>
      </c>
      <c r="J1267" s="29" t="s">
        <v>2804</v>
      </c>
      <c r="K1267" s="119">
        <v>7</v>
      </c>
      <c r="L1267" s="111" t="s">
        <v>2841</v>
      </c>
      <c r="O1267" s="111" t="s">
        <v>2841</v>
      </c>
    </row>
    <row r="1268" spans="2:15" ht="15" customHeight="1" x14ac:dyDescent="0.15">
      <c r="B1268" s="29" t="s">
        <v>73</v>
      </c>
      <c r="C1268" s="266">
        <v>44050</v>
      </c>
      <c r="D1268" s="29" t="s">
        <v>2795</v>
      </c>
      <c r="E1268" s="105" t="s">
        <v>6</v>
      </c>
      <c r="F1268" s="147">
        <v>0.06</v>
      </c>
      <c r="I1268" s="29" t="s">
        <v>384</v>
      </c>
      <c r="J1268" s="29" t="s">
        <v>71</v>
      </c>
      <c r="K1268" s="119">
        <v>8</v>
      </c>
      <c r="L1268" s="111" t="s">
        <v>2796</v>
      </c>
      <c r="O1268" s="111" t="s">
        <v>2842</v>
      </c>
    </row>
    <row r="1269" spans="2:15" ht="15" customHeight="1" x14ac:dyDescent="0.15">
      <c r="B1269" s="29" t="s">
        <v>41</v>
      </c>
      <c r="C1269" s="266">
        <v>44050</v>
      </c>
      <c r="D1269" s="29" t="s">
        <v>2797</v>
      </c>
      <c r="E1269" s="105" t="s">
        <v>34</v>
      </c>
      <c r="F1269" s="147">
        <v>0.05</v>
      </c>
      <c r="I1269" s="29" t="s">
        <v>16</v>
      </c>
      <c r="J1269" s="29" t="s">
        <v>14</v>
      </c>
      <c r="K1269" s="119">
        <v>7.5</v>
      </c>
      <c r="L1269" s="111" t="s">
        <v>1974</v>
      </c>
      <c r="O1269" s="111" t="s">
        <v>1975</v>
      </c>
    </row>
    <row r="1270" spans="2:15" ht="15" customHeight="1" x14ac:dyDescent="0.15">
      <c r="B1270" s="29" t="s">
        <v>35</v>
      </c>
      <c r="C1270" s="266">
        <v>44050</v>
      </c>
      <c r="D1270" s="29" t="s">
        <v>2041</v>
      </c>
      <c r="E1270" s="105" t="s">
        <v>6</v>
      </c>
      <c r="F1270" s="147">
        <v>0.05</v>
      </c>
      <c r="G1270" s="29" t="s">
        <v>2799</v>
      </c>
      <c r="I1270" s="29" t="s">
        <v>215</v>
      </c>
      <c r="J1270" s="29" t="s">
        <v>811</v>
      </c>
      <c r="K1270" s="119">
        <v>6</v>
      </c>
      <c r="L1270" s="111" t="s">
        <v>158</v>
      </c>
      <c r="O1270" s="111" t="s">
        <v>1565</v>
      </c>
    </row>
    <row r="1271" spans="2:15" ht="15" customHeight="1" x14ac:dyDescent="0.15">
      <c r="B1271" s="29" t="s">
        <v>61</v>
      </c>
      <c r="C1271" s="266">
        <v>44050</v>
      </c>
      <c r="D1271" s="29" t="s">
        <v>2798</v>
      </c>
      <c r="E1271" s="105" t="s">
        <v>6</v>
      </c>
      <c r="F1271" s="147">
        <v>4.8000000000000001E-2</v>
      </c>
      <c r="I1271" s="29" t="s">
        <v>435</v>
      </c>
      <c r="J1271" s="29" t="s">
        <v>204</v>
      </c>
      <c r="K1271" s="119">
        <v>7.5</v>
      </c>
      <c r="L1271" s="111" t="s">
        <v>1447</v>
      </c>
      <c r="O1271" s="111" t="s">
        <v>1447</v>
      </c>
    </row>
    <row r="1272" spans="2:15" ht="15" customHeight="1" x14ac:dyDescent="0.15">
      <c r="B1272" s="29" t="s">
        <v>38</v>
      </c>
      <c r="C1272" s="266">
        <v>44050</v>
      </c>
      <c r="D1272" s="29" t="s">
        <v>2011</v>
      </c>
      <c r="E1272" s="105" t="s">
        <v>6</v>
      </c>
      <c r="F1272" s="147">
        <v>0.06</v>
      </c>
      <c r="I1272" s="29" t="s">
        <v>2364</v>
      </c>
      <c r="J1272" s="29" t="s">
        <v>1373</v>
      </c>
      <c r="K1272" s="119">
        <v>7.5</v>
      </c>
      <c r="L1272" s="111" t="s">
        <v>1535</v>
      </c>
      <c r="O1272" s="111" t="s">
        <v>1535</v>
      </c>
    </row>
    <row r="1273" spans="2:15" ht="15" customHeight="1" x14ac:dyDescent="0.15">
      <c r="B1273" s="29" t="s">
        <v>35</v>
      </c>
      <c r="C1273" s="266">
        <v>44050</v>
      </c>
      <c r="D1273" s="29" t="s">
        <v>2800</v>
      </c>
      <c r="E1273" s="105" t="s">
        <v>12</v>
      </c>
      <c r="F1273" s="147">
        <v>0.4</v>
      </c>
      <c r="G1273" s="105" t="s">
        <v>2853</v>
      </c>
      <c r="I1273" s="29" t="s">
        <v>791</v>
      </c>
      <c r="J1273" s="29" t="s">
        <v>16</v>
      </c>
      <c r="K1273" s="119">
        <v>8</v>
      </c>
      <c r="L1273" s="111" t="s">
        <v>2843</v>
      </c>
      <c r="O1273" s="111" t="s">
        <v>2844</v>
      </c>
    </row>
    <row r="1274" spans="2:15" ht="15" customHeight="1" x14ac:dyDescent="0.15">
      <c r="B1274" s="29" t="s">
        <v>41</v>
      </c>
      <c r="C1274" s="266">
        <v>44050</v>
      </c>
      <c r="D1274" s="29" t="s">
        <v>2812</v>
      </c>
      <c r="E1274" s="105" t="s">
        <v>42</v>
      </c>
      <c r="F1274" s="147">
        <v>0.05</v>
      </c>
      <c r="I1274" s="29" t="s">
        <v>1235</v>
      </c>
      <c r="J1274" s="29" t="s">
        <v>2813</v>
      </c>
      <c r="K1274" s="119">
        <v>7</v>
      </c>
      <c r="L1274" s="111" t="s">
        <v>1868</v>
      </c>
      <c r="O1274" s="111" t="s">
        <v>1867</v>
      </c>
    </row>
    <row r="1275" spans="2:15" ht="15" customHeight="1" x14ac:dyDescent="0.15">
      <c r="B1275" s="29" t="s">
        <v>73</v>
      </c>
      <c r="C1275" s="266">
        <v>44050</v>
      </c>
      <c r="D1275" s="29" t="s">
        <v>184</v>
      </c>
      <c r="E1275" s="105" t="s">
        <v>27</v>
      </c>
      <c r="F1275" s="147">
        <v>0.4</v>
      </c>
      <c r="G1275" s="29" t="s">
        <v>2715</v>
      </c>
      <c r="I1275" s="29" t="s">
        <v>545</v>
      </c>
      <c r="J1275" s="29" t="s">
        <v>465</v>
      </c>
      <c r="K1275" s="119">
        <v>7.5</v>
      </c>
      <c r="L1275" s="111" t="s">
        <v>365</v>
      </c>
      <c r="O1275" s="111" t="s">
        <v>1558</v>
      </c>
    </row>
    <row r="1276" spans="2:15" ht="15" customHeight="1" x14ac:dyDescent="0.15">
      <c r="B1276" s="29" t="s">
        <v>26</v>
      </c>
      <c r="C1276" s="266">
        <v>44050</v>
      </c>
      <c r="D1276" s="29" t="s">
        <v>2806</v>
      </c>
      <c r="E1276" s="105" t="s">
        <v>65</v>
      </c>
      <c r="F1276" s="147">
        <v>0.63</v>
      </c>
      <c r="I1276" s="29" t="s">
        <v>2807</v>
      </c>
      <c r="J1276" s="29" t="s">
        <v>222</v>
      </c>
      <c r="K1276" s="119">
        <v>7</v>
      </c>
      <c r="L1276" s="111" t="s">
        <v>2845</v>
      </c>
      <c r="O1276" s="111" t="s">
        <v>2846</v>
      </c>
    </row>
    <row r="1277" spans="2:15" ht="15" customHeight="1" x14ac:dyDescent="0.15">
      <c r="B1277" s="29" t="s">
        <v>361</v>
      </c>
      <c r="C1277" s="266">
        <v>44050</v>
      </c>
      <c r="D1277" s="29" t="s">
        <v>616</v>
      </c>
      <c r="E1277" s="105" t="s">
        <v>65</v>
      </c>
      <c r="F1277" s="147">
        <v>0.4</v>
      </c>
      <c r="I1277" s="29" t="s">
        <v>2808</v>
      </c>
      <c r="J1277" s="29" t="s">
        <v>2809</v>
      </c>
      <c r="K1277" s="119">
        <v>5</v>
      </c>
      <c r="L1277" s="111" t="s">
        <v>1495</v>
      </c>
      <c r="O1277" s="116" t="s">
        <v>1494</v>
      </c>
    </row>
    <row r="1278" spans="2:15" ht="15" customHeight="1" x14ac:dyDescent="0.15">
      <c r="B1278" s="29" t="s">
        <v>61</v>
      </c>
      <c r="C1278" s="266">
        <v>44050</v>
      </c>
      <c r="D1278" s="29" t="s">
        <v>2847</v>
      </c>
      <c r="E1278" s="105" t="s">
        <v>54</v>
      </c>
      <c r="F1278" s="147">
        <v>0.14799999999999999</v>
      </c>
      <c r="I1278" s="29" t="s">
        <v>1948</v>
      </c>
      <c r="J1278" s="29" t="s">
        <v>2810</v>
      </c>
      <c r="K1278" s="119">
        <v>3</v>
      </c>
      <c r="L1278" s="111" t="s">
        <v>1510</v>
      </c>
      <c r="O1278" s="111" t="s">
        <v>1510</v>
      </c>
    </row>
    <row r="1279" spans="2:15" ht="15" customHeight="1" x14ac:dyDescent="0.15">
      <c r="B1279" s="29" t="s">
        <v>996</v>
      </c>
      <c r="C1279" s="266">
        <v>44050</v>
      </c>
      <c r="D1279" s="29" t="s">
        <v>2837</v>
      </c>
      <c r="E1279" s="105" t="s">
        <v>190</v>
      </c>
      <c r="F1279" s="147">
        <v>0.4</v>
      </c>
      <c r="I1279" s="29" t="s">
        <v>471</v>
      </c>
      <c r="J1279" s="29" t="s">
        <v>2811</v>
      </c>
      <c r="K1279" s="119">
        <v>8</v>
      </c>
      <c r="L1279" s="111" t="s">
        <v>2848</v>
      </c>
      <c r="O1279" s="111" t="s">
        <v>2848</v>
      </c>
    </row>
    <row r="1280" spans="2:15" ht="15" customHeight="1" x14ac:dyDescent="0.15">
      <c r="B1280" s="29" t="s">
        <v>35</v>
      </c>
      <c r="C1280" s="266">
        <v>44050</v>
      </c>
      <c r="D1280" s="29" t="s">
        <v>2849</v>
      </c>
      <c r="E1280" s="105" t="s">
        <v>12</v>
      </c>
      <c r="F1280" s="147">
        <v>0.38600000000000001</v>
      </c>
      <c r="I1280" s="29" t="s">
        <v>1046</v>
      </c>
      <c r="J1280" s="29" t="s">
        <v>236</v>
      </c>
      <c r="K1280" s="119">
        <v>6</v>
      </c>
      <c r="L1280" s="111" t="s">
        <v>1624</v>
      </c>
      <c r="O1280" s="111" t="s">
        <v>1537</v>
      </c>
    </row>
    <row r="1281" spans="2:15" ht="15" customHeight="1" x14ac:dyDescent="0.15">
      <c r="B1281" s="29" t="s">
        <v>38</v>
      </c>
      <c r="C1281" s="266">
        <v>44050</v>
      </c>
      <c r="D1281" s="29" t="s">
        <v>2850</v>
      </c>
      <c r="E1281" s="105" t="s">
        <v>36</v>
      </c>
      <c r="F1281" s="147">
        <v>0.35</v>
      </c>
      <c r="I1281" s="29" t="s">
        <v>86</v>
      </c>
      <c r="J1281" s="29" t="s">
        <v>2814</v>
      </c>
      <c r="K1281" s="119">
        <v>9</v>
      </c>
      <c r="L1281" s="111" t="s">
        <v>1523</v>
      </c>
      <c r="O1281" s="111" t="s">
        <v>1523</v>
      </c>
    </row>
    <row r="1282" spans="2:15" ht="15" customHeight="1" x14ac:dyDescent="0.15">
      <c r="B1282" s="29" t="s">
        <v>41</v>
      </c>
      <c r="C1282" s="266">
        <v>44050</v>
      </c>
      <c r="D1282" s="29" t="s">
        <v>2852</v>
      </c>
      <c r="E1282" s="105" t="s">
        <v>12</v>
      </c>
      <c r="F1282" s="147">
        <v>0.43</v>
      </c>
      <c r="G1282" s="29" t="s">
        <v>374</v>
      </c>
      <c r="I1282" s="29" t="s">
        <v>2816</v>
      </c>
      <c r="J1282" s="29" t="s">
        <v>1234</v>
      </c>
      <c r="K1282" s="119">
        <v>8</v>
      </c>
      <c r="L1282" s="111" t="s">
        <v>1581</v>
      </c>
      <c r="O1282" s="116" t="s">
        <v>1537</v>
      </c>
    </row>
    <row r="1283" spans="2:15" ht="15" customHeight="1" x14ac:dyDescent="0.15">
      <c r="B1283" s="29" t="s">
        <v>73</v>
      </c>
      <c r="C1283" s="266">
        <v>44050</v>
      </c>
      <c r="D1283" s="29" t="s">
        <v>2854</v>
      </c>
      <c r="E1283" s="105" t="s">
        <v>6</v>
      </c>
      <c r="F1283" s="147">
        <v>0.06</v>
      </c>
      <c r="I1283" s="29" t="s">
        <v>968</v>
      </c>
      <c r="J1283" s="29" t="s">
        <v>2817</v>
      </c>
      <c r="K1283" s="119">
        <v>7</v>
      </c>
      <c r="L1283" s="111" t="s">
        <v>2856</v>
      </c>
      <c r="O1283" s="111" t="s">
        <v>2855</v>
      </c>
    </row>
    <row r="1284" spans="2:15" ht="15" customHeight="1" x14ac:dyDescent="0.15">
      <c r="B1284" s="29" t="s">
        <v>26</v>
      </c>
      <c r="C1284" s="266">
        <v>44050</v>
      </c>
      <c r="D1284" s="29" t="s">
        <v>2857</v>
      </c>
      <c r="E1284" s="105" t="s">
        <v>6</v>
      </c>
      <c r="F1284" s="147">
        <v>4.2000000000000003E-2</v>
      </c>
      <c r="I1284" s="29" t="s">
        <v>2169</v>
      </c>
      <c r="J1284" s="29" t="s">
        <v>2765</v>
      </c>
      <c r="K1284" s="119">
        <v>4.5</v>
      </c>
      <c r="L1284" s="111" t="s">
        <v>2858</v>
      </c>
      <c r="O1284" s="111" t="s">
        <v>2858</v>
      </c>
    </row>
    <row r="1285" spans="2:15" ht="15" customHeight="1" x14ac:dyDescent="0.15">
      <c r="B1285" s="29" t="s">
        <v>361</v>
      </c>
      <c r="C1285" s="266">
        <v>44050</v>
      </c>
      <c r="D1285" s="29" t="s">
        <v>2857</v>
      </c>
      <c r="E1285" s="105" t="s">
        <v>6</v>
      </c>
      <c r="F1285" s="147">
        <v>4.2000000000000003E-2</v>
      </c>
      <c r="I1285" s="29" t="s">
        <v>323</v>
      </c>
      <c r="J1285" s="29" t="s">
        <v>3567</v>
      </c>
      <c r="K1285" s="119">
        <v>7.5</v>
      </c>
      <c r="L1285" s="111" t="s">
        <v>2858</v>
      </c>
      <c r="O1285" s="111" t="s">
        <v>2858</v>
      </c>
    </row>
    <row r="1286" spans="2:15" ht="15" customHeight="1" x14ac:dyDescent="0.15">
      <c r="B1286" s="29" t="s">
        <v>38</v>
      </c>
      <c r="C1286" s="266">
        <v>44050</v>
      </c>
      <c r="D1286" s="29" t="s">
        <v>2771</v>
      </c>
      <c r="E1286" s="105" t="s">
        <v>6</v>
      </c>
      <c r="F1286" s="147">
        <v>4.7E-2</v>
      </c>
      <c r="I1286" s="29" t="s">
        <v>323</v>
      </c>
      <c r="J1286" s="29" t="s">
        <v>2819</v>
      </c>
      <c r="K1286" s="119">
        <v>7.5</v>
      </c>
      <c r="L1286" s="111" t="s">
        <v>1515</v>
      </c>
      <c r="O1286" s="116" t="s">
        <v>1515</v>
      </c>
    </row>
    <row r="1287" spans="2:15" ht="15" customHeight="1" x14ac:dyDescent="0.15">
      <c r="B1287" s="29" t="s">
        <v>61</v>
      </c>
      <c r="C1287" s="266">
        <v>44050</v>
      </c>
      <c r="D1287" s="29" t="s">
        <v>2775</v>
      </c>
      <c r="E1287" s="105" t="s">
        <v>6</v>
      </c>
      <c r="F1287" s="147">
        <v>3.9E-2</v>
      </c>
      <c r="I1287" s="29" t="s">
        <v>2815</v>
      </c>
      <c r="J1287" s="29" t="s">
        <v>49</v>
      </c>
      <c r="K1287" s="119">
        <v>6.5</v>
      </c>
      <c r="L1287" s="111" t="s">
        <v>1447</v>
      </c>
      <c r="M1287" s="111" t="s">
        <v>2776</v>
      </c>
      <c r="O1287" s="111" t="s">
        <v>1447</v>
      </c>
    </row>
    <row r="1288" spans="2:15" ht="15" customHeight="1" x14ac:dyDescent="0.15">
      <c r="B1288" s="29" t="s">
        <v>61</v>
      </c>
      <c r="C1288" s="266">
        <v>44050</v>
      </c>
      <c r="D1288" s="29" t="s">
        <v>2859</v>
      </c>
      <c r="E1288" s="105" t="s">
        <v>6</v>
      </c>
      <c r="F1288" s="147">
        <v>6.8000000000000005E-2</v>
      </c>
      <c r="I1288" s="29" t="s">
        <v>740</v>
      </c>
      <c r="J1288" s="29" t="s">
        <v>1146</v>
      </c>
      <c r="K1288" s="119">
        <v>7</v>
      </c>
      <c r="L1288" s="111" t="s">
        <v>1447</v>
      </c>
      <c r="O1288" s="111" t="s">
        <v>1447</v>
      </c>
    </row>
    <row r="1289" spans="2:15" ht="15" customHeight="1" x14ac:dyDescent="0.15">
      <c r="B1289" s="29" t="s">
        <v>26</v>
      </c>
      <c r="C1289" s="266">
        <v>44050</v>
      </c>
      <c r="D1289" s="29" t="s">
        <v>2818</v>
      </c>
      <c r="E1289" s="105" t="s">
        <v>6</v>
      </c>
      <c r="F1289" s="147">
        <v>4.4999999999999998E-2</v>
      </c>
      <c r="I1289" s="29" t="s">
        <v>2821</v>
      </c>
      <c r="J1289" s="29" t="s">
        <v>2822</v>
      </c>
      <c r="K1289" s="119">
        <v>6.5</v>
      </c>
      <c r="L1289" s="111" t="s">
        <v>1727</v>
      </c>
      <c r="O1289" s="111" t="s">
        <v>1727</v>
      </c>
    </row>
    <row r="1290" spans="2:15" ht="15" customHeight="1" x14ac:dyDescent="0.15">
      <c r="B1290" s="29" t="s">
        <v>361</v>
      </c>
      <c r="C1290" s="266">
        <v>44050</v>
      </c>
      <c r="D1290" s="29" t="s">
        <v>2818</v>
      </c>
      <c r="E1290" s="105" t="s">
        <v>6</v>
      </c>
      <c r="F1290" s="147">
        <v>4.4999999999999998E-2</v>
      </c>
      <c r="I1290" s="29" t="s">
        <v>238</v>
      </c>
      <c r="J1290" s="29" t="s">
        <v>2820</v>
      </c>
      <c r="K1290" s="119">
        <v>8</v>
      </c>
      <c r="L1290" s="111" t="s">
        <v>1727</v>
      </c>
      <c r="O1290" s="111" t="s">
        <v>1727</v>
      </c>
    </row>
    <row r="1291" spans="2:15" ht="15" customHeight="1" x14ac:dyDescent="0.15">
      <c r="B1291" s="29" t="s">
        <v>38</v>
      </c>
      <c r="C1291" s="266">
        <v>44050</v>
      </c>
      <c r="D1291" s="29" t="s">
        <v>2769</v>
      </c>
      <c r="E1291" s="105" t="s">
        <v>6</v>
      </c>
      <c r="F1291" s="147">
        <v>5.5E-2</v>
      </c>
      <c r="I1291" s="29" t="s">
        <v>355</v>
      </c>
      <c r="J1291" s="29" t="s">
        <v>1065</v>
      </c>
      <c r="K1291" s="119">
        <v>8.5</v>
      </c>
      <c r="L1291" s="111" t="s">
        <v>1515</v>
      </c>
      <c r="O1291" s="116" t="s">
        <v>1515</v>
      </c>
    </row>
    <row r="1292" spans="2:15" ht="15" customHeight="1" x14ac:dyDescent="0.15">
      <c r="B1292" s="29" t="s">
        <v>73</v>
      </c>
      <c r="C1292" s="266">
        <v>44050</v>
      </c>
      <c r="D1292" s="29" t="s">
        <v>2860</v>
      </c>
      <c r="E1292" s="105" t="s">
        <v>6</v>
      </c>
      <c r="F1292" s="147">
        <v>7.0999999999999994E-2</v>
      </c>
      <c r="I1292" s="29" t="s">
        <v>2830</v>
      </c>
      <c r="J1292" s="29" t="s">
        <v>2831</v>
      </c>
      <c r="K1292" s="119">
        <v>8</v>
      </c>
      <c r="L1292" s="111" t="s">
        <v>2861</v>
      </c>
      <c r="O1292" s="111" t="s">
        <v>2861</v>
      </c>
    </row>
    <row r="1293" spans="2:15" ht="15" customHeight="1" x14ac:dyDescent="0.15">
      <c r="B1293" s="29" t="s">
        <v>38</v>
      </c>
      <c r="C1293" s="266">
        <v>44050</v>
      </c>
      <c r="D1293" s="29" t="s">
        <v>2851</v>
      </c>
      <c r="E1293" s="105" t="s">
        <v>36</v>
      </c>
      <c r="F1293" s="147">
        <v>0.4</v>
      </c>
      <c r="I1293" s="29" t="s">
        <v>1907</v>
      </c>
      <c r="J1293" s="29" t="s">
        <v>2829</v>
      </c>
      <c r="K1293" s="119">
        <v>7</v>
      </c>
      <c r="L1293" s="111" t="s">
        <v>1523</v>
      </c>
      <c r="O1293" s="111" t="s">
        <v>1523</v>
      </c>
    </row>
    <row r="1294" spans="2:15" ht="15" customHeight="1" x14ac:dyDescent="0.15">
      <c r="B1294" s="29" t="s">
        <v>26</v>
      </c>
      <c r="C1294" s="266">
        <v>44050</v>
      </c>
      <c r="D1294" s="29" t="s">
        <v>2823</v>
      </c>
      <c r="E1294" s="105" t="s">
        <v>65</v>
      </c>
      <c r="F1294" s="147">
        <v>0.4</v>
      </c>
      <c r="I1294" s="29" t="s">
        <v>2828</v>
      </c>
      <c r="J1294" s="29" t="s">
        <v>3488</v>
      </c>
      <c r="K1294" s="119">
        <v>5</v>
      </c>
      <c r="L1294" s="111" t="s">
        <v>2845</v>
      </c>
      <c r="O1294" s="111" t="s">
        <v>2846</v>
      </c>
    </row>
    <row r="1295" spans="2:15" ht="15" customHeight="1" x14ac:dyDescent="0.15">
      <c r="B1295" s="29" t="s">
        <v>61</v>
      </c>
      <c r="C1295" s="266">
        <v>44050</v>
      </c>
      <c r="D1295" s="29" t="s">
        <v>2837</v>
      </c>
      <c r="E1295" s="105" t="s">
        <v>190</v>
      </c>
      <c r="F1295" s="147">
        <v>0.4</v>
      </c>
      <c r="I1295" s="29" t="s">
        <v>2826</v>
      </c>
      <c r="J1295" s="29" t="s">
        <v>2827</v>
      </c>
      <c r="K1295" s="119">
        <v>1.5</v>
      </c>
      <c r="L1295" s="111" t="s">
        <v>2848</v>
      </c>
      <c r="O1295" s="111" t="s">
        <v>2848</v>
      </c>
    </row>
    <row r="1296" spans="2:15" ht="15" customHeight="1" x14ac:dyDescent="0.15">
      <c r="B1296" s="29" t="s">
        <v>361</v>
      </c>
      <c r="C1296" s="266">
        <v>44050</v>
      </c>
      <c r="D1296" s="29" t="s">
        <v>1610</v>
      </c>
      <c r="E1296" s="105" t="s">
        <v>36</v>
      </c>
      <c r="F1296" s="147">
        <v>0.4</v>
      </c>
      <c r="G1296" s="29" t="s">
        <v>44</v>
      </c>
      <c r="I1296" s="29" t="s">
        <v>3487</v>
      </c>
      <c r="J1296" s="29" t="s">
        <v>555</v>
      </c>
      <c r="K1296" s="119">
        <v>4</v>
      </c>
      <c r="L1296" s="111" t="s">
        <v>1610</v>
      </c>
      <c r="O1296" s="111" t="s">
        <v>1594</v>
      </c>
    </row>
    <row r="1297" spans="2:15" ht="15" customHeight="1" x14ac:dyDescent="0.15">
      <c r="B1297" s="29" t="s">
        <v>73</v>
      </c>
      <c r="C1297" s="266">
        <v>44050</v>
      </c>
      <c r="D1297" s="29" t="s">
        <v>184</v>
      </c>
      <c r="E1297" s="105" t="s">
        <v>27</v>
      </c>
      <c r="F1297" s="147">
        <v>0.4</v>
      </c>
      <c r="G1297" s="29" t="s">
        <v>2824</v>
      </c>
      <c r="I1297" s="29" t="s">
        <v>3051</v>
      </c>
      <c r="J1297" s="29" t="s">
        <v>2825</v>
      </c>
      <c r="K1297" s="119">
        <v>7.5</v>
      </c>
      <c r="L1297" s="111" t="s">
        <v>365</v>
      </c>
      <c r="O1297" s="111" t="s">
        <v>1558</v>
      </c>
    </row>
    <row r="1298" spans="2:15" ht="15" customHeight="1" x14ac:dyDescent="0.15">
      <c r="B1298" s="29" t="s">
        <v>61</v>
      </c>
      <c r="C1298" s="266">
        <v>44050</v>
      </c>
      <c r="D1298" s="29" t="s">
        <v>3189</v>
      </c>
      <c r="E1298" s="105" t="s">
        <v>6</v>
      </c>
      <c r="F1298" s="147">
        <v>5.5E-2</v>
      </c>
      <c r="I1298" s="29" t="s">
        <v>3533</v>
      </c>
      <c r="J1298" s="29" t="s">
        <v>236</v>
      </c>
      <c r="K1298" s="119">
        <v>7</v>
      </c>
      <c r="L1298" s="111" t="s">
        <v>2862</v>
      </c>
      <c r="O1298" s="111" t="s">
        <v>1447</v>
      </c>
    </row>
    <row r="1299" spans="2:15" ht="15" customHeight="1" x14ac:dyDescent="0.15">
      <c r="B1299" s="29" t="s">
        <v>361</v>
      </c>
      <c r="C1299" s="266">
        <v>44050</v>
      </c>
      <c r="D1299" s="29" t="s">
        <v>2836</v>
      </c>
      <c r="E1299" s="105" t="s">
        <v>6</v>
      </c>
      <c r="F1299" s="147">
        <v>0.04</v>
      </c>
      <c r="I1299" s="29" t="s">
        <v>2832</v>
      </c>
      <c r="J1299" s="29" t="s">
        <v>2833</v>
      </c>
      <c r="K1299" s="119">
        <v>5.5</v>
      </c>
      <c r="L1299" s="111" t="s">
        <v>895</v>
      </c>
      <c r="M1299" s="111" t="s">
        <v>2863</v>
      </c>
      <c r="O1299" s="111" t="s">
        <v>2869</v>
      </c>
    </row>
    <row r="1300" spans="2:15" ht="15" customHeight="1" x14ac:dyDescent="0.15">
      <c r="B1300" s="29" t="s">
        <v>26</v>
      </c>
      <c r="C1300" s="266">
        <v>44050</v>
      </c>
      <c r="D1300" s="29" t="s">
        <v>2836</v>
      </c>
      <c r="E1300" s="105" t="s">
        <v>6</v>
      </c>
      <c r="F1300" s="147">
        <v>0.04</v>
      </c>
      <c r="I1300" s="29" t="s">
        <v>2834</v>
      </c>
      <c r="J1300" s="29" t="s">
        <v>2835</v>
      </c>
      <c r="K1300" s="119">
        <v>4</v>
      </c>
      <c r="L1300" s="111" t="s">
        <v>895</v>
      </c>
      <c r="M1300" s="111" t="s">
        <v>2870</v>
      </c>
      <c r="O1300" s="111" t="s">
        <v>2869</v>
      </c>
    </row>
    <row r="1301" spans="2:15" ht="15" customHeight="1" x14ac:dyDescent="0.15">
      <c r="B1301" s="29" t="s">
        <v>41</v>
      </c>
      <c r="C1301" s="266">
        <v>44057</v>
      </c>
      <c r="D1301" s="29" t="s">
        <v>2872</v>
      </c>
      <c r="E1301" s="105" t="s">
        <v>34</v>
      </c>
      <c r="F1301" s="147">
        <v>4.4999999999999998E-2</v>
      </c>
      <c r="I1301" s="29" t="s">
        <v>2873</v>
      </c>
      <c r="J1301" s="29" t="s">
        <v>185</v>
      </c>
      <c r="K1301" s="119">
        <v>7</v>
      </c>
      <c r="L1301" s="111" t="s">
        <v>1607</v>
      </c>
      <c r="O1301" s="111" t="s">
        <v>1608</v>
      </c>
    </row>
    <row r="1302" spans="2:15" ht="15" customHeight="1" x14ac:dyDescent="0.15">
      <c r="B1302" s="29" t="s">
        <v>361</v>
      </c>
      <c r="C1302" s="266">
        <v>44057</v>
      </c>
      <c r="D1302" s="29" t="s">
        <v>2872</v>
      </c>
      <c r="E1302" s="105" t="s">
        <v>34</v>
      </c>
      <c r="F1302" s="147">
        <v>4.4999999999999998E-2</v>
      </c>
      <c r="I1302" s="29" t="s">
        <v>217</v>
      </c>
      <c r="J1302" s="29" t="s">
        <v>2874</v>
      </c>
      <c r="K1302" s="119">
        <v>7</v>
      </c>
      <c r="L1302" s="111" t="s">
        <v>1607</v>
      </c>
      <c r="O1302" s="111" t="s">
        <v>1608</v>
      </c>
    </row>
    <row r="1303" spans="2:15" ht="15" customHeight="1" x14ac:dyDescent="0.15">
      <c r="B1303" s="29" t="s">
        <v>45</v>
      </c>
      <c r="C1303" s="266">
        <v>44057</v>
      </c>
      <c r="D1303" s="29" t="s">
        <v>1609</v>
      </c>
      <c r="E1303" s="105" t="s">
        <v>6</v>
      </c>
      <c r="F1303" s="147">
        <v>4.2999999999999997E-2</v>
      </c>
      <c r="I1303" s="29" t="s">
        <v>2875</v>
      </c>
      <c r="J1303" s="29" t="s">
        <v>2876</v>
      </c>
      <c r="K1303" s="119">
        <v>6.5</v>
      </c>
      <c r="L1303" s="111" t="s">
        <v>1517</v>
      </c>
      <c r="O1303" s="116" t="s">
        <v>1517</v>
      </c>
    </row>
    <row r="1304" spans="2:15" ht="15" customHeight="1" x14ac:dyDescent="0.15">
      <c r="B1304" s="29" t="s">
        <v>26</v>
      </c>
      <c r="C1304" s="266">
        <v>44057</v>
      </c>
      <c r="D1304" s="29" t="s">
        <v>2877</v>
      </c>
      <c r="E1304" s="105" t="s">
        <v>34</v>
      </c>
      <c r="F1304" s="147">
        <v>0.04</v>
      </c>
      <c r="I1304" s="29" t="s">
        <v>232</v>
      </c>
      <c r="J1304" s="29" t="s">
        <v>2884</v>
      </c>
      <c r="K1304" s="119">
        <v>8</v>
      </c>
      <c r="L1304" s="111" t="s">
        <v>2924</v>
      </c>
      <c r="O1304" s="111" t="s">
        <v>2925</v>
      </c>
    </row>
    <row r="1305" spans="2:15" ht="15" customHeight="1" x14ac:dyDescent="0.15">
      <c r="B1305" s="29" t="s">
        <v>38</v>
      </c>
      <c r="C1305" s="266">
        <v>44057</v>
      </c>
      <c r="D1305" s="29" t="s">
        <v>2878</v>
      </c>
      <c r="E1305" s="105" t="s">
        <v>42</v>
      </c>
      <c r="F1305" s="147">
        <v>0.14000000000000001</v>
      </c>
      <c r="I1305" s="29" t="s">
        <v>483</v>
      </c>
      <c r="J1305" s="29" t="s">
        <v>465</v>
      </c>
      <c r="K1305" s="119">
        <v>8.5</v>
      </c>
      <c r="L1305" s="111" t="s">
        <v>2962</v>
      </c>
      <c r="O1305" s="111" t="s">
        <v>2962</v>
      </c>
    </row>
    <row r="1306" spans="2:15" ht="15" customHeight="1" x14ac:dyDescent="0.15">
      <c r="B1306" s="29" t="s">
        <v>2879</v>
      </c>
      <c r="C1306" s="266">
        <v>44057</v>
      </c>
      <c r="D1306" s="29" t="s">
        <v>2880</v>
      </c>
      <c r="E1306" s="105" t="s">
        <v>42</v>
      </c>
      <c r="F1306" s="147">
        <v>0.12</v>
      </c>
      <c r="I1306" s="29" t="s">
        <v>1165</v>
      </c>
      <c r="J1306" s="29" t="s">
        <v>71</v>
      </c>
      <c r="K1306" s="119">
        <v>9.5</v>
      </c>
      <c r="L1306" s="111" t="s">
        <v>3080</v>
      </c>
      <c r="O1306" s="111" t="s">
        <v>2963</v>
      </c>
    </row>
    <row r="1307" spans="2:15" ht="15" customHeight="1" x14ac:dyDescent="0.15">
      <c r="B1307" s="29" t="s">
        <v>2881</v>
      </c>
      <c r="C1307" s="266">
        <v>44057</v>
      </c>
      <c r="D1307" s="29" t="s">
        <v>2710</v>
      </c>
      <c r="E1307" s="105" t="s">
        <v>42</v>
      </c>
      <c r="F1307" s="147">
        <v>0.13500000000000001</v>
      </c>
      <c r="I1307" s="29" t="s">
        <v>2882</v>
      </c>
      <c r="J1307" s="29" t="s">
        <v>881</v>
      </c>
      <c r="K1307" s="119">
        <v>10</v>
      </c>
      <c r="L1307" s="111" t="s">
        <v>2766</v>
      </c>
      <c r="O1307" s="111" t="s">
        <v>2766</v>
      </c>
    </row>
    <row r="1308" spans="2:15" ht="15" customHeight="1" x14ac:dyDescent="0.15">
      <c r="B1308" s="29" t="s">
        <v>189</v>
      </c>
      <c r="C1308" s="266">
        <v>44057</v>
      </c>
      <c r="D1308" s="29" t="s">
        <v>1720</v>
      </c>
      <c r="E1308" s="105" t="s">
        <v>6</v>
      </c>
      <c r="F1308" s="147">
        <v>4.5999999999999999E-2</v>
      </c>
      <c r="I1308" s="29" t="s">
        <v>246</v>
      </c>
      <c r="J1308" s="29" t="s">
        <v>1004</v>
      </c>
      <c r="K1308" s="119">
        <v>7</v>
      </c>
      <c r="L1308" s="111" t="s">
        <v>1580</v>
      </c>
      <c r="O1308" s="116" t="s">
        <v>1565</v>
      </c>
    </row>
    <row r="1309" spans="2:15" ht="15" customHeight="1" x14ac:dyDescent="0.15">
      <c r="B1309" s="29" t="s">
        <v>189</v>
      </c>
      <c r="C1309" s="266">
        <v>44057</v>
      </c>
      <c r="D1309" s="29" t="s">
        <v>2878</v>
      </c>
      <c r="E1309" s="105" t="s">
        <v>42</v>
      </c>
      <c r="F1309" s="147">
        <v>0.14000000000000001</v>
      </c>
      <c r="I1309" s="29" t="s">
        <v>611</v>
      </c>
      <c r="J1309" s="29" t="s">
        <v>2883</v>
      </c>
      <c r="K1309" s="119">
        <v>8</v>
      </c>
      <c r="L1309" s="111" t="s">
        <v>2962</v>
      </c>
      <c r="O1309" s="111" t="s">
        <v>2962</v>
      </c>
    </row>
    <row r="1310" spans="2:15" ht="15" customHeight="1" x14ac:dyDescent="0.15">
      <c r="B1310" s="29" t="s">
        <v>26</v>
      </c>
      <c r="C1310" s="266">
        <v>44057</v>
      </c>
      <c r="D1310" s="29" t="s">
        <v>2885</v>
      </c>
      <c r="E1310" s="105" t="s">
        <v>34</v>
      </c>
      <c r="F1310" s="147">
        <v>0.04</v>
      </c>
      <c r="I1310" s="29" t="s">
        <v>93</v>
      </c>
      <c r="J1310" s="29" t="s">
        <v>24</v>
      </c>
      <c r="K1310" s="119">
        <v>7.5</v>
      </c>
      <c r="L1310" s="111" t="s">
        <v>2924</v>
      </c>
      <c r="O1310" s="111" t="s">
        <v>2925</v>
      </c>
    </row>
    <row r="1311" spans="2:15" ht="15" customHeight="1" x14ac:dyDescent="0.15">
      <c r="B1311" s="29" t="s">
        <v>38</v>
      </c>
      <c r="C1311" s="266">
        <v>44057</v>
      </c>
      <c r="D1311" s="29" t="s">
        <v>2754</v>
      </c>
      <c r="E1311" s="105" t="s">
        <v>12</v>
      </c>
      <c r="F1311" s="147">
        <v>0.2</v>
      </c>
      <c r="I1311" s="29" t="s">
        <v>2886</v>
      </c>
      <c r="J1311" s="29" t="s">
        <v>2887</v>
      </c>
      <c r="K1311" s="119">
        <v>7</v>
      </c>
      <c r="L1311" s="111" t="s">
        <v>2786</v>
      </c>
      <c r="O1311" s="111" t="s">
        <v>2786</v>
      </c>
    </row>
    <row r="1312" spans="2:15" ht="15" customHeight="1" x14ac:dyDescent="0.15">
      <c r="B1312" s="29" t="s">
        <v>38</v>
      </c>
      <c r="C1312" s="266">
        <v>44057</v>
      </c>
      <c r="D1312" s="29" t="s">
        <v>2731</v>
      </c>
      <c r="E1312" s="105" t="s">
        <v>48</v>
      </c>
      <c r="F1312" s="147">
        <v>0.2</v>
      </c>
      <c r="I1312" s="29" t="s">
        <v>622</v>
      </c>
      <c r="J1312" s="29" t="s">
        <v>1065</v>
      </c>
      <c r="K1312" s="119">
        <v>9</v>
      </c>
      <c r="L1312" s="111" t="s">
        <v>2786</v>
      </c>
      <c r="O1312" s="111" t="s">
        <v>2786</v>
      </c>
    </row>
    <row r="1313" spans="2:16" ht="15" customHeight="1" x14ac:dyDescent="0.15">
      <c r="B1313" s="29" t="s">
        <v>18</v>
      </c>
      <c r="C1313" s="266">
        <v>44057</v>
      </c>
      <c r="D1313" s="29" t="s">
        <v>2982</v>
      </c>
      <c r="E1313" s="105" t="s">
        <v>36</v>
      </c>
      <c r="F1313" s="147">
        <v>0.4</v>
      </c>
      <c r="G1313" s="29" t="s">
        <v>2888</v>
      </c>
      <c r="I1313" s="29" t="s">
        <v>16</v>
      </c>
      <c r="J1313" s="29" t="s">
        <v>303</v>
      </c>
      <c r="K1313" s="119">
        <v>6.5</v>
      </c>
      <c r="L1313" s="111" t="s">
        <v>1589</v>
      </c>
      <c r="O1313" s="111" t="s">
        <v>1589</v>
      </c>
    </row>
    <row r="1314" spans="2:16" ht="15" customHeight="1" x14ac:dyDescent="0.15">
      <c r="B1314" s="29" t="s">
        <v>45</v>
      </c>
      <c r="C1314" s="266">
        <v>44057</v>
      </c>
      <c r="D1314" s="29" t="s">
        <v>2964</v>
      </c>
      <c r="E1314" s="105" t="s">
        <v>6</v>
      </c>
      <c r="F1314" s="147">
        <v>7.3999999999999996E-2</v>
      </c>
      <c r="I1314" s="29" t="s">
        <v>2889</v>
      </c>
      <c r="J1314" s="29" t="s">
        <v>1078</v>
      </c>
      <c r="K1314" s="119">
        <v>8.5</v>
      </c>
      <c r="L1314" s="111" t="s">
        <v>1715</v>
      </c>
      <c r="O1314" s="111" t="s">
        <v>1537</v>
      </c>
    </row>
    <row r="1315" spans="2:16" ht="15" customHeight="1" x14ac:dyDescent="0.15">
      <c r="B1315" s="29" t="s">
        <v>45</v>
      </c>
      <c r="C1315" s="266">
        <v>44057</v>
      </c>
      <c r="D1315" s="29" t="s">
        <v>2965</v>
      </c>
      <c r="E1315" s="105" t="s">
        <v>6</v>
      </c>
      <c r="F1315" s="147">
        <v>4.3999999999999997E-2</v>
      </c>
      <c r="I1315" s="29" t="s">
        <v>3530</v>
      </c>
      <c r="J1315" s="29" t="s">
        <v>2897</v>
      </c>
      <c r="K1315" s="119">
        <v>4</v>
      </c>
      <c r="L1315" s="111" t="s">
        <v>893</v>
      </c>
      <c r="O1315" s="111" t="s">
        <v>1852</v>
      </c>
    </row>
    <row r="1316" spans="2:16" ht="15" customHeight="1" x14ac:dyDescent="0.15">
      <c r="B1316" s="29" t="s">
        <v>26</v>
      </c>
      <c r="C1316" s="266">
        <v>44057</v>
      </c>
      <c r="D1316" s="29" t="s">
        <v>2890</v>
      </c>
      <c r="E1316" s="105" t="s">
        <v>65</v>
      </c>
      <c r="F1316" s="147">
        <v>0.4</v>
      </c>
      <c r="I1316" s="29" t="s">
        <v>215</v>
      </c>
      <c r="J1316" s="29" t="s">
        <v>2891</v>
      </c>
      <c r="K1316" s="119">
        <v>5.5</v>
      </c>
      <c r="L1316" s="111" t="s">
        <v>2845</v>
      </c>
      <c r="O1316" s="111" t="s">
        <v>2846</v>
      </c>
    </row>
    <row r="1317" spans="2:16" ht="15" customHeight="1" x14ac:dyDescent="0.15">
      <c r="B1317" s="29" t="s">
        <v>38</v>
      </c>
      <c r="C1317" s="266">
        <v>44057</v>
      </c>
      <c r="D1317" s="29" t="s">
        <v>2892</v>
      </c>
      <c r="E1317" s="105" t="s">
        <v>27</v>
      </c>
      <c r="F1317" s="147">
        <v>0.18</v>
      </c>
      <c r="I1317" s="29" t="s">
        <v>548</v>
      </c>
      <c r="J1317" s="29" t="s">
        <v>2893</v>
      </c>
      <c r="K1317" s="119">
        <v>3</v>
      </c>
      <c r="L1317" s="111" t="s">
        <v>3016</v>
      </c>
      <c r="O1317" s="235" t="s">
        <v>3017</v>
      </c>
    </row>
    <row r="1318" spans="2:16" ht="15" customHeight="1" x14ac:dyDescent="0.15">
      <c r="B1318" s="29" t="s">
        <v>189</v>
      </c>
      <c r="C1318" s="266">
        <v>44057</v>
      </c>
      <c r="D1318" s="29" t="s">
        <v>2892</v>
      </c>
      <c r="E1318" s="105" t="s">
        <v>27</v>
      </c>
      <c r="F1318" s="147">
        <v>0.18</v>
      </c>
      <c r="I1318" s="29" t="s">
        <v>25</v>
      </c>
      <c r="J1318" s="29" t="s">
        <v>2513</v>
      </c>
      <c r="K1318" s="119">
        <v>3</v>
      </c>
      <c r="L1318" s="111" t="s">
        <v>3016</v>
      </c>
      <c r="O1318" s="111" t="s">
        <v>3016</v>
      </c>
    </row>
    <row r="1319" spans="2:16" ht="15" customHeight="1" x14ac:dyDescent="0.15">
      <c r="B1319" s="29" t="s">
        <v>45</v>
      </c>
      <c r="C1319" s="266">
        <v>44057</v>
      </c>
      <c r="D1319" s="29" t="s">
        <v>2896</v>
      </c>
      <c r="E1319" s="105" t="s">
        <v>42</v>
      </c>
      <c r="F1319" s="147">
        <v>0.105</v>
      </c>
      <c r="I1319" s="29" t="s">
        <v>1171</v>
      </c>
      <c r="J1319" s="29" t="s">
        <v>3486</v>
      </c>
      <c r="K1319" s="119">
        <v>3</v>
      </c>
      <c r="L1319" s="111" t="s">
        <v>2966</v>
      </c>
      <c r="O1319" s="111" t="s">
        <v>2966</v>
      </c>
    </row>
    <row r="1320" spans="2:16" ht="15" customHeight="1" x14ac:dyDescent="0.15">
      <c r="B1320" s="29" t="s">
        <v>41</v>
      </c>
      <c r="C1320" s="266">
        <v>44057</v>
      </c>
      <c r="D1320" s="29" t="s">
        <v>2894</v>
      </c>
      <c r="E1320" s="105" t="s">
        <v>27</v>
      </c>
      <c r="F1320" s="147">
        <v>0.15</v>
      </c>
      <c r="I1320" s="29" t="s">
        <v>2895</v>
      </c>
      <c r="J1320" s="29" t="s">
        <v>3568</v>
      </c>
      <c r="K1320" s="119">
        <v>10</v>
      </c>
      <c r="L1320" s="111" t="s">
        <v>2894</v>
      </c>
      <c r="O1320" s="111" t="s">
        <v>2967</v>
      </c>
    </row>
    <row r="1321" spans="2:16" ht="15" customHeight="1" x14ac:dyDescent="0.15">
      <c r="B1321" s="29" t="s">
        <v>41</v>
      </c>
      <c r="C1321" s="266">
        <v>44057</v>
      </c>
      <c r="D1321" s="29" t="s">
        <v>2898</v>
      </c>
      <c r="E1321" s="105" t="s">
        <v>34</v>
      </c>
      <c r="F1321" s="147">
        <v>0.04</v>
      </c>
      <c r="I1321" s="29" t="s">
        <v>132</v>
      </c>
      <c r="J1321" s="29" t="s">
        <v>2899</v>
      </c>
      <c r="K1321" s="119">
        <v>6</v>
      </c>
      <c r="L1321" s="111" t="s">
        <v>1704</v>
      </c>
      <c r="O1321" s="111" t="s">
        <v>1705</v>
      </c>
    </row>
    <row r="1322" spans="2:16" ht="15" customHeight="1" x14ac:dyDescent="0.15">
      <c r="B1322" s="29" t="s">
        <v>45</v>
      </c>
      <c r="C1322" s="266">
        <v>44057</v>
      </c>
      <c r="D1322" s="29" t="s">
        <v>2917</v>
      </c>
      <c r="E1322" s="105" t="s">
        <v>6</v>
      </c>
      <c r="F1322" s="147">
        <v>4.2999999999999997E-2</v>
      </c>
      <c r="I1322" s="29" t="s">
        <v>791</v>
      </c>
      <c r="J1322" s="29" t="s">
        <v>264</v>
      </c>
      <c r="K1322" s="119">
        <v>8</v>
      </c>
      <c r="L1322" s="111" t="s">
        <v>1090</v>
      </c>
      <c r="O1322" s="111" t="s">
        <v>1798</v>
      </c>
    </row>
    <row r="1323" spans="2:16" ht="15" customHeight="1" x14ac:dyDescent="0.15">
      <c r="B1323" s="29" t="s">
        <v>361</v>
      </c>
      <c r="C1323" s="266">
        <v>44057</v>
      </c>
      <c r="D1323" s="29" t="s">
        <v>2900</v>
      </c>
      <c r="E1323" s="105" t="s">
        <v>34</v>
      </c>
      <c r="F1323" s="147">
        <v>7.3999999999999996E-2</v>
      </c>
      <c r="I1323" s="29" t="s">
        <v>93</v>
      </c>
      <c r="J1323" s="29" t="s">
        <v>1287</v>
      </c>
      <c r="K1323" s="119">
        <v>9</v>
      </c>
      <c r="L1323" s="111" t="s">
        <v>2900</v>
      </c>
      <c r="O1323" s="111" t="s">
        <v>1481</v>
      </c>
    </row>
    <row r="1324" spans="2:16" ht="15" customHeight="1" x14ac:dyDescent="0.15">
      <c r="B1324" s="29" t="s">
        <v>61</v>
      </c>
      <c r="C1324" s="266">
        <v>44057</v>
      </c>
      <c r="D1324" s="29" t="s">
        <v>2903</v>
      </c>
      <c r="E1324" s="105" t="s">
        <v>6</v>
      </c>
      <c r="F1324" s="147">
        <v>4.8000000000000001E-2</v>
      </c>
      <c r="I1324" s="29" t="s">
        <v>2391</v>
      </c>
      <c r="J1324" s="29" t="s">
        <v>3485</v>
      </c>
      <c r="K1324" s="119">
        <v>3</v>
      </c>
      <c r="L1324" s="111" t="s">
        <v>1892</v>
      </c>
      <c r="O1324" s="111" t="s">
        <v>1565</v>
      </c>
    </row>
    <row r="1325" spans="2:16" ht="15" customHeight="1" x14ac:dyDescent="0.15">
      <c r="B1325" s="29" t="s">
        <v>1120</v>
      </c>
      <c r="C1325" s="266">
        <v>44057</v>
      </c>
      <c r="D1325" s="29" t="s">
        <v>2903</v>
      </c>
      <c r="E1325" s="105" t="s">
        <v>6</v>
      </c>
      <c r="F1325" s="147">
        <v>4.8000000000000001E-2</v>
      </c>
      <c r="I1325" s="29" t="s">
        <v>2904</v>
      </c>
      <c r="J1325" s="29" t="s">
        <v>2905</v>
      </c>
      <c r="K1325" s="119">
        <v>7</v>
      </c>
      <c r="L1325" s="111" t="s">
        <v>1892</v>
      </c>
      <c r="O1325" s="111" t="s">
        <v>1565</v>
      </c>
    </row>
    <row r="1326" spans="2:16" ht="15" customHeight="1" x14ac:dyDescent="0.15">
      <c r="B1326" s="29" t="s">
        <v>26</v>
      </c>
      <c r="C1326" s="266">
        <v>44057</v>
      </c>
      <c r="D1326" s="29" t="s">
        <v>2901</v>
      </c>
      <c r="E1326" s="105" t="s">
        <v>34</v>
      </c>
      <c r="F1326" s="147">
        <v>4.5999999999999999E-2</v>
      </c>
      <c r="I1326" s="29" t="s">
        <v>2902</v>
      </c>
      <c r="J1326" s="29" t="s">
        <v>2764</v>
      </c>
      <c r="K1326" s="119">
        <v>7.5</v>
      </c>
      <c r="L1326" s="111" t="s">
        <v>2974</v>
      </c>
      <c r="O1326" s="111" t="s">
        <v>2968</v>
      </c>
    </row>
    <row r="1327" spans="2:16" ht="15" customHeight="1" x14ac:dyDescent="0.15">
      <c r="B1327" s="29" t="s">
        <v>361</v>
      </c>
      <c r="C1327" s="266">
        <v>44057</v>
      </c>
      <c r="D1327" s="29" t="s">
        <v>616</v>
      </c>
      <c r="E1327" s="105" t="s">
        <v>65</v>
      </c>
      <c r="F1327" s="147">
        <v>0.4</v>
      </c>
      <c r="G1327" s="105" t="s">
        <v>2906</v>
      </c>
      <c r="I1327" s="29" t="s">
        <v>33</v>
      </c>
      <c r="J1327" s="29" t="s">
        <v>191</v>
      </c>
      <c r="K1327" s="119">
        <v>3</v>
      </c>
      <c r="L1327" s="111" t="s">
        <v>1495</v>
      </c>
      <c r="O1327" s="111" t="s">
        <v>1494</v>
      </c>
      <c r="P1327" s="23" t="s">
        <v>3268</v>
      </c>
    </row>
    <row r="1328" spans="2:16" ht="15" customHeight="1" x14ac:dyDescent="0.15">
      <c r="B1328" s="29" t="s">
        <v>26</v>
      </c>
      <c r="C1328" s="266">
        <v>44057</v>
      </c>
      <c r="D1328" s="29" t="s">
        <v>2907</v>
      </c>
      <c r="E1328" s="105" t="s">
        <v>65</v>
      </c>
      <c r="F1328" s="147">
        <v>0.4</v>
      </c>
      <c r="I1328" s="29" t="s">
        <v>70</v>
      </c>
      <c r="J1328" s="29" t="s">
        <v>2908</v>
      </c>
      <c r="K1328" s="119">
        <v>3</v>
      </c>
      <c r="L1328" s="111" t="s">
        <v>2845</v>
      </c>
      <c r="O1328" s="111" t="s">
        <v>2846</v>
      </c>
    </row>
    <row r="1329" spans="2:15" ht="15" customHeight="1" x14ac:dyDescent="0.15">
      <c r="B1329" s="29" t="s">
        <v>1120</v>
      </c>
      <c r="C1329" s="266">
        <v>44057</v>
      </c>
      <c r="D1329" s="29" t="s">
        <v>2909</v>
      </c>
      <c r="E1329" s="105" t="s">
        <v>48</v>
      </c>
      <c r="F1329" s="147">
        <v>0.38</v>
      </c>
      <c r="I1329" s="29" t="s">
        <v>2910</v>
      </c>
      <c r="J1329" s="29" t="s">
        <v>964</v>
      </c>
      <c r="K1329" s="119">
        <v>2</v>
      </c>
      <c r="L1329" s="111" t="s">
        <v>2969</v>
      </c>
      <c r="O1329" s="111" t="s">
        <v>2969</v>
      </c>
    </row>
    <row r="1330" spans="2:15" ht="15" customHeight="1" x14ac:dyDescent="0.15">
      <c r="B1330" s="29" t="s">
        <v>61</v>
      </c>
      <c r="C1330" s="266">
        <v>44057</v>
      </c>
      <c r="D1330" s="29" t="s">
        <v>2909</v>
      </c>
      <c r="E1330" s="105" t="s">
        <v>48</v>
      </c>
      <c r="F1330" s="147">
        <v>0.38</v>
      </c>
      <c r="I1330" s="29" t="s">
        <v>303</v>
      </c>
      <c r="J1330" s="29" t="s">
        <v>2911</v>
      </c>
      <c r="K1330" s="119">
        <v>2</v>
      </c>
      <c r="L1330" s="111" t="s">
        <v>2969</v>
      </c>
      <c r="O1330" s="111" t="s">
        <v>2969</v>
      </c>
    </row>
    <row r="1331" spans="2:15" ht="15" customHeight="1" x14ac:dyDescent="0.15">
      <c r="B1331" s="29" t="s">
        <v>361</v>
      </c>
      <c r="C1331" s="266">
        <v>44057</v>
      </c>
      <c r="D1331" s="29" t="s">
        <v>2906</v>
      </c>
      <c r="E1331" s="105" t="s">
        <v>34</v>
      </c>
      <c r="F1331" s="147">
        <v>0.05</v>
      </c>
      <c r="I1331" s="29" t="s">
        <v>2914</v>
      </c>
      <c r="J1331" s="29" t="s">
        <v>2915</v>
      </c>
      <c r="K1331" s="119">
        <v>8</v>
      </c>
      <c r="L1331" s="111" t="s">
        <v>1700</v>
      </c>
      <c r="O1331" s="111" t="s">
        <v>1700</v>
      </c>
    </row>
    <row r="1332" spans="2:15" ht="15" customHeight="1" x14ac:dyDescent="0.15">
      <c r="B1332" s="29" t="s">
        <v>26</v>
      </c>
      <c r="C1332" s="266">
        <v>44057</v>
      </c>
      <c r="D1332" s="29" t="s">
        <v>2970</v>
      </c>
      <c r="E1332" s="105" t="s">
        <v>34</v>
      </c>
      <c r="F1332" s="147">
        <v>0.04</v>
      </c>
      <c r="I1332" s="29" t="s">
        <v>1373</v>
      </c>
      <c r="J1332" s="29" t="s">
        <v>2916</v>
      </c>
      <c r="K1332" s="119">
        <v>5</v>
      </c>
      <c r="L1332" s="111" t="s">
        <v>2971</v>
      </c>
      <c r="O1332" s="111" t="s">
        <v>2971</v>
      </c>
    </row>
    <row r="1333" spans="2:15" ht="15" customHeight="1" x14ac:dyDescent="0.15">
      <c r="B1333" s="29" t="s">
        <v>61</v>
      </c>
      <c r="C1333" s="266">
        <v>44057</v>
      </c>
      <c r="D1333" s="29" t="s">
        <v>2912</v>
      </c>
      <c r="E1333" s="105" t="s">
        <v>54</v>
      </c>
      <c r="F1333" s="147">
        <v>0.2</v>
      </c>
      <c r="G1333" s="29" t="s">
        <v>374</v>
      </c>
      <c r="I1333" s="29" t="s">
        <v>2167</v>
      </c>
      <c r="J1333" s="29" t="s">
        <v>15</v>
      </c>
      <c r="K1333" s="119">
        <v>7</v>
      </c>
      <c r="L1333" s="111" t="s">
        <v>1828</v>
      </c>
      <c r="O1333" s="111" t="s">
        <v>1828</v>
      </c>
    </row>
    <row r="1334" spans="2:15" ht="15" customHeight="1" x14ac:dyDescent="0.15">
      <c r="B1334" s="29" t="s">
        <v>1120</v>
      </c>
      <c r="C1334" s="266">
        <v>44057</v>
      </c>
      <c r="D1334" s="29" t="s">
        <v>2912</v>
      </c>
      <c r="E1334" s="105" t="s">
        <v>54</v>
      </c>
      <c r="F1334" s="147">
        <v>0.2</v>
      </c>
      <c r="G1334" s="29" t="s">
        <v>374</v>
      </c>
      <c r="I1334" s="29" t="s">
        <v>238</v>
      </c>
      <c r="J1334" s="29" t="s">
        <v>2913</v>
      </c>
      <c r="K1334" s="119">
        <v>8</v>
      </c>
      <c r="L1334" s="111" t="s">
        <v>1828</v>
      </c>
      <c r="O1334" s="111" t="s">
        <v>1828</v>
      </c>
    </row>
    <row r="1335" spans="2:15" ht="15" customHeight="1" x14ac:dyDescent="0.15">
      <c r="B1335" s="29" t="s">
        <v>41</v>
      </c>
      <c r="C1335" s="266">
        <v>44064</v>
      </c>
      <c r="D1335" s="29" t="s">
        <v>1187</v>
      </c>
      <c r="E1335" s="105" t="s">
        <v>65</v>
      </c>
      <c r="F1335" s="147">
        <v>0.04</v>
      </c>
      <c r="I1335" s="29" t="s">
        <v>430</v>
      </c>
      <c r="J1335" s="29" t="s">
        <v>304</v>
      </c>
      <c r="K1335" s="119">
        <v>6.5</v>
      </c>
      <c r="L1335" s="111" t="s">
        <v>1584</v>
      </c>
      <c r="O1335" s="111" t="s">
        <v>1585</v>
      </c>
    </row>
    <row r="1336" spans="2:15" ht="15" customHeight="1" x14ac:dyDescent="0.15">
      <c r="B1336" s="29" t="s">
        <v>38</v>
      </c>
      <c r="C1336" s="266">
        <v>44064</v>
      </c>
      <c r="D1336" s="29" t="s">
        <v>2926</v>
      </c>
      <c r="E1336" s="105" t="s">
        <v>6</v>
      </c>
      <c r="F1336" s="147">
        <v>4.4999999999999998E-2</v>
      </c>
      <c r="I1336" s="29" t="s">
        <v>2936</v>
      </c>
      <c r="J1336" s="29" t="s">
        <v>555</v>
      </c>
      <c r="K1336" s="119">
        <v>8</v>
      </c>
      <c r="L1336" s="111" t="s">
        <v>2972</v>
      </c>
      <c r="O1336" s="111" t="s">
        <v>2972</v>
      </c>
    </row>
    <row r="1337" spans="2:15" ht="15" customHeight="1" x14ac:dyDescent="0.15">
      <c r="B1337" s="29" t="s">
        <v>26</v>
      </c>
      <c r="C1337" s="266">
        <v>44064</v>
      </c>
      <c r="D1337" s="29" t="s">
        <v>2927</v>
      </c>
      <c r="E1337" s="105" t="s">
        <v>34</v>
      </c>
      <c r="F1337" s="147">
        <v>0.04</v>
      </c>
      <c r="I1337" s="29" t="s">
        <v>132</v>
      </c>
      <c r="J1337" s="29" t="s">
        <v>2830</v>
      </c>
      <c r="K1337" s="119">
        <v>8.5</v>
      </c>
      <c r="L1337" s="111" t="s">
        <v>2973</v>
      </c>
      <c r="O1337" s="111" t="s">
        <v>2968</v>
      </c>
    </row>
    <row r="1338" spans="2:15" ht="15" customHeight="1" x14ac:dyDescent="0.15">
      <c r="B1338" s="29" t="s">
        <v>421</v>
      </c>
      <c r="C1338" s="266">
        <v>44064</v>
      </c>
      <c r="D1338" s="29" t="s">
        <v>635</v>
      </c>
      <c r="E1338" s="105" t="s">
        <v>6</v>
      </c>
      <c r="F1338" s="147">
        <v>4.4999999999999998E-2</v>
      </c>
      <c r="I1338" s="29" t="s">
        <v>33</v>
      </c>
      <c r="J1338" s="29" t="s">
        <v>2937</v>
      </c>
      <c r="K1338" s="119">
        <v>10</v>
      </c>
      <c r="L1338" s="111" t="s">
        <v>1771</v>
      </c>
      <c r="O1338" s="116" t="s">
        <v>1770</v>
      </c>
    </row>
    <row r="1339" spans="2:15" ht="15" customHeight="1" x14ac:dyDescent="0.15">
      <c r="B1339" s="29" t="s">
        <v>2879</v>
      </c>
      <c r="C1339" s="266">
        <v>44064</v>
      </c>
      <c r="D1339" s="29" t="s">
        <v>2928</v>
      </c>
      <c r="E1339" s="105" t="s">
        <v>42</v>
      </c>
      <c r="F1339" s="147">
        <v>0.13</v>
      </c>
      <c r="I1339" s="29" t="s">
        <v>15</v>
      </c>
      <c r="J1339" s="29" t="s">
        <v>93</v>
      </c>
      <c r="K1339" s="119">
        <v>7</v>
      </c>
      <c r="L1339" s="111" t="s">
        <v>2975</v>
      </c>
      <c r="O1339" s="111" t="s">
        <v>2975</v>
      </c>
    </row>
    <row r="1340" spans="2:15" ht="15" customHeight="1" x14ac:dyDescent="0.15">
      <c r="B1340" s="29" t="s">
        <v>38</v>
      </c>
      <c r="C1340" s="266">
        <v>44064</v>
      </c>
      <c r="D1340" s="29" t="s">
        <v>2929</v>
      </c>
      <c r="E1340" s="105" t="s">
        <v>54</v>
      </c>
      <c r="F1340" s="147">
        <v>0.21</v>
      </c>
      <c r="I1340" s="29" t="s">
        <v>2930</v>
      </c>
      <c r="J1340" s="29" t="s">
        <v>1396</v>
      </c>
      <c r="K1340" s="119">
        <v>6</v>
      </c>
      <c r="L1340" s="111" t="s">
        <v>2976</v>
      </c>
      <c r="O1340" s="111" t="s">
        <v>2976</v>
      </c>
    </row>
    <row r="1341" spans="2:15" ht="15" customHeight="1" x14ac:dyDescent="0.15">
      <c r="B1341" s="29" t="s">
        <v>420</v>
      </c>
      <c r="C1341" s="266">
        <v>44064</v>
      </c>
      <c r="D1341" s="29" t="s">
        <v>2931</v>
      </c>
      <c r="E1341" s="105" t="s">
        <v>6</v>
      </c>
      <c r="F1341" s="147">
        <v>5.8000000000000003E-2</v>
      </c>
      <c r="I1341" s="29" t="s">
        <v>2934</v>
      </c>
      <c r="J1341" s="29" t="s">
        <v>3569</v>
      </c>
      <c r="K1341" s="119">
        <v>6</v>
      </c>
      <c r="L1341" s="111" t="s">
        <v>668</v>
      </c>
      <c r="O1341" s="111" t="s">
        <v>668</v>
      </c>
    </row>
    <row r="1342" spans="2:15" ht="15" customHeight="1" x14ac:dyDescent="0.15">
      <c r="B1342" s="29" t="s">
        <v>189</v>
      </c>
      <c r="C1342" s="266">
        <v>44064</v>
      </c>
      <c r="D1342" s="29" t="s">
        <v>3012</v>
      </c>
      <c r="E1342" s="105" t="s">
        <v>42</v>
      </c>
      <c r="F1342" s="147">
        <v>0.125</v>
      </c>
      <c r="I1342" s="29" t="s">
        <v>2932</v>
      </c>
      <c r="J1342" s="29" t="s">
        <v>891</v>
      </c>
      <c r="K1342" s="119">
        <v>7.5</v>
      </c>
      <c r="L1342" s="111" t="s">
        <v>3013</v>
      </c>
      <c r="O1342" s="111" t="s">
        <v>3014</v>
      </c>
    </row>
    <row r="1343" spans="2:15" ht="15" customHeight="1" x14ac:dyDescent="0.15">
      <c r="B1343" s="29" t="s">
        <v>2881</v>
      </c>
      <c r="C1343" s="266">
        <v>44064</v>
      </c>
      <c r="D1343" s="29" t="s">
        <v>2978</v>
      </c>
      <c r="E1343" s="105" t="s">
        <v>42</v>
      </c>
      <c r="F1343" s="147">
        <v>0.12</v>
      </c>
      <c r="I1343" s="29" t="s">
        <v>575</v>
      </c>
      <c r="J1343" s="29" t="s">
        <v>1070</v>
      </c>
      <c r="K1343" s="119">
        <v>8</v>
      </c>
      <c r="L1343" s="111" t="s">
        <v>2933</v>
      </c>
      <c r="O1343" s="111" t="s">
        <v>2977</v>
      </c>
    </row>
    <row r="1344" spans="2:15" ht="15" customHeight="1" x14ac:dyDescent="0.15">
      <c r="B1344" s="29" t="s">
        <v>189</v>
      </c>
      <c r="C1344" s="266">
        <v>44064</v>
      </c>
      <c r="D1344" s="29" t="s">
        <v>2929</v>
      </c>
      <c r="E1344" s="105" t="s">
        <v>54</v>
      </c>
      <c r="F1344" s="147">
        <v>0.21</v>
      </c>
      <c r="I1344" s="29" t="s">
        <v>2935</v>
      </c>
      <c r="J1344" s="29" t="s">
        <v>2830</v>
      </c>
      <c r="K1344" s="119">
        <v>5.5</v>
      </c>
      <c r="L1344" s="111" t="s">
        <v>2976</v>
      </c>
      <c r="O1344" s="111" t="s">
        <v>2976</v>
      </c>
    </row>
    <row r="1345" spans="2:15" ht="15" customHeight="1" x14ac:dyDescent="0.15">
      <c r="B1345" s="29" t="s">
        <v>38</v>
      </c>
      <c r="C1345" s="266">
        <v>44064</v>
      </c>
      <c r="D1345" s="29" t="s">
        <v>2961</v>
      </c>
      <c r="E1345" s="105" t="s">
        <v>6</v>
      </c>
      <c r="F1345" s="147">
        <v>0.05</v>
      </c>
      <c r="I1345" s="29" t="s">
        <v>656</v>
      </c>
      <c r="J1345" s="29" t="s">
        <v>6</v>
      </c>
      <c r="K1345" s="119">
        <v>6</v>
      </c>
      <c r="L1345" s="111" t="s">
        <v>2000</v>
      </c>
      <c r="O1345" s="111" t="s">
        <v>2000</v>
      </c>
    </row>
    <row r="1346" spans="2:15" ht="15" customHeight="1" x14ac:dyDescent="0.15">
      <c r="B1346" s="29" t="s">
        <v>26</v>
      </c>
      <c r="C1346" s="266">
        <v>44064</v>
      </c>
      <c r="D1346" s="29" t="s">
        <v>2771</v>
      </c>
      <c r="E1346" s="105" t="s">
        <v>6</v>
      </c>
      <c r="F1346" s="147">
        <v>4.7E-2</v>
      </c>
      <c r="I1346" s="29" t="s">
        <v>24</v>
      </c>
      <c r="J1346" s="29" t="s">
        <v>323</v>
      </c>
      <c r="K1346" s="119">
        <v>7</v>
      </c>
      <c r="L1346" s="111" t="s">
        <v>1515</v>
      </c>
      <c r="O1346" s="111" t="s">
        <v>1515</v>
      </c>
    </row>
    <row r="1347" spans="2:15" ht="15" customHeight="1" x14ac:dyDescent="0.15">
      <c r="B1347" s="29" t="s">
        <v>38</v>
      </c>
      <c r="C1347" s="266">
        <v>44064</v>
      </c>
      <c r="D1347" s="29" t="s">
        <v>2938</v>
      </c>
      <c r="E1347" s="105" t="s">
        <v>54</v>
      </c>
      <c r="F1347" s="147">
        <v>0.2</v>
      </c>
      <c r="I1347" s="29" t="s">
        <v>2941</v>
      </c>
      <c r="J1347" s="29" t="s">
        <v>2942</v>
      </c>
      <c r="K1347" s="119">
        <v>8.5</v>
      </c>
      <c r="L1347" s="111" t="s">
        <v>1685</v>
      </c>
      <c r="O1347" s="111" t="s">
        <v>440</v>
      </c>
    </row>
    <row r="1348" spans="2:15" ht="15" customHeight="1" x14ac:dyDescent="0.15">
      <c r="B1348" s="29" t="s">
        <v>2879</v>
      </c>
      <c r="C1348" s="266">
        <v>44064</v>
      </c>
      <c r="D1348" s="29" t="s">
        <v>2938</v>
      </c>
      <c r="E1348" s="105" t="s">
        <v>54</v>
      </c>
      <c r="F1348" s="147">
        <v>0.2</v>
      </c>
      <c r="I1348" s="29" t="s">
        <v>2939</v>
      </c>
      <c r="J1348" s="29" t="s">
        <v>2940</v>
      </c>
      <c r="K1348" s="119">
        <v>9</v>
      </c>
      <c r="L1348" s="111" t="s">
        <v>1685</v>
      </c>
      <c r="O1348" s="111" t="s">
        <v>440</v>
      </c>
    </row>
    <row r="1349" spans="2:15" ht="15" customHeight="1" x14ac:dyDescent="0.15">
      <c r="B1349" s="29" t="s">
        <v>420</v>
      </c>
      <c r="C1349" s="266">
        <v>44064</v>
      </c>
      <c r="D1349" s="29" t="s">
        <v>2980</v>
      </c>
      <c r="E1349" s="105" t="s">
        <v>6</v>
      </c>
      <c r="F1349" s="147">
        <v>7.0999999999999994E-2</v>
      </c>
      <c r="I1349" s="29" t="s">
        <v>2943</v>
      </c>
      <c r="J1349" s="29" t="s">
        <v>2944</v>
      </c>
      <c r="K1349" s="119">
        <v>3</v>
      </c>
      <c r="L1349" s="111" t="s">
        <v>2981</v>
      </c>
      <c r="O1349" s="111" t="s">
        <v>2979</v>
      </c>
    </row>
    <row r="1350" spans="2:15" ht="15" customHeight="1" x14ac:dyDescent="0.15">
      <c r="B1350" s="29" t="s">
        <v>421</v>
      </c>
      <c r="C1350" s="266">
        <v>44064</v>
      </c>
      <c r="D1350" s="29" t="s">
        <v>2947</v>
      </c>
      <c r="E1350" s="105" t="s">
        <v>54</v>
      </c>
      <c r="F1350" s="147">
        <v>0.19</v>
      </c>
      <c r="I1350" s="29" t="s">
        <v>2945</v>
      </c>
      <c r="J1350" s="29" t="s">
        <v>2946</v>
      </c>
      <c r="K1350" s="119">
        <v>6</v>
      </c>
      <c r="L1350" s="111" t="s">
        <v>1589</v>
      </c>
      <c r="O1350" s="111" t="s">
        <v>1589</v>
      </c>
    </row>
    <row r="1351" spans="2:15" ht="15" customHeight="1" x14ac:dyDescent="0.15">
      <c r="B1351" s="29" t="s">
        <v>26</v>
      </c>
      <c r="C1351" s="266">
        <v>44064</v>
      </c>
      <c r="D1351" s="29" t="s">
        <v>3688</v>
      </c>
      <c r="E1351" s="105" t="s">
        <v>6</v>
      </c>
      <c r="F1351" s="147">
        <v>0.06</v>
      </c>
      <c r="I1351" s="29" t="s">
        <v>2935</v>
      </c>
      <c r="J1351" s="29" t="s">
        <v>2948</v>
      </c>
      <c r="K1351" s="119">
        <v>6.5</v>
      </c>
      <c r="L1351" s="111" t="s">
        <v>1544</v>
      </c>
      <c r="O1351" s="116" t="s">
        <v>1544</v>
      </c>
    </row>
    <row r="1352" spans="2:15" ht="15" customHeight="1" x14ac:dyDescent="0.15">
      <c r="B1352" s="29" t="s">
        <v>38</v>
      </c>
      <c r="C1352" s="266">
        <v>44064</v>
      </c>
      <c r="D1352" s="29" t="s">
        <v>2949</v>
      </c>
      <c r="E1352" s="105" t="s">
        <v>6</v>
      </c>
      <c r="F1352" s="147">
        <v>4.1000000000000002E-2</v>
      </c>
      <c r="I1352" s="29" t="s">
        <v>304</v>
      </c>
      <c r="J1352" s="29" t="s">
        <v>446</v>
      </c>
      <c r="K1352" s="119">
        <v>7.5</v>
      </c>
      <c r="L1352" s="111" t="s">
        <v>2984</v>
      </c>
      <c r="O1352" s="111" t="s">
        <v>1683</v>
      </c>
    </row>
    <row r="1353" spans="2:15" ht="15" customHeight="1" x14ac:dyDescent="0.15">
      <c r="B1353" s="29" t="s">
        <v>26</v>
      </c>
      <c r="C1353" s="266">
        <v>44064</v>
      </c>
      <c r="D1353" s="29" t="s">
        <v>2907</v>
      </c>
      <c r="E1353" s="105" t="s">
        <v>65</v>
      </c>
      <c r="F1353" s="147">
        <v>0.4</v>
      </c>
      <c r="G1353" s="29" t="s">
        <v>415</v>
      </c>
      <c r="I1353" s="29" t="s">
        <v>2950</v>
      </c>
      <c r="J1353" s="29" t="s">
        <v>2951</v>
      </c>
      <c r="K1353" s="119">
        <v>5</v>
      </c>
      <c r="L1353" s="111" t="s">
        <v>2845</v>
      </c>
      <c r="O1353" s="111" t="s">
        <v>2846</v>
      </c>
    </row>
    <row r="1354" spans="2:15" ht="15" customHeight="1" x14ac:dyDescent="0.15">
      <c r="B1354" s="29" t="s">
        <v>18</v>
      </c>
      <c r="C1354" s="266">
        <v>44064</v>
      </c>
      <c r="D1354" s="29" t="s">
        <v>2982</v>
      </c>
      <c r="E1354" s="105" t="s">
        <v>36</v>
      </c>
      <c r="F1354" s="147">
        <v>0.4</v>
      </c>
      <c r="I1354" s="29" t="s">
        <v>2952</v>
      </c>
      <c r="J1354" s="29" t="s">
        <v>2953</v>
      </c>
      <c r="K1354" s="119">
        <v>7.5</v>
      </c>
      <c r="L1354" s="111" t="s">
        <v>1589</v>
      </c>
      <c r="O1354" s="111" t="s">
        <v>1589</v>
      </c>
    </row>
    <row r="1355" spans="2:15" ht="15" customHeight="1" x14ac:dyDescent="0.15">
      <c r="B1355" s="29" t="s">
        <v>38</v>
      </c>
      <c r="C1355" s="266">
        <v>44064</v>
      </c>
      <c r="D1355" s="29" t="s">
        <v>3015</v>
      </c>
      <c r="E1355" s="105" t="s">
        <v>54</v>
      </c>
      <c r="F1355" s="147">
        <v>0.14699999999999999</v>
      </c>
      <c r="I1355" s="29" t="s">
        <v>970</v>
      </c>
      <c r="J1355" s="29" t="s">
        <v>2893</v>
      </c>
      <c r="K1355" s="119">
        <v>4</v>
      </c>
      <c r="L1355" s="111" t="s">
        <v>1492</v>
      </c>
      <c r="O1355" s="111" t="s">
        <v>1492</v>
      </c>
    </row>
    <row r="1356" spans="2:15" ht="15" customHeight="1" x14ac:dyDescent="0.15">
      <c r="B1356" s="29" t="s">
        <v>35</v>
      </c>
      <c r="C1356" s="266">
        <v>44064</v>
      </c>
      <c r="D1356" s="29" t="s">
        <v>2983</v>
      </c>
      <c r="E1356" s="105" t="s">
        <v>12</v>
      </c>
      <c r="F1356" s="147">
        <v>0.43</v>
      </c>
      <c r="I1356" s="29" t="s">
        <v>2214</v>
      </c>
      <c r="J1356" s="29" t="s">
        <v>1030</v>
      </c>
      <c r="K1356" s="119">
        <v>6.5</v>
      </c>
      <c r="L1356" s="111" t="s">
        <v>1487</v>
      </c>
      <c r="O1356" s="111" t="s">
        <v>1488</v>
      </c>
    </row>
    <row r="1357" spans="2:15" ht="15" customHeight="1" x14ac:dyDescent="0.15">
      <c r="B1357" s="29" t="s">
        <v>1019</v>
      </c>
      <c r="C1357" s="266">
        <v>44064</v>
      </c>
      <c r="D1357" s="29" t="s">
        <v>2985</v>
      </c>
      <c r="E1357" s="105" t="s">
        <v>190</v>
      </c>
      <c r="F1357" s="147">
        <v>0.28999999999999998</v>
      </c>
      <c r="G1357" s="29" t="s">
        <v>2957</v>
      </c>
      <c r="H1357" s="29" t="s">
        <v>2956</v>
      </c>
      <c r="I1357" s="29" t="s">
        <v>16</v>
      </c>
      <c r="J1357" s="29" t="s">
        <v>222</v>
      </c>
      <c r="K1357" s="119">
        <v>7</v>
      </c>
      <c r="L1357" s="111" t="s">
        <v>2985</v>
      </c>
      <c r="O1357" s="111" t="s">
        <v>2986</v>
      </c>
    </row>
    <row r="1358" spans="2:15" ht="15" customHeight="1" x14ac:dyDescent="0.15">
      <c r="B1358" s="29" t="s">
        <v>35</v>
      </c>
      <c r="C1358" s="266">
        <v>44064</v>
      </c>
      <c r="D1358" s="29" t="s">
        <v>3178</v>
      </c>
      <c r="E1358" s="105" t="s">
        <v>6</v>
      </c>
      <c r="F1358" s="147">
        <v>4.2999999999999997E-2</v>
      </c>
      <c r="I1358" s="29" t="s">
        <v>25</v>
      </c>
      <c r="J1358" s="29" t="s">
        <v>226</v>
      </c>
      <c r="K1358" s="119">
        <v>7</v>
      </c>
      <c r="L1358" s="111" t="s">
        <v>2954</v>
      </c>
      <c r="O1358" s="111" t="s">
        <v>2954</v>
      </c>
    </row>
    <row r="1359" spans="2:15" ht="15" customHeight="1" x14ac:dyDescent="0.15">
      <c r="B1359" s="29" t="s">
        <v>18</v>
      </c>
      <c r="C1359" s="266">
        <v>44064</v>
      </c>
      <c r="D1359" s="29" t="s">
        <v>1231</v>
      </c>
      <c r="E1359" s="105" t="s">
        <v>12</v>
      </c>
      <c r="F1359" s="147">
        <v>0.40400000000000003</v>
      </c>
      <c r="G1359" s="29" t="s">
        <v>2987</v>
      </c>
      <c r="I1359" s="29" t="s">
        <v>71</v>
      </c>
      <c r="J1359" s="29" t="s">
        <v>2184</v>
      </c>
      <c r="K1359" s="119">
        <v>8</v>
      </c>
      <c r="L1359" s="111" t="s">
        <v>11</v>
      </c>
      <c r="O1359" s="111" t="s">
        <v>11</v>
      </c>
    </row>
    <row r="1360" spans="2:15" ht="15" customHeight="1" x14ac:dyDescent="0.15">
      <c r="B1360" s="29" t="s">
        <v>26</v>
      </c>
      <c r="C1360" s="266">
        <v>44064</v>
      </c>
      <c r="D1360" s="29" t="s">
        <v>2988</v>
      </c>
      <c r="E1360" s="105" t="s">
        <v>34</v>
      </c>
      <c r="F1360" s="147">
        <v>4.4999999999999998E-2</v>
      </c>
      <c r="I1360" s="29" t="s">
        <v>2958</v>
      </c>
      <c r="J1360" s="29" t="s">
        <v>3570</v>
      </c>
      <c r="K1360" s="119">
        <v>7.5</v>
      </c>
      <c r="L1360" s="111" t="s">
        <v>1589</v>
      </c>
      <c r="O1360" s="111" t="s">
        <v>1589</v>
      </c>
    </row>
    <row r="1361" spans="2:15" ht="15" customHeight="1" x14ac:dyDescent="0.15">
      <c r="B1361" s="29" t="s">
        <v>35</v>
      </c>
      <c r="C1361" s="266">
        <v>44064</v>
      </c>
      <c r="D1361" s="29" t="s">
        <v>2659</v>
      </c>
      <c r="E1361" s="105" t="s">
        <v>6</v>
      </c>
      <c r="F1361" s="147">
        <v>8.3000000000000004E-2</v>
      </c>
      <c r="I1361" s="29" t="s">
        <v>192</v>
      </c>
      <c r="J1361" s="29" t="s">
        <v>314</v>
      </c>
      <c r="K1361" s="119">
        <v>8</v>
      </c>
      <c r="L1361" s="111" t="s">
        <v>1542</v>
      </c>
      <c r="O1361" s="111" t="s">
        <v>1542</v>
      </c>
    </row>
    <row r="1362" spans="2:15" ht="15" customHeight="1" x14ac:dyDescent="0.15">
      <c r="B1362" s="29" t="s">
        <v>35</v>
      </c>
      <c r="C1362" s="266">
        <v>44064</v>
      </c>
      <c r="D1362" s="29" t="s">
        <v>2955</v>
      </c>
      <c r="E1362" s="105" t="s">
        <v>6</v>
      </c>
      <c r="F1362" s="147">
        <v>0.05</v>
      </c>
      <c r="I1362" s="29" t="s">
        <v>212</v>
      </c>
      <c r="J1362" s="29" t="s">
        <v>288</v>
      </c>
      <c r="K1362" s="119">
        <v>5.5</v>
      </c>
      <c r="L1362" s="111" t="s">
        <v>2989</v>
      </c>
      <c r="O1362" s="111" t="s">
        <v>2990</v>
      </c>
    </row>
    <row r="1363" spans="2:15" ht="15" customHeight="1" x14ac:dyDescent="0.15">
      <c r="B1363" s="29" t="s">
        <v>18</v>
      </c>
      <c r="C1363" s="266">
        <v>44064</v>
      </c>
      <c r="D1363" s="29" t="s">
        <v>981</v>
      </c>
      <c r="E1363" s="105" t="s">
        <v>27</v>
      </c>
      <c r="F1363" s="147">
        <v>0.2</v>
      </c>
      <c r="G1363" s="29" t="s">
        <v>555</v>
      </c>
      <c r="H1363" s="29" t="s">
        <v>1054</v>
      </c>
      <c r="I1363" s="29" t="s">
        <v>2250</v>
      </c>
      <c r="J1363" s="29" t="s">
        <v>1349</v>
      </c>
      <c r="K1363" s="119">
        <v>8.5</v>
      </c>
      <c r="L1363" s="111" t="s">
        <v>981</v>
      </c>
      <c r="O1363" s="111" t="s">
        <v>1465</v>
      </c>
    </row>
    <row r="1364" spans="2:15" ht="15" customHeight="1" x14ac:dyDescent="0.15">
      <c r="B1364" s="29" t="s">
        <v>26</v>
      </c>
      <c r="C1364" s="266">
        <v>44064</v>
      </c>
      <c r="D1364" s="29" t="s">
        <v>2959</v>
      </c>
      <c r="E1364" s="105" t="s">
        <v>6</v>
      </c>
      <c r="F1364" s="147">
        <v>0.05</v>
      </c>
      <c r="I1364" s="29" t="s">
        <v>2307</v>
      </c>
      <c r="J1364" s="29" t="s">
        <v>2960</v>
      </c>
      <c r="K1364" s="119">
        <v>3.5</v>
      </c>
      <c r="L1364" s="111" t="s">
        <v>2991</v>
      </c>
      <c r="M1364" s="111" t="s">
        <v>2992</v>
      </c>
      <c r="O1364" s="111" t="s">
        <v>2993</v>
      </c>
    </row>
    <row r="1365" spans="2:15" ht="15" customHeight="1" x14ac:dyDescent="0.15">
      <c r="B1365" s="29" t="s">
        <v>26</v>
      </c>
      <c r="C1365" s="266">
        <v>44071</v>
      </c>
      <c r="D1365" s="29" t="s">
        <v>3018</v>
      </c>
      <c r="E1365" s="105" t="s">
        <v>6</v>
      </c>
      <c r="F1365" s="147">
        <v>5.1999999999999998E-2</v>
      </c>
      <c r="I1365" s="29" t="s">
        <v>2398</v>
      </c>
      <c r="J1365" s="29" t="s">
        <v>3019</v>
      </c>
      <c r="K1365" s="119">
        <v>6.5</v>
      </c>
      <c r="L1365" s="111" t="s">
        <v>1797</v>
      </c>
      <c r="O1365" s="111" t="s">
        <v>1797</v>
      </c>
    </row>
    <row r="1366" spans="2:15" ht="15" customHeight="1" x14ac:dyDescent="0.15">
      <c r="B1366" s="29" t="s">
        <v>18</v>
      </c>
      <c r="C1366" s="266">
        <v>44071</v>
      </c>
      <c r="D1366" s="29" t="s">
        <v>3434</v>
      </c>
      <c r="E1366" s="105" t="s">
        <v>27</v>
      </c>
      <c r="F1366" s="147">
        <v>0.157</v>
      </c>
      <c r="G1366" s="29" t="s">
        <v>555</v>
      </c>
      <c r="I1366" s="29" t="s">
        <v>295</v>
      </c>
      <c r="J1366" s="29" t="s">
        <v>1005</v>
      </c>
      <c r="K1366" s="119">
        <v>8.5</v>
      </c>
      <c r="L1366" s="111" t="s">
        <v>2055</v>
      </c>
      <c r="O1366" s="111" t="s">
        <v>1516</v>
      </c>
    </row>
    <row r="1367" spans="2:15" ht="15" customHeight="1" x14ac:dyDescent="0.15">
      <c r="B1367" s="29" t="s">
        <v>361</v>
      </c>
      <c r="C1367" s="266">
        <v>44071</v>
      </c>
      <c r="D1367" s="29" t="s">
        <v>55</v>
      </c>
      <c r="E1367" s="105" t="s">
        <v>6</v>
      </c>
      <c r="F1367" s="147">
        <v>5.5E-2</v>
      </c>
      <c r="I1367" s="29" t="s">
        <v>265</v>
      </c>
      <c r="J1367" s="29" t="s">
        <v>3571</v>
      </c>
      <c r="K1367" s="119">
        <v>7</v>
      </c>
      <c r="L1367" s="111" t="s">
        <v>2698</v>
      </c>
      <c r="O1367" s="111" t="s">
        <v>2698</v>
      </c>
    </row>
    <row r="1368" spans="2:15" ht="15" customHeight="1" x14ac:dyDescent="0.15">
      <c r="B1368" s="29" t="s">
        <v>26</v>
      </c>
      <c r="C1368" s="266">
        <v>44071</v>
      </c>
      <c r="D1368" s="29" t="s">
        <v>55</v>
      </c>
      <c r="E1368" s="105" t="s">
        <v>6</v>
      </c>
      <c r="F1368" s="147">
        <v>5.5E-2</v>
      </c>
      <c r="I1368" s="29" t="s">
        <v>16</v>
      </c>
      <c r="J1368" s="29" t="s">
        <v>3027</v>
      </c>
      <c r="K1368" s="119">
        <v>6</v>
      </c>
      <c r="L1368" s="111" t="s">
        <v>2698</v>
      </c>
      <c r="O1368" s="111" t="s">
        <v>2698</v>
      </c>
    </row>
    <row r="1369" spans="2:15" ht="15" customHeight="1" x14ac:dyDescent="0.15">
      <c r="B1369" s="29" t="s">
        <v>18</v>
      </c>
      <c r="C1369" s="266">
        <v>44071</v>
      </c>
      <c r="D1369" s="29" t="s">
        <v>3020</v>
      </c>
      <c r="E1369" s="105" t="s">
        <v>190</v>
      </c>
      <c r="F1369" s="147">
        <v>0.04</v>
      </c>
      <c r="I1369" s="29" t="s">
        <v>3023</v>
      </c>
      <c r="J1369" s="29" t="s">
        <v>3024</v>
      </c>
      <c r="K1369" s="119">
        <v>6.5</v>
      </c>
      <c r="L1369" s="111" t="s">
        <v>3151</v>
      </c>
      <c r="O1369" s="111" t="s">
        <v>1585</v>
      </c>
    </row>
    <row r="1370" spans="2:15" ht="15" customHeight="1" x14ac:dyDescent="0.15">
      <c r="B1370" s="29" t="s">
        <v>41</v>
      </c>
      <c r="C1370" s="266">
        <v>44071</v>
      </c>
      <c r="D1370" s="29" t="s">
        <v>1184</v>
      </c>
      <c r="E1370" s="105" t="s">
        <v>34</v>
      </c>
      <c r="F1370" s="147">
        <v>0.04</v>
      </c>
      <c r="I1370" s="29" t="s">
        <v>1944</v>
      </c>
      <c r="J1370" s="29" t="s">
        <v>3022</v>
      </c>
      <c r="K1370" s="119">
        <v>4</v>
      </c>
      <c r="L1370" s="111" t="s">
        <v>2039</v>
      </c>
      <c r="O1370" s="116" t="s">
        <v>1496</v>
      </c>
    </row>
    <row r="1371" spans="2:15" ht="15" customHeight="1" x14ac:dyDescent="0.15">
      <c r="B1371" s="29" t="s">
        <v>41</v>
      </c>
      <c r="C1371" s="266">
        <v>44071</v>
      </c>
      <c r="D1371" s="29" t="s">
        <v>3032</v>
      </c>
      <c r="E1371" s="105" t="s">
        <v>6</v>
      </c>
      <c r="F1371" s="147">
        <v>0.04</v>
      </c>
      <c r="I1371" s="29" t="s">
        <v>15</v>
      </c>
      <c r="J1371" s="29" t="s">
        <v>173</v>
      </c>
      <c r="K1371" s="119">
        <v>2.5</v>
      </c>
      <c r="L1371" s="111" t="s">
        <v>2864</v>
      </c>
      <c r="M1371" s="111" t="s">
        <v>3033</v>
      </c>
      <c r="O1371" s="111" t="s">
        <v>3407</v>
      </c>
    </row>
    <row r="1372" spans="2:15" ht="15" customHeight="1" x14ac:dyDescent="0.15">
      <c r="B1372" s="29" t="s">
        <v>361</v>
      </c>
      <c r="C1372" s="266">
        <v>44071</v>
      </c>
      <c r="D1372" s="29" t="s">
        <v>3025</v>
      </c>
      <c r="E1372" s="105" t="s">
        <v>34</v>
      </c>
      <c r="F1372" s="147">
        <v>7.3999999999999996E-2</v>
      </c>
      <c r="I1372" s="29" t="s">
        <v>772</v>
      </c>
      <c r="J1372" s="29" t="s">
        <v>1287</v>
      </c>
      <c r="K1372" s="119">
        <v>8</v>
      </c>
      <c r="L1372" s="111" t="s">
        <v>3029</v>
      </c>
      <c r="O1372" s="111" t="s">
        <v>3025</v>
      </c>
    </row>
    <row r="1373" spans="2:15" ht="15" customHeight="1" x14ac:dyDescent="0.15">
      <c r="B1373" s="29" t="s">
        <v>18</v>
      </c>
      <c r="C1373" s="266">
        <v>44071</v>
      </c>
      <c r="D1373" s="29" t="s">
        <v>3026</v>
      </c>
      <c r="E1373" s="105" t="s">
        <v>190</v>
      </c>
      <c r="F1373" s="147">
        <v>0.04</v>
      </c>
      <c r="I1373" s="29" t="s">
        <v>16</v>
      </c>
      <c r="J1373" s="29" t="s">
        <v>582</v>
      </c>
      <c r="K1373" s="119">
        <v>6</v>
      </c>
      <c r="L1373" s="111" t="s">
        <v>3151</v>
      </c>
      <c r="O1373" s="111" t="s">
        <v>1585</v>
      </c>
    </row>
    <row r="1374" spans="2:15" ht="15" customHeight="1" x14ac:dyDescent="0.15">
      <c r="B1374" s="29" t="s">
        <v>26</v>
      </c>
      <c r="C1374" s="266">
        <v>44071</v>
      </c>
      <c r="D1374" s="29" t="s">
        <v>921</v>
      </c>
      <c r="E1374" s="105" t="s">
        <v>27</v>
      </c>
      <c r="F1374" s="147">
        <v>0.15</v>
      </c>
      <c r="G1374" s="29" t="s">
        <v>3529</v>
      </c>
      <c r="I1374" s="29" t="s">
        <v>491</v>
      </c>
      <c r="J1374" s="29" t="s">
        <v>311</v>
      </c>
      <c r="K1374" s="119">
        <v>9.5</v>
      </c>
      <c r="L1374" s="111" t="s">
        <v>921</v>
      </c>
      <c r="O1374" s="116" t="s">
        <v>1537</v>
      </c>
    </row>
    <row r="1375" spans="2:15" ht="15" customHeight="1" x14ac:dyDescent="0.15">
      <c r="B1375" s="29" t="s">
        <v>18</v>
      </c>
      <c r="C1375" s="266">
        <v>44071</v>
      </c>
      <c r="D1375" s="29" t="s">
        <v>3434</v>
      </c>
      <c r="E1375" s="105" t="s">
        <v>27</v>
      </c>
      <c r="F1375" s="147">
        <v>0.157</v>
      </c>
      <c r="I1375" s="29" t="s">
        <v>3028</v>
      </c>
      <c r="J1375" s="29" t="s">
        <v>2180</v>
      </c>
      <c r="K1375" s="119">
        <v>9</v>
      </c>
      <c r="L1375" s="111" t="s">
        <v>2055</v>
      </c>
      <c r="O1375" s="111" t="s">
        <v>1516</v>
      </c>
    </row>
    <row r="1376" spans="2:15" ht="15" customHeight="1" x14ac:dyDescent="0.15">
      <c r="B1376" s="29" t="s">
        <v>361</v>
      </c>
      <c r="C1376" s="266">
        <v>44071</v>
      </c>
      <c r="D1376" s="29" t="s">
        <v>55</v>
      </c>
      <c r="E1376" s="105" t="s">
        <v>6</v>
      </c>
      <c r="F1376" s="147">
        <v>5.5E-2</v>
      </c>
      <c r="G1376" s="29" t="s">
        <v>3029</v>
      </c>
      <c r="I1376" s="29" t="s">
        <v>3030</v>
      </c>
      <c r="J1376" s="29" t="s">
        <v>3031</v>
      </c>
      <c r="K1376" s="119">
        <v>7.5</v>
      </c>
      <c r="L1376" s="111" t="s">
        <v>2698</v>
      </c>
      <c r="O1376" s="111" t="s">
        <v>2698</v>
      </c>
    </row>
    <row r="1377" spans="2:16" ht="15" customHeight="1" x14ac:dyDescent="0.15">
      <c r="B1377" s="29" t="s">
        <v>361</v>
      </c>
      <c r="C1377" s="266">
        <v>44071</v>
      </c>
      <c r="D1377" s="29" t="s">
        <v>3034</v>
      </c>
      <c r="E1377" s="105" t="s">
        <v>6</v>
      </c>
      <c r="F1377" s="147">
        <v>0.05</v>
      </c>
      <c r="I1377" s="29" t="s">
        <v>3042</v>
      </c>
      <c r="J1377" s="29" t="s">
        <v>3041</v>
      </c>
      <c r="K1377" s="119">
        <v>0.5</v>
      </c>
      <c r="L1377" s="111" t="s">
        <v>3153</v>
      </c>
      <c r="O1377" s="111" t="s">
        <v>3152</v>
      </c>
    </row>
    <row r="1378" spans="2:16" ht="15" customHeight="1" x14ac:dyDescent="0.15">
      <c r="B1378" s="29" t="s">
        <v>26</v>
      </c>
      <c r="C1378" s="266">
        <v>44071</v>
      </c>
      <c r="D1378" s="29" t="s">
        <v>3034</v>
      </c>
      <c r="E1378" s="105" t="s">
        <v>6</v>
      </c>
      <c r="F1378" s="147">
        <v>0.05</v>
      </c>
      <c r="I1378" s="29" t="s">
        <v>1078</v>
      </c>
      <c r="J1378" s="29" t="s">
        <v>82</v>
      </c>
      <c r="K1378" s="119">
        <v>6</v>
      </c>
      <c r="L1378" s="111" t="s">
        <v>3153</v>
      </c>
      <c r="O1378" s="111" t="s">
        <v>3152</v>
      </c>
    </row>
    <row r="1379" spans="2:16" ht="15" customHeight="1" x14ac:dyDescent="0.15">
      <c r="B1379" s="29" t="s">
        <v>61</v>
      </c>
      <c r="C1379" s="266">
        <v>44071</v>
      </c>
      <c r="D1379" s="29" t="s">
        <v>3035</v>
      </c>
      <c r="E1379" s="105" t="s">
        <v>12</v>
      </c>
      <c r="F1379" s="147">
        <v>0.41</v>
      </c>
      <c r="I1379" s="29" t="s">
        <v>2648</v>
      </c>
      <c r="J1379" s="29" t="s">
        <v>3054</v>
      </c>
      <c r="K1379" s="119">
        <v>6.5</v>
      </c>
      <c r="L1379" s="111" t="s">
        <v>1756</v>
      </c>
      <c r="O1379" s="111" t="s">
        <v>3154</v>
      </c>
    </row>
    <row r="1380" spans="2:16" ht="15" customHeight="1" x14ac:dyDescent="0.15">
      <c r="B1380" s="29" t="s">
        <v>38</v>
      </c>
      <c r="C1380" s="266">
        <v>44071</v>
      </c>
      <c r="D1380" s="29" t="s">
        <v>3039</v>
      </c>
      <c r="E1380" s="105" t="s">
        <v>42</v>
      </c>
      <c r="F1380" s="147">
        <v>0.13500000000000001</v>
      </c>
      <c r="I1380" s="29" t="s">
        <v>3037</v>
      </c>
      <c r="J1380" s="29" t="s">
        <v>3038</v>
      </c>
      <c r="K1380" s="119">
        <v>8</v>
      </c>
      <c r="L1380" s="111" t="s">
        <v>3155</v>
      </c>
      <c r="O1380" s="111" t="s">
        <v>3155</v>
      </c>
    </row>
    <row r="1381" spans="2:16" ht="15" customHeight="1" x14ac:dyDescent="0.15">
      <c r="B1381" s="29" t="s">
        <v>189</v>
      </c>
      <c r="C1381" s="266">
        <v>44071</v>
      </c>
      <c r="D1381" s="29" t="s">
        <v>3039</v>
      </c>
      <c r="E1381" s="105" t="s">
        <v>42</v>
      </c>
      <c r="F1381" s="147">
        <v>0.13500000000000001</v>
      </c>
      <c r="I1381" s="29" t="s">
        <v>3045</v>
      </c>
      <c r="J1381" s="29" t="s">
        <v>465</v>
      </c>
      <c r="K1381" s="119">
        <v>8</v>
      </c>
      <c r="L1381" s="111" t="s">
        <v>3155</v>
      </c>
      <c r="O1381" s="111" t="s">
        <v>3155</v>
      </c>
    </row>
    <row r="1382" spans="2:16" ht="15" customHeight="1" x14ac:dyDescent="0.15">
      <c r="B1382" s="29" t="s">
        <v>18</v>
      </c>
      <c r="C1382" s="266">
        <v>44071</v>
      </c>
      <c r="D1382" s="29" t="s">
        <v>3036</v>
      </c>
      <c r="E1382" s="105" t="s">
        <v>190</v>
      </c>
      <c r="F1382" s="147">
        <v>0.04</v>
      </c>
      <c r="I1382" s="29" t="s">
        <v>699</v>
      </c>
      <c r="J1382" s="29" t="s">
        <v>2946</v>
      </c>
      <c r="K1382" s="119">
        <v>5.5</v>
      </c>
      <c r="L1382" s="111" t="s">
        <v>3151</v>
      </c>
      <c r="O1382" s="111" t="s">
        <v>1585</v>
      </c>
    </row>
    <row r="1383" spans="2:16" ht="15" customHeight="1" x14ac:dyDescent="0.15">
      <c r="B1383" s="29" t="s">
        <v>38</v>
      </c>
      <c r="C1383" s="266">
        <v>44071</v>
      </c>
      <c r="D1383" s="29" t="s">
        <v>3040</v>
      </c>
      <c r="E1383" s="105" t="s">
        <v>6</v>
      </c>
      <c r="F1383" s="147">
        <v>3.7999999999999999E-2</v>
      </c>
      <c r="I1383" s="29" t="s">
        <v>3046</v>
      </c>
      <c r="J1383" s="29" t="s">
        <v>3047</v>
      </c>
      <c r="K1383" s="119">
        <v>9</v>
      </c>
      <c r="L1383" s="111" t="s">
        <v>3156</v>
      </c>
      <c r="O1383" s="111" t="s">
        <v>3156</v>
      </c>
    </row>
    <row r="1384" spans="2:16" ht="15" customHeight="1" x14ac:dyDescent="0.15">
      <c r="B1384" s="29" t="s">
        <v>361</v>
      </c>
      <c r="C1384" s="266">
        <v>44071</v>
      </c>
      <c r="D1384" s="29" t="s">
        <v>3050</v>
      </c>
      <c r="E1384" s="105" t="s">
        <v>36</v>
      </c>
      <c r="F1384" s="147">
        <v>0.05</v>
      </c>
      <c r="I1384" s="29" t="s">
        <v>3051</v>
      </c>
      <c r="J1384" s="29" t="s">
        <v>3052</v>
      </c>
      <c r="K1384" s="119">
        <v>2</v>
      </c>
      <c r="L1384" s="111" t="s">
        <v>3044</v>
      </c>
      <c r="O1384" s="111" t="s">
        <v>1516</v>
      </c>
    </row>
    <row r="1385" spans="2:16" ht="15" customHeight="1" x14ac:dyDescent="0.15">
      <c r="B1385" s="29" t="s">
        <v>41</v>
      </c>
      <c r="C1385" s="266">
        <v>44071</v>
      </c>
      <c r="D1385" s="29" t="s">
        <v>3043</v>
      </c>
      <c r="E1385" s="105" t="s">
        <v>34</v>
      </c>
      <c r="F1385" s="147">
        <v>0.04</v>
      </c>
      <c r="I1385" s="29" t="s">
        <v>525</v>
      </c>
      <c r="J1385" s="29" t="s">
        <v>1370</v>
      </c>
      <c r="K1385" s="119">
        <v>6</v>
      </c>
      <c r="L1385" s="111" t="s">
        <v>3157</v>
      </c>
      <c r="O1385" s="111" t="s">
        <v>1589</v>
      </c>
    </row>
    <row r="1386" spans="2:16" ht="15" customHeight="1" x14ac:dyDescent="0.15">
      <c r="B1386" s="29" t="s">
        <v>18</v>
      </c>
      <c r="C1386" s="266">
        <v>44071</v>
      </c>
      <c r="D1386" s="29" t="s">
        <v>3048</v>
      </c>
      <c r="E1386" s="105" t="s">
        <v>190</v>
      </c>
      <c r="F1386" s="147">
        <v>0.04</v>
      </c>
      <c r="I1386" s="29" t="s">
        <v>322</v>
      </c>
      <c r="J1386" s="29" t="s">
        <v>3049</v>
      </c>
      <c r="K1386" s="119">
        <v>5.5</v>
      </c>
      <c r="L1386" s="111" t="s">
        <v>3151</v>
      </c>
      <c r="O1386" s="111" t="s">
        <v>1585</v>
      </c>
    </row>
    <row r="1387" spans="2:16" ht="15" customHeight="1" x14ac:dyDescent="0.15">
      <c r="B1387" s="29" t="s">
        <v>41</v>
      </c>
      <c r="C1387" s="266">
        <v>44071</v>
      </c>
      <c r="D1387" s="29" t="s">
        <v>2142</v>
      </c>
      <c r="E1387" s="105" t="s">
        <v>34</v>
      </c>
      <c r="F1387" s="147">
        <v>0.04</v>
      </c>
      <c r="I1387" s="29" t="s">
        <v>322</v>
      </c>
      <c r="J1387" s="29" t="s">
        <v>2911</v>
      </c>
      <c r="K1387" s="119">
        <v>4</v>
      </c>
      <c r="L1387" s="111" t="s">
        <v>1704</v>
      </c>
      <c r="O1387" s="111" t="s">
        <v>1705</v>
      </c>
    </row>
    <row r="1388" spans="2:16" ht="15" customHeight="1" x14ac:dyDescent="0.15">
      <c r="B1388" s="29" t="s">
        <v>18</v>
      </c>
      <c r="C1388" s="266">
        <v>44071</v>
      </c>
      <c r="D1388" s="29" t="s">
        <v>3434</v>
      </c>
      <c r="E1388" s="105" t="s">
        <v>27</v>
      </c>
      <c r="F1388" s="147">
        <v>0.157</v>
      </c>
      <c r="G1388" s="29" t="s">
        <v>3053</v>
      </c>
      <c r="H1388" s="29" t="s">
        <v>394</v>
      </c>
      <c r="I1388" s="29" t="s">
        <v>3057</v>
      </c>
      <c r="J1388" s="29" t="s">
        <v>3058</v>
      </c>
      <c r="K1388" s="119">
        <v>9.5</v>
      </c>
      <c r="L1388" s="111" t="s">
        <v>2055</v>
      </c>
      <c r="O1388" s="111" t="s">
        <v>1516</v>
      </c>
      <c r="P1388" s="23" t="s">
        <v>3158</v>
      </c>
    </row>
    <row r="1389" spans="2:16" ht="15" customHeight="1" x14ac:dyDescent="0.15">
      <c r="B1389" s="29" t="s">
        <v>26</v>
      </c>
      <c r="C1389" s="266">
        <v>44071</v>
      </c>
      <c r="D1389" s="29" t="s">
        <v>3055</v>
      </c>
      <c r="E1389" s="105" t="s">
        <v>34</v>
      </c>
      <c r="F1389" s="147">
        <v>0.04</v>
      </c>
      <c r="I1389" s="29" t="s">
        <v>3062</v>
      </c>
      <c r="J1389" s="29" t="s">
        <v>705</v>
      </c>
      <c r="K1389" s="119">
        <v>7</v>
      </c>
      <c r="L1389" s="111" t="s">
        <v>2973</v>
      </c>
      <c r="O1389" s="111" t="s">
        <v>2968</v>
      </c>
    </row>
    <row r="1390" spans="2:16" ht="15" customHeight="1" x14ac:dyDescent="0.15">
      <c r="B1390" s="29" t="s">
        <v>361</v>
      </c>
      <c r="C1390" s="266">
        <v>44071</v>
      </c>
      <c r="D1390" s="136" t="s">
        <v>3410</v>
      </c>
      <c r="E1390" s="105" t="s">
        <v>12</v>
      </c>
      <c r="F1390" s="147">
        <v>0.05</v>
      </c>
      <c r="I1390" s="29" t="s">
        <v>15</v>
      </c>
      <c r="J1390" s="29" t="s">
        <v>3072</v>
      </c>
      <c r="K1390" s="119">
        <v>7</v>
      </c>
      <c r="L1390" s="111" t="s">
        <v>1472</v>
      </c>
      <c r="O1390" s="111" t="s">
        <v>1455</v>
      </c>
    </row>
    <row r="1391" spans="2:16" ht="15" customHeight="1" x14ac:dyDescent="0.15">
      <c r="B1391" s="29" t="s">
        <v>61</v>
      </c>
      <c r="C1391" s="266">
        <v>44071</v>
      </c>
      <c r="D1391" s="29" t="s">
        <v>3056</v>
      </c>
      <c r="E1391" s="105" t="s">
        <v>27</v>
      </c>
      <c r="F1391" s="147">
        <v>0.22</v>
      </c>
      <c r="I1391" s="29" t="s">
        <v>202</v>
      </c>
      <c r="J1391" s="29" t="s">
        <v>3059</v>
      </c>
      <c r="K1391" s="119">
        <v>3</v>
      </c>
      <c r="L1391" s="111" t="s">
        <v>3453</v>
      </c>
      <c r="O1391" s="111" t="s">
        <v>3453</v>
      </c>
    </row>
    <row r="1392" spans="2:16" ht="15" customHeight="1" x14ac:dyDescent="0.15">
      <c r="B1392" s="29" t="s">
        <v>61</v>
      </c>
      <c r="C1392" s="266">
        <v>44071</v>
      </c>
      <c r="D1392" s="29" t="s">
        <v>3056</v>
      </c>
      <c r="E1392" s="105" t="s">
        <v>27</v>
      </c>
      <c r="F1392" s="147">
        <v>0.22</v>
      </c>
      <c r="G1392" s="105" t="s">
        <v>3060</v>
      </c>
      <c r="I1392" s="29" t="s">
        <v>3061</v>
      </c>
      <c r="J1392" s="29" t="s">
        <v>2473</v>
      </c>
      <c r="K1392" s="119">
        <v>8</v>
      </c>
      <c r="L1392" s="111" t="s">
        <v>3453</v>
      </c>
      <c r="O1392" s="111" t="s">
        <v>3453</v>
      </c>
    </row>
    <row r="1393" spans="2:15" ht="15" customHeight="1" x14ac:dyDescent="0.15">
      <c r="B1393" s="29" t="s">
        <v>18</v>
      </c>
      <c r="C1393" s="266">
        <v>44071</v>
      </c>
      <c r="D1393" s="29" t="s">
        <v>3063</v>
      </c>
      <c r="E1393" s="105" t="s">
        <v>36</v>
      </c>
      <c r="F1393" s="147">
        <v>0.43</v>
      </c>
      <c r="I1393" s="29" t="s">
        <v>467</v>
      </c>
      <c r="J1393" s="29" t="s">
        <v>2599</v>
      </c>
      <c r="K1393" s="119">
        <v>6.5</v>
      </c>
      <c r="L1393" s="111" t="s">
        <v>1523</v>
      </c>
      <c r="O1393" s="111" t="s">
        <v>1523</v>
      </c>
    </row>
    <row r="1394" spans="2:15" ht="15" customHeight="1" x14ac:dyDescent="0.15">
      <c r="B1394" s="29" t="s">
        <v>26</v>
      </c>
      <c r="C1394" s="266">
        <v>44071</v>
      </c>
      <c r="D1394" s="29" t="s">
        <v>1489</v>
      </c>
      <c r="E1394" s="105" t="s">
        <v>36</v>
      </c>
      <c r="F1394" s="147">
        <v>0.4</v>
      </c>
      <c r="G1394" s="29" t="s">
        <v>2823</v>
      </c>
      <c r="I1394" s="29" t="s">
        <v>3064</v>
      </c>
      <c r="J1394" s="29" t="s">
        <v>3065</v>
      </c>
      <c r="K1394" s="119">
        <v>0.5</v>
      </c>
      <c r="L1394" s="111" t="s">
        <v>1489</v>
      </c>
      <c r="O1394" s="116" t="s">
        <v>1490</v>
      </c>
    </row>
    <row r="1395" spans="2:15" ht="15" customHeight="1" x14ac:dyDescent="0.15">
      <c r="B1395" s="29" t="s">
        <v>361</v>
      </c>
      <c r="C1395" s="266">
        <v>44071</v>
      </c>
      <c r="D1395" s="29" t="s">
        <v>616</v>
      </c>
      <c r="E1395" s="105" t="s">
        <v>65</v>
      </c>
      <c r="F1395" s="147">
        <v>0.4</v>
      </c>
      <c r="G1395" s="23" t="s">
        <v>3410</v>
      </c>
      <c r="I1395" s="29" t="s">
        <v>3066</v>
      </c>
      <c r="J1395" s="29" t="s">
        <v>3482</v>
      </c>
      <c r="K1395" s="119">
        <v>4</v>
      </c>
      <c r="L1395" s="111" t="s">
        <v>1495</v>
      </c>
      <c r="O1395" s="111" t="s">
        <v>1494</v>
      </c>
    </row>
    <row r="1396" spans="2:15" ht="15" customHeight="1" x14ac:dyDescent="0.15">
      <c r="B1396" s="29" t="s">
        <v>18</v>
      </c>
      <c r="C1396" s="266">
        <v>44071</v>
      </c>
      <c r="D1396" s="29" t="s">
        <v>3067</v>
      </c>
      <c r="E1396" s="105" t="s">
        <v>190</v>
      </c>
      <c r="F1396" s="147">
        <v>0.04</v>
      </c>
      <c r="I1396" s="29" t="s">
        <v>2305</v>
      </c>
      <c r="J1396" s="29" t="s">
        <v>2534</v>
      </c>
      <c r="K1396" s="119">
        <v>7.5</v>
      </c>
      <c r="L1396" s="111" t="s">
        <v>3151</v>
      </c>
      <c r="O1396" s="111" t="s">
        <v>1585</v>
      </c>
    </row>
    <row r="1397" spans="2:15" ht="15" customHeight="1" x14ac:dyDescent="0.15">
      <c r="B1397" s="29" t="s">
        <v>61</v>
      </c>
      <c r="C1397" s="266">
        <v>44071</v>
      </c>
      <c r="D1397" s="29" t="s">
        <v>506</v>
      </c>
      <c r="E1397" s="105" t="s">
        <v>12</v>
      </c>
      <c r="F1397" s="147">
        <v>0.4</v>
      </c>
      <c r="I1397" s="29" t="s">
        <v>3068</v>
      </c>
      <c r="J1397" s="29" t="s">
        <v>3069</v>
      </c>
      <c r="K1397" s="119">
        <v>5</v>
      </c>
      <c r="L1397" s="111" t="s">
        <v>1725</v>
      </c>
      <c r="O1397" s="111" t="s">
        <v>1516</v>
      </c>
    </row>
    <row r="1398" spans="2:15" ht="15" customHeight="1" x14ac:dyDescent="0.15">
      <c r="B1398" s="29" t="s">
        <v>41</v>
      </c>
      <c r="C1398" s="266">
        <v>44071</v>
      </c>
      <c r="D1398" s="29" t="s">
        <v>3070</v>
      </c>
      <c r="E1398" s="105" t="s">
        <v>12</v>
      </c>
      <c r="F1398" s="147">
        <v>0.25</v>
      </c>
      <c r="I1398" s="29" t="s">
        <v>225</v>
      </c>
      <c r="J1398" s="29" t="s">
        <v>1234</v>
      </c>
      <c r="K1398" s="119">
        <v>7</v>
      </c>
      <c r="L1398" s="111" t="s">
        <v>1893</v>
      </c>
      <c r="O1398" s="111" t="s">
        <v>1893</v>
      </c>
    </row>
    <row r="1399" spans="2:15" ht="15" customHeight="1" x14ac:dyDescent="0.15">
      <c r="B1399" s="29" t="s">
        <v>18</v>
      </c>
      <c r="C1399" s="266">
        <v>44071</v>
      </c>
      <c r="D1399" s="29" t="s">
        <v>3071</v>
      </c>
      <c r="E1399" s="105" t="s">
        <v>190</v>
      </c>
      <c r="F1399" s="147">
        <v>0.04</v>
      </c>
      <c r="I1399" s="29" t="s">
        <v>596</v>
      </c>
      <c r="J1399" s="29" t="s">
        <v>3073</v>
      </c>
      <c r="K1399" s="119">
        <v>6</v>
      </c>
      <c r="L1399" s="111" t="s">
        <v>3151</v>
      </c>
      <c r="O1399" s="111" t="s">
        <v>1585</v>
      </c>
    </row>
    <row r="1400" spans="2:15" ht="15" customHeight="1" x14ac:dyDescent="0.15">
      <c r="B1400" s="29" t="s">
        <v>41</v>
      </c>
      <c r="C1400" s="266">
        <v>44071</v>
      </c>
      <c r="D1400" s="53" t="s">
        <v>1105</v>
      </c>
      <c r="E1400" s="105" t="s">
        <v>32</v>
      </c>
      <c r="F1400" s="147">
        <v>0.04</v>
      </c>
      <c r="I1400" s="29" t="s">
        <v>3075</v>
      </c>
      <c r="J1400" s="29" t="s">
        <v>3076</v>
      </c>
      <c r="K1400" s="119">
        <v>3.5</v>
      </c>
      <c r="L1400" s="111" t="s">
        <v>1584</v>
      </c>
      <c r="O1400" s="111" t="s">
        <v>1585</v>
      </c>
    </row>
    <row r="1401" spans="2:15" ht="15" customHeight="1" x14ac:dyDescent="0.15">
      <c r="B1401" s="29" t="s">
        <v>361</v>
      </c>
      <c r="C1401" s="266">
        <v>44071</v>
      </c>
      <c r="D1401" s="29" t="s">
        <v>3476</v>
      </c>
      <c r="E1401" s="105" t="s">
        <v>12</v>
      </c>
      <c r="F1401" s="147">
        <v>7.2999999999999995E-2</v>
      </c>
      <c r="I1401" s="29" t="s">
        <v>783</v>
      </c>
      <c r="J1401" s="29" t="s">
        <v>3074</v>
      </c>
      <c r="K1401" s="119">
        <v>4</v>
      </c>
      <c r="L1401" s="111" t="s">
        <v>11</v>
      </c>
      <c r="O1401" s="111" t="s">
        <v>11</v>
      </c>
    </row>
    <row r="1402" spans="2:15" ht="15" customHeight="1" x14ac:dyDescent="0.15">
      <c r="B1402" s="29" t="s">
        <v>26</v>
      </c>
      <c r="C1402" s="266">
        <v>44071</v>
      </c>
      <c r="D1402" s="29" t="s">
        <v>3077</v>
      </c>
      <c r="E1402" s="105" t="s">
        <v>34</v>
      </c>
      <c r="F1402" s="147">
        <v>0.04</v>
      </c>
      <c r="I1402" s="29" t="s">
        <v>3078</v>
      </c>
      <c r="J1402" s="29" t="s">
        <v>2646</v>
      </c>
      <c r="K1402" s="119">
        <v>8</v>
      </c>
      <c r="L1402" s="111" t="s">
        <v>2973</v>
      </c>
      <c r="O1402" s="111" t="s">
        <v>2968</v>
      </c>
    </row>
    <row r="1403" spans="2:15" ht="15" customHeight="1" x14ac:dyDescent="0.15">
      <c r="B1403" s="29" t="s">
        <v>26</v>
      </c>
      <c r="C1403" s="266">
        <v>44078</v>
      </c>
      <c r="D1403" s="29" t="s">
        <v>3079</v>
      </c>
      <c r="E1403" s="105" t="s">
        <v>42</v>
      </c>
      <c r="F1403" s="147">
        <v>0.13500000000000001</v>
      </c>
      <c r="I1403" s="29" t="s">
        <v>82</v>
      </c>
      <c r="J1403" s="29" t="s">
        <v>2332</v>
      </c>
      <c r="K1403" s="119">
        <v>8.5</v>
      </c>
      <c r="L1403" s="111" t="s">
        <v>3080</v>
      </c>
      <c r="O1403" s="111" t="s">
        <v>2963</v>
      </c>
    </row>
    <row r="1404" spans="2:15" ht="15" customHeight="1" x14ac:dyDescent="0.15">
      <c r="B1404" s="29" t="s">
        <v>41</v>
      </c>
      <c r="C1404" s="266">
        <v>44078</v>
      </c>
      <c r="D1404" s="29" t="s">
        <v>3081</v>
      </c>
      <c r="E1404" s="105" t="s">
        <v>34</v>
      </c>
      <c r="F1404" s="147">
        <v>4.2000000000000003E-2</v>
      </c>
      <c r="I1404" s="29" t="s">
        <v>3085</v>
      </c>
      <c r="J1404" s="29" t="s">
        <v>317</v>
      </c>
      <c r="K1404" s="119">
        <v>7</v>
      </c>
      <c r="L1404" s="111" t="s">
        <v>3082</v>
      </c>
      <c r="O1404" s="111" t="s">
        <v>3159</v>
      </c>
    </row>
    <row r="1405" spans="2:15" ht="15" customHeight="1" x14ac:dyDescent="0.15">
      <c r="B1405" s="29" t="s">
        <v>73</v>
      </c>
      <c r="C1405" s="266">
        <v>44078</v>
      </c>
      <c r="D1405" s="29" t="s">
        <v>3160</v>
      </c>
      <c r="E1405" s="105" t="s">
        <v>6</v>
      </c>
      <c r="F1405" s="147">
        <v>6.5000000000000002E-2</v>
      </c>
      <c r="I1405" s="29" t="s">
        <v>3091</v>
      </c>
      <c r="J1405" s="29" t="s">
        <v>25</v>
      </c>
      <c r="K1405" s="119">
        <v>6.5</v>
      </c>
      <c r="L1405" s="111" t="s">
        <v>1819</v>
      </c>
      <c r="O1405" s="111" t="s">
        <v>1819</v>
      </c>
    </row>
    <row r="1406" spans="2:15" ht="15" customHeight="1" x14ac:dyDescent="0.15">
      <c r="B1406" s="29" t="s">
        <v>45</v>
      </c>
      <c r="C1406" s="266">
        <v>44078</v>
      </c>
      <c r="D1406" s="29" t="s">
        <v>3083</v>
      </c>
      <c r="E1406" s="105" t="s">
        <v>6</v>
      </c>
      <c r="F1406" s="147">
        <v>4.9000000000000002E-2</v>
      </c>
      <c r="I1406" s="29" t="s">
        <v>3087</v>
      </c>
      <c r="J1406" s="29" t="s">
        <v>3088</v>
      </c>
      <c r="K1406" s="119">
        <v>5.5</v>
      </c>
      <c r="L1406" s="111" t="s">
        <v>1679</v>
      </c>
      <c r="O1406" s="111" t="s">
        <v>1680</v>
      </c>
    </row>
    <row r="1407" spans="2:15" ht="15" customHeight="1" x14ac:dyDescent="0.15">
      <c r="B1407" s="29" t="s">
        <v>361</v>
      </c>
      <c r="C1407" s="266">
        <v>44078</v>
      </c>
      <c r="D1407" s="29" t="s">
        <v>3084</v>
      </c>
      <c r="E1407" s="105" t="s">
        <v>34</v>
      </c>
      <c r="F1407" s="147">
        <v>0.05</v>
      </c>
      <c r="I1407" s="29" t="s">
        <v>25</v>
      </c>
      <c r="J1407" s="29" t="s">
        <v>3090</v>
      </c>
      <c r="K1407" s="119">
        <v>4</v>
      </c>
      <c r="L1407" s="111" t="s">
        <v>1483</v>
      </c>
      <c r="O1407" s="111" t="s">
        <v>1483</v>
      </c>
    </row>
    <row r="1408" spans="2:15" ht="15" customHeight="1" x14ac:dyDescent="0.15">
      <c r="B1408" s="29" t="s">
        <v>41</v>
      </c>
      <c r="C1408" s="266">
        <v>44078</v>
      </c>
      <c r="D1408" s="29" t="s">
        <v>3086</v>
      </c>
      <c r="E1408" s="105" t="s">
        <v>6</v>
      </c>
      <c r="F1408" s="147">
        <v>0.06</v>
      </c>
      <c r="I1408" s="29" t="s">
        <v>3089</v>
      </c>
      <c r="J1408" s="29" t="s">
        <v>3482</v>
      </c>
      <c r="K1408" s="119">
        <v>2</v>
      </c>
      <c r="L1408" s="111" t="s">
        <v>2679</v>
      </c>
      <c r="M1408" s="111" t="s">
        <v>1535</v>
      </c>
      <c r="O1408" s="111" t="s">
        <v>3161</v>
      </c>
    </row>
    <row r="1409" spans="2:15" ht="15" customHeight="1" x14ac:dyDescent="0.15">
      <c r="B1409" s="29" t="s">
        <v>26</v>
      </c>
      <c r="C1409" s="266">
        <v>44078</v>
      </c>
      <c r="D1409" s="29" t="s">
        <v>3083</v>
      </c>
      <c r="E1409" s="105" t="s">
        <v>6</v>
      </c>
      <c r="F1409" s="147">
        <v>4.9000000000000002E-2</v>
      </c>
      <c r="I1409" s="29" t="s">
        <v>232</v>
      </c>
      <c r="J1409" s="29" t="s">
        <v>321</v>
      </c>
      <c r="K1409" s="119">
        <v>7</v>
      </c>
      <c r="L1409" s="111" t="s">
        <v>1679</v>
      </c>
      <c r="O1409" s="111" t="s">
        <v>1680</v>
      </c>
    </row>
    <row r="1410" spans="2:15" ht="15" customHeight="1" x14ac:dyDescent="0.15">
      <c r="B1410" s="29" t="s">
        <v>45</v>
      </c>
      <c r="C1410" s="266">
        <v>44078</v>
      </c>
      <c r="D1410" s="29" t="s">
        <v>3162</v>
      </c>
      <c r="E1410" s="105" t="s">
        <v>6</v>
      </c>
      <c r="F1410" s="147">
        <v>4.4999999999999998E-2</v>
      </c>
      <c r="I1410" s="29" t="s">
        <v>25</v>
      </c>
      <c r="J1410" s="29" t="s">
        <v>1173</v>
      </c>
      <c r="K1410" s="119">
        <v>7.5</v>
      </c>
      <c r="L1410" s="111" t="s">
        <v>3163</v>
      </c>
      <c r="O1410" s="111" t="s">
        <v>3163</v>
      </c>
    </row>
    <row r="1411" spans="2:15" ht="15" customHeight="1" x14ac:dyDescent="0.15">
      <c r="B1411" s="29" t="s">
        <v>41</v>
      </c>
      <c r="C1411" s="266">
        <v>44078</v>
      </c>
      <c r="D1411" s="29" t="s">
        <v>3092</v>
      </c>
      <c r="E1411" s="105" t="s">
        <v>6</v>
      </c>
      <c r="F1411" s="147">
        <v>3.7999999999999999E-2</v>
      </c>
      <c r="I1411" s="29" t="s">
        <v>219</v>
      </c>
      <c r="J1411" s="29" t="s">
        <v>232</v>
      </c>
      <c r="K1411" s="119">
        <v>8</v>
      </c>
      <c r="L1411" s="111" t="s">
        <v>668</v>
      </c>
      <c r="O1411" s="111" t="s">
        <v>668</v>
      </c>
    </row>
    <row r="1412" spans="2:15" ht="15" customHeight="1" x14ac:dyDescent="0.15">
      <c r="B1412" s="29" t="s">
        <v>18</v>
      </c>
      <c r="C1412" s="266">
        <v>44078</v>
      </c>
      <c r="D1412" s="29" t="s">
        <v>68</v>
      </c>
      <c r="E1412" s="105" t="s">
        <v>6</v>
      </c>
      <c r="F1412" s="147">
        <v>0.375</v>
      </c>
      <c r="G1412" s="105" t="s">
        <v>2888</v>
      </c>
      <c r="I1412" s="29" t="s">
        <v>3102</v>
      </c>
      <c r="J1412" s="29" t="s">
        <v>16</v>
      </c>
      <c r="K1412" s="119">
        <v>4</v>
      </c>
      <c r="L1412" s="111" t="s">
        <v>766</v>
      </c>
      <c r="O1412" s="111" t="s">
        <v>1516</v>
      </c>
    </row>
    <row r="1413" spans="2:15" ht="15" customHeight="1" x14ac:dyDescent="0.15">
      <c r="B1413" s="29" t="s">
        <v>73</v>
      </c>
      <c r="C1413" s="266">
        <v>44078</v>
      </c>
      <c r="D1413" s="29" t="s">
        <v>2931</v>
      </c>
      <c r="E1413" s="105" t="s">
        <v>6</v>
      </c>
      <c r="F1413" s="147">
        <v>5.8000000000000003E-2</v>
      </c>
      <c r="I1413" s="29" t="s">
        <v>699</v>
      </c>
      <c r="J1413" s="29" t="s">
        <v>198</v>
      </c>
      <c r="K1413" s="119">
        <v>4.5</v>
      </c>
      <c r="L1413" s="111" t="s">
        <v>668</v>
      </c>
      <c r="O1413" s="111" t="s">
        <v>668</v>
      </c>
    </row>
    <row r="1414" spans="2:15" ht="15" customHeight="1" x14ac:dyDescent="0.15">
      <c r="B1414" s="29" t="s">
        <v>361</v>
      </c>
      <c r="C1414" s="266">
        <v>44078</v>
      </c>
      <c r="D1414" s="29" t="s">
        <v>3093</v>
      </c>
      <c r="E1414" s="105" t="s">
        <v>34</v>
      </c>
      <c r="F1414" s="147">
        <v>4.4999999999999998E-2</v>
      </c>
      <c r="I1414" s="29" t="s">
        <v>3105</v>
      </c>
      <c r="J1414" s="29" t="s">
        <v>920</v>
      </c>
      <c r="K1414" s="119">
        <v>8</v>
      </c>
      <c r="L1414" s="111" t="s">
        <v>1775</v>
      </c>
      <c r="O1414" s="111" t="s">
        <v>1776</v>
      </c>
    </row>
    <row r="1415" spans="2:15" ht="15" customHeight="1" x14ac:dyDescent="0.15">
      <c r="B1415" s="29" t="s">
        <v>38</v>
      </c>
      <c r="C1415" s="266">
        <v>44078</v>
      </c>
      <c r="D1415" s="29" t="s">
        <v>3094</v>
      </c>
      <c r="E1415" s="105" t="s">
        <v>6</v>
      </c>
      <c r="F1415" s="147">
        <v>4.2999999999999997E-2</v>
      </c>
      <c r="I1415" s="29" t="s">
        <v>304</v>
      </c>
      <c r="J1415" s="29" t="s">
        <v>3103</v>
      </c>
      <c r="K1415" s="119">
        <v>7</v>
      </c>
      <c r="L1415" s="111" t="s">
        <v>584</v>
      </c>
      <c r="O1415" s="111" t="s">
        <v>1757</v>
      </c>
    </row>
    <row r="1416" spans="2:15" ht="15" customHeight="1" x14ac:dyDescent="0.15">
      <c r="B1416" s="29" t="s">
        <v>41</v>
      </c>
      <c r="C1416" s="266">
        <v>44078</v>
      </c>
      <c r="D1416" s="29" t="s">
        <v>3095</v>
      </c>
      <c r="E1416" s="105" t="s">
        <v>34</v>
      </c>
      <c r="F1416" s="147">
        <v>4.5999999999999999E-2</v>
      </c>
      <c r="I1416" s="29" t="s">
        <v>3115</v>
      </c>
      <c r="J1416" s="29" t="s">
        <v>3116</v>
      </c>
      <c r="K1416" s="119">
        <v>7</v>
      </c>
      <c r="L1416" s="111" t="s">
        <v>3096</v>
      </c>
      <c r="O1416" s="111" t="s">
        <v>3096</v>
      </c>
    </row>
    <row r="1417" spans="2:15" ht="15" customHeight="1" x14ac:dyDescent="0.15">
      <c r="B1417" s="29" t="s">
        <v>41</v>
      </c>
      <c r="C1417" s="266">
        <v>44078</v>
      </c>
      <c r="D1417" s="29" t="s">
        <v>3283</v>
      </c>
      <c r="E1417" s="105" t="s">
        <v>27</v>
      </c>
      <c r="F1417" s="147">
        <v>0.17</v>
      </c>
      <c r="I1417" s="29" t="s">
        <v>3098</v>
      </c>
      <c r="J1417" s="29" t="s">
        <v>3572</v>
      </c>
      <c r="K1417" s="119">
        <v>9</v>
      </c>
      <c r="L1417" s="111" t="s">
        <v>3165</v>
      </c>
      <c r="O1417" s="111" t="s">
        <v>3166</v>
      </c>
    </row>
    <row r="1418" spans="2:15" ht="15" customHeight="1" x14ac:dyDescent="0.15">
      <c r="B1418" s="29" t="s">
        <v>18</v>
      </c>
      <c r="C1418" s="266">
        <v>44078</v>
      </c>
      <c r="D1418" s="29" t="s">
        <v>3434</v>
      </c>
      <c r="E1418" s="105" t="s">
        <v>27</v>
      </c>
      <c r="F1418" s="147">
        <v>0.157</v>
      </c>
      <c r="G1418" s="29" t="s">
        <v>44</v>
      </c>
      <c r="I1418" s="29" t="s">
        <v>3484</v>
      </c>
      <c r="J1418" s="29" t="s">
        <v>3099</v>
      </c>
      <c r="K1418" s="119">
        <v>6.5</v>
      </c>
      <c r="L1418" s="111" t="s">
        <v>2055</v>
      </c>
      <c r="O1418" s="111" t="s">
        <v>1516</v>
      </c>
    </row>
    <row r="1419" spans="2:15" ht="15" customHeight="1" x14ac:dyDescent="0.15">
      <c r="B1419" s="29" t="s">
        <v>361</v>
      </c>
      <c r="C1419" s="266">
        <v>44078</v>
      </c>
      <c r="D1419" s="29" t="s">
        <v>663</v>
      </c>
      <c r="E1419" s="105" t="s">
        <v>32</v>
      </c>
      <c r="F1419" s="147">
        <v>0.2</v>
      </c>
      <c r="G1419" s="29" t="s">
        <v>3417</v>
      </c>
      <c r="I1419" s="29" t="s">
        <v>3101</v>
      </c>
      <c r="J1419" s="29" t="s">
        <v>3483</v>
      </c>
      <c r="K1419" s="119">
        <v>4</v>
      </c>
      <c r="L1419" s="111" t="s">
        <v>1777</v>
      </c>
      <c r="O1419" s="116" t="s">
        <v>1594</v>
      </c>
    </row>
    <row r="1420" spans="2:15" ht="15" customHeight="1" x14ac:dyDescent="0.15">
      <c r="B1420" s="29" t="s">
        <v>73</v>
      </c>
      <c r="C1420" s="266">
        <v>44078</v>
      </c>
      <c r="D1420" s="29" t="s">
        <v>68</v>
      </c>
      <c r="E1420" s="105" t="s">
        <v>32</v>
      </c>
      <c r="F1420" s="147">
        <v>0.375</v>
      </c>
      <c r="I1420" s="29" t="s">
        <v>287</v>
      </c>
      <c r="J1420" s="29" t="s">
        <v>534</v>
      </c>
      <c r="K1420" s="119">
        <v>3.5</v>
      </c>
      <c r="L1420" s="111" t="s">
        <v>766</v>
      </c>
      <c r="O1420" s="111" t="s">
        <v>1516</v>
      </c>
    </row>
    <row r="1421" spans="2:15" ht="15" customHeight="1" x14ac:dyDescent="0.15">
      <c r="B1421" s="29" t="s">
        <v>26</v>
      </c>
      <c r="C1421" s="266">
        <v>44078</v>
      </c>
      <c r="D1421" s="29" t="s">
        <v>3167</v>
      </c>
      <c r="E1421" s="105" t="s">
        <v>32</v>
      </c>
      <c r="F1421" s="147">
        <v>0.3</v>
      </c>
      <c r="I1421" s="29" t="s">
        <v>93</v>
      </c>
      <c r="J1421" s="29" t="s">
        <v>3097</v>
      </c>
      <c r="K1421" s="119">
        <v>7.5</v>
      </c>
      <c r="L1421" s="111" t="s">
        <v>1500</v>
      </c>
      <c r="O1421" s="111" t="s">
        <v>1500</v>
      </c>
    </row>
    <row r="1422" spans="2:15" ht="15" customHeight="1" x14ac:dyDescent="0.15">
      <c r="B1422" s="29" t="s">
        <v>45</v>
      </c>
      <c r="C1422" s="266">
        <v>44078</v>
      </c>
      <c r="D1422" s="29" t="s">
        <v>64</v>
      </c>
      <c r="E1422" s="105" t="s">
        <v>65</v>
      </c>
      <c r="F1422" s="147">
        <v>0.375</v>
      </c>
      <c r="I1422" s="29" t="s">
        <v>746</v>
      </c>
      <c r="J1422" s="29" t="s">
        <v>13</v>
      </c>
      <c r="K1422" s="119">
        <v>2.5</v>
      </c>
      <c r="L1422" s="111" t="s">
        <v>816</v>
      </c>
      <c r="O1422" s="111" t="s">
        <v>816</v>
      </c>
    </row>
    <row r="1423" spans="2:15" ht="15" customHeight="1" x14ac:dyDescent="0.15">
      <c r="B1423" s="29" t="s">
        <v>38</v>
      </c>
      <c r="C1423" s="266">
        <v>44078</v>
      </c>
      <c r="D1423" s="29" t="s">
        <v>3168</v>
      </c>
      <c r="E1423" s="105" t="s">
        <v>42</v>
      </c>
      <c r="F1423" s="147">
        <v>0.13500000000000001</v>
      </c>
      <c r="I1423" s="29" t="s">
        <v>3100</v>
      </c>
      <c r="J1423" s="29" t="s">
        <v>42</v>
      </c>
      <c r="K1423" s="119">
        <v>6</v>
      </c>
      <c r="L1423" s="111" t="s">
        <v>1496</v>
      </c>
      <c r="O1423" s="111" t="s">
        <v>1496</v>
      </c>
    </row>
    <row r="1424" spans="2:15" ht="15" customHeight="1" x14ac:dyDescent="0.15">
      <c r="B1424" s="29" t="s">
        <v>26</v>
      </c>
      <c r="C1424" s="266">
        <v>44078</v>
      </c>
      <c r="D1424" s="29" t="s">
        <v>3104</v>
      </c>
      <c r="E1424" s="105" t="s">
        <v>6</v>
      </c>
      <c r="F1424" s="147">
        <v>4.7E-2</v>
      </c>
      <c r="I1424" s="29" t="s">
        <v>311</v>
      </c>
      <c r="J1424" s="29" t="s">
        <v>2765</v>
      </c>
      <c r="K1424" s="119">
        <v>7.5</v>
      </c>
      <c r="L1424" s="111" t="s">
        <v>1515</v>
      </c>
      <c r="O1424" s="116" t="s">
        <v>1515</v>
      </c>
    </row>
    <row r="1425" spans="2:15" ht="15" customHeight="1" x14ac:dyDescent="0.15">
      <c r="B1425" s="29" t="s">
        <v>38</v>
      </c>
      <c r="C1425" s="266">
        <v>44078</v>
      </c>
      <c r="D1425" s="29" t="s">
        <v>1838</v>
      </c>
      <c r="E1425" s="105" t="s">
        <v>6</v>
      </c>
      <c r="F1425" s="147">
        <v>5.0999999999999997E-2</v>
      </c>
      <c r="I1425" s="29" t="s">
        <v>838</v>
      </c>
      <c r="J1425" s="29" t="s">
        <v>2519</v>
      </c>
      <c r="K1425" s="119">
        <v>9</v>
      </c>
      <c r="L1425" s="111" t="s">
        <v>1658</v>
      </c>
      <c r="O1425" s="116" t="s">
        <v>1659</v>
      </c>
    </row>
    <row r="1426" spans="2:15" ht="15" customHeight="1" x14ac:dyDescent="0.15">
      <c r="B1426" s="29" t="s">
        <v>73</v>
      </c>
      <c r="C1426" s="266">
        <v>44078</v>
      </c>
      <c r="D1426" s="29" t="s">
        <v>3106</v>
      </c>
      <c r="E1426" s="105" t="s">
        <v>6</v>
      </c>
      <c r="F1426" s="147">
        <v>0.05</v>
      </c>
      <c r="I1426" s="29" t="s">
        <v>313</v>
      </c>
      <c r="J1426" s="29" t="s">
        <v>3114</v>
      </c>
      <c r="K1426" s="119">
        <v>3</v>
      </c>
      <c r="L1426" s="111" t="s">
        <v>2119</v>
      </c>
      <c r="O1426" s="111" t="s">
        <v>2120</v>
      </c>
    </row>
    <row r="1427" spans="2:15" ht="15" customHeight="1" x14ac:dyDescent="0.15">
      <c r="B1427" s="29" t="s">
        <v>38</v>
      </c>
      <c r="C1427" s="266">
        <v>44078</v>
      </c>
      <c r="D1427" s="29" t="s">
        <v>3107</v>
      </c>
      <c r="E1427" s="105" t="s">
        <v>6</v>
      </c>
      <c r="F1427" s="147">
        <v>5.2999999999999999E-2</v>
      </c>
      <c r="I1427" s="236" t="b">
        <v>1</v>
      </c>
      <c r="J1427" s="29" t="s">
        <v>3117</v>
      </c>
      <c r="K1427" s="119">
        <v>8</v>
      </c>
      <c r="L1427" s="111" t="s">
        <v>1752</v>
      </c>
      <c r="O1427" s="111" t="s">
        <v>1752</v>
      </c>
    </row>
    <row r="1428" spans="2:15" ht="15" customHeight="1" x14ac:dyDescent="0.15">
      <c r="B1428" s="29" t="s">
        <v>45</v>
      </c>
      <c r="C1428" s="266">
        <v>44078</v>
      </c>
      <c r="D1428" s="29" t="s">
        <v>3108</v>
      </c>
      <c r="E1428" s="105" t="s">
        <v>6</v>
      </c>
      <c r="F1428" s="147">
        <v>4.4999999999999998E-2</v>
      </c>
      <c r="I1428" s="29" t="s">
        <v>699</v>
      </c>
      <c r="J1428" s="29" t="s">
        <v>3109</v>
      </c>
      <c r="K1428" s="119">
        <v>4.5</v>
      </c>
      <c r="L1428" s="111" t="s">
        <v>679</v>
      </c>
      <c r="O1428" s="116" t="s">
        <v>679</v>
      </c>
    </row>
    <row r="1429" spans="2:15" ht="15" customHeight="1" x14ac:dyDescent="0.15">
      <c r="B1429" s="29" t="s">
        <v>189</v>
      </c>
      <c r="C1429" s="266">
        <v>44078</v>
      </c>
      <c r="D1429" s="29" t="s">
        <v>3168</v>
      </c>
      <c r="E1429" s="105" t="s">
        <v>42</v>
      </c>
      <c r="F1429" s="147">
        <v>0.13500000000000001</v>
      </c>
      <c r="I1429" s="29" t="s">
        <v>2500</v>
      </c>
      <c r="J1429" s="29" t="s">
        <v>927</v>
      </c>
      <c r="K1429" s="119">
        <v>4.5</v>
      </c>
      <c r="L1429" s="111" t="s">
        <v>1496</v>
      </c>
      <c r="O1429" s="111" t="s">
        <v>1496</v>
      </c>
    </row>
    <row r="1430" spans="2:15" ht="15" customHeight="1" x14ac:dyDescent="0.15">
      <c r="B1430" s="29" t="s">
        <v>26</v>
      </c>
      <c r="C1430" s="266">
        <v>44078</v>
      </c>
      <c r="D1430" s="29" t="s">
        <v>3110</v>
      </c>
      <c r="E1430" s="105" t="s">
        <v>34</v>
      </c>
      <c r="F1430" s="147">
        <v>0.04</v>
      </c>
      <c r="I1430" s="29" t="s">
        <v>2305</v>
      </c>
      <c r="J1430" s="29" t="s">
        <v>2434</v>
      </c>
      <c r="K1430" s="119">
        <v>9</v>
      </c>
      <c r="L1430" s="111" t="s">
        <v>2043</v>
      </c>
      <c r="O1430" s="111" t="s">
        <v>2043</v>
      </c>
    </row>
    <row r="1431" spans="2:15" ht="15" customHeight="1" x14ac:dyDescent="0.15">
      <c r="B1431" s="29" t="s">
        <v>361</v>
      </c>
      <c r="C1431" s="266">
        <v>44078</v>
      </c>
      <c r="D1431" s="29" t="s">
        <v>3111</v>
      </c>
      <c r="E1431" s="105" t="s">
        <v>34</v>
      </c>
      <c r="F1431" s="147">
        <v>0.05</v>
      </c>
      <c r="I1431" s="29" t="s">
        <v>3120</v>
      </c>
      <c r="J1431" s="29" t="s">
        <v>3121</v>
      </c>
      <c r="K1431" s="119">
        <v>5</v>
      </c>
      <c r="L1431" s="111" t="s">
        <v>3170</v>
      </c>
      <c r="O1431" s="111" t="s">
        <v>3171</v>
      </c>
    </row>
    <row r="1432" spans="2:15" ht="15" customHeight="1" x14ac:dyDescent="0.15">
      <c r="B1432" s="29" t="s">
        <v>18</v>
      </c>
      <c r="C1432" s="266">
        <v>44078</v>
      </c>
      <c r="D1432" s="29" t="s">
        <v>3113</v>
      </c>
      <c r="E1432" s="105" t="s">
        <v>190</v>
      </c>
      <c r="F1432" s="147">
        <v>0.04</v>
      </c>
      <c r="I1432" s="29" t="s">
        <v>596</v>
      </c>
      <c r="J1432" s="29" t="s">
        <v>3112</v>
      </c>
      <c r="K1432" s="119">
        <v>3.5</v>
      </c>
      <c r="L1432" s="111" t="s">
        <v>3151</v>
      </c>
      <c r="O1432" s="111" t="s">
        <v>1585</v>
      </c>
    </row>
    <row r="1433" spans="2:15" ht="15" customHeight="1" x14ac:dyDescent="0.15">
      <c r="B1433" s="29" t="s">
        <v>45</v>
      </c>
      <c r="C1433" s="266">
        <v>44078</v>
      </c>
      <c r="D1433" s="29" t="s">
        <v>3172</v>
      </c>
      <c r="E1433" s="105" t="s">
        <v>6</v>
      </c>
      <c r="F1433" s="147">
        <v>4.2999999999999997E-2</v>
      </c>
      <c r="I1433" s="29" t="s">
        <v>3118</v>
      </c>
      <c r="J1433" s="29" t="s">
        <v>3119</v>
      </c>
      <c r="K1433" s="119">
        <v>6.5</v>
      </c>
      <c r="L1433" s="111" t="s">
        <v>3173</v>
      </c>
      <c r="O1433" s="111" t="s">
        <v>3174</v>
      </c>
    </row>
    <row r="1434" spans="2:15" ht="15" customHeight="1" x14ac:dyDescent="0.15">
      <c r="B1434" s="29" t="s">
        <v>38</v>
      </c>
      <c r="C1434" s="266">
        <v>44078</v>
      </c>
      <c r="D1434" s="29" t="s">
        <v>3175</v>
      </c>
      <c r="E1434" s="105" t="s">
        <v>6</v>
      </c>
      <c r="F1434" s="147">
        <v>6.9000000000000006E-2</v>
      </c>
      <c r="I1434" s="29" t="s">
        <v>3098</v>
      </c>
      <c r="J1434" s="29" t="s">
        <v>3133</v>
      </c>
      <c r="K1434" s="119">
        <v>8</v>
      </c>
      <c r="L1434" s="111" t="s">
        <v>1658</v>
      </c>
      <c r="O1434" s="111" t="s">
        <v>1659</v>
      </c>
    </row>
    <row r="1435" spans="2:15" ht="15" customHeight="1" x14ac:dyDescent="0.15">
      <c r="B1435" s="29" t="s">
        <v>35</v>
      </c>
      <c r="C1435" s="266">
        <v>44078</v>
      </c>
      <c r="D1435" s="29" t="s">
        <v>136</v>
      </c>
      <c r="E1435" s="105" t="s">
        <v>6</v>
      </c>
      <c r="F1435" s="147">
        <v>4.4999999999999998E-2</v>
      </c>
      <c r="I1435" s="29" t="s">
        <v>16</v>
      </c>
      <c r="J1435" s="29" t="s">
        <v>2761</v>
      </c>
      <c r="K1435" s="119">
        <v>7.5</v>
      </c>
      <c r="L1435" s="111" t="s">
        <v>2698</v>
      </c>
      <c r="O1435" s="111" t="s">
        <v>2698</v>
      </c>
    </row>
    <row r="1436" spans="2:15" ht="15" customHeight="1" x14ac:dyDescent="0.15">
      <c r="B1436" s="29" t="s">
        <v>361</v>
      </c>
      <c r="C1436" s="266">
        <v>44078</v>
      </c>
      <c r="D1436" s="29" t="s">
        <v>3122</v>
      </c>
      <c r="E1436" s="105" t="s">
        <v>34</v>
      </c>
      <c r="F1436" s="147">
        <v>4.4999999999999998E-2</v>
      </c>
      <c r="I1436" s="29" t="s">
        <v>3136</v>
      </c>
      <c r="J1436" s="29" t="s">
        <v>3137</v>
      </c>
      <c r="K1436" s="119">
        <v>7.5</v>
      </c>
      <c r="L1436" s="111" t="s">
        <v>1892</v>
      </c>
      <c r="O1436" s="111" t="s">
        <v>1565</v>
      </c>
    </row>
    <row r="1437" spans="2:15" ht="15" customHeight="1" x14ac:dyDescent="0.15">
      <c r="B1437" s="29" t="s">
        <v>35</v>
      </c>
      <c r="C1437" s="266">
        <v>44078</v>
      </c>
      <c r="D1437" s="29" t="s">
        <v>3123</v>
      </c>
      <c r="E1437" s="105" t="s">
        <v>6</v>
      </c>
      <c r="F1437" s="147">
        <v>4.3999999999999997E-2</v>
      </c>
      <c r="I1437" s="29" t="s">
        <v>3132</v>
      </c>
      <c r="J1437" s="29" t="s">
        <v>112</v>
      </c>
      <c r="K1437" s="119">
        <v>7</v>
      </c>
      <c r="L1437" s="111" t="s">
        <v>666</v>
      </c>
      <c r="O1437" s="111" t="s">
        <v>666</v>
      </c>
    </row>
    <row r="1438" spans="2:15" ht="15" customHeight="1" x14ac:dyDescent="0.15">
      <c r="B1438" s="29" t="s">
        <v>45</v>
      </c>
      <c r="C1438" s="266">
        <v>44078</v>
      </c>
      <c r="D1438" s="29" t="s">
        <v>696</v>
      </c>
      <c r="E1438" s="105" t="s">
        <v>6</v>
      </c>
      <c r="F1438" s="147">
        <v>4.7E-2</v>
      </c>
      <c r="I1438" s="29" t="s">
        <v>192</v>
      </c>
      <c r="J1438" s="29" t="s">
        <v>3135</v>
      </c>
      <c r="K1438" s="119">
        <v>8</v>
      </c>
      <c r="L1438" s="111" t="s">
        <v>1535</v>
      </c>
      <c r="O1438" s="111" t="s">
        <v>1535</v>
      </c>
    </row>
    <row r="1439" spans="2:15" ht="15" customHeight="1" x14ac:dyDescent="0.15">
      <c r="B1439" s="29" t="s">
        <v>45</v>
      </c>
      <c r="C1439" s="266">
        <v>44078</v>
      </c>
      <c r="D1439" s="29" t="s">
        <v>2649</v>
      </c>
      <c r="E1439" s="105" t="s">
        <v>12</v>
      </c>
      <c r="F1439" s="147">
        <v>0.43</v>
      </c>
      <c r="I1439" s="29" t="s">
        <v>3124</v>
      </c>
      <c r="J1439" s="29" t="s">
        <v>3125</v>
      </c>
      <c r="K1439" s="119">
        <v>4</v>
      </c>
      <c r="L1439" s="111" t="s">
        <v>1581</v>
      </c>
      <c r="O1439" s="111" t="s">
        <v>1537</v>
      </c>
    </row>
    <row r="1440" spans="2:15" ht="15" customHeight="1" x14ac:dyDescent="0.15">
      <c r="B1440" s="29" t="s">
        <v>26</v>
      </c>
      <c r="C1440" s="266">
        <v>44078</v>
      </c>
      <c r="D1440" s="29" t="s">
        <v>2907</v>
      </c>
      <c r="E1440" s="105" t="s">
        <v>65</v>
      </c>
      <c r="F1440" s="147">
        <v>0.4</v>
      </c>
      <c r="I1440" s="29" t="s">
        <v>484</v>
      </c>
      <c r="J1440" s="29" t="s">
        <v>3126</v>
      </c>
      <c r="K1440" s="119">
        <v>6</v>
      </c>
      <c r="L1440" s="111" t="s">
        <v>2845</v>
      </c>
      <c r="O1440" s="111" t="s">
        <v>2846</v>
      </c>
    </row>
    <row r="1441" spans="2:15" ht="15" customHeight="1" x14ac:dyDescent="0.15">
      <c r="B1441" s="29" t="s">
        <v>38</v>
      </c>
      <c r="C1441" s="266">
        <v>44078</v>
      </c>
      <c r="D1441" s="29" t="s">
        <v>3168</v>
      </c>
      <c r="E1441" s="105" t="s">
        <v>42</v>
      </c>
      <c r="F1441" s="147">
        <v>0.13500000000000001</v>
      </c>
      <c r="G1441" s="29" t="s">
        <v>121</v>
      </c>
      <c r="I1441" s="29" t="s">
        <v>15</v>
      </c>
      <c r="J1441" s="29" t="s">
        <v>3127</v>
      </c>
      <c r="K1441" s="119">
        <v>4</v>
      </c>
      <c r="L1441" s="111" t="s">
        <v>1496</v>
      </c>
      <c r="O1441" s="111" t="s">
        <v>1496</v>
      </c>
    </row>
    <row r="1442" spans="2:15" ht="15" customHeight="1" x14ac:dyDescent="0.15">
      <c r="B1442" s="29" t="s">
        <v>361</v>
      </c>
      <c r="C1442" s="266">
        <v>44078</v>
      </c>
      <c r="D1442" s="29" t="s">
        <v>68</v>
      </c>
      <c r="E1442" s="105" t="s">
        <v>32</v>
      </c>
      <c r="F1442" s="147">
        <v>0.375</v>
      </c>
      <c r="G1442" s="105" t="s">
        <v>3176</v>
      </c>
      <c r="I1442" s="29" t="s">
        <v>224</v>
      </c>
      <c r="J1442" s="29" t="s">
        <v>3128</v>
      </c>
      <c r="K1442" s="119">
        <v>4</v>
      </c>
      <c r="L1442" s="111" t="s">
        <v>766</v>
      </c>
      <c r="O1442" s="111" t="s">
        <v>1516</v>
      </c>
    </row>
    <row r="1443" spans="2:15" ht="15" customHeight="1" x14ac:dyDescent="0.15">
      <c r="B1443" s="29" t="s">
        <v>189</v>
      </c>
      <c r="C1443" s="266">
        <v>44078</v>
      </c>
      <c r="D1443" s="29" t="s">
        <v>3168</v>
      </c>
      <c r="E1443" s="105" t="s">
        <v>42</v>
      </c>
      <c r="F1443" s="147">
        <v>0.13500000000000001</v>
      </c>
      <c r="G1443" s="29" t="s">
        <v>121</v>
      </c>
      <c r="I1443" s="29" t="s">
        <v>16</v>
      </c>
      <c r="J1443" s="29" t="s">
        <v>3129</v>
      </c>
      <c r="K1443" s="119">
        <v>3</v>
      </c>
      <c r="L1443" s="111" t="s">
        <v>1496</v>
      </c>
      <c r="O1443" s="111" t="s">
        <v>1496</v>
      </c>
    </row>
    <row r="1444" spans="2:15" ht="15" customHeight="1" x14ac:dyDescent="0.15">
      <c r="B1444" s="29" t="s">
        <v>35</v>
      </c>
      <c r="C1444" s="266">
        <v>44078</v>
      </c>
      <c r="D1444" s="29" t="s">
        <v>155</v>
      </c>
      <c r="E1444" s="105" t="s">
        <v>190</v>
      </c>
      <c r="F1444" s="147">
        <v>0.4</v>
      </c>
      <c r="I1444" s="29" t="s">
        <v>3130</v>
      </c>
      <c r="J1444" s="29" t="s">
        <v>3131</v>
      </c>
      <c r="K1444" s="119">
        <v>3.5</v>
      </c>
      <c r="L1444" s="111" t="s">
        <v>155</v>
      </c>
      <c r="O1444" s="116" t="s">
        <v>1558</v>
      </c>
    </row>
    <row r="1445" spans="2:15" ht="15" customHeight="1" x14ac:dyDescent="0.15">
      <c r="B1445" s="29" t="s">
        <v>38</v>
      </c>
      <c r="C1445" s="266">
        <v>44078</v>
      </c>
      <c r="D1445" s="29" t="s">
        <v>3134</v>
      </c>
      <c r="E1445" s="105" t="s">
        <v>6</v>
      </c>
      <c r="F1445" s="147">
        <v>5.8000000000000003E-2</v>
      </c>
      <c r="I1445" s="29" t="s">
        <v>149</v>
      </c>
      <c r="J1445" s="29" t="s">
        <v>3138</v>
      </c>
      <c r="K1445" s="119">
        <v>2</v>
      </c>
      <c r="L1445" s="111" t="s">
        <v>3177</v>
      </c>
      <c r="O1445" s="111" t="s">
        <v>1634</v>
      </c>
    </row>
    <row r="1446" spans="2:15" ht="15" customHeight="1" x14ac:dyDescent="0.15">
      <c r="B1446" s="29" t="s">
        <v>26</v>
      </c>
      <c r="C1446" s="266">
        <v>44078</v>
      </c>
      <c r="D1446" s="29" t="s">
        <v>136</v>
      </c>
      <c r="E1446" s="105" t="s">
        <v>6</v>
      </c>
      <c r="F1446" s="147">
        <v>4.4999999999999998E-2</v>
      </c>
      <c r="I1446" s="29" t="s">
        <v>146</v>
      </c>
      <c r="J1446" s="29" t="s">
        <v>706</v>
      </c>
      <c r="K1446" s="119">
        <v>6.5</v>
      </c>
      <c r="L1446" s="111" t="s">
        <v>2698</v>
      </c>
      <c r="O1446" s="111" t="s">
        <v>2698</v>
      </c>
    </row>
    <row r="1447" spans="2:15" ht="15" customHeight="1" x14ac:dyDescent="0.15">
      <c r="B1447" s="29" t="s">
        <v>45</v>
      </c>
      <c r="C1447" s="266">
        <v>44078</v>
      </c>
      <c r="D1447" s="29" t="s">
        <v>3018</v>
      </c>
      <c r="E1447" s="105" t="s">
        <v>6</v>
      </c>
      <c r="F1447" s="147">
        <v>5.1999999999999998E-2</v>
      </c>
      <c r="I1447" s="29" t="s">
        <v>3139</v>
      </c>
      <c r="J1447" s="29" t="s">
        <v>3140</v>
      </c>
      <c r="K1447" s="119">
        <v>3.5</v>
      </c>
      <c r="L1447" s="111" t="s">
        <v>1797</v>
      </c>
      <c r="O1447" s="111" t="s">
        <v>1797</v>
      </c>
    </row>
    <row r="1448" spans="2:15" ht="15" customHeight="1" x14ac:dyDescent="0.15">
      <c r="B1448" s="29" t="s">
        <v>35</v>
      </c>
      <c r="C1448" s="266">
        <v>44078</v>
      </c>
      <c r="D1448" s="29" t="s">
        <v>3141</v>
      </c>
      <c r="E1448" s="105" t="s">
        <v>6</v>
      </c>
      <c r="F1448" s="147">
        <v>4.2000000000000003E-2</v>
      </c>
      <c r="I1448" s="29" t="s">
        <v>3142</v>
      </c>
      <c r="J1448" s="29" t="s">
        <v>3143</v>
      </c>
      <c r="K1448" s="119">
        <v>4</v>
      </c>
      <c r="L1448" s="111" t="s">
        <v>3179</v>
      </c>
      <c r="O1448" s="111" t="s">
        <v>3179</v>
      </c>
    </row>
    <row r="1449" spans="2:15" ht="15" customHeight="1" x14ac:dyDescent="0.15">
      <c r="B1449" s="29" t="s">
        <v>361</v>
      </c>
      <c r="C1449" s="266">
        <v>44078</v>
      </c>
      <c r="D1449" s="29" t="s">
        <v>2611</v>
      </c>
      <c r="E1449" s="105" t="s">
        <v>34</v>
      </c>
      <c r="F1449" s="147">
        <v>4.4999999999999998E-2</v>
      </c>
      <c r="I1449" s="29" t="s">
        <v>3145</v>
      </c>
      <c r="J1449" s="29" t="s">
        <v>3144</v>
      </c>
      <c r="K1449" s="119">
        <v>3</v>
      </c>
      <c r="L1449" s="111" t="s">
        <v>2070</v>
      </c>
      <c r="O1449" s="111" t="s">
        <v>2071</v>
      </c>
    </row>
    <row r="1450" spans="2:15" ht="15" customHeight="1" x14ac:dyDescent="0.15">
      <c r="B1450" s="29" t="s">
        <v>35</v>
      </c>
      <c r="C1450" s="266">
        <v>44078</v>
      </c>
      <c r="D1450" s="29" t="s">
        <v>664</v>
      </c>
      <c r="E1450" s="105" t="s">
        <v>6</v>
      </c>
      <c r="F1450" s="147">
        <v>3.7999999999999999E-2</v>
      </c>
      <c r="I1450" s="29" t="s">
        <v>217</v>
      </c>
      <c r="J1450" s="29" t="s">
        <v>1136</v>
      </c>
      <c r="K1450" s="119">
        <v>6.5</v>
      </c>
      <c r="L1450" s="111" t="s">
        <v>668</v>
      </c>
      <c r="O1450" s="111" t="s">
        <v>668</v>
      </c>
    </row>
    <row r="1451" spans="2:15" ht="15" customHeight="1" x14ac:dyDescent="0.15">
      <c r="B1451" s="29" t="s">
        <v>35</v>
      </c>
      <c r="C1451" s="266">
        <v>44078</v>
      </c>
      <c r="D1451" s="29" t="s">
        <v>105</v>
      </c>
      <c r="E1451" s="105" t="s">
        <v>12</v>
      </c>
      <c r="F1451" s="147">
        <v>0.4</v>
      </c>
      <c r="I1451" s="29" t="s">
        <v>1046</v>
      </c>
      <c r="J1451" s="29" t="s">
        <v>3147</v>
      </c>
      <c r="K1451" s="119">
        <v>5.5</v>
      </c>
      <c r="L1451" s="111" t="s">
        <v>1506</v>
      </c>
      <c r="O1451" s="111" t="s">
        <v>1507</v>
      </c>
    </row>
    <row r="1452" spans="2:15" ht="15" customHeight="1" x14ac:dyDescent="0.15">
      <c r="B1452" s="29" t="s">
        <v>26</v>
      </c>
      <c r="C1452" s="266">
        <v>44078</v>
      </c>
      <c r="D1452" s="29" t="s">
        <v>921</v>
      </c>
      <c r="E1452" s="105" t="s">
        <v>27</v>
      </c>
      <c r="F1452" s="147">
        <v>0.15</v>
      </c>
      <c r="G1452" s="105" t="s">
        <v>3148</v>
      </c>
      <c r="I1452" s="29" t="s">
        <v>238</v>
      </c>
      <c r="J1452" s="29" t="s">
        <v>3027</v>
      </c>
      <c r="K1452" s="119">
        <v>10</v>
      </c>
      <c r="L1452" s="111" t="s">
        <v>921</v>
      </c>
      <c r="O1452" s="111" t="s">
        <v>1537</v>
      </c>
    </row>
    <row r="1453" spans="2:15" ht="15" customHeight="1" x14ac:dyDescent="0.15">
      <c r="B1453" s="29" t="s">
        <v>45</v>
      </c>
      <c r="C1453" s="266">
        <v>44078</v>
      </c>
      <c r="D1453" s="29" t="s">
        <v>3149</v>
      </c>
      <c r="E1453" s="105" t="s">
        <v>6</v>
      </c>
      <c r="F1453" s="147">
        <v>4.2999999999999997E-2</v>
      </c>
      <c r="I1453" s="29" t="s">
        <v>656</v>
      </c>
      <c r="J1453" s="29" t="s">
        <v>2643</v>
      </c>
      <c r="K1453" s="119">
        <v>6</v>
      </c>
      <c r="L1453" s="111" t="s">
        <v>3180</v>
      </c>
      <c r="O1453" s="111" t="s">
        <v>3181</v>
      </c>
    </row>
    <row r="1454" spans="2:15" ht="15" customHeight="1" x14ac:dyDescent="0.15">
      <c r="B1454" s="29" t="s">
        <v>361</v>
      </c>
      <c r="C1454" s="266">
        <v>44078</v>
      </c>
      <c r="D1454" s="29" t="s">
        <v>3718</v>
      </c>
      <c r="E1454" s="105" t="s">
        <v>34</v>
      </c>
      <c r="F1454" s="147">
        <v>0.04</v>
      </c>
      <c r="I1454" s="29" t="s">
        <v>750</v>
      </c>
      <c r="J1454" s="29" t="s">
        <v>1114</v>
      </c>
      <c r="K1454" s="119">
        <v>6.5</v>
      </c>
      <c r="L1454" s="111" t="s">
        <v>1653</v>
      </c>
      <c r="O1454" s="111" t="s">
        <v>1533</v>
      </c>
    </row>
    <row r="1455" spans="2:15" ht="15" customHeight="1" x14ac:dyDescent="0.15">
      <c r="B1455" s="29" t="s">
        <v>35</v>
      </c>
      <c r="C1455" s="266">
        <v>44078</v>
      </c>
      <c r="D1455" s="29" t="s">
        <v>1014</v>
      </c>
      <c r="E1455" s="105" t="s">
        <v>6</v>
      </c>
      <c r="F1455" s="147">
        <v>4.2000000000000003E-2</v>
      </c>
      <c r="I1455" s="29" t="s">
        <v>195</v>
      </c>
      <c r="J1455" s="29" t="s">
        <v>3150</v>
      </c>
      <c r="K1455" s="119">
        <v>6.5</v>
      </c>
      <c r="L1455" s="111" t="s">
        <v>1535</v>
      </c>
      <c r="O1455" s="111" t="s">
        <v>1535</v>
      </c>
    </row>
    <row r="1456" spans="2:15" ht="15" customHeight="1" x14ac:dyDescent="0.15">
      <c r="B1456" s="29" t="s">
        <v>18</v>
      </c>
      <c r="C1456" s="266">
        <v>44085</v>
      </c>
      <c r="D1456" s="29" t="s">
        <v>138</v>
      </c>
      <c r="E1456" s="105" t="s">
        <v>6</v>
      </c>
      <c r="F1456" s="147">
        <v>5.6000000000000001E-2</v>
      </c>
      <c r="I1456" s="29" t="s">
        <v>205</v>
      </c>
      <c r="J1456" s="29" t="s">
        <v>3199</v>
      </c>
      <c r="K1456" s="119">
        <v>7</v>
      </c>
      <c r="L1456" s="111" t="s">
        <v>1535</v>
      </c>
      <c r="O1456" s="111" t="s">
        <v>1535</v>
      </c>
    </row>
    <row r="1457" spans="2:16" ht="15" customHeight="1" x14ac:dyDescent="0.15">
      <c r="B1457" s="29" t="s">
        <v>26</v>
      </c>
      <c r="C1457" s="266">
        <v>44085</v>
      </c>
      <c r="D1457" s="29" t="s">
        <v>2859</v>
      </c>
      <c r="E1457" s="105" t="s">
        <v>34</v>
      </c>
      <c r="F1457" s="147">
        <v>6.8000000000000005E-2</v>
      </c>
      <c r="I1457" s="29" t="s">
        <v>70</v>
      </c>
      <c r="J1457" s="29" t="s">
        <v>1396</v>
      </c>
      <c r="K1457" s="119">
        <v>4.5</v>
      </c>
      <c r="L1457" s="111" t="s">
        <v>1447</v>
      </c>
      <c r="O1457" s="111" t="s">
        <v>1447</v>
      </c>
    </row>
    <row r="1458" spans="2:16" ht="15" customHeight="1" x14ac:dyDescent="0.15">
      <c r="B1458" s="29" t="s">
        <v>41</v>
      </c>
      <c r="C1458" s="266">
        <v>44085</v>
      </c>
      <c r="D1458" s="29" t="s">
        <v>3195</v>
      </c>
      <c r="E1458" s="105" t="s">
        <v>12</v>
      </c>
      <c r="F1458" s="147">
        <v>0.41299999999999998</v>
      </c>
      <c r="G1458" s="29" t="s">
        <v>3194</v>
      </c>
      <c r="I1458" s="29" t="s">
        <v>323</v>
      </c>
      <c r="J1458" s="29" t="s">
        <v>2760</v>
      </c>
      <c r="K1458" s="119">
        <v>8</v>
      </c>
      <c r="L1458" s="111" t="s">
        <v>2049</v>
      </c>
      <c r="O1458" s="111" t="s">
        <v>1516</v>
      </c>
      <c r="P1458" s="23" t="s">
        <v>3269</v>
      </c>
    </row>
    <row r="1459" spans="2:16" ht="15" customHeight="1" x14ac:dyDescent="0.15">
      <c r="B1459" s="29" t="s">
        <v>73</v>
      </c>
      <c r="C1459" s="266">
        <v>44085</v>
      </c>
      <c r="D1459" s="29" t="s">
        <v>3272</v>
      </c>
      <c r="E1459" s="105" t="s">
        <v>6</v>
      </c>
      <c r="F1459" s="147">
        <v>4.7E-2</v>
      </c>
      <c r="I1459" s="29" t="s">
        <v>545</v>
      </c>
      <c r="J1459" s="29" t="s">
        <v>2802</v>
      </c>
      <c r="K1459" s="119">
        <v>8.5</v>
      </c>
      <c r="L1459" s="111" t="s">
        <v>3273</v>
      </c>
      <c r="O1459" s="111" t="s">
        <v>3273</v>
      </c>
    </row>
    <row r="1460" spans="2:16" ht="15" customHeight="1" x14ac:dyDescent="0.15">
      <c r="B1460" s="29" t="s">
        <v>45</v>
      </c>
      <c r="C1460" s="266">
        <v>44085</v>
      </c>
      <c r="D1460" s="29" t="s">
        <v>3274</v>
      </c>
      <c r="E1460" s="105" t="s">
        <v>6</v>
      </c>
      <c r="F1460" s="147">
        <v>4.2000000000000003E-2</v>
      </c>
      <c r="I1460" s="29" t="s">
        <v>3196</v>
      </c>
      <c r="J1460" s="29" t="s">
        <v>3197</v>
      </c>
      <c r="K1460" s="119">
        <v>9</v>
      </c>
      <c r="L1460" s="111" t="s">
        <v>3275</v>
      </c>
      <c r="O1460" s="111" t="s">
        <v>3275</v>
      </c>
      <c r="P1460" s="23" t="s">
        <v>3198</v>
      </c>
    </row>
    <row r="1461" spans="2:16" ht="15" customHeight="1" x14ac:dyDescent="0.15">
      <c r="B1461" s="29" t="s">
        <v>41</v>
      </c>
      <c r="C1461" s="266">
        <v>44085</v>
      </c>
      <c r="D1461" s="29" t="s">
        <v>3205</v>
      </c>
      <c r="E1461" s="105" t="s">
        <v>12</v>
      </c>
      <c r="F1461" s="147">
        <v>0.42</v>
      </c>
      <c r="G1461" s="29" t="s">
        <v>3194</v>
      </c>
      <c r="I1461" s="29" t="s">
        <v>1234</v>
      </c>
      <c r="J1461" s="29" t="s">
        <v>1292</v>
      </c>
      <c r="K1461" s="119">
        <v>6.5</v>
      </c>
      <c r="L1461" s="111" t="s">
        <v>3207</v>
      </c>
      <c r="O1461" s="111" t="s">
        <v>3206</v>
      </c>
      <c r="P1461" s="23" t="s">
        <v>3270</v>
      </c>
    </row>
    <row r="1462" spans="2:16" ht="15" customHeight="1" x14ac:dyDescent="0.15">
      <c r="B1462" s="29" t="s">
        <v>18</v>
      </c>
      <c r="C1462" s="266">
        <v>44085</v>
      </c>
      <c r="D1462" s="29" t="s">
        <v>3226</v>
      </c>
      <c r="E1462" s="105" t="s">
        <v>6</v>
      </c>
      <c r="F1462" s="147">
        <v>0.06</v>
      </c>
      <c r="I1462" s="29" t="s">
        <v>1145</v>
      </c>
      <c r="J1462" s="29" t="s">
        <v>2173</v>
      </c>
      <c r="K1462" s="119">
        <v>8</v>
      </c>
      <c r="L1462" s="111" t="s">
        <v>1085</v>
      </c>
      <c r="O1462" s="116" t="s">
        <v>2012</v>
      </c>
    </row>
    <row r="1463" spans="2:16" ht="15" customHeight="1" x14ac:dyDescent="0.15">
      <c r="B1463" s="29" t="s">
        <v>41</v>
      </c>
      <c r="C1463" s="266">
        <v>44085</v>
      </c>
      <c r="D1463" s="29" t="s">
        <v>3200</v>
      </c>
      <c r="E1463" s="105" t="s">
        <v>12</v>
      </c>
      <c r="F1463" s="147">
        <v>0.43</v>
      </c>
      <c r="G1463" s="29" t="s">
        <v>3194</v>
      </c>
      <c r="I1463" s="29" t="s">
        <v>3481</v>
      </c>
      <c r="J1463" s="29" t="s">
        <v>465</v>
      </c>
      <c r="K1463" s="119">
        <v>8.5</v>
      </c>
      <c r="L1463" s="111" t="s">
        <v>1581</v>
      </c>
      <c r="O1463" s="111" t="s">
        <v>1537</v>
      </c>
      <c r="P1463" s="23" t="s">
        <v>3271</v>
      </c>
    </row>
    <row r="1464" spans="2:16" ht="15" customHeight="1" x14ac:dyDescent="0.15">
      <c r="B1464" s="29" t="s">
        <v>45</v>
      </c>
      <c r="C1464" s="266">
        <v>44085</v>
      </c>
      <c r="D1464" s="29" t="s">
        <v>3204</v>
      </c>
      <c r="E1464" s="105" t="s">
        <v>6</v>
      </c>
      <c r="F1464" s="147">
        <v>0.06</v>
      </c>
      <c r="I1464" s="29" t="s">
        <v>3202</v>
      </c>
      <c r="J1464" s="29" t="s">
        <v>3201</v>
      </c>
      <c r="K1464" s="119">
        <v>9</v>
      </c>
      <c r="L1464" s="111" t="s">
        <v>3276</v>
      </c>
      <c r="O1464" s="111" t="s">
        <v>3276</v>
      </c>
    </row>
    <row r="1465" spans="2:16" ht="15" customHeight="1" x14ac:dyDescent="0.15">
      <c r="B1465" s="29" t="s">
        <v>361</v>
      </c>
      <c r="C1465" s="266">
        <v>44085</v>
      </c>
      <c r="D1465" s="29" t="s">
        <v>3200</v>
      </c>
      <c r="E1465" s="105" t="s">
        <v>12</v>
      </c>
      <c r="F1465" s="147">
        <v>0.43</v>
      </c>
      <c r="G1465" s="29" t="s">
        <v>3194</v>
      </c>
      <c r="I1465" s="29" t="s">
        <v>25</v>
      </c>
      <c r="J1465" s="29" t="s">
        <v>3203</v>
      </c>
      <c r="K1465" s="119">
        <v>6.5</v>
      </c>
      <c r="L1465" s="111" t="s">
        <v>1581</v>
      </c>
      <c r="O1465" s="111" t="s">
        <v>1537</v>
      </c>
      <c r="P1465" s="23" t="s">
        <v>3271</v>
      </c>
    </row>
    <row r="1466" spans="2:16" ht="15" customHeight="1" x14ac:dyDescent="0.15">
      <c r="B1466" s="29" t="s">
        <v>26</v>
      </c>
      <c r="C1466" s="266">
        <v>44085</v>
      </c>
      <c r="D1466" s="29" t="s">
        <v>2690</v>
      </c>
      <c r="E1466" s="105" t="s">
        <v>34</v>
      </c>
      <c r="F1466" s="147">
        <v>0.04</v>
      </c>
      <c r="I1466" s="29" t="s">
        <v>312</v>
      </c>
      <c r="J1466" s="29" t="s">
        <v>3217</v>
      </c>
      <c r="K1466" s="119">
        <v>9</v>
      </c>
      <c r="L1466" s="111" t="s">
        <v>1472</v>
      </c>
      <c r="O1466" s="111" t="s">
        <v>1455</v>
      </c>
    </row>
    <row r="1467" spans="2:16" ht="15" customHeight="1" x14ac:dyDescent="0.15">
      <c r="B1467" s="29" t="s">
        <v>38</v>
      </c>
      <c r="C1467" s="266">
        <v>44085</v>
      </c>
      <c r="D1467" s="29" t="s">
        <v>3208</v>
      </c>
      <c r="E1467" s="105" t="s">
        <v>6</v>
      </c>
      <c r="F1467" s="147">
        <v>5.5E-2</v>
      </c>
      <c r="I1467" s="29" t="s">
        <v>3209</v>
      </c>
      <c r="J1467" s="29" t="s">
        <v>3210</v>
      </c>
      <c r="K1467" s="119">
        <v>3</v>
      </c>
      <c r="L1467" s="111" t="s">
        <v>3277</v>
      </c>
      <c r="O1467" s="111" t="s">
        <v>3277</v>
      </c>
    </row>
    <row r="1468" spans="2:16" ht="15" customHeight="1" x14ac:dyDescent="0.15">
      <c r="B1468" s="29" t="s">
        <v>26</v>
      </c>
      <c r="C1468" s="266">
        <v>44085</v>
      </c>
      <c r="D1468" s="29" t="s">
        <v>3211</v>
      </c>
      <c r="E1468" s="105" t="s">
        <v>27</v>
      </c>
      <c r="F1468" s="147">
        <v>0.2</v>
      </c>
      <c r="I1468" s="29" t="s">
        <v>548</v>
      </c>
      <c r="J1468" s="29" t="s">
        <v>2462</v>
      </c>
      <c r="K1468" s="119">
        <v>8</v>
      </c>
      <c r="L1468" s="111" t="s">
        <v>1973</v>
      </c>
      <c r="O1468" s="111" t="s">
        <v>1447</v>
      </c>
    </row>
    <row r="1469" spans="2:16" ht="15" customHeight="1" x14ac:dyDescent="0.15">
      <c r="B1469" s="29" t="s">
        <v>189</v>
      </c>
      <c r="C1469" s="266">
        <v>44085</v>
      </c>
      <c r="D1469" s="29" t="s">
        <v>2851</v>
      </c>
      <c r="E1469" s="105" t="s">
        <v>36</v>
      </c>
      <c r="F1469" s="147">
        <v>0.4</v>
      </c>
      <c r="I1469" s="29" t="s">
        <v>2426</v>
      </c>
      <c r="J1469" s="29" t="s">
        <v>3212</v>
      </c>
      <c r="K1469" s="119">
        <v>3</v>
      </c>
      <c r="L1469" s="111" t="s">
        <v>1523</v>
      </c>
      <c r="O1469" s="111" t="s">
        <v>1523</v>
      </c>
    </row>
    <row r="1470" spans="2:16" ht="15" customHeight="1" x14ac:dyDescent="0.15">
      <c r="B1470" s="29" t="s">
        <v>189</v>
      </c>
      <c r="C1470" s="266">
        <v>44085</v>
      </c>
      <c r="D1470" s="29" t="s">
        <v>3278</v>
      </c>
      <c r="E1470" s="105" t="s">
        <v>42</v>
      </c>
      <c r="F1470" s="147">
        <v>0.14000000000000001</v>
      </c>
      <c r="I1470" s="29" t="s">
        <v>3216</v>
      </c>
      <c r="J1470" s="29" t="s">
        <v>2747</v>
      </c>
      <c r="K1470" s="119">
        <v>7</v>
      </c>
      <c r="L1470" s="111" t="s">
        <v>1496</v>
      </c>
      <c r="O1470" s="111" t="s">
        <v>1496</v>
      </c>
      <c r="P1470" s="23" t="s">
        <v>3279</v>
      </c>
    </row>
    <row r="1471" spans="2:16" ht="15" customHeight="1" x14ac:dyDescent="0.15">
      <c r="B1471" s="29" t="s">
        <v>38</v>
      </c>
      <c r="C1471" s="266">
        <v>44085</v>
      </c>
      <c r="D1471" s="29" t="s">
        <v>3230</v>
      </c>
      <c r="E1471" s="105" t="s">
        <v>6</v>
      </c>
      <c r="F1471" s="147">
        <v>4.2999999999999997E-2</v>
      </c>
      <c r="I1471" s="29" t="s">
        <v>3222</v>
      </c>
      <c r="J1471" s="29" t="s">
        <v>3223</v>
      </c>
      <c r="K1471" s="119">
        <v>7.5</v>
      </c>
      <c r="L1471" s="111" t="s">
        <v>3280</v>
      </c>
      <c r="O1471" s="111" t="s">
        <v>3280</v>
      </c>
    </row>
    <row r="1472" spans="2:16" ht="15" customHeight="1" x14ac:dyDescent="0.15">
      <c r="B1472" s="29" t="s">
        <v>18</v>
      </c>
      <c r="C1472" s="266">
        <v>44085</v>
      </c>
      <c r="D1472" s="29" t="s">
        <v>3281</v>
      </c>
      <c r="E1472" s="105" t="s">
        <v>12</v>
      </c>
      <c r="F1472" s="147">
        <v>0.42299999999999999</v>
      </c>
      <c r="I1472" s="29" t="s">
        <v>46</v>
      </c>
      <c r="J1472" s="29" t="s">
        <v>3213</v>
      </c>
      <c r="K1472" s="119">
        <v>2</v>
      </c>
      <c r="L1472" s="111" t="s">
        <v>1821</v>
      </c>
      <c r="O1472" s="111" t="s">
        <v>1821</v>
      </c>
    </row>
    <row r="1473" spans="2:16" ht="15" customHeight="1" x14ac:dyDescent="0.15">
      <c r="B1473" s="29" t="s">
        <v>41</v>
      </c>
      <c r="C1473" s="266">
        <v>44085</v>
      </c>
      <c r="D1473" s="29" t="s">
        <v>3282</v>
      </c>
      <c r="E1473" s="105" t="s">
        <v>27</v>
      </c>
      <c r="F1473" s="147">
        <v>0.17</v>
      </c>
      <c r="I1473" s="29" t="s">
        <v>3214</v>
      </c>
      <c r="J1473" s="29" t="s">
        <v>3215</v>
      </c>
      <c r="K1473" s="119">
        <v>9</v>
      </c>
      <c r="L1473" s="111" t="s">
        <v>3165</v>
      </c>
      <c r="O1473" s="111" t="s">
        <v>3166</v>
      </c>
    </row>
    <row r="1474" spans="2:16" ht="15" customHeight="1" x14ac:dyDescent="0.15">
      <c r="B1474" s="29" t="s">
        <v>26</v>
      </c>
      <c r="C1474" s="266">
        <v>44085</v>
      </c>
      <c r="D1474" s="29" t="s">
        <v>3218</v>
      </c>
      <c r="E1474" s="105" t="s">
        <v>34</v>
      </c>
      <c r="F1474" s="147">
        <v>0.04</v>
      </c>
      <c r="I1474" s="29" t="s">
        <v>1055</v>
      </c>
      <c r="J1474" s="29" t="s">
        <v>3227</v>
      </c>
      <c r="K1474" s="119">
        <v>7</v>
      </c>
      <c r="L1474" s="111" t="s">
        <v>1828</v>
      </c>
      <c r="O1474" s="111" t="s">
        <v>1828</v>
      </c>
      <c r="P1474" s="23" t="s">
        <v>3284</v>
      </c>
    </row>
    <row r="1475" spans="2:16" ht="15" customHeight="1" x14ac:dyDescent="0.15">
      <c r="B1475" s="29" t="s">
        <v>41</v>
      </c>
      <c r="C1475" s="266">
        <v>44085</v>
      </c>
      <c r="D1475" s="29" t="s">
        <v>3219</v>
      </c>
      <c r="E1475" s="105" t="s">
        <v>34</v>
      </c>
      <c r="F1475" s="147">
        <v>4.4999999999999998E-2</v>
      </c>
      <c r="I1475" s="29" t="s">
        <v>16</v>
      </c>
      <c r="J1475" s="29" t="s">
        <v>3225</v>
      </c>
      <c r="K1475" s="119">
        <v>5</v>
      </c>
      <c r="L1475" s="111" t="s">
        <v>3096</v>
      </c>
      <c r="O1475" s="111" t="s">
        <v>3096</v>
      </c>
      <c r="P1475" s="23" t="s">
        <v>3717</v>
      </c>
    </row>
    <row r="1476" spans="2:16" ht="15" customHeight="1" x14ac:dyDescent="0.15">
      <c r="B1476" s="29" t="s">
        <v>18</v>
      </c>
      <c r="C1476" s="266">
        <v>44085</v>
      </c>
      <c r="D1476" s="29" t="s">
        <v>3221</v>
      </c>
      <c r="E1476" s="105" t="s">
        <v>34</v>
      </c>
      <c r="F1476" s="147">
        <v>0.04</v>
      </c>
      <c r="I1476" s="29" t="s">
        <v>3220</v>
      </c>
      <c r="J1476" s="29" t="s">
        <v>970</v>
      </c>
      <c r="K1476" s="119">
        <v>6.5</v>
      </c>
      <c r="L1476" s="111" t="s">
        <v>1483</v>
      </c>
      <c r="O1476" s="111" t="s">
        <v>1483</v>
      </c>
    </row>
    <row r="1477" spans="2:16" ht="15" customHeight="1" x14ac:dyDescent="0.15">
      <c r="B1477" s="29" t="s">
        <v>38</v>
      </c>
      <c r="C1477" s="266">
        <v>44085</v>
      </c>
      <c r="D1477" s="29" t="s">
        <v>3224</v>
      </c>
      <c r="E1477" s="105" t="s">
        <v>6</v>
      </c>
      <c r="F1477" s="147">
        <v>0.04</v>
      </c>
      <c r="I1477" s="29" t="s">
        <v>3228</v>
      </c>
      <c r="J1477" s="29" t="s">
        <v>781</v>
      </c>
      <c r="K1477" s="119">
        <v>2.5</v>
      </c>
      <c r="L1477" s="111" t="s">
        <v>1620</v>
      </c>
      <c r="O1477" s="116" t="s">
        <v>1621</v>
      </c>
    </row>
    <row r="1478" spans="2:16" ht="15" customHeight="1" x14ac:dyDescent="0.15">
      <c r="B1478" s="29" t="s">
        <v>18</v>
      </c>
      <c r="C1478" s="266">
        <v>44085</v>
      </c>
      <c r="D1478" s="29" t="s">
        <v>1016</v>
      </c>
      <c r="E1478" s="105" t="s">
        <v>6</v>
      </c>
      <c r="F1478" s="147">
        <v>4.4999999999999998E-2</v>
      </c>
      <c r="I1478" s="29" t="s">
        <v>306</v>
      </c>
      <c r="J1478" s="29" t="s">
        <v>71</v>
      </c>
      <c r="K1478" s="119">
        <v>6.5</v>
      </c>
      <c r="L1478" s="111" t="s">
        <v>1085</v>
      </c>
      <c r="O1478" s="116" t="s">
        <v>2012</v>
      </c>
    </row>
    <row r="1479" spans="2:16" ht="15" customHeight="1" x14ac:dyDescent="0.15">
      <c r="B1479" s="29" t="s">
        <v>189</v>
      </c>
      <c r="C1479" s="266">
        <v>44085</v>
      </c>
      <c r="D1479" s="29" t="s">
        <v>3229</v>
      </c>
      <c r="E1479" s="105" t="s">
        <v>42</v>
      </c>
      <c r="F1479" s="147">
        <v>0.14000000000000001</v>
      </c>
      <c r="I1479" s="29" t="s">
        <v>435</v>
      </c>
      <c r="J1479" s="29" t="s">
        <v>2897</v>
      </c>
      <c r="K1479" s="119">
        <v>5</v>
      </c>
      <c r="L1479" s="111" t="s">
        <v>3287</v>
      </c>
      <c r="O1479" s="111" t="s">
        <v>3286</v>
      </c>
      <c r="P1479" s="23" t="s">
        <v>3285</v>
      </c>
    </row>
    <row r="1480" spans="2:16" ht="15" customHeight="1" x14ac:dyDescent="0.15">
      <c r="B1480" s="29" t="s">
        <v>38</v>
      </c>
      <c r="C1480" s="266">
        <v>44085</v>
      </c>
      <c r="D1480" s="29" t="s">
        <v>3288</v>
      </c>
      <c r="E1480" s="105" t="s">
        <v>6</v>
      </c>
      <c r="F1480" s="147">
        <v>4.2999999999999997E-2</v>
      </c>
      <c r="I1480" s="29" t="s">
        <v>3232</v>
      </c>
      <c r="J1480" s="29" t="s">
        <v>465</v>
      </c>
      <c r="K1480" s="119">
        <v>7.5</v>
      </c>
      <c r="L1480" s="111" t="s">
        <v>3280</v>
      </c>
      <c r="O1480" s="111" t="s">
        <v>3280</v>
      </c>
      <c r="P1480" s="23" t="s">
        <v>3289</v>
      </c>
    </row>
    <row r="1481" spans="2:16" ht="15" customHeight="1" x14ac:dyDescent="0.15">
      <c r="B1481" s="29" t="s">
        <v>26</v>
      </c>
      <c r="C1481" s="266">
        <v>44085</v>
      </c>
      <c r="D1481" s="29" t="s">
        <v>3231</v>
      </c>
      <c r="E1481" s="105" t="s">
        <v>34</v>
      </c>
      <c r="F1481" s="147">
        <v>0.06</v>
      </c>
      <c r="I1481" s="29" t="s">
        <v>3239</v>
      </c>
      <c r="J1481" s="29" t="s">
        <v>173</v>
      </c>
      <c r="K1481" s="119">
        <v>2.5</v>
      </c>
      <c r="L1481" s="111" t="s">
        <v>2043</v>
      </c>
      <c r="O1481" s="111" t="s">
        <v>2043</v>
      </c>
    </row>
    <row r="1482" spans="2:16" ht="15" customHeight="1" x14ac:dyDescent="0.15">
      <c r="B1482" s="29" t="s">
        <v>38</v>
      </c>
      <c r="C1482" s="266">
        <v>44085</v>
      </c>
      <c r="D1482" s="29" t="s">
        <v>3233</v>
      </c>
      <c r="E1482" s="105" t="s">
        <v>6</v>
      </c>
      <c r="F1482" s="147">
        <v>4.4999999999999998E-2</v>
      </c>
      <c r="I1482" s="29" t="s">
        <v>215</v>
      </c>
      <c r="J1482" s="29" t="s">
        <v>3240</v>
      </c>
      <c r="K1482" s="119">
        <v>7.5</v>
      </c>
      <c r="L1482" s="111" t="s">
        <v>3280</v>
      </c>
      <c r="O1482" s="111" t="s">
        <v>3280</v>
      </c>
    </row>
    <row r="1483" spans="2:16" ht="15" customHeight="1" x14ac:dyDescent="0.15">
      <c r="B1483" s="29" t="s">
        <v>189</v>
      </c>
      <c r="C1483" s="266">
        <v>44085</v>
      </c>
      <c r="D1483" s="29" t="s">
        <v>3224</v>
      </c>
      <c r="E1483" s="105" t="s">
        <v>6</v>
      </c>
      <c r="F1483" s="147">
        <v>0.04</v>
      </c>
      <c r="I1483" s="29" t="s">
        <v>3235</v>
      </c>
      <c r="J1483" s="29" t="s">
        <v>3236</v>
      </c>
      <c r="K1483" s="119">
        <v>5</v>
      </c>
      <c r="L1483" s="111" t="s">
        <v>1620</v>
      </c>
      <c r="O1483" s="116" t="s">
        <v>1621</v>
      </c>
    </row>
    <row r="1484" spans="2:16" ht="15" customHeight="1" x14ac:dyDescent="0.15">
      <c r="B1484" s="29" t="s">
        <v>26</v>
      </c>
      <c r="C1484" s="266">
        <v>44085</v>
      </c>
      <c r="D1484" s="29" t="s">
        <v>3234</v>
      </c>
      <c r="E1484" s="105" t="s">
        <v>42</v>
      </c>
      <c r="F1484" s="147">
        <v>0.125</v>
      </c>
      <c r="I1484" s="29" t="s">
        <v>3237</v>
      </c>
      <c r="J1484" s="29" t="s">
        <v>3238</v>
      </c>
      <c r="K1484" s="119">
        <v>4.5</v>
      </c>
      <c r="L1484" s="111" t="s">
        <v>1447</v>
      </c>
      <c r="O1484" s="111" t="s">
        <v>1447</v>
      </c>
      <c r="P1484" s="23" t="s">
        <v>3290</v>
      </c>
    </row>
    <row r="1485" spans="2:16" ht="15" customHeight="1" x14ac:dyDescent="0.15">
      <c r="B1485" s="29" t="s">
        <v>41</v>
      </c>
      <c r="C1485" s="266">
        <v>44092</v>
      </c>
      <c r="D1485" s="29" t="s">
        <v>2611</v>
      </c>
      <c r="E1485" s="105" t="s">
        <v>34</v>
      </c>
      <c r="F1485" s="147">
        <v>4.4999999999999998E-2</v>
      </c>
      <c r="I1485" s="29" t="s">
        <v>291</v>
      </c>
      <c r="J1485" s="29" t="s">
        <v>772</v>
      </c>
      <c r="K1485" s="119">
        <v>6</v>
      </c>
      <c r="L1485" s="111" t="s">
        <v>2070</v>
      </c>
      <c r="O1485" s="111" t="s">
        <v>2071</v>
      </c>
    </row>
    <row r="1486" spans="2:16" ht="15" customHeight="1" x14ac:dyDescent="0.15">
      <c r="B1486" s="29" t="s">
        <v>26</v>
      </c>
      <c r="C1486" s="266">
        <v>44092</v>
      </c>
      <c r="D1486" s="29" t="s">
        <v>3221</v>
      </c>
      <c r="E1486" s="105" t="s">
        <v>34</v>
      </c>
      <c r="F1486" s="147">
        <v>0.04</v>
      </c>
      <c r="I1486" s="29" t="s">
        <v>208</v>
      </c>
      <c r="J1486" s="29" t="s">
        <v>321</v>
      </c>
      <c r="K1486" s="119">
        <v>8</v>
      </c>
      <c r="L1486" s="111" t="s">
        <v>1483</v>
      </c>
      <c r="O1486" s="111" t="s">
        <v>1483</v>
      </c>
    </row>
    <row r="1487" spans="2:16" ht="15" customHeight="1" x14ac:dyDescent="0.15">
      <c r="B1487" s="29" t="s">
        <v>361</v>
      </c>
      <c r="C1487" s="266">
        <v>44092</v>
      </c>
      <c r="D1487" s="29" t="s">
        <v>3397</v>
      </c>
      <c r="E1487" s="105" t="s">
        <v>34</v>
      </c>
      <c r="F1487" s="147">
        <v>6.6000000000000003E-2</v>
      </c>
      <c r="I1487" s="29" t="s">
        <v>3302</v>
      </c>
      <c r="J1487" s="29" t="s">
        <v>3303</v>
      </c>
      <c r="K1487" s="119">
        <v>8</v>
      </c>
      <c r="L1487" s="111" t="s">
        <v>3398</v>
      </c>
      <c r="O1487" s="111" t="s">
        <v>3398</v>
      </c>
    </row>
    <row r="1488" spans="2:16" ht="15" customHeight="1" x14ac:dyDescent="0.15">
      <c r="B1488" s="29" t="s">
        <v>3296</v>
      </c>
      <c r="C1488" s="266">
        <v>44092</v>
      </c>
      <c r="D1488" s="29" t="s">
        <v>3295</v>
      </c>
      <c r="E1488" s="105" t="s">
        <v>6</v>
      </c>
      <c r="F1488" s="147">
        <v>4.9000000000000002E-2</v>
      </c>
      <c r="I1488" s="29" t="s">
        <v>3136</v>
      </c>
      <c r="J1488" s="29" t="s">
        <v>3327</v>
      </c>
      <c r="K1488" s="119">
        <v>7</v>
      </c>
      <c r="L1488" s="111" t="s">
        <v>3295</v>
      </c>
      <c r="O1488" s="111" t="s">
        <v>1496</v>
      </c>
    </row>
    <row r="1489" spans="2:16" ht="15" customHeight="1" x14ac:dyDescent="0.15">
      <c r="B1489" s="29" t="s">
        <v>45</v>
      </c>
      <c r="C1489" s="266">
        <v>44092</v>
      </c>
      <c r="D1489" s="29" t="s">
        <v>3297</v>
      </c>
      <c r="E1489" s="105" t="s">
        <v>6</v>
      </c>
      <c r="F1489" s="147">
        <v>0.05</v>
      </c>
      <c r="I1489" s="29" t="s">
        <v>321</v>
      </c>
      <c r="J1489" s="29" t="s">
        <v>198</v>
      </c>
      <c r="K1489" s="119">
        <v>4</v>
      </c>
      <c r="L1489" s="111" t="s">
        <v>3400</v>
      </c>
      <c r="O1489" s="111" t="s">
        <v>3399</v>
      </c>
    </row>
    <row r="1490" spans="2:16" ht="15" customHeight="1" x14ac:dyDescent="0.15">
      <c r="B1490" s="29" t="s">
        <v>41</v>
      </c>
      <c r="C1490" s="266">
        <v>44092</v>
      </c>
      <c r="D1490" s="29" t="s">
        <v>3312</v>
      </c>
      <c r="E1490" s="105" t="s">
        <v>34</v>
      </c>
      <c r="F1490" s="147">
        <v>6.2E-2</v>
      </c>
      <c r="I1490" s="29" t="s">
        <v>232</v>
      </c>
      <c r="J1490" s="29" t="s">
        <v>3311</v>
      </c>
      <c r="K1490" s="119">
        <v>8</v>
      </c>
      <c r="L1490" s="111" t="s">
        <v>3401</v>
      </c>
      <c r="O1490" s="111" t="s">
        <v>3298</v>
      </c>
    </row>
    <row r="1491" spans="2:16" ht="15" customHeight="1" x14ac:dyDescent="0.15">
      <c r="B1491" s="29" t="s">
        <v>35</v>
      </c>
      <c r="C1491" s="266">
        <v>44092</v>
      </c>
      <c r="D1491" s="29" t="s">
        <v>3402</v>
      </c>
      <c r="E1491" s="105" t="s">
        <v>6</v>
      </c>
      <c r="F1491" s="147">
        <v>4.2999999999999997E-2</v>
      </c>
      <c r="I1491" s="29" t="s">
        <v>3306</v>
      </c>
      <c r="J1491" s="29" t="s">
        <v>235</v>
      </c>
      <c r="K1491" s="119">
        <v>6.5</v>
      </c>
      <c r="L1491" s="111" t="s">
        <v>3405</v>
      </c>
      <c r="O1491" s="111" t="s">
        <v>3406</v>
      </c>
      <c r="P1491" s="23" t="s">
        <v>3403</v>
      </c>
    </row>
    <row r="1492" spans="2:16" ht="15" customHeight="1" x14ac:dyDescent="0.15">
      <c r="B1492" s="29" t="s">
        <v>189</v>
      </c>
      <c r="C1492" s="266">
        <v>44092</v>
      </c>
      <c r="D1492" s="29" t="s">
        <v>519</v>
      </c>
      <c r="E1492" s="105" t="s">
        <v>6</v>
      </c>
      <c r="F1492" s="147">
        <v>3.5000000000000003E-2</v>
      </c>
      <c r="I1492" s="29" t="s">
        <v>192</v>
      </c>
      <c r="J1492" s="29" t="s">
        <v>215</v>
      </c>
      <c r="K1492" s="119">
        <v>7.5</v>
      </c>
      <c r="L1492" s="111" t="s">
        <v>1719</v>
      </c>
      <c r="O1492" s="116" t="s">
        <v>674</v>
      </c>
    </row>
    <row r="1493" spans="2:16" ht="15" customHeight="1" x14ac:dyDescent="0.15">
      <c r="B1493" s="29" t="s">
        <v>38</v>
      </c>
      <c r="C1493" s="266">
        <v>44092</v>
      </c>
      <c r="D1493" s="29" t="s">
        <v>3299</v>
      </c>
      <c r="E1493" s="105" t="s">
        <v>6</v>
      </c>
      <c r="F1493" s="147">
        <v>5.7000000000000002E-2</v>
      </c>
      <c r="I1493" s="29" t="s">
        <v>3314</v>
      </c>
      <c r="J1493" s="29" t="s">
        <v>3315</v>
      </c>
      <c r="K1493" s="119">
        <v>8</v>
      </c>
      <c r="L1493" s="111" t="s">
        <v>1089</v>
      </c>
      <c r="M1493" s="111" t="s">
        <v>3033</v>
      </c>
      <c r="O1493" s="111" t="s">
        <v>3408</v>
      </c>
    </row>
    <row r="1494" spans="2:16" ht="15" customHeight="1" x14ac:dyDescent="0.15">
      <c r="B1494" s="29" t="s">
        <v>61</v>
      </c>
      <c r="C1494" s="266">
        <v>44092</v>
      </c>
      <c r="D1494" s="29" t="s">
        <v>3035</v>
      </c>
      <c r="E1494" s="105" t="s">
        <v>12</v>
      </c>
      <c r="F1494" s="147">
        <v>0.41</v>
      </c>
      <c r="G1494" s="105" t="s">
        <v>537</v>
      </c>
      <c r="I1494" s="29" t="s">
        <v>14</v>
      </c>
      <c r="J1494" s="29" t="s">
        <v>331</v>
      </c>
      <c r="K1494" s="119">
        <v>7</v>
      </c>
      <c r="L1494" s="111" t="s">
        <v>1756</v>
      </c>
      <c r="O1494" s="111" t="s">
        <v>3154</v>
      </c>
      <c r="P1494" s="23" t="s">
        <v>3716</v>
      </c>
    </row>
    <row r="1495" spans="2:16" ht="15" customHeight="1" x14ac:dyDescent="0.15">
      <c r="B1495" s="29" t="s">
        <v>45</v>
      </c>
      <c r="C1495" s="266">
        <v>44092</v>
      </c>
      <c r="D1495" s="29" t="s">
        <v>3301</v>
      </c>
      <c r="E1495" s="105" t="s">
        <v>6</v>
      </c>
      <c r="F1495" s="147">
        <v>5.1999999999999998E-2</v>
      </c>
      <c r="I1495" s="29" t="s">
        <v>25</v>
      </c>
      <c r="J1495" s="29" t="s">
        <v>323</v>
      </c>
      <c r="K1495" s="119">
        <v>7.5</v>
      </c>
      <c r="L1495" s="111" t="s">
        <v>3300</v>
      </c>
      <c r="O1495" s="111" t="s">
        <v>3300</v>
      </c>
    </row>
    <row r="1496" spans="2:16" ht="15" customHeight="1" x14ac:dyDescent="0.15">
      <c r="B1496" s="29" t="s">
        <v>50</v>
      </c>
      <c r="C1496" s="266">
        <v>44092</v>
      </c>
      <c r="D1496" s="29" t="s">
        <v>3409</v>
      </c>
      <c r="E1496" s="105" t="s">
        <v>42</v>
      </c>
      <c r="F1496" s="147">
        <v>0.115</v>
      </c>
      <c r="I1496" s="29" t="s">
        <v>3309</v>
      </c>
      <c r="J1496" s="29" t="s">
        <v>3310</v>
      </c>
      <c r="K1496" s="119">
        <v>8</v>
      </c>
      <c r="L1496" s="111" t="s">
        <v>1732</v>
      </c>
      <c r="O1496" s="111" t="s">
        <v>1732</v>
      </c>
      <c r="P1496" s="23" t="s">
        <v>3715</v>
      </c>
    </row>
    <row r="1497" spans="2:16" ht="15" customHeight="1" x14ac:dyDescent="0.15">
      <c r="B1497" s="29" t="s">
        <v>18</v>
      </c>
      <c r="C1497" s="266">
        <v>44092</v>
      </c>
      <c r="D1497" s="29" t="s">
        <v>1161</v>
      </c>
      <c r="E1497" s="105" t="s">
        <v>12</v>
      </c>
      <c r="F1497" s="147">
        <v>0.04</v>
      </c>
      <c r="I1497" s="29" t="s">
        <v>3304</v>
      </c>
      <c r="J1497" s="29" t="s">
        <v>3305</v>
      </c>
      <c r="K1497" s="119">
        <v>4</v>
      </c>
      <c r="L1497" s="111" t="s">
        <v>1996</v>
      </c>
      <c r="O1497" s="116" t="s">
        <v>1995</v>
      </c>
    </row>
    <row r="1498" spans="2:16" ht="15" customHeight="1" x14ac:dyDescent="0.15">
      <c r="B1498" s="29" t="s">
        <v>61</v>
      </c>
      <c r="C1498" s="266">
        <v>44092</v>
      </c>
      <c r="D1498" s="29" t="s">
        <v>3307</v>
      </c>
      <c r="E1498" s="105" t="s">
        <v>27</v>
      </c>
      <c r="F1498" s="147">
        <v>0.2</v>
      </c>
      <c r="G1498" s="29" t="s">
        <v>3060</v>
      </c>
      <c r="I1498" s="29" t="s">
        <v>304</v>
      </c>
      <c r="J1498" s="29" t="s">
        <v>227</v>
      </c>
      <c r="K1498" s="119">
        <v>8</v>
      </c>
      <c r="L1498" s="111" t="s">
        <v>1828</v>
      </c>
      <c r="O1498" s="111" t="s">
        <v>1828</v>
      </c>
      <c r="P1498" s="23" t="s">
        <v>3714</v>
      </c>
    </row>
    <row r="1499" spans="2:16" ht="15" customHeight="1" x14ac:dyDescent="0.15">
      <c r="B1499" s="29" t="s">
        <v>35</v>
      </c>
      <c r="C1499" s="266">
        <v>44092</v>
      </c>
      <c r="D1499" s="29" t="s">
        <v>3452</v>
      </c>
      <c r="E1499" s="105" t="s">
        <v>12</v>
      </c>
      <c r="F1499" s="147">
        <v>0.13</v>
      </c>
      <c r="I1499" s="29" t="s">
        <v>16</v>
      </c>
      <c r="J1499" s="29" t="s">
        <v>3308</v>
      </c>
      <c r="K1499" s="119">
        <v>6.5</v>
      </c>
      <c r="L1499" s="111" t="s">
        <v>2055</v>
      </c>
      <c r="O1499" s="111" t="s">
        <v>1516</v>
      </c>
    </row>
    <row r="1500" spans="2:16" ht="15" customHeight="1" x14ac:dyDescent="0.15">
      <c r="B1500" s="29" t="s">
        <v>35</v>
      </c>
      <c r="C1500" s="266">
        <v>44092</v>
      </c>
      <c r="D1500" s="29" t="s">
        <v>3035</v>
      </c>
      <c r="E1500" s="105" t="s">
        <v>12</v>
      </c>
      <c r="F1500" s="147">
        <v>0.41</v>
      </c>
      <c r="G1500" s="29" t="s">
        <v>401</v>
      </c>
      <c r="I1500" s="29" t="s">
        <v>1114</v>
      </c>
      <c r="J1500" s="29" t="s">
        <v>23</v>
      </c>
      <c r="K1500" s="119">
        <v>7</v>
      </c>
      <c r="L1500" s="111" t="s">
        <v>1756</v>
      </c>
      <c r="O1500" s="111" t="s">
        <v>3154</v>
      </c>
      <c r="P1500" s="23" t="s">
        <v>3713</v>
      </c>
    </row>
    <row r="1501" spans="2:16" ht="15" customHeight="1" x14ac:dyDescent="0.15">
      <c r="B1501" s="29" t="s">
        <v>189</v>
      </c>
      <c r="C1501" s="266">
        <v>44092</v>
      </c>
      <c r="D1501" s="53" t="s">
        <v>675</v>
      </c>
      <c r="E1501" s="53" t="s">
        <v>6</v>
      </c>
      <c r="F1501" s="147">
        <v>4.2000000000000003E-2</v>
      </c>
      <c r="I1501" s="29" t="s">
        <v>230</v>
      </c>
      <c r="J1501" s="29" t="s">
        <v>2416</v>
      </c>
      <c r="K1501" s="119">
        <v>7</v>
      </c>
      <c r="L1501" s="111" t="s">
        <v>1719</v>
      </c>
      <c r="O1501" s="116" t="s">
        <v>674</v>
      </c>
    </row>
    <row r="1502" spans="2:16" ht="15" customHeight="1" x14ac:dyDescent="0.15">
      <c r="B1502" s="29" t="s">
        <v>361</v>
      </c>
      <c r="C1502" s="266">
        <v>44092</v>
      </c>
      <c r="D1502" s="29" t="s">
        <v>3411</v>
      </c>
      <c r="E1502" s="105" t="s">
        <v>34</v>
      </c>
      <c r="F1502" s="147">
        <v>5.3999999999999999E-2</v>
      </c>
      <c r="I1502" s="29" t="s">
        <v>3340</v>
      </c>
      <c r="J1502" s="29" t="s">
        <v>3341</v>
      </c>
      <c r="K1502" s="119">
        <v>8.5</v>
      </c>
      <c r="L1502" s="111" t="s">
        <v>3412</v>
      </c>
      <c r="O1502" s="111" t="s">
        <v>3412</v>
      </c>
    </row>
    <row r="1503" spans="2:16" ht="15" customHeight="1" x14ac:dyDescent="0.15">
      <c r="B1503" s="29" t="s">
        <v>41</v>
      </c>
      <c r="C1503" s="266">
        <v>44092</v>
      </c>
      <c r="D1503" s="29" t="s">
        <v>3313</v>
      </c>
      <c r="E1503" s="105" t="s">
        <v>34</v>
      </c>
      <c r="F1503" s="147">
        <v>4.3999999999999997E-2</v>
      </c>
      <c r="I1503" s="29" t="s">
        <v>3075</v>
      </c>
      <c r="J1503" s="29" t="s">
        <v>3076</v>
      </c>
      <c r="K1503" s="119">
        <v>4</v>
      </c>
      <c r="L1503" s="111" t="s">
        <v>3401</v>
      </c>
      <c r="O1503" s="111" t="s">
        <v>3298</v>
      </c>
    </row>
    <row r="1504" spans="2:16" ht="15" customHeight="1" x14ac:dyDescent="0.15">
      <c r="B1504" s="29" t="s">
        <v>35</v>
      </c>
      <c r="C1504" s="266">
        <v>44092</v>
      </c>
      <c r="D1504" s="29" t="s">
        <v>3435</v>
      </c>
      <c r="E1504" s="105" t="s">
        <v>27</v>
      </c>
      <c r="F1504" s="147">
        <v>0.13</v>
      </c>
      <c r="G1504" s="29" t="s">
        <v>1972</v>
      </c>
      <c r="H1504" s="29" t="s">
        <v>85</v>
      </c>
      <c r="I1504" s="29" t="s">
        <v>3326</v>
      </c>
      <c r="J1504" s="29" t="s">
        <v>465</v>
      </c>
      <c r="K1504" s="119">
        <v>8.5</v>
      </c>
      <c r="L1504" s="111" t="s">
        <v>2055</v>
      </c>
      <c r="O1504" s="111" t="s">
        <v>1516</v>
      </c>
      <c r="P1504" s="23" t="s">
        <v>3447</v>
      </c>
    </row>
    <row r="1505" spans="2:16" ht="15" customHeight="1" x14ac:dyDescent="0.15">
      <c r="B1505" s="29" t="s">
        <v>35</v>
      </c>
      <c r="C1505" s="266">
        <v>44092</v>
      </c>
      <c r="D1505" s="29" t="s">
        <v>3316</v>
      </c>
      <c r="E1505" s="105" t="s">
        <v>6</v>
      </c>
      <c r="F1505" s="147">
        <v>2.8000000000000001E-2</v>
      </c>
      <c r="I1505" s="29" t="s">
        <v>775</v>
      </c>
      <c r="J1505" s="29" t="s">
        <v>781</v>
      </c>
      <c r="K1505" s="119">
        <v>3</v>
      </c>
      <c r="L1505" s="111" t="s">
        <v>1517</v>
      </c>
      <c r="O1505" s="111" t="s">
        <v>1517</v>
      </c>
    </row>
    <row r="1506" spans="2:16" ht="15" customHeight="1" x14ac:dyDescent="0.15">
      <c r="B1506" s="29" t="s">
        <v>3296</v>
      </c>
      <c r="C1506" s="266">
        <v>44092</v>
      </c>
      <c r="D1506" s="29" t="s">
        <v>3413</v>
      </c>
      <c r="E1506" s="105" t="s">
        <v>34</v>
      </c>
      <c r="F1506" s="147">
        <v>0.15</v>
      </c>
      <c r="I1506" s="29" t="s">
        <v>384</v>
      </c>
      <c r="J1506" s="29" t="s">
        <v>622</v>
      </c>
      <c r="K1506" s="119">
        <v>7</v>
      </c>
      <c r="L1506" s="111" t="s">
        <v>3414</v>
      </c>
      <c r="O1506" s="111" t="s">
        <v>3414</v>
      </c>
    </row>
    <row r="1507" spans="2:16" ht="15" customHeight="1" x14ac:dyDescent="0.15">
      <c r="B1507" s="29" t="s">
        <v>45</v>
      </c>
      <c r="C1507" s="266">
        <v>44092</v>
      </c>
      <c r="D1507" s="29" t="s">
        <v>3317</v>
      </c>
      <c r="E1507" s="105" t="s">
        <v>27</v>
      </c>
      <c r="F1507" s="147">
        <v>0.15</v>
      </c>
      <c r="I1507" s="29" t="s">
        <v>257</v>
      </c>
      <c r="J1507" s="29" t="s">
        <v>192</v>
      </c>
      <c r="K1507" s="119">
        <v>9</v>
      </c>
      <c r="L1507" s="111" t="s">
        <v>3415</v>
      </c>
      <c r="O1507" s="111" t="s">
        <v>3415</v>
      </c>
    </row>
    <row r="1508" spans="2:16" ht="15" customHeight="1" x14ac:dyDescent="0.15">
      <c r="B1508" s="29" t="s">
        <v>50</v>
      </c>
      <c r="C1508" s="266">
        <v>44092</v>
      </c>
      <c r="D1508" s="29" t="s">
        <v>3317</v>
      </c>
      <c r="E1508" s="105" t="s">
        <v>27</v>
      </c>
      <c r="F1508" s="147">
        <v>0.15</v>
      </c>
      <c r="I1508" s="29" t="s">
        <v>3318</v>
      </c>
      <c r="J1508" s="29" t="s">
        <v>3319</v>
      </c>
      <c r="K1508" s="119">
        <v>9</v>
      </c>
      <c r="L1508" s="111" t="s">
        <v>3415</v>
      </c>
      <c r="O1508" s="111" t="s">
        <v>3415</v>
      </c>
    </row>
    <row r="1509" spans="2:16" ht="15" customHeight="1" x14ac:dyDescent="0.15">
      <c r="B1509" s="29" t="s">
        <v>26</v>
      </c>
      <c r="C1509" s="266">
        <v>44092</v>
      </c>
      <c r="D1509" s="29" t="s">
        <v>3404</v>
      </c>
      <c r="E1509" s="105" t="s">
        <v>6</v>
      </c>
      <c r="F1509" s="147">
        <v>4.2000000000000003E-2</v>
      </c>
      <c r="G1509" s="29" t="s">
        <v>2055</v>
      </c>
      <c r="H1509" s="29" t="s">
        <v>3417</v>
      </c>
      <c r="I1509" s="29" t="s">
        <v>384</v>
      </c>
      <c r="J1509" s="29" t="s">
        <v>311</v>
      </c>
      <c r="K1509" s="119">
        <v>8.5</v>
      </c>
      <c r="L1509" s="111" t="s">
        <v>768</v>
      </c>
      <c r="O1509" s="111" t="s">
        <v>1516</v>
      </c>
      <c r="P1509" s="23" t="s">
        <v>3416</v>
      </c>
    </row>
    <row r="1510" spans="2:16" ht="15" customHeight="1" x14ac:dyDescent="0.15">
      <c r="B1510" s="29" t="s">
        <v>3296</v>
      </c>
      <c r="C1510" s="266">
        <v>44092</v>
      </c>
      <c r="D1510" s="23" t="s">
        <v>3454</v>
      </c>
      <c r="E1510" s="105" t="s">
        <v>65</v>
      </c>
      <c r="F1510" s="147">
        <v>0.4</v>
      </c>
      <c r="I1510" s="29" t="s">
        <v>775</v>
      </c>
      <c r="J1510" s="29" t="s">
        <v>3320</v>
      </c>
      <c r="K1510" s="119">
        <v>5</v>
      </c>
      <c r="L1510" s="111" t="s">
        <v>1647</v>
      </c>
      <c r="O1510" s="116" t="s">
        <v>1648</v>
      </c>
    </row>
    <row r="1511" spans="2:16" ht="15" customHeight="1" x14ac:dyDescent="0.15">
      <c r="B1511" s="29" t="s">
        <v>361</v>
      </c>
      <c r="C1511" s="266">
        <v>44092</v>
      </c>
      <c r="D1511" s="29" t="s">
        <v>3418</v>
      </c>
      <c r="E1511" s="105" t="s">
        <v>65</v>
      </c>
      <c r="F1511" s="147">
        <v>0.42599999999999999</v>
      </c>
      <c r="I1511" s="29" t="s">
        <v>3321</v>
      </c>
      <c r="J1511" s="29" t="s">
        <v>2572</v>
      </c>
      <c r="K1511" s="119">
        <v>9</v>
      </c>
      <c r="L1511" s="111" t="s">
        <v>3419</v>
      </c>
      <c r="O1511" s="111" t="s">
        <v>3419</v>
      </c>
    </row>
    <row r="1512" spans="2:16" ht="15" customHeight="1" x14ac:dyDescent="0.15">
      <c r="B1512" s="29" t="s">
        <v>61</v>
      </c>
      <c r="C1512" s="266">
        <v>44092</v>
      </c>
      <c r="D1512" s="29" t="s">
        <v>966</v>
      </c>
      <c r="E1512" s="105" t="s">
        <v>27</v>
      </c>
      <c r="F1512" s="147">
        <v>0.17</v>
      </c>
      <c r="I1512" s="29" t="s">
        <v>3322</v>
      </c>
      <c r="J1512" s="29" t="s">
        <v>3323</v>
      </c>
      <c r="K1512" s="119">
        <v>4</v>
      </c>
      <c r="L1512" s="111" t="s">
        <v>966</v>
      </c>
      <c r="O1512" s="116" t="s">
        <v>1558</v>
      </c>
    </row>
    <row r="1513" spans="2:16" ht="15" customHeight="1" x14ac:dyDescent="0.15">
      <c r="B1513" s="29" t="s">
        <v>38</v>
      </c>
      <c r="C1513" s="266">
        <v>44092</v>
      </c>
      <c r="D1513" s="29" t="s">
        <v>3420</v>
      </c>
      <c r="E1513" s="105" t="s">
        <v>27</v>
      </c>
      <c r="F1513" s="147">
        <v>0.05</v>
      </c>
      <c r="I1513" s="29" t="s">
        <v>3051</v>
      </c>
      <c r="J1513" s="29" t="s">
        <v>3573</v>
      </c>
      <c r="K1513" s="119">
        <v>3.5</v>
      </c>
      <c r="L1513" s="111" t="s">
        <v>1560</v>
      </c>
      <c r="O1513" s="116" t="s">
        <v>1496</v>
      </c>
    </row>
    <row r="1514" spans="2:16" ht="15" customHeight="1" x14ac:dyDescent="0.15">
      <c r="B1514" s="29" t="s">
        <v>189</v>
      </c>
      <c r="C1514" s="266">
        <v>44092</v>
      </c>
      <c r="D1514" s="29" t="s">
        <v>3421</v>
      </c>
      <c r="E1514" s="105" t="s">
        <v>32</v>
      </c>
      <c r="F1514" s="147">
        <v>0.05</v>
      </c>
      <c r="I1514" s="29" t="s">
        <v>1224</v>
      </c>
      <c r="J1514" s="29" t="s">
        <v>3325</v>
      </c>
      <c r="K1514" s="119">
        <v>4</v>
      </c>
      <c r="L1514" s="111" t="s">
        <v>3422</v>
      </c>
      <c r="O1514" s="111" t="s">
        <v>3422</v>
      </c>
    </row>
    <row r="1515" spans="2:16" ht="15" customHeight="1" x14ac:dyDescent="0.15">
      <c r="B1515" s="29" t="s">
        <v>41</v>
      </c>
      <c r="C1515" s="266">
        <v>44092</v>
      </c>
      <c r="D1515" s="29" t="s">
        <v>123</v>
      </c>
      <c r="E1515" s="105" t="s">
        <v>27</v>
      </c>
      <c r="F1515" s="147">
        <v>0.35</v>
      </c>
      <c r="G1515" s="29" t="s">
        <v>3331</v>
      </c>
      <c r="I1515" s="29" t="s">
        <v>231</v>
      </c>
      <c r="J1515" s="29" t="s">
        <v>2450</v>
      </c>
      <c r="K1515" s="119">
        <v>6</v>
      </c>
      <c r="L1515" s="111" t="s">
        <v>123</v>
      </c>
      <c r="O1515" s="111" t="s">
        <v>1525</v>
      </c>
    </row>
    <row r="1516" spans="2:16" ht="15" customHeight="1" x14ac:dyDescent="0.15">
      <c r="B1516" s="29" t="s">
        <v>3296</v>
      </c>
      <c r="C1516" s="266">
        <v>44092</v>
      </c>
      <c r="D1516" s="29" t="s">
        <v>3328</v>
      </c>
      <c r="E1516" s="105" t="s">
        <v>6</v>
      </c>
      <c r="F1516" s="147">
        <v>4.2999999999999997E-2</v>
      </c>
      <c r="I1516" s="29" t="s">
        <v>3329</v>
      </c>
      <c r="J1516" s="29" t="s">
        <v>3330</v>
      </c>
      <c r="K1516" s="119">
        <v>6</v>
      </c>
      <c r="L1516" s="111" t="s">
        <v>3423</v>
      </c>
      <c r="O1516" s="111" t="s">
        <v>3423</v>
      </c>
    </row>
    <row r="1517" spans="2:16" ht="15" customHeight="1" x14ac:dyDescent="0.15">
      <c r="B1517" s="29" t="s">
        <v>18</v>
      </c>
      <c r="C1517" s="266">
        <v>44092</v>
      </c>
      <c r="D1517" s="29" t="s">
        <v>2041</v>
      </c>
      <c r="E1517" s="105" t="s">
        <v>6</v>
      </c>
      <c r="F1517" s="147">
        <v>0.05</v>
      </c>
      <c r="G1517" s="29" t="s">
        <v>394</v>
      </c>
      <c r="I1517" s="29" t="s">
        <v>1224</v>
      </c>
      <c r="J1517" s="29" t="s">
        <v>1369</v>
      </c>
      <c r="K1517" s="119">
        <v>1.5</v>
      </c>
      <c r="L1517" s="111" t="s">
        <v>158</v>
      </c>
      <c r="O1517" s="111" t="s">
        <v>1565</v>
      </c>
      <c r="P1517" s="23" t="s">
        <v>3332</v>
      </c>
    </row>
    <row r="1518" spans="2:16" ht="15" customHeight="1" x14ac:dyDescent="0.15">
      <c r="B1518" s="29" t="s">
        <v>420</v>
      </c>
      <c r="C1518" s="266">
        <v>44092</v>
      </c>
      <c r="D1518" s="29" t="s">
        <v>3424</v>
      </c>
      <c r="E1518" s="105" t="s">
        <v>6</v>
      </c>
      <c r="F1518" s="147">
        <v>3.5000000000000003E-2</v>
      </c>
      <c r="I1518" s="29" t="s">
        <v>3334</v>
      </c>
      <c r="J1518" s="29" t="s">
        <v>3335</v>
      </c>
      <c r="K1518" s="119">
        <v>7.5</v>
      </c>
      <c r="L1518" s="111" t="s">
        <v>3425</v>
      </c>
      <c r="O1518" s="111" t="s">
        <v>3425</v>
      </c>
    </row>
    <row r="1519" spans="2:16" ht="15" customHeight="1" x14ac:dyDescent="0.15">
      <c r="B1519" s="29" t="s">
        <v>45</v>
      </c>
      <c r="C1519" s="266">
        <v>44092</v>
      </c>
      <c r="D1519" s="29" t="s">
        <v>3333</v>
      </c>
      <c r="E1519" s="105" t="s">
        <v>6</v>
      </c>
      <c r="F1519" s="147">
        <v>4.4999999999999998E-2</v>
      </c>
      <c r="I1519" s="29" t="s">
        <v>1140</v>
      </c>
      <c r="J1519" s="29" t="s">
        <v>264</v>
      </c>
      <c r="K1519" s="119">
        <v>8</v>
      </c>
      <c r="L1519" s="111" t="s">
        <v>3426</v>
      </c>
      <c r="O1519" s="111" t="s">
        <v>3426</v>
      </c>
    </row>
    <row r="1520" spans="2:16" ht="15" customHeight="1" x14ac:dyDescent="0.15">
      <c r="B1520" s="29" t="s">
        <v>26</v>
      </c>
      <c r="C1520" s="266">
        <v>44092</v>
      </c>
      <c r="D1520" s="29" t="s">
        <v>3424</v>
      </c>
      <c r="E1520" s="105" t="s">
        <v>6</v>
      </c>
      <c r="F1520" s="147">
        <v>3.5000000000000003E-2</v>
      </c>
      <c r="I1520" s="29" t="s">
        <v>146</v>
      </c>
      <c r="J1520" s="29" t="s">
        <v>3574</v>
      </c>
      <c r="K1520" s="119">
        <v>7</v>
      </c>
      <c r="L1520" s="111" t="s">
        <v>3425</v>
      </c>
      <c r="O1520" s="111" t="s">
        <v>3425</v>
      </c>
    </row>
    <row r="1521" spans="2:16" ht="15" customHeight="1" x14ac:dyDescent="0.15">
      <c r="B1521" s="29" t="s">
        <v>45</v>
      </c>
      <c r="C1521" s="266">
        <v>44092</v>
      </c>
      <c r="D1521" s="29" t="s">
        <v>3424</v>
      </c>
      <c r="E1521" s="105" t="s">
        <v>6</v>
      </c>
      <c r="F1521" s="147">
        <v>3.5000000000000003E-2</v>
      </c>
      <c r="I1521" s="29" t="s">
        <v>15</v>
      </c>
      <c r="J1521" s="29" t="s">
        <v>146</v>
      </c>
      <c r="K1521" s="119">
        <v>8</v>
      </c>
      <c r="L1521" s="111" t="s">
        <v>3425</v>
      </c>
      <c r="O1521" s="111" t="s">
        <v>3425</v>
      </c>
    </row>
    <row r="1522" spans="2:16" ht="15" customHeight="1" x14ac:dyDescent="0.15">
      <c r="B1522" s="29" t="s">
        <v>50</v>
      </c>
      <c r="C1522" s="266">
        <v>44092</v>
      </c>
      <c r="D1522" s="29" t="s">
        <v>3424</v>
      </c>
      <c r="E1522" s="105" t="s">
        <v>6</v>
      </c>
      <c r="F1522" s="147">
        <v>3.5000000000000003E-2</v>
      </c>
      <c r="I1522" s="29" t="s">
        <v>3336</v>
      </c>
      <c r="J1522" s="29" t="s">
        <v>219</v>
      </c>
      <c r="K1522" s="119">
        <v>7</v>
      </c>
      <c r="L1522" s="111" t="s">
        <v>3425</v>
      </c>
      <c r="O1522" s="111" t="s">
        <v>3425</v>
      </c>
    </row>
    <row r="1523" spans="2:16" ht="15" customHeight="1" x14ac:dyDescent="0.15">
      <c r="B1523" s="29" t="s">
        <v>18</v>
      </c>
      <c r="C1523" s="266">
        <v>44092</v>
      </c>
      <c r="D1523" s="29" t="s">
        <v>3338</v>
      </c>
      <c r="E1523" s="105" t="s">
        <v>34</v>
      </c>
      <c r="F1523" s="147">
        <v>0.04</v>
      </c>
      <c r="G1523" s="29" t="s">
        <v>394</v>
      </c>
      <c r="I1523" s="29" t="s">
        <v>3337</v>
      </c>
      <c r="J1523" s="29" t="s">
        <v>2831</v>
      </c>
      <c r="K1523" s="119">
        <v>1</v>
      </c>
      <c r="L1523" s="111" t="s">
        <v>1892</v>
      </c>
      <c r="O1523" s="111" t="s">
        <v>1565</v>
      </c>
    </row>
    <row r="1524" spans="2:16" ht="15" customHeight="1" x14ac:dyDescent="0.15">
      <c r="B1524" s="29" t="s">
        <v>35</v>
      </c>
      <c r="C1524" s="266">
        <v>44092</v>
      </c>
      <c r="D1524" s="29" t="s">
        <v>3339</v>
      </c>
      <c r="E1524" s="105" t="s">
        <v>6</v>
      </c>
      <c r="F1524" s="147">
        <v>0.08</v>
      </c>
      <c r="I1524" s="29" t="s">
        <v>222</v>
      </c>
      <c r="J1524" s="29" t="s">
        <v>215</v>
      </c>
      <c r="K1524" s="119">
        <v>7</v>
      </c>
      <c r="L1524" s="111" t="s">
        <v>3528</v>
      </c>
      <c r="O1524" s="111" t="s">
        <v>1810</v>
      </c>
    </row>
    <row r="1525" spans="2:16" ht="15" customHeight="1" x14ac:dyDescent="0.15">
      <c r="B1525" s="29" t="s">
        <v>3720</v>
      </c>
      <c r="C1525" s="266">
        <v>44092</v>
      </c>
      <c r="D1525" s="29" t="s">
        <v>1562</v>
      </c>
      <c r="E1525" s="105" t="s">
        <v>90</v>
      </c>
      <c r="F1525" s="147">
        <v>0</v>
      </c>
      <c r="I1525" s="29" t="s">
        <v>3348</v>
      </c>
      <c r="J1525" s="29" t="s">
        <v>194</v>
      </c>
      <c r="K1525" s="119">
        <v>10</v>
      </c>
      <c r="L1525" s="111" t="s">
        <v>1566</v>
      </c>
      <c r="O1525" s="111" t="s">
        <v>1566</v>
      </c>
    </row>
    <row r="1526" spans="2:16" ht="15" customHeight="1" x14ac:dyDescent="0.15">
      <c r="B1526" s="29" t="s">
        <v>35</v>
      </c>
      <c r="C1526" s="266">
        <v>44092</v>
      </c>
      <c r="D1526" s="29" t="s">
        <v>3342</v>
      </c>
      <c r="E1526" s="105" t="s">
        <v>6</v>
      </c>
      <c r="F1526" s="147">
        <v>0.05</v>
      </c>
      <c r="I1526" s="29" t="s">
        <v>1264</v>
      </c>
      <c r="J1526" s="29" t="s">
        <v>3347</v>
      </c>
      <c r="K1526" s="119">
        <v>5.5</v>
      </c>
      <c r="L1526" s="111" t="s">
        <v>1553</v>
      </c>
      <c r="O1526" s="111" t="s">
        <v>1553</v>
      </c>
      <c r="P1526" s="23" t="s">
        <v>3712</v>
      </c>
    </row>
    <row r="1527" spans="2:16" ht="15" customHeight="1" x14ac:dyDescent="0.15">
      <c r="B1527" s="29" t="s">
        <v>38</v>
      </c>
      <c r="C1527" s="266">
        <v>44092</v>
      </c>
      <c r="D1527" s="29" t="s">
        <v>1843</v>
      </c>
      <c r="E1527" s="105" t="s">
        <v>6</v>
      </c>
      <c r="F1527" s="147">
        <v>4.5999999999999999E-2</v>
      </c>
      <c r="I1527" s="29" t="s">
        <v>3343</v>
      </c>
      <c r="J1527" s="29" t="s">
        <v>70</v>
      </c>
      <c r="K1527" s="119">
        <v>8</v>
      </c>
      <c r="L1527" s="111" t="s">
        <v>895</v>
      </c>
      <c r="O1527" s="116" t="s">
        <v>1844</v>
      </c>
    </row>
    <row r="1528" spans="2:16" ht="15" customHeight="1" x14ac:dyDescent="0.15">
      <c r="B1528" s="29" t="s">
        <v>189</v>
      </c>
      <c r="C1528" s="266">
        <v>44092</v>
      </c>
      <c r="D1528" s="29" t="s">
        <v>487</v>
      </c>
      <c r="E1528" s="105" t="s">
        <v>6</v>
      </c>
      <c r="F1528" s="147">
        <v>5.1999999999999998E-2</v>
      </c>
      <c r="I1528" s="29" t="s">
        <v>3368</v>
      </c>
      <c r="J1528" s="29" t="s">
        <v>192</v>
      </c>
      <c r="K1528" s="119">
        <v>8</v>
      </c>
      <c r="L1528" s="111" t="s">
        <v>1719</v>
      </c>
      <c r="O1528" s="111" t="s">
        <v>674</v>
      </c>
    </row>
    <row r="1529" spans="2:16" ht="15" customHeight="1" x14ac:dyDescent="0.15">
      <c r="B1529" s="29" t="s">
        <v>361</v>
      </c>
      <c r="C1529" s="266">
        <v>44092</v>
      </c>
      <c r="D1529" s="29" t="s">
        <v>3344</v>
      </c>
      <c r="E1529" s="105" t="s">
        <v>34</v>
      </c>
      <c r="F1529" s="147">
        <v>6.2E-2</v>
      </c>
      <c r="I1529" s="29" t="s">
        <v>3346</v>
      </c>
      <c r="J1529" s="29" t="s">
        <v>185</v>
      </c>
      <c r="K1529" s="119">
        <v>8.5</v>
      </c>
      <c r="L1529" s="111" t="s">
        <v>3428</v>
      </c>
      <c r="O1529" s="111" t="s">
        <v>3428</v>
      </c>
    </row>
    <row r="1530" spans="2:16" ht="15" customHeight="1" x14ac:dyDescent="0.15">
      <c r="B1530" s="29" t="s">
        <v>420</v>
      </c>
      <c r="C1530" s="266">
        <v>44092</v>
      </c>
      <c r="D1530" s="29" t="s">
        <v>3430</v>
      </c>
      <c r="E1530" s="105" t="s">
        <v>6</v>
      </c>
      <c r="F1530" s="147">
        <v>4.2000000000000003E-2</v>
      </c>
      <c r="I1530" s="29" t="s">
        <v>1899</v>
      </c>
      <c r="J1530" s="29" t="s">
        <v>1899</v>
      </c>
      <c r="K1530" s="119">
        <v>5</v>
      </c>
      <c r="L1530" s="111" t="s">
        <v>3429</v>
      </c>
      <c r="O1530" s="111" t="s">
        <v>3429</v>
      </c>
    </row>
    <row r="1531" spans="2:16" ht="15" customHeight="1" x14ac:dyDescent="0.15">
      <c r="B1531" s="29" t="s">
        <v>41</v>
      </c>
      <c r="C1531" s="266">
        <v>44092</v>
      </c>
      <c r="D1531" s="29" t="s">
        <v>3345</v>
      </c>
      <c r="E1531" s="105" t="s">
        <v>34</v>
      </c>
      <c r="F1531" s="147">
        <v>0.04</v>
      </c>
      <c r="I1531" s="29" t="s">
        <v>311</v>
      </c>
      <c r="J1531" s="29" t="s">
        <v>932</v>
      </c>
      <c r="K1531" s="119">
        <v>4.5</v>
      </c>
      <c r="L1531" s="111" t="s">
        <v>1308</v>
      </c>
      <c r="O1531" s="111" t="s">
        <v>1968</v>
      </c>
    </row>
    <row r="1532" spans="2:16" ht="15" customHeight="1" x14ac:dyDescent="0.15">
      <c r="B1532" s="29" t="s">
        <v>26</v>
      </c>
      <c r="C1532" s="266">
        <v>44092</v>
      </c>
      <c r="D1532" s="29" t="s">
        <v>3342</v>
      </c>
      <c r="E1532" s="105" t="s">
        <v>6</v>
      </c>
      <c r="F1532" s="147">
        <v>0.05</v>
      </c>
      <c r="I1532" s="29" t="s">
        <v>1114</v>
      </c>
      <c r="J1532" s="29" t="s">
        <v>3367</v>
      </c>
      <c r="K1532" s="119">
        <v>7</v>
      </c>
      <c r="L1532" s="111" t="s">
        <v>1553</v>
      </c>
      <c r="O1532" s="111" t="s">
        <v>1553</v>
      </c>
    </row>
    <row r="1533" spans="2:16" ht="15" customHeight="1" x14ac:dyDescent="0.15">
      <c r="B1533" s="29" t="s">
        <v>421</v>
      </c>
      <c r="C1533" s="266">
        <v>44092</v>
      </c>
      <c r="D1533" s="29" t="s">
        <v>1105</v>
      </c>
      <c r="E1533" s="105" t="s">
        <v>32</v>
      </c>
      <c r="F1533" s="147">
        <v>0.04</v>
      </c>
      <c r="I1533" s="29" t="s">
        <v>3051</v>
      </c>
      <c r="J1533" s="29" t="s">
        <v>606</v>
      </c>
      <c r="K1533" s="119">
        <v>5</v>
      </c>
      <c r="L1533" s="111" t="s">
        <v>1584</v>
      </c>
      <c r="O1533" s="111" t="s">
        <v>1585</v>
      </c>
    </row>
    <row r="1534" spans="2:16" ht="15" customHeight="1" x14ac:dyDescent="0.15">
      <c r="B1534" s="29" t="s">
        <v>18</v>
      </c>
      <c r="C1534" s="266">
        <v>44092</v>
      </c>
      <c r="D1534" s="29" t="s">
        <v>3349</v>
      </c>
      <c r="E1534" s="105" t="s">
        <v>6</v>
      </c>
      <c r="F1534" s="147">
        <v>4.2999999999999997E-2</v>
      </c>
      <c r="I1534" s="29" t="s">
        <v>25</v>
      </c>
      <c r="J1534" s="29" t="s">
        <v>71</v>
      </c>
      <c r="K1534" s="119">
        <v>7.5</v>
      </c>
      <c r="L1534" s="111" t="s">
        <v>3431</v>
      </c>
      <c r="O1534" s="111" t="s">
        <v>3432</v>
      </c>
    </row>
    <row r="1535" spans="2:16" ht="15" customHeight="1" x14ac:dyDescent="0.15">
      <c r="B1535" s="29" t="s">
        <v>420</v>
      </c>
      <c r="C1535" s="266">
        <v>44092</v>
      </c>
      <c r="D1535" s="29" t="s">
        <v>3433</v>
      </c>
      <c r="E1535" s="105" t="s">
        <v>6</v>
      </c>
      <c r="F1535" s="147">
        <v>3.7999999999999999E-2</v>
      </c>
      <c r="I1535" s="29" t="s">
        <v>3350</v>
      </c>
      <c r="J1535" s="29" t="s">
        <v>3351</v>
      </c>
      <c r="K1535" s="119">
        <v>6</v>
      </c>
      <c r="L1535" s="111" t="s">
        <v>1654</v>
      </c>
      <c r="O1535" s="116" t="s">
        <v>1634</v>
      </c>
    </row>
    <row r="1536" spans="2:16" ht="15" customHeight="1" x14ac:dyDescent="0.15">
      <c r="B1536" s="29" t="s">
        <v>45</v>
      </c>
      <c r="C1536" s="266">
        <v>44092</v>
      </c>
      <c r="D1536" s="29" t="s">
        <v>3436</v>
      </c>
      <c r="E1536" s="105" t="s">
        <v>6</v>
      </c>
      <c r="F1536" s="147">
        <v>7.0000000000000007E-2</v>
      </c>
      <c r="I1536" s="29" t="s">
        <v>272</v>
      </c>
      <c r="J1536" s="29" t="s">
        <v>238</v>
      </c>
      <c r="K1536" s="119">
        <v>8.5</v>
      </c>
      <c r="L1536" s="111" t="s">
        <v>3300</v>
      </c>
      <c r="O1536" s="111" t="s">
        <v>3300</v>
      </c>
    </row>
    <row r="1537" spans="2:16" ht="15" customHeight="1" x14ac:dyDescent="0.15">
      <c r="B1537" s="29" t="s">
        <v>420</v>
      </c>
      <c r="C1537" s="266">
        <v>44092</v>
      </c>
      <c r="D1537" s="29" t="s">
        <v>3352</v>
      </c>
      <c r="E1537" s="105" t="s">
        <v>65</v>
      </c>
      <c r="F1537" s="147">
        <v>0.375</v>
      </c>
      <c r="I1537" s="29" t="s">
        <v>3360</v>
      </c>
      <c r="J1537" s="29" t="s">
        <v>3361</v>
      </c>
      <c r="K1537" s="119">
        <v>1.5</v>
      </c>
      <c r="L1537" s="111" t="s">
        <v>3437</v>
      </c>
      <c r="O1537" s="111" t="s">
        <v>3438</v>
      </c>
      <c r="P1537" s="254" t="s">
        <v>3711</v>
      </c>
    </row>
    <row r="1538" spans="2:16" ht="15" customHeight="1" x14ac:dyDescent="0.15">
      <c r="B1538" s="29" t="s">
        <v>26</v>
      </c>
      <c r="C1538" s="266">
        <v>44092</v>
      </c>
      <c r="D1538" s="29" t="s">
        <v>966</v>
      </c>
      <c r="E1538" s="105" t="s">
        <v>27</v>
      </c>
      <c r="F1538" s="147">
        <v>0.17</v>
      </c>
      <c r="I1538" s="29" t="s">
        <v>775</v>
      </c>
      <c r="J1538" s="29" t="s">
        <v>3354</v>
      </c>
      <c r="K1538" s="119">
        <v>5</v>
      </c>
      <c r="L1538" s="111" t="s">
        <v>966</v>
      </c>
      <c r="O1538" s="116" t="s">
        <v>1558</v>
      </c>
    </row>
    <row r="1539" spans="2:16" ht="15" customHeight="1" x14ac:dyDescent="0.15">
      <c r="B1539" s="29" t="s">
        <v>45</v>
      </c>
      <c r="C1539" s="266">
        <v>44092</v>
      </c>
      <c r="D1539" s="29" t="s">
        <v>3440</v>
      </c>
      <c r="E1539" s="105" t="s">
        <v>190</v>
      </c>
      <c r="F1539" s="147">
        <v>0.39</v>
      </c>
      <c r="I1539" s="29" t="s">
        <v>3353</v>
      </c>
      <c r="J1539" s="29" t="s">
        <v>1938</v>
      </c>
      <c r="K1539" s="119">
        <v>5</v>
      </c>
      <c r="L1539" s="111" t="s">
        <v>3439</v>
      </c>
      <c r="O1539" s="111" t="s">
        <v>3439</v>
      </c>
    </row>
    <row r="1540" spans="2:16" ht="15" customHeight="1" x14ac:dyDescent="0.15">
      <c r="B1540" s="29" t="s">
        <v>361</v>
      </c>
      <c r="C1540" s="266">
        <v>44092</v>
      </c>
      <c r="D1540" s="29" t="s">
        <v>1674</v>
      </c>
      <c r="E1540" s="105" t="s">
        <v>65</v>
      </c>
      <c r="F1540" s="147">
        <v>0.4</v>
      </c>
      <c r="G1540" s="29" t="s">
        <v>3441</v>
      </c>
      <c r="I1540" s="29" t="s">
        <v>2321</v>
      </c>
      <c r="J1540" s="29" t="s">
        <v>3355</v>
      </c>
      <c r="K1540" s="119">
        <v>1</v>
      </c>
      <c r="L1540" s="111" t="s">
        <v>3446</v>
      </c>
      <c r="O1540" s="116" t="s">
        <v>1675</v>
      </c>
    </row>
    <row r="1541" spans="2:16" ht="15" customHeight="1" x14ac:dyDescent="0.15">
      <c r="B1541" s="29" t="s">
        <v>61</v>
      </c>
      <c r="C1541" s="266">
        <v>44092</v>
      </c>
      <c r="D1541" s="29" t="s">
        <v>3307</v>
      </c>
      <c r="E1541" s="105" t="s">
        <v>27</v>
      </c>
      <c r="F1541" s="147">
        <v>0.2</v>
      </c>
      <c r="I1541" s="29" t="s">
        <v>16</v>
      </c>
      <c r="J1541" s="29" t="s">
        <v>227</v>
      </c>
      <c r="K1541" s="119">
        <v>7</v>
      </c>
      <c r="L1541" s="111" t="s">
        <v>1828</v>
      </c>
      <c r="O1541" s="111" t="s">
        <v>1828</v>
      </c>
    </row>
    <row r="1542" spans="2:16" ht="15" customHeight="1" x14ac:dyDescent="0.15">
      <c r="B1542" s="29" t="s">
        <v>189</v>
      </c>
      <c r="C1542" s="266">
        <v>44092</v>
      </c>
      <c r="D1542" s="29" t="s">
        <v>3420</v>
      </c>
      <c r="E1542" s="105" t="s">
        <v>27</v>
      </c>
      <c r="F1542" s="147">
        <v>0.05</v>
      </c>
      <c r="I1542" s="29" t="s">
        <v>1046</v>
      </c>
      <c r="J1542" s="29" t="s">
        <v>1253</v>
      </c>
      <c r="K1542" s="119">
        <v>2</v>
      </c>
      <c r="L1542" s="111" t="s">
        <v>1560</v>
      </c>
      <c r="O1542" s="116" t="s">
        <v>1496</v>
      </c>
    </row>
    <row r="1543" spans="2:16" ht="15" customHeight="1" x14ac:dyDescent="0.15">
      <c r="B1543" s="29" t="s">
        <v>38</v>
      </c>
      <c r="C1543" s="266">
        <v>44092</v>
      </c>
      <c r="D1543" s="29" t="s">
        <v>3324</v>
      </c>
      <c r="E1543" s="105" t="s">
        <v>32</v>
      </c>
      <c r="F1543" s="147">
        <v>0.05</v>
      </c>
      <c r="I1543" s="29" t="s">
        <v>3358</v>
      </c>
      <c r="J1543" s="29" t="s">
        <v>3359</v>
      </c>
      <c r="K1543" s="119">
        <v>2</v>
      </c>
      <c r="L1543" s="111" t="s">
        <v>3422</v>
      </c>
      <c r="O1543" s="111" t="s">
        <v>3422</v>
      </c>
    </row>
    <row r="1544" spans="2:16" ht="15" customHeight="1" x14ac:dyDescent="0.15">
      <c r="B1544" s="29" t="s">
        <v>35</v>
      </c>
      <c r="C1544" s="266">
        <v>44092</v>
      </c>
      <c r="D1544" s="29" t="s">
        <v>966</v>
      </c>
      <c r="E1544" s="105" t="s">
        <v>27</v>
      </c>
      <c r="F1544" s="147">
        <v>0.17</v>
      </c>
      <c r="I1544" s="29" t="s">
        <v>622</v>
      </c>
      <c r="J1544" s="29" t="s">
        <v>3357</v>
      </c>
      <c r="K1544" s="119">
        <v>6</v>
      </c>
      <c r="L1544" s="111" t="s">
        <v>966</v>
      </c>
      <c r="O1544" s="116" t="s">
        <v>1558</v>
      </c>
    </row>
    <row r="1545" spans="2:16" ht="15" customHeight="1" x14ac:dyDescent="0.15">
      <c r="B1545" s="29" t="s">
        <v>420</v>
      </c>
      <c r="C1545" s="266">
        <v>44092</v>
      </c>
      <c r="D1545" s="29" t="s">
        <v>3370</v>
      </c>
      <c r="E1545" s="105" t="s">
        <v>6</v>
      </c>
      <c r="F1545" s="147">
        <v>4.4999999999999998E-2</v>
      </c>
      <c r="I1545" s="29" t="s">
        <v>3560</v>
      </c>
      <c r="J1545" s="29" t="s">
        <v>3371</v>
      </c>
      <c r="K1545" s="119">
        <v>3</v>
      </c>
      <c r="L1545" s="111" t="s">
        <v>3426</v>
      </c>
      <c r="O1545" s="111" t="s">
        <v>3426</v>
      </c>
    </row>
    <row r="1546" spans="2:16" ht="15" customHeight="1" x14ac:dyDescent="0.15">
      <c r="B1546" s="29" t="s">
        <v>35</v>
      </c>
      <c r="C1546" s="266">
        <v>44092</v>
      </c>
      <c r="D1546" s="29" t="s">
        <v>3445</v>
      </c>
      <c r="E1546" s="105" t="s">
        <v>6</v>
      </c>
      <c r="F1546" s="147">
        <v>4.4999999999999998E-2</v>
      </c>
      <c r="I1546" s="29" t="s">
        <v>3356</v>
      </c>
      <c r="J1546" s="29" t="s">
        <v>332</v>
      </c>
      <c r="K1546" s="119">
        <v>8</v>
      </c>
      <c r="L1546" s="111" t="s">
        <v>3445</v>
      </c>
      <c r="O1546" s="116" t="s">
        <v>1586</v>
      </c>
      <c r="P1546" s="23" t="s">
        <v>3710</v>
      </c>
    </row>
    <row r="1547" spans="2:16" ht="15" customHeight="1" x14ac:dyDescent="0.15">
      <c r="B1547" s="29" t="s">
        <v>35</v>
      </c>
      <c r="C1547" s="266">
        <v>44092</v>
      </c>
      <c r="D1547" s="29" t="s">
        <v>3374</v>
      </c>
      <c r="E1547" s="105" t="s">
        <v>6</v>
      </c>
      <c r="F1547" s="147">
        <v>5.3999999999999999E-2</v>
      </c>
      <c r="I1547" s="29" t="s">
        <v>215</v>
      </c>
      <c r="J1547" s="29" t="s">
        <v>340</v>
      </c>
      <c r="K1547" s="119">
        <v>6</v>
      </c>
      <c r="L1547" s="111" t="s">
        <v>765</v>
      </c>
      <c r="O1547" s="111" t="s">
        <v>1569</v>
      </c>
    </row>
    <row r="1548" spans="2:16" ht="15" customHeight="1" x14ac:dyDescent="0.15">
      <c r="B1548" s="29" t="s">
        <v>41</v>
      </c>
      <c r="C1548" s="266">
        <v>44092</v>
      </c>
      <c r="D1548" s="29" t="s">
        <v>123</v>
      </c>
      <c r="E1548" s="105" t="s">
        <v>27</v>
      </c>
      <c r="F1548" s="147">
        <v>0.35</v>
      </c>
      <c r="G1548" s="29" t="s">
        <v>3364</v>
      </c>
      <c r="I1548" s="29" t="s">
        <v>3365</v>
      </c>
      <c r="J1548" s="29" t="s">
        <v>3366</v>
      </c>
      <c r="K1548" s="119">
        <v>8</v>
      </c>
      <c r="L1548" s="111" t="s">
        <v>123</v>
      </c>
      <c r="O1548" s="111" t="s">
        <v>1525</v>
      </c>
    </row>
    <row r="1549" spans="2:16" ht="15" customHeight="1" x14ac:dyDescent="0.15">
      <c r="B1549" s="29" t="s">
        <v>189</v>
      </c>
      <c r="C1549" s="266">
        <v>44092</v>
      </c>
      <c r="D1549" s="29" t="s">
        <v>3448</v>
      </c>
      <c r="E1549" s="105" t="s">
        <v>6</v>
      </c>
      <c r="F1549" s="147">
        <v>3.7999999999999999E-2</v>
      </c>
      <c r="I1549" s="29" t="s">
        <v>3369</v>
      </c>
      <c r="J1549" s="29" t="s">
        <v>215</v>
      </c>
      <c r="K1549" s="119">
        <v>5.5</v>
      </c>
      <c r="L1549" s="111" t="s">
        <v>3449</v>
      </c>
      <c r="O1549" s="111" t="s">
        <v>3450</v>
      </c>
      <c r="P1549" s="23" t="s">
        <v>3709</v>
      </c>
    </row>
    <row r="1550" spans="2:16" ht="15" customHeight="1" x14ac:dyDescent="0.15">
      <c r="B1550" s="29" t="s">
        <v>3296</v>
      </c>
      <c r="C1550" s="266">
        <v>44092</v>
      </c>
      <c r="D1550" s="29" t="s">
        <v>3457</v>
      </c>
      <c r="E1550" s="105" t="s">
        <v>34</v>
      </c>
      <c r="F1550" s="147">
        <v>6.8000000000000005E-2</v>
      </c>
      <c r="I1550" s="29" t="s">
        <v>3362</v>
      </c>
      <c r="J1550" s="29" t="s">
        <v>3363</v>
      </c>
      <c r="K1550" s="119">
        <v>3</v>
      </c>
      <c r="L1550" s="111" t="s">
        <v>3451</v>
      </c>
      <c r="O1550" s="111" t="s">
        <v>1872</v>
      </c>
      <c r="P1550" s="23" t="s">
        <v>3708</v>
      </c>
    </row>
    <row r="1551" spans="2:16" ht="15" customHeight="1" x14ac:dyDescent="0.15">
      <c r="B1551" s="29" t="s">
        <v>3296</v>
      </c>
      <c r="C1551" s="266">
        <v>44092</v>
      </c>
      <c r="D1551" s="29" t="s">
        <v>3372</v>
      </c>
      <c r="E1551" s="105" t="s">
        <v>6</v>
      </c>
      <c r="F1551" s="147">
        <v>4.1000000000000002E-2</v>
      </c>
      <c r="I1551" s="29" t="s">
        <v>328</v>
      </c>
      <c r="J1551" s="29" t="s">
        <v>112</v>
      </c>
      <c r="K1551" s="119">
        <v>8</v>
      </c>
      <c r="L1551" s="111" t="s">
        <v>1515</v>
      </c>
      <c r="O1551" s="111" t="s">
        <v>1515</v>
      </c>
    </row>
    <row r="1552" spans="2:16" ht="15" customHeight="1" x14ac:dyDescent="0.15">
      <c r="B1552" s="29" t="s">
        <v>361</v>
      </c>
      <c r="C1552" s="266">
        <v>44092</v>
      </c>
      <c r="D1552" s="29" t="s">
        <v>3441</v>
      </c>
      <c r="E1552" s="105" t="s">
        <v>34</v>
      </c>
      <c r="F1552" s="147">
        <v>0.06</v>
      </c>
      <c r="I1552" s="29" t="s">
        <v>312</v>
      </c>
      <c r="J1552" s="29" t="s">
        <v>3373</v>
      </c>
      <c r="K1552" s="119">
        <v>7.5</v>
      </c>
      <c r="L1552" s="111" t="s">
        <v>3443</v>
      </c>
      <c r="O1552" s="111" t="s">
        <v>3442</v>
      </c>
    </row>
    <row r="1553" spans="2:16" ht="15" customHeight="1" x14ac:dyDescent="0.15">
      <c r="B1553" s="29" t="s">
        <v>61</v>
      </c>
      <c r="C1553" s="266">
        <v>44092</v>
      </c>
      <c r="D1553" s="29" t="s">
        <v>3375</v>
      </c>
      <c r="E1553" s="105" t="s">
        <v>36</v>
      </c>
      <c r="F1553" s="147">
        <v>0.35</v>
      </c>
      <c r="G1553" s="105" t="s">
        <v>537</v>
      </c>
      <c r="I1553" s="29" t="s">
        <v>224</v>
      </c>
      <c r="J1553" s="29" t="s">
        <v>3376</v>
      </c>
      <c r="K1553" s="119">
        <v>2.5</v>
      </c>
      <c r="L1553" s="111" t="s">
        <v>1523</v>
      </c>
      <c r="O1553" s="111" t="s">
        <v>1523</v>
      </c>
      <c r="P1553" s="255" t="s">
        <v>3707</v>
      </c>
    </row>
    <row r="1554" spans="2:16" ht="15" customHeight="1" x14ac:dyDescent="0.15">
      <c r="B1554" s="29" t="s">
        <v>41</v>
      </c>
      <c r="C1554" s="266">
        <v>44092</v>
      </c>
      <c r="D1554" s="29" t="s">
        <v>3466</v>
      </c>
      <c r="E1554" s="105" t="s">
        <v>65</v>
      </c>
      <c r="F1554" s="147">
        <v>0.35</v>
      </c>
      <c r="G1554" s="29" t="s">
        <v>3364</v>
      </c>
      <c r="I1554" s="29" t="s">
        <v>283</v>
      </c>
      <c r="J1554" s="29" t="s">
        <v>238</v>
      </c>
      <c r="K1554" s="119">
        <v>7.5</v>
      </c>
      <c r="L1554" s="111" t="s">
        <v>1587</v>
      </c>
      <c r="O1554" s="111" t="s">
        <v>1516</v>
      </c>
    </row>
    <row r="1555" spans="2:16" ht="15" customHeight="1" x14ac:dyDescent="0.15">
      <c r="B1555" s="29" t="s">
        <v>45</v>
      </c>
      <c r="C1555" s="266">
        <v>44092</v>
      </c>
      <c r="D1555" s="29" t="s">
        <v>3377</v>
      </c>
      <c r="E1555" s="105" t="s">
        <v>6</v>
      </c>
      <c r="F1555" s="147">
        <v>4.4999999999999998E-2</v>
      </c>
      <c r="I1555" s="29" t="s">
        <v>146</v>
      </c>
      <c r="J1555" s="29" t="s">
        <v>192</v>
      </c>
      <c r="K1555" s="119">
        <v>6.5</v>
      </c>
      <c r="L1555" s="111" t="s">
        <v>3429</v>
      </c>
      <c r="O1555" s="111" t="s">
        <v>3429</v>
      </c>
    </row>
    <row r="1556" spans="2:16" ht="15" customHeight="1" x14ac:dyDescent="0.15">
      <c r="B1556" s="29" t="s">
        <v>35</v>
      </c>
      <c r="C1556" s="266">
        <v>44092</v>
      </c>
      <c r="D1556" s="29" t="s">
        <v>3056</v>
      </c>
      <c r="E1556" s="105" t="s">
        <v>27</v>
      </c>
      <c r="F1556" s="147">
        <v>0.22</v>
      </c>
      <c r="I1556" s="29" t="s">
        <v>3378</v>
      </c>
      <c r="J1556" s="29" t="s">
        <v>2895</v>
      </c>
      <c r="K1556" s="119">
        <v>6.5</v>
      </c>
      <c r="L1556" s="111" t="s">
        <v>3453</v>
      </c>
      <c r="O1556" s="111" t="s">
        <v>3453</v>
      </c>
    </row>
    <row r="1557" spans="2:16" ht="15" customHeight="1" x14ac:dyDescent="0.15">
      <c r="B1557" s="29" t="s">
        <v>41</v>
      </c>
      <c r="C1557" s="266">
        <v>44092</v>
      </c>
      <c r="D1557" s="29" t="s">
        <v>3455</v>
      </c>
      <c r="E1557" s="105" t="s">
        <v>32</v>
      </c>
      <c r="F1557" s="147">
        <v>0.25</v>
      </c>
      <c r="G1557" s="29" t="s">
        <v>3456</v>
      </c>
      <c r="H1557" s="29" t="s">
        <v>3384</v>
      </c>
      <c r="I1557" s="29" t="s">
        <v>238</v>
      </c>
      <c r="J1557" s="29" t="s">
        <v>314</v>
      </c>
      <c r="K1557" s="119">
        <v>8</v>
      </c>
      <c r="L1557" s="111" t="s">
        <v>1893</v>
      </c>
      <c r="O1557" s="111" t="s">
        <v>1893</v>
      </c>
      <c r="P1557" s="23" t="s">
        <v>3379</v>
      </c>
    </row>
    <row r="1558" spans="2:16" ht="15" customHeight="1" x14ac:dyDescent="0.15">
      <c r="B1558" s="29" t="s">
        <v>35</v>
      </c>
      <c r="C1558" s="266">
        <v>44092</v>
      </c>
      <c r="D1558" s="29" t="s">
        <v>1467</v>
      </c>
      <c r="E1558" s="105" t="s">
        <v>27</v>
      </c>
      <c r="F1558" s="147">
        <v>0.3</v>
      </c>
      <c r="I1558" s="29" t="s">
        <v>33</v>
      </c>
      <c r="J1558" s="29" t="s">
        <v>264</v>
      </c>
      <c r="K1558" s="119">
        <v>9.5</v>
      </c>
      <c r="L1558" s="111" t="s">
        <v>1478</v>
      </c>
      <c r="O1558" s="111" t="s">
        <v>1468</v>
      </c>
    </row>
    <row r="1559" spans="2:16" ht="15" customHeight="1" x14ac:dyDescent="0.15">
      <c r="B1559" s="29" t="s">
        <v>35</v>
      </c>
      <c r="C1559" s="266">
        <v>44092</v>
      </c>
      <c r="D1559" s="29" t="s">
        <v>3381</v>
      </c>
      <c r="E1559" s="105" t="s">
        <v>6</v>
      </c>
      <c r="F1559" s="147">
        <v>0.06</v>
      </c>
      <c r="I1559" s="29" t="s">
        <v>575</v>
      </c>
      <c r="J1559" s="29" t="s">
        <v>195</v>
      </c>
      <c r="K1559" s="119">
        <v>6.5</v>
      </c>
      <c r="L1559" s="111" t="s">
        <v>764</v>
      </c>
      <c r="M1559" s="111" t="s">
        <v>3528</v>
      </c>
      <c r="N1559" s="111" t="s">
        <v>3380</v>
      </c>
      <c r="O1559" s="111" t="s">
        <v>3459</v>
      </c>
    </row>
    <row r="1560" spans="2:16" ht="15" customHeight="1" x14ac:dyDescent="0.15">
      <c r="B1560" s="29" t="s">
        <v>41</v>
      </c>
      <c r="C1560" s="266">
        <v>44092</v>
      </c>
      <c r="D1560" s="29" t="s">
        <v>3458</v>
      </c>
      <c r="E1560" s="105" t="s">
        <v>32</v>
      </c>
      <c r="F1560" s="147">
        <v>0.4</v>
      </c>
      <c r="G1560" s="29" t="s">
        <v>2847</v>
      </c>
      <c r="I1560" s="29" t="s">
        <v>238</v>
      </c>
      <c r="J1560" s="29" t="s">
        <v>3389</v>
      </c>
      <c r="K1560" s="119">
        <v>6.5</v>
      </c>
      <c r="L1560" s="111" t="s">
        <v>1546</v>
      </c>
      <c r="O1560" s="111" t="s">
        <v>1594</v>
      </c>
      <c r="P1560" s="23" t="s">
        <v>3390</v>
      </c>
    </row>
    <row r="1561" spans="2:16" ht="15" customHeight="1" x14ac:dyDescent="0.15">
      <c r="B1561" s="29" t="s">
        <v>61</v>
      </c>
      <c r="C1561" s="266">
        <v>44092</v>
      </c>
      <c r="D1561" s="29" t="s">
        <v>3606</v>
      </c>
      <c r="E1561" s="105" t="s">
        <v>12</v>
      </c>
      <c r="F1561" s="147">
        <v>0.375</v>
      </c>
      <c r="I1561" s="29" t="s">
        <v>791</v>
      </c>
      <c r="J1561" s="29" t="s">
        <v>3382</v>
      </c>
      <c r="K1561" s="119">
        <v>5</v>
      </c>
      <c r="L1561" s="111" t="s">
        <v>1874</v>
      </c>
      <c r="O1561" s="111" t="s">
        <v>1875</v>
      </c>
    </row>
    <row r="1562" spans="2:16" ht="15" customHeight="1" x14ac:dyDescent="0.15">
      <c r="B1562" s="29" t="s">
        <v>361</v>
      </c>
      <c r="C1562" s="266">
        <v>44092</v>
      </c>
      <c r="D1562" s="29" t="s">
        <v>3460</v>
      </c>
      <c r="E1562" s="105" t="s">
        <v>190</v>
      </c>
      <c r="F1562" s="147">
        <v>0.38</v>
      </c>
      <c r="I1562" s="29" t="s">
        <v>3383</v>
      </c>
      <c r="J1562" s="29" t="s">
        <v>653</v>
      </c>
      <c r="K1562" s="119">
        <v>2</v>
      </c>
      <c r="L1562" s="111" t="s">
        <v>1638</v>
      </c>
      <c r="O1562" s="111" t="s">
        <v>1639</v>
      </c>
    </row>
    <row r="1563" spans="2:16" ht="15" customHeight="1" x14ac:dyDescent="0.15">
      <c r="B1563" s="29" t="s">
        <v>26</v>
      </c>
      <c r="C1563" s="266">
        <v>44092</v>
      </c>
      <c r="D1563" s="29" t="s">
        <v>3462</v>
      </c>
      <c r="E1563" s="105" t="s">
        <v>27</v>
      </c>
      <c r="F1563" s="147">
        <v>0.17</v>
      </c>
      <c r="I1563" s="29" t="s">
        <v>192</v>
      </c>
      <c r="J1563" s="29" t="s">
        <v>2475</v>
      </c>
      <c r="K1563" s="119">
        <v>9.5</v>
      </c>
      <c r="L1563" s="111" t="s">
        <v>2055</v>
      </c>
      <c r="O1563" s="111" t="s">
        <v>1516</v>
      </c>
    </row>
    <row r="1564" spans="2:16" ht="15" customHeight="1" x14ac:dyDescent="0.15">
      <c r="B1564" s="29" t="s">
        <v>41</v>
      </c>
      <c r="C1564" s="266">
        <v>44092</v>
      </c>
      <c r="D1564" s="29" t="s">
        <v>3463</v>
      </c>
      <c r="E1564" s="105" t="s">
        <v>42</v>
      </c>
      <c r="F1564" s="147">
        <v>0.11</v>
      </c>
      <c r="I1564" s="29" t="s">
        <v>132</v>
      </c>
      <c r="J1564" s="29" t="s">
        <v>340</v>
      </c>
      <c r="K1564" s="119">
        <v>4</v>
      </c>
      <c r="L1564" s="111" t="s">
        <v>3464</v>
      </c>
      <c r="O1564" s="111" t="s">
        <v>2021</v>
      </c>
    </row>
    <row r="1565" spans="2:16" ht="15" customHeight="1" x14ac:dyDescent="0.15">
      <c r="B1565" s="29" t="s">
        <v>361</v>
      </c>
      <c r="C1565" s="266">
        <v>44092</v>
      </c>
      <c r="D1565" s="29" t="s">
        <v>3385</v>
      </c>
      <c r="E1565" s="105" t="s">
        <v>34</v>
      </c>
      <c r="F1565" s="147">
        <v>4.9000000000000002E-2</v>
      </c>
      <c r="I1565" s="29" t="s">
        <v>25</v>
      </c>
      <c r="J1565" s="29" t="s">
        <v>653</v>
      </c>
      <c r="K1565" s="119">
        <v>4</v>
      </c>
      <c r="L1565" s="111" t="s">
        <v>3465</v>
      </c>
      <c r="O1565" s="111" t="s">
        <v>3465</v>
      </c>
    </row>
    <row r="1566" spans="2:16" ht="15" customHeight="1" x14ac:dyDescent="0.15">
      <c r="B1566" s="29" t="s">
        <v>26</v>
      </c>
      <c r="C1566" s="266">
        <v>44092</v>
      </c>
      <c r="D1566" s="29" t="s">
        <v>3386</v>
      </c>
      <c r="E1566" s="105" t="s">
        <v>34</v>
      </c>
      <c r="F1566" s="147">
        <v>0.04</v>
      </c>
      <c r="I1566" s="29" t="s">
        <v>3387</v>
      </c>
      <c r="J1566" s="29" t="s">
        <v>3388</v>
      </c>
      <c r="K1566" s="119">
        <v>8.5</v>
      </c>
      <c r="L1566" s="111" t="s">
        <v>1472</v>
      </c>
      <c r="O1566" s="111" t="s">
        <v>1455</v>
      </c>
    </row>
    <row r="1567" spans="2:16" ht="15" customHeight="1" x14ac:dyDescent="0.15">
      <c r="B1567" s="29" t="s">
        <v>41</v>
      </c>
      <c r="C1567" s="266">
        <v>44092</v>
      </c>
      <c r="D1567" s="29" t="s">
        <v>3466</v>
      </c>
      <c r="E1567" s="105" t="s">
        <v>65</v>
      </c>
      <c r="F1567" s="147">
        <v>0.35</v>
      </c>
      <c r="G1567" s="29" t="s">
        <v>69</v>
      </c>
      <c r="I1567" s="29" t="s">
        <v>3391</v>
      </c>
      <c r="J1567" s="29" t="s">
        <v>323</v>
      </c>
      <c r="K1567" s="119">
        <v>6</v>
      </c>
      <c r="L1567" s="111" t="s">
        <v>1587</v>
      </c>
      <c r="O1567" s="111" t="s">
        <v>1516</v>
      </c>
      <c r="P1567" s="23" t="s">
        <v>3492</v>
      </c>
    </row>
    <row r="1568" spans="2:16" ht="15" customHeight="1" x14ac:dyDescent="0.15">
      <c r="B1568" s="29" t="s">
        <v>41</v>
      </c>
      <c r="C1568" s="266">
        <v>44092</v>
      </c>
      <c r="D1568" s="29" t="s">
        <v>3444</v>
      </c>
      <c r="E1568" s="105" t="s">
        <v>65</v>
      </c>
      <c r="F1568" s="147">
        <v>0.25</v>
      </c>
      <c r="G1568" s="29" t="s">
        <v>69</v>
      </c>
      <c r="I1568" s="29" t="s">
        <v>603</v>
      </c>
      <c r="J1568" s="29" t="s">
        <v>3392</v>
      </c>
      <c r="K1568" s="119">
        <v>8</v>
      </c>
      <c r="L1568" s="111" t="s">
        <v>1587</v>
      </c>
      <c r="O1568" s="111" t="s">
        <v>1516</v>
      </c>
      <c r="P1568" s="23" t="s">
        <v>3493</v>
      </c>
    </row>
    <row r="1569" spans="2:16" ht="15" customHeight="1" x14ac:dyDescent="0.15">
      <c r="B1569" s="29" t="s">
        <v>41</v>
      </c>
      <c r="C1569" s="266">
        <v>44092</v>
      </c>
      <c r="D1569" s="29" t="s">
        <v>966</v>
      </c>
      <c r="E1569" s="105" t="s">
        <v>27</v>
      </c>
      <c r="F1569" s="147">
        <v>0.17</v>
      </c>
      <c r="G1569" s="29" t="s">
        <v>69</v>
      </c>
      <c r="I1569" s="29" t="s">
        <v>3393</v>
      </c>
      <c r="J1569" s="29" t="s">
        <v>3394</v>
      </c>
      <c r="K1569" s="119">
        <v>8</v>
      </c>
      <c r="L1569" s="111" t="s">
        <v>966</v>
      </c>
      <c r="O1569" s="111" t="s">
        <v>1558</v>
      </c>
      <c r="P1569" s="23" t="s">
        <v>3492</v>
      </c>
    </row>
    <row r="1570" spans="2:16" ht="15" customHeight="1" x14ac:dyDescent="0.15">
      <c r="B1570" s="29" t="s">
        <v>41</v>
      </c>
      <c r="C1570" s="266">
        <v>44092</v>
      </c>
      <c r="D1570" s="29" t="s">
        <v>3395</v>
      </c>
      <c r="E1570" s="105" t="s">
        <v>32</v>
      </c>
      <c r="F1570" s="147">
        <v>0.25</v>
      </c>
      <c r="G1570" s="29" t="s">
        <v>69</v>
      </c>
      <c r="I1570" s="29" t="s">
        <v>323</v>
      </c>
      <c r="J1570" s="29" t="s">
        <v>3396</v>
      </c>
      <c r="K1570" s="119">
        <v>6</v>
      </c>
      <c r="L1570" s="111" t="s">
        <v>1893</v>
      </c>
      <c r="O1570" s="111" t="s">
        <v>1893</v>
      </c>
      <c r="P1570" s="23" t="s">
        <v>3492</v>
      </c>
    </row>
    <row r="1571" spans="2:16" ht="15" customHeight="1" x14ac:dyDescent="0.15">
      <c r="B1571" s="29" t="s">
        <v>41</v>
      </c>
      <c r="C1571" s="266">
        <v>44092</v>
      </c>
      <c r="D1571" s="29" t="s">
        <v>3444</v>
      </c>
      <c r="E1571" s="105" t="s">
        <v>65</v>
      </c>
      <c r="F1571" s="147">
        <v>0.25</v>
      </c>
      <c r="G1571" s="29" t="s">
        <v>588</v>
      </c>
      <c r="I1571" s="29" t="s">
        <v>265</v>
      </c>
      <c r="J1571" s="29" t="s">
        <v>465</v>
      </c>
      <c r="K1571" s="119">
        <v>8.5</v>
      </c>
      <c r="L1571" s="111" t="s">
        <v>1587</v>
      </c>
      <c r="O1571" s="111" t="s">
        <v>1516</v>
      </c>
      <c r="P1571" s="23" t="s">
        <v>3494</v>
      </c>
    </row>
    <row r="1572" spans="2:16" ht="15" customHeight="1" x14ac:dyDescent="0.15">
      <c r="B1572" s="29" t="s">
        <v>41</v>
      </c>
      <c r="C1572" s="266">
        <v>44092</v>
      </c>
      <c r="D1572" s="29" t="s">
        <v>3466</v>
      </c>
      <c r="E1572" s="105" t="s">
        <v>65</v>
      </c>
      <c r="F1572" s="147">
        <v>0.35</v>
      </c>
      <c r="G1572" s="29" t="s">
        <v>588</v>
      </c>
      <c r="I1572" s="29" t="s">
        <v>1264</v>
      </c>
      <c r="J1572" s="29" t="s">
        <v>1299</v>
      </c>
      <c r="K1572" s="119">
        <v>3</v>
      </c>
      <c r="L1572" s="111" t="s">
        <v>1587</v>
      </c>
      <c r="O1572" s="111" t="s">
        <v>1516</v>
      </c>
      <c r="P1572" s="23" t="s">
        <v>3494</v>
      </c>
    </row>
    <row r="1573" spans="2:16" ht="15" customHeight="1" x14ac:dyDescent="0.15">
      <c r="B1573" s="29" t="s">
        <v>26</v>
      </c>
      <c r="C1573" s="266">
        <v>44092</v>
      </c>
      <c r="D1573" s="29" t="s">
        <v>3404</v>
      </c>
      <c r="E1573" s="105" t="s">
        <v>6</v>
      </c>
      <c r="F1573" s="147">
        <v>4.2000000000000003E-2</v>
      </c>
      <c r="I1573" s="29" t="s">
        <v>2378</v>
      </c>
      <c r="J1573" s="29" t="s">
        <v>2493</v>
      </c>
      <c r="K1573" s="119">
        <v>4.5</v>
      </c>
      <c r="L1573" s="111" t="s">
        <v>768</v>
      </c>
      <c r="O1573" s="111" t="s">
        <v>1516</v>
      </c>
      <c r="P1573" s="23" t="s">
        <v>3495</v>
      </c>
    </row>
    <row r="1574" spans="2:16" ht="15" customHeight="1" x14ac:dyDescent="0.15">
      <c r="B1574" s="29" t="s">
        <v>41</v>
      </c>
      <c r="C1574" s="266">
        <v>44099</v>
      </c>
      <c r="D1574" s="29" t="s">
        <v>3513</v>
      </c>
      <c r="E1574" s="105" t="s">
        <v>6</v>
      </c>
      <c r="F1574" s="147">
        <v>3.9E-2</v>
      </c>
      <c r="I1574" s="29" t="s">
        <v>3474</v>
      </c>
      <c r="J1574" s="29" t="s">
        <v>326</v>
      </c>
      <c r="K1574" s="119">
        <v>9</v>
      </c>
      <c r="L1574" s="111" t="s">
        <v>3515</v>
      </c>
      <c r="O1574" s="111" t="s">
        <v>3514</v>
      </c>
    </row>
    <row r="1575" spans="2:16" ht="15" customHeight="1" x14ac:dyDescent="0.15">
      <c r="B1575" s="29" t="s">
        <v>18</v>
      </c>
      <c r="C1575" s="266">
        <v>44099</v>
      </c>
      <c r="D1575" s="29" t="s">
        <v>3511</v>
      </c>
      <c r="E1575" s="105" t="s">
        <v>36</v>
      </c>
      <c r="F1575" s="147">
        <v>0.46</v>
      </c>
      <c r="G1575" s="29" t="s">
        <v>173</v>
      </c>
      <c r="I1575" s="29" t="s">
        <v>193</v>
      </c>
      <c r="J1575" s="29" t="s">
        <v>2250</v>
      </c>
      <c r="K1575" s="119">
        <v>8.5</v>
      </c>
      <c r="L1575" s="111" t="s">
        <v>3512</v>
      </c>
      <c r="O1575" s="111" t="s">
        <v>3512</v>
      </c>
    </row>
    <row r="1576" spans="2:16" ht="15" customHeight="1" x14ac:dyDescent="0.15">
      <c r="B1576" s="29" t="s">
        <v>26</v>
      </c>
      <c r="C1576" s="266">
        <v>44099</v>
      </c>
      <c r="D1576" s="29" t="s">
        <v>3516</v>
      </c>
      <c r="E1576" s="105" t="s">
        <v>34</v>
      </c>
      <c r="F1576" s="147">
        <v>0.04</v>
      </c>
      <c r="I1576" s="29" t="s">
        <v>93</v>
      </c>
      <c r="J1576" s="29" t="s">
        <v>775</v>
      </c>
      <c r="K1576" s="119">
        <v>8</v>
      </c>
      <c r="L1576" s="111" t="s">
        <v>3517</v>
      </c>
      <c r="O1576" s="111" t="s">
        <v>3518</v>
      </c>
    </row>
    <row r="1577" spans="2:16" ht="15" customHeight="1" x14ac:dyDescent="0.15">
      <c r="B1577" s="29" t="s">
        <v>38</v>
      </c>
      <c r="C1577" s="266">
        <v>44099</v>
      </c>
      <c r="D1577" s="29" t="s">
        <v>3519</v>
      </c>
      <c r="E1577" s="105" t="s">
        <v>6</v>
      </c>
      <c r="F1577" s="147">
        <v>0.04</v>
      </c>
      <c r="I1577" s="29" t="s">
        <v>47</v>
      </c>
      <c r="J1577" s="29" t="s">
        <v>3473</v>
      </c>
      <c r="K1577" s="119">
        <v>7.5</v>
      </c>
      <c r="L1577" s="111" t="s">
        <v>1857</v>
      </c>
      <c r="O1577" s="111" t="s">
        <v>1857</v>
      </c>
    </row>
    <row r="1578" spans="2:16" ht="15" customHeight="1" x14ac:dyDescent="0.15">
      <c r="B1578" s="29" t="s">
        <v>361</v>
      </c>
      <c r="C1578" s="266">
        <v>44099</v>
      </c>
      <c r="D1578" s="29" t="s">
        <v>3472</v>
      </c>
      <c r="E1578" s="105" t="s">
        <v>34</v>
      </c>
      <c r="F1578" s="147">
        <v>4.4999999999999998E-2</v>
      </c>
      <c r="I1578" s="29" t="s">
        <v>3480</v>
      </c>
      <c r="J1578" s="29" t="s">
        <v>1136</v>
      </c>
      <c r="K1578" s="119">
        <v>7.5</v>
      </c>
      <c r="L1578" s="111" t="s">
        <v>2587</v>
      </c>
      <c r="O1578" s="111" t="s">
        <v>2587</v>
      </c>
    </row>
    <row r="1579" spans="2:16" ht="15" customHeight="1" x14ac:dyDescent="0.15">
      <c r="B1579" s="29" t="s">
        <v>18</v>
      </c>
      <c r="C1579" s="266">
        <v>44099</v>
      </c>
      <c r="D1579" s="29" t="s">
        <v>1231</v>
      </c>
      <c r="E1579" s="105" t="s">
        <v>12</v>
      </c>
      <c r="F1579" s="147">
        <v>0.105</v>
      </c>
      <c r="G1579" s="29" t="s">
        <v>3479</v>
      </c>
      <c r="I1579" s="29" t="s">
        <v>3561</v>
      </c>
      <c r="J1579" s="29" t="s">
        <v>1370</v>
      </c>
      <c r="K1579" s="119">
        <v>2.5</v>
      </c>
      <c r="L1579" s="111" t="s">
        <v>11</v>
      </c>
      <c r="O1579" s="111" t="s">
        <v>11</v>
      </c>
    </row>
    <row r="1580" spans="2:16" ht="15" customHeight="1" x14ac:dyDescent="0.15">
      <c r="B1580" s="29" t="s">
        <v>26</v>
      </c>
      <c r="C1580" s="266">
        <v>44099</v>
      </c>
      <c r="D1580" s="29" t="s">
        <v>3475</v>
      </c>
      <c r="E1580" s="105" t="s">
        <v>6</v>
      </c>
      <c r="F1580" s="147">
        <v>4.2000000000000003E-2</v>
      </c>
      <c r="I1580" s="29" t="s">
        <v>198</v>
      </c>
      <c r="J1580" s="29" t="s">
        <v>3478</v>
      </c>
      <c r="K1580" s="119">
        <v>5</v>
      </c>
      <c r="L1580" s="111" t="s">
        <v>3521</v>
      </c>
      <c r="O1580" s="111" t="s">
        <v>1447</v>
      </c>
    </row>
    <row r="1581" spans="2:16" ht="15" customHeight="1" x14ac:dyDescent="0.15">
      <c r="B1581" s="29" t="s">
        <v>41</v>
      </c>
      <c r="C1581" s="266">
        <v>44099</v>
      </c>
      <c r="D1581" s="29" t="s">
        <v>3477</v>
      </c>
      <c r="E1581" s="105" t="s">
        <v>6</v>
      </c>
      <c r="F1581" s="147">
        <v>2.5000000000000001E-2</v>
      </c>
      <c r="I1581" s="29" t="s">
        <v>14</v>
      </c>
      <c r="J1581" s="29" t="s">
        <v>93</v>
      </c>
      <c r="K1581" s="119">
        <v>8.5</v>
      </c>
      <c r="L1581" s="111" t="s">
        <v>3524</v>
      </c>
      <c r="O1581" s="111" t="s">
        <v>3522</v>
      </c>
      <c r="P1581" s="23" t="s">
        <v>3523</v>
      </c>
    </row>
    <row r="1582" spans="2:16" ht="15" customHeight="1" x14ac:dyDescent="0.15">
      <c r="B1582" s="29" t="s">
        <v>361</v>
      </c>
      <c r="C1582" s="266">
        <v>44099</v>
      </c>
      <c r="D1582" s="29" t="s">
        <v>3490</v>
      </c>
      <c r="E1582" s="105" t="s">
        <v>34</v>
      </c>
      <c r="F1582" s="147">
        <v>0.06</v>
      </c>
      <c r="I1582" s="29" t="s">
        <v>294</v>
      </c>
      <c r="J1582" s="29" t="s">
        <v>3507</v>
      </c>
      <c r="K1582" s="119">
        <v>7.5</v>
      </c>
      <c r="L1582" s="111" t="s">
        <v>3525</v>
      </c>
      <c r="O1582" s="111" t="s">
        <v>3525</v>
      </c>
      <c r="P1582" s="23" t="s">
        <v>3491</v>
      </c>
    </row>
    <row r="1583" spans="2:16" ht="15" customHeight="1" x14ac:dyDescent="0.15">
      <c r="B1583" s="29" t="s">
        <v>41</v>
      </c>
      <c r="C1583" s="266">
        <v>44099</v>
      </c>
      <c r="D1583" s="29" t="s">
        <v>3496</v>
      </c>
      <c r="E1583" s="105" t="s">
        <v>34</v>
      </c>
      <c r="F1583" s="147">
        <v>0.04</v>
      </c>
      <c r="I1583" s="29" t="s">
        <v>223</v>
      </c>
      <c r="J1583" s="29" t="s">
        <v>2332</v>
      </c>
      <c r="K1583" s="119">
        <v>7</v>
      </c>
      <c r="L1583" s="111" t="s">
        <v>3401</v>
      </c>
      <c r="O1583" s="111" t="s">
        <v>3298</v>
      </c>
    </row>
    <row r="1584" spans="2:16" ht="15" customHeight="1" x14ac:dyDescent="0.15">
      <c r="B1584" s="29" t="s">
        <v>18</v>
      </c>
      <c r="C1584" s="266">
        <v>44099</v>
      </c>
      <c r="D1584" s="29" t="s">
        <v>3511</v>
      </c>
      <c r="E1584" s="105" t="s">
        <v>36</v>
      </c>
      <c r="F1584" s="147">
        <v>0.46</v>
      </c>
      <c r="G1584" s="105" t="s">
        <v>28</v>
      </c>
      <c r="I1584" s="29" t="s">
        <v>3506</v>
      </c>
      <c r="J1584" s="29" t="s">
        <v>481</v>
      </c>
      <c r="K1584" s="119">
        <v>8.5</v>
      </c>
      <c r="L1584" s="111" t="s">
        <v>3512</v>
      </c>
      <c r="O1584" s="111" t="s">
        <v>3512</v>
      </c>
    </row>
    <row r="1585" spans="2:16" ht="15" customHeight="1" x14ac:dyDescent="0.15">
      <c r="B1585" s="29" t="s">
        <v>26</v>
      </c>
      <c r="C1585" s="266">
        <v>44099</v>
      </c>
      <c r="D1585" s="29" t="s">
        <v>3497</v>
      </c>
      <c r="E1585" s="105" t="s">
        <v>6</v>
      </c>
      <c r="F1585" s="147">
        <v>4.4999999999999998E-2</v>
      </c>
      <c r="I1585" s="29" t="s">
        <v>3505</v>
      </c>
      <c r="J1585" s="29" t="s">
        <v>146</v>
      </c>
      <c r="K1585" s="119">
        <v>7</v>
      </c>
      <c r="L1585" s="111" t="s">
        <v>3400</v>
      </c>
      <c r="O1585" s="111" t="s">
        <v>3399</v>
      </c>
      <c r="P1585" s="23" t="s">
        <v>3498</v>
      </c>
    </row>
    <row r="1586" spans="2:16" ht="15" customHeight="1" x14ac:dyDescent="0.15">
      <c r="B1586" s="29" t="s">
        <v>361</v>
      </c>
      <c r="C1586" s="266">
        <v>44099</v>
      </c>
      <c r="D1586" s="29" t="s">
        <v>3418</v>
      </c>
      <c r="E1586" s="105" t="s">
        <v>65</v>
      </c>
      <c r="F1586" s="147">
        <v>0.42599999999999999</v>
      </c>
      <c r="G1586" s="29" t="s">
        <v>1777</v>
      </c>
      <c r="I1586" s="29" t="s">
        <v>653</v>
      </c>
      <c r="J1586" s="29" t="s">
        <v>2485</v>
      </c>
      <c r="K1586" s="119">
        <v>1.5</v>
      </c>
      <c r="L1586" s="111" t="s">
        <v>3419</v>
      </c>
      <c r="O1586" s="111" t="s">
        <v>3419</v>
      </c>
    </row>
    <row r="1587" spans="2:16" ht="15" customHeight="1" x14ac:dyDescent="0.15">
      <c r="B1587" s="29" t="s">
        <v>41</v>
      </c>
      <c r="C1587" s="266">
        <v>44099</v>
      </c>
      <c r="D1587" s="29" t="s">
        <v>966</v>
      </c>
      <c r="E1587" s="105" t="s">
        <v>27</v>
      </c>
      <c r="F1587" s="147">
        <v>0.17</v>
      </c>
      <c r="I1587" s="29" t="s">
        <v>3501</v>
      </c>
      <c r="J1587" s="29" t="s">
        <v>3502</v>
      </c>
      <c r="K1587" s="119">
        <v>4</v>
      </c>
      <c r="L1587" s="111" t="s">
        <v>966</v>
      </c>
      <c r="O1587" s="116" t="s">
        <v>1558</v>
      </c>
    </row>
    <row r="1588" spans="2:16" ht="15" customHeight="1" x14ac:dyDescent="0.15">
      <c r="B1588" s="29" t="s">
        <v>26</v>
      </c>
      <c r="C1588" s="266">
        <v>44099</v>
      </c>
      <c r="D1588" s="29" t="s">
        <v>1610</v>
      </c>
      <c r="E1588" s="105" t="s">
        <v>36</v>
      </c>
      <c r="F1588" s="147">
        <v>0.4</v>
      </c>
      <c r="I1588" s="29" t="s">
        <v>3499</v>
      </c>
      <c r="J1588" s="29" t="s">
        <v>3500</v>
      </c>
      <c r="K1588" s="119">
        <v>7.5</v>
      </c>
      <c r="L1588" s="111" t="s">
        <v>1610</v>
      </c>
      <c r="O1588" s="116" t="s">
        <v>1594</v>
      </c>
    </row>
    <row r="1589" spans="2:16" ht="15" customHeight="1" x14ac:dyDescent="0.15">
      <c r="B1589" s="29" t="s">
        <v>18</v>
      </c>
      <c r="C1589" s="266">
        <v>44099</v>
      </c>
      <c r="D1589" s="29" t="s">
        <v>3511</v>
      </c>
      <c r="E1589" s="105" t="s">
        <v>36</v>
      </c>
      <c r="F1589" s="147">
        <v>0.46</v>
      </c>
      <c r="I1589" s="29" t="s">
        <v>86</v>
      </c>
      <c r="J1589" s="29" t="s">
        <v>3503</v>
      </c>
      <c r="K1589" s="119">
        <v>6</v>
      </c>
      <c r="L1589" s="111" t="s">
        <v>3512</v>
      </c>
      <c r="O1589" s="111" t="s">
        <v>3512</v>
      </c>
    </row>
    <row r="1590" spans="2:16" ht="15" customHeight="1" x14ac:dyDescent="0.15">
      <c r="B1590" s="29" t="s">
        <v>41</v>
      </c>
      <c r="C1590" s="266">
        <v>44099</v>
      </c>
      <c r="D1590" s="29" t="s">
        <v>3504</v>
      </c>
      <c r="E1590" s="105" t="s">
        <v>34</v>
      </c>
      <c r="F1590" s="147">
        <v>0.04</v>
      </c>
      <c r="I1590" s="29" t="s">
        <v>322</v>
      </c>
      <c r="J1590" s="29" t="s">
        <v>3482</v>
      </c>
      <c r="K1590" s="119">
        <v>3.5</v>
      </c>
      <c r="L1590" s="111" t="s">
        <v>714</v>
      </c>
      <c r="O1590" s="116" t="s">
        <v>1794</v>
      </c>
    </row>
    <row r="1591" spans="2:16" ht="15" customHeight="1" x14ac:dyDescent="0.15">
      <c r="B1591" s="29" t="s">
        <v>18</v>
      </c>
      <c r="C1591" s="266">
        <v>44099</v>
      </c>
      <c r="D1591" s="29" t="s">
        <v>3511</v>
      </c>
      <c r="E1591" s="105" t="s">
        <v>36</v>
      </c>
      <c r="F1591" s="147">
        <v>0.46</v>
      </c>
      <c r="G1591" s="29" t="s">
        <v>3434</v>
      </c>
      <c r="H1591" s="29" t="s">
        <v>3508</v>
      </c>
      <c r="I1591" s="29" t="s">
        <v>295</v>
      </c>
      <c r="J1591" s="29" t="s">
        <v>1062</v>
      </c>
      <c r="K1591" s="119">
        <v>7.5</v>
      </c>
      <c r="L1591" s="111" t="s">
        <v>3512</v>
      </c>
      <c r="O1591" s="111" t="s">
        <v>3512</v>
      </c>
      <c r="P1591" s="23" t="s">
        <v>3509</v>
      </c>
    </row>
    <row r="1592" spans="2:16" ht="15" customHeight="1" x14ac:dyDescent="0.15">
      <c r="B1592" s="29" t="s">
        <v>26</v>
      </c>
      <c r="C1592" s="266">
        <v>44099</v>
      </c>
      <c r="D1592" s="29" t="s">
        <v>3436</v>
      </c>
      <c r="E1592" s="105" t="s">
        <v>6</v>
      </c>
      <c r="F1592" s="147">
        <v>7.0000000000000007E-2</v>
      </c>
      <c r="I1592" s="29" t="s">
        <v>215</v>
      </c>
      <c r="J1592" s="29" t="s">
        <v>3019</v>
      </c>
      <c r="K1592" s="119">
        <v>7</v>
      </c>
      <c r="L1592" s="111" t="s">
        <v>3300</v>
      </c>
      <c r="O1592" s="111" t="s">
        <v>3300</v>
      </c>
    </row>
    <row r="1593" spans="2:16" ht="15" customHeight="1" x14ac:dyDescent="0.15">
      <c r="B1593" s="29" t="s">
        <v>26</v>
      </c>
      <c r="C1593" s="266">
        <v>44106</v>
      </c>
      <c r="D1593" s="29" t="s">
        <v>3575</v>
      </c>
      <c r="E1593" s="105" t="s">
        <v>42</v>
      </c>
      <c r="F1593" s="147">
        <v>0.13500000000000001</v>
      </c>
      <c r="I1593" s="29" t="s">
        <v>2169</v>
      </c>
      <c r="J1593" s="29" t="s">
        <v>24</v>
      </c>
      <c r="K1593" s="119">
        <v>7.5</v>
      </c>
      <c r="L1593" s="111" t="s">
        <v>3080</v>
      </c>
      <c r="O1593" s="111" t="s">
        <v>2963</v>
      </c>
    </row>
    <row r="1594" spans="2:16" ht="15" customHeight="1" x14ac:dyDescent="0.15">
      <c r="B1594" s="29" t="s">
        <v>9</v>
      </c>
      <c r="C1594" s="266">
        <v>44106</v>
      </c>
      <c r="D1594" s="29" t="s">
        <v>3606</v>
      </c>
      <c r="E1594" s="105" t="s">
        <v>12</v>
      </c>
      <c r="F1594" s="147">
        <v>0.375</v>
      </c>
      <c r="I1594" s="29" t="s">
        <v>192</v>
      </c>
      <c r="J1594" s="29" t="s">
        <v>208</v>
      </c>
      <c r="K1594" s="119">
        <v>9</v>
      </c>
      <c r="L1594" s="111" t="s">
        <v>1874</v>
      </c>
      <c r="O1594" s="111" t="s">
        <v>1875</v>
      </c>
    </row>
    <row r="1595" spans="2:16" ht="15" customHeight="1" x14ac:dyDescent="0.15">
      <c r="B1595" s="29" t="s">
        <v>26</v>
      </c>
      <c r="C1595" s="266">
        <v>44106</v>
      </c>
      <c r="D1595" s="29" t="s">
        <v>3576</v>
      </c>
      <c r="E1595" s="105" t="s">
        <v>32</v>
      </c>
      <c r="F1595" s="147">
        <v>5.5E-2</v>
      </c>
      <c r="I1595" s="29" t="s">
        <v>321</v>
      </c>
      <c r="J1595" s="29" t="s">
        <v>1412</v>
      </c>
      <c r="K1595" s="119">
        <v>7.5</v>
      </c>
      <c r="L1595" s="111" t="s">
        <v>3607</v>
      </c>
      <c r="O1595" s="111" t="s">
        <v>3607</v>
      </c>
    </row>
    <row r="1596" spans="2:16" ht="15" customHeight="1" x14ac:dyDescent="0.15">
      <c r="B1596" s="29" t="s">
        <v>18</v>
      </c>
      <c r="C1596" s="266">
        <v>44106</v>
      </c>
      <c r="D1596" s="29" t="s">
        <v>55</v>
      </c>
      <c r="E1596" s="105" t="s">
        <v>6</v>
      </c>
      <c r="F1596" s="147">
        <v>5.5E-2</v>
      </c>
      <c r="G1596" s="29" t="s">
        <v>1223</v>
      </c>
      <c r="I1596" s="29" t="s">
        <v>3577</v>
      </c>
      <c r="J1596" s="29" t="s">
        <v>2631</v>
      </c>
      <c r="K1596" s="119">
        <v>7</v>
      </c>
      <c r="L1596" s="111" t="s">
        <v>2698</v>
      </c>
      <c r="O1596" s="111" t="s">
        <v>2698</v>
      </c>
      <c r="P1596" s="23" t="s">
        <v>3608</v>
      </c>
    </row>
    <row r="1597" spans="2:16" ht="15" customHeight="1" x14ac:dyDescent="0.15">
      <c r="B1597" s="29" t="s">
        <v>9</v>
      </c>
      <c r="C1597" s="266">
        <v>44106</v>
      </c>
      <c r="D1597" s="29" t="s">
        <v>3610</v>
      </c>
      <c r="E1597" s="105" t="s">
        <v>12</v>
      </c>
      <c r="F1597" s="147">
        <v>0.06</v>
      </c>
      <c r="G1597" s="105" t="s">
        <v>3578</v>
      </c>
      <c r="I1597" s="29" t="s">
        <v>3586</v>
      </c>
      <c r="J1597" s="29" t="s">
        <v>1914</v>
      </c>
      <c r="K1597" s="119">
        <v>6</v>
      </c>
      <c r="L1597" s="111" t="s">
        <v>3609</v>
      </c>
      <c r="O1597" s="111" t="s">
        <v>1447</v>
      </c>
    </row>
    <row r="1598" spans="2:16" ht="15" customHeight="1" x14ac:dyDescent="0.15">
      <c r="B1598" s="29" t="s">
        <v>18</v>
      </c>
      <c r="C1598" s="266">
        <v>44106</v>
      </c>
      <c r="D1598" s="29" t="s">
        <v>3466</v>
      </c>
      <c r="E1598" s="105" t="s">
        <v>65</v>
      </c>
      <c r="F1598" s="147">
        <v>0.35</v>
      </c>
      <c r="I1598" s="29" t="s">
        <v>525</v>
      </c>
      <c r="J1598" s="29" t="s">
        <v>3534</v>
      </c>
      <c r="K1598" s="119">
        <v>6</v>
      </c>
      <c r="L1598" s="111" t="s">
        <v>1587</v>
      </c>
      <c r="O1598" s="111" t="s">
        <v>1516</v>
      </c>
    </row>
    <row r="1599" spans="2:16" ht="15" customHeight="1" x14ac:dyDescent="0.15">
      <c r="B1599" s="29" t="s">
        <v>26</v>
      </c>
      <c r="C1599" s="266">
        <v>44106</v>
      </c>
      <c r="D1599" s="29" t="s">
        <v>2890</v>
      </c>
      <c r="E1599" s="105" t="s">
        <v>65</v>
      </c>
      <c r="F1599" s="147">
        <v>0.4</v>
      </c>
      <c r="G1599" s="105" t="s">
        <v>3211</v>
      </c>
      <c r="I1599" s="29" t="s">
        <v>525</v>
      </c>
      <c r="J1599" s="29" t="s">
        <v>93</v>
      </c>
      <c r="K1599" s="119">
        <v>7.5</v>
      </c>
      <c r="L1599" s="111" t="s">
        <v>2845</v>
      </c>
      <c r="O1599" s="111" t="s">
        <v>2846</v>
      </c>
      <c r="P1599" s="23" t="s">
        <v>3581</v>
      </c>
    </row>
    <row r="1600" spans="2:16" ht="15" customHeight="1" x14ac:dyDescent="0.15">
      <c r="B1600" s="29" t="s">
        <v>41</v>
      </c>
      <c r="C1600" s="266">
        <v>44106</v>
      </c>
      <c r="D1600" s="29" t="s">
        <v>3579</v>
      </c>
      <c r="E1600" s="105" t="s">
        <v>27</v>
      </c>
      <c r="F1600" s="147">
        <v>0.15</v>
      </c>
      <c r="I1600" s="29" t="s">
        <v>3580</v>
      </c>
      <c r="J1600" s="29" t="s">
        <v>311</v>
      </c>
      <c r="K1600" s="119">
        <v>7</v>
      </c>
      <c r="L1600" s="111" t="s">
        <v>3165</v>
      </c>
      <c r="O1600" s="111" t="s">
        <v>3166</v>
      </c>
    </row>
    <row r="1601" spans="2:16" ht="15" customHeight="1" x14ac:dyDescent="0.15">
      <c r="B1601" s="29" t="s">
        <v>26</v>
      </c>
      <c r="C1601" s="266">
        <v>44106</v>
      </c>
      <c r="D1601" s="29" t="s">
        <v>3582</v>
      </c>
      <c r="E1601" s="105" t="s">
        <v>65</v>
      </c>
      <c r="F1601" s="147">
        <v>5.5E-2</v>
      </c>
      <c r="I1601" s="29" t="s">
        <v>3583</v>
      </c>
      <c r="J1601" s="29" t="s">
        <v>65</v>
      </c>
      <c r="K1601" s="119">
        <v>7.5</v>
      </c>
      <c r="L1601" s="111" t="s">
        <v>3607</v>
      </c>
      <c r="O1601" s="111" t="s">
        <v>3607</v>
      </c>
    </row>
    <row r="1602" spans="2:16" ht="15" customHeight="1" x14ac:dyDescent="0.15">
      <c r="B1602" s="29" t="s">
        <v>18</v>
      </c>
      <c r="C1602" s="266">
        <v>44106</v>
      </c>
      <c r="D1602" s="29" t="s">
        <v>3063</v>
      </c>
      <c r="E1602" s="105" t="s">
        <v>36</v>
      </c>
      <c r="F1602" s="147">
        <v>0.43</v>
      </c>
      <c r="G1602" s="29" t="s">
        <v>977</v>
      </c>
      <c r="I1602" s="29" t="s">
        <v>970</v>
      </c>
      <c r="J1602" s="29" t="s">
        <v>2830</v>
      </c>
      <c r="K1602" s="119">
        <v>5.5</v>
      </c>
      <c r="L1602" s="111" t="s">
        <v>1523</v>
      </c>
      <c r="O1602" s="111" t="s">
        <v>1523</v>
      </c>
      <c r="P1602" s="23" t="s">
        <v>3611</v>
      </c>
    </row>
    <row r="1603" spans="2:16" ht="15" customHeight="1" x14ac:dyDescent="0.15">
      <c r="B1603" s="29" t="s">
        <v>38</v>
      </c>
      <c r="C1603" s="266">
        <v>44106</v>
      </c>
      <c r="D1603" s="29" t="s">
        <v>3587</v>
      </c>
      <c r="E1603" s="105" t="s">
        <v>6</v>
      </c>
      <c r="F1603" s="147">
        <v>5.2999999999999999E-2</v>
      </c>
      <c r="I1603" s="29" t="s">
        <v>2511</v>
      </c>
      <c r="J1603" s="29" t="s">
        <v>3585</v>
      </c>
      <c r="K1603" s="119">
        <v>9</v>
      </c>
      <c r="L1603" s="111" t="s">
        <v>3584</v>
      </c>
      <c r="O1603" s="111" t="s">
        <v>3612</v>
      </c>
    </row>
    <row r="1604" spans="2:16" ht="15" customHeight="1" x14ac:dyDescent="0.15">
      <c r="B1604" s="29" t="s">
        <v>38</v>
      </c>
      <c r="C1604" s="266">
        <v>44106</v>
      </c>
      <c r="D1604" s="29" t="s">
        <v>681</v>
      </c>
      <c r="E1604" s="105" t="s">
        <v>6</v>
      </c>
      <c r="F1604" s="147">
        <v>6.5000000000000002E-2</v>
      </c>
      <c r="I1604" s="29" t="s">
        <v>15</v>
      </c>
      <c r="J1604" s="29" t="s">
        <v>3589</v>
      </c>
      <c r="K1604" s="119">
        <v>8.5</v>
      </c>
      <c r="L1604" s="111" t="s">
        <v>1535</v>
      </c>
      <c r="O1604" s="111" t="s">
        <v>1535</v>
      </c>
    </row>
    <row r="1605" spans="2:16" ht="15" customHeight="1" x14ac:dyDescent="0.15">
      <c r="B1605" s="29" t="s">
        <v>26</v>
      </c>
      <c r="C1605" s="266">
        <v>44106</v>
      </c>
      <c r="D1605" s="29" t="s">
        <v>3588</v>
      </c>
      <c r="E1605" s="105" t="s">
        <v>12</v>
      </c>
      <c r="F1605" s="147">
        <v>5.5E-2</v>
      </c>
      <c r="I1605" s="29" t="s">
        <v>2364</v>
      </c>
      <c r="J1605" s="29" t="s">
        <v>12</v>
      </c>
      <c r="K1605" s="119">
        <v>6.5</v>
      </c>
      <c r="L1605" s="111" t="s">
        <v>3607</v>
      </c>
      <c r="O1605" s="111" t="s">
        <v>3607</v>
      </c>
    </row>
    <row r="1606" spans="2:16" ht="14" x14ac:dyDescent="0.15">
      <c r="B1606" s="29" t="s">
        <v>38</v>
      </c>
      <c r="C1606" s="266">
        <v>44106</v>
      </c>
      <c r="D1606" s="29" t="s">
        <v>538</v>
      </c>
      <c r="E1606" s="105" t="s">
        <v>6</v>
      </c>
      <c r="F1606" s="147">
        <v>8.5000000000000006E-2</v>
      </c>
      <c r="I1606" s="29" t="s">
        <v>3592</v>
      </c>
      <c r="J1606" s="29" t="s">
        <v>717</v>
      </c>
      <c r="K1606" s="119">
        <v>8.5</v>
      </c>
      <c r="L1606" s="111" t="s">
        <v>538</v>
      </c>
      <c r="O1606" s="116" t="s">
        <v>1741</v>
      </c>
    </row>
    <row r="1607" spans="2:16" ht="14" x14ac:dyDescent="0.15">
      <c r="B1607" s="29" t="s">
        <v>18</v>
      </c>
      <c r="C1607" s="266">
        <v>44106</v>
      </c>
      <c r="D1607" s="29" t="s">
        <v>3466</v>
      </c>
      <c r="E1607" s="105" t="s">
        <v>65</v>
      </c>
      <c r="F1607" s="147">
        <v>0.35</v>
      </c>
      <c r="G1607" s="29" t="s">
        <v>28</v>
      </c>
      <c r="I1607" s="29" t="s">
        <v>3601</v>
      </c>
      <c r="J1607" s="29" t="s">
        <v>3602</v>
      </c>
      <c r="K1607" s="119">
        <v>6.5</v>
      </c>
      <c r="L1607" s="111" t="s">
        <v>1587</v>
      </c>
      <c r="O1607" s="111" t="s">
        <v>1516</v>
      </c>
    </row>
    <row r="1608" spans="2:16" ht="14" x14ac:dyDescent="0.15">
      <c r="B1608" s="29" t="s">
        <v>35</v>
      </c>
      <c r="C1608" s="266">
        <v>44106</v>
      </c>
      <c r="D1608" s="29" t="s">
        <v>3590</v>
      </c>
      <c r="E1608" s="105" t="s">
        <v>6</v>
      </c>
      <c r="F1608" s="147">
        <v>4.8000000000000001E-2</v>
      </c>
      <c r="I1608" s="29" t="s">
        <v>192</v>
      </c>
      <c r="J1608" s="29" t="s">
        <v>25</v>
      </c>
      <c r="K1608" s="119">
        <v>6.5</v>
      </c>
      <c r="L1608" s="111" t="s">
        <v>3591</v>
      </c>
      <c r="O1608" s="111" t="s">
        <v>3591</v>
      </c>
    </row>
    <row r="1609" spans="2:16" ht="14" x14ac:dyDescent="0.15">
      <c r="B1609" s="29" t="s">
        <v>26</v>
      </c>
      <c r="C1609" s="266">
        <v>44106</v>
      </c>
      <c r="D1609" s="29" t="s">
        <v>3430</v>
      </c>
      <c r="E1609" s="105" t="s">
        <v>6</v>
      </c>
      <c r="F1609" s="147">
        <v>4.2000000000000003E-2</v>
      </c>
      <c r="I1609" s="29" t="s">
        <v>2378</v>
      </c>
      <c r="J1609" s="29" t="s">
        <v>3599</v>
      </c>
      <c r="K1609" s="119">
        <v>5</v>
      </c>
      <c r="L1609" s="111" t="s">
        <v>3429</v>
      </c>
      <c r="O1609" s="111" t="s">
        <v>3429</v>
      </c>
    </row>
    <row r="1610" spans="2:16" ht="15" customHeight="1" x14ac:dyDescent="0.15">
      <c r="B1610" s="29" t="s">
        <v>35</v>
      </c>
      <c r="C1610" s="266">
        <v>44106</v>
      </c>
      <c r="D1610" s="29" t="s">
        <v>1285</v>
      </c>
      <c r="E1610" s="105" t="s">
        <v>6</v>
      </c>
      <c r="F1610" s="147">
        <v>7.1999999999999995E-2</v>
      </c>
      <c r="I1610" s="29" t="s">
        <v>3600</v>
      </c>
      <c r="J1610" s="29" t="s">
        <v>3501</v>
      </c>
      <c r="K1610" s="119">
        <v>4.5</v>
      </c>
      <c r="L1610" s="111" t="s">
        <v>1535</v>
      </c>
      <c r="O1610" s="111" t="s">
        <v>1535</v>
      </c>
    </row>
    <row r="1611" spans="2:16" ht="15" customHeight="1" x14ac:dyDescent="0.15">
      <c r="B1611" s="29" t="s">
        <v>38</v>
      </c>
      <c r="C1611" s="266">
        <v>44106</v>
      </c>
      <c r="D1611" s="29" t="s">
        <v>3605</v>
      </c>
      <c r="E1611" s="105" t="s">
        <v>6</v>
      </c>
      <c r="F1611" s="147">
        <v>4.4999999999999998E-2</v>
      </c>
      <c r="I1611" s="29" t="s">
        <v>331</v>
      </c>
      <c r="J1611" s="29" t="s">
        <v>3133</v>
      </c>
      <c r="K1611" s="119">
        <v>8.5</v>
      </c>
      <c r="L1611" s="111" t="s">
        <v>3604</v>
      </c>
      <c r="O1611" s="111" t="s">
        <v>3604</v>
      </c>
    </row>
    <row r="1612" spans="2:16" ht="15" customHeight="1" x14ac:dyDescent="0.15">
      <c r="B1612" s="29" t="s">
        <v>18</v>
      </c>
      <c r="C1612" s="266">
        <v>44106</v>
      </c>
      <c r="D1612" s="29" t="s">
        <v>3593</v>
      </c>
      <c r="E1612" s="105" t="s">
        <v>27</v>
      </c>
      <c r="F1612" s="147">
        <v>0.12</v>
      </c>
      <c r="I1612" s="29" t="s">
        <v>3594</v>
      </c>
      <c r="J1612" s="29" t="s">
        <v>3595</v>
      </c>
      <c r="K1612" s="119">
        <v>8.5</v>
      </c>
      <c r="L1612" s="111" t="s">
        <v>3613</v>
      </c>
      <c r="O1612" s="111" t="s">
        <v>1447</v>
      </c>
    </row>
    <row r="1613" spans="2:16" ht="15" customHeight="1" x14ac:dyDescent="0.15">
      <c r="B1613" s="29" t="s">
        <v>26</v>
      </c>
      <c r="C1613" s="266">
        <v>44106</v>
      </c>
      <c r="D1613" s="29" t="s">
        <v>1610</v>
      </c>
      <c r="E1613" s="105" t="s">
        <v>36</v>
      </c>
      <c r="F1613" s="147">
        <v>0.4</v>
      </c>
      <c r="G1613" s="29" t="s">
        <v>415</v>
      </c>
      <c r="I1613" s="29" t="s">
        <v>3596</v>
      </c>
      <c r="J1613" s="29" t="s">
        <v>2646</v>
      </c>
      <c r="K1613" s="119">
        <v>4</v>
      </c>
      <c r="L1613" s="111" t="s">
        <v>1610</v>
      </c>
      <c r="O1613" s="111" t="s">
        <v>1594</v>
      </c>
    </row>
    <row r="1614" spans="2:16" ht="15" customHeight="1" x14ac:dyDescent="0.15">
      <c r="B1614" s="29" t="s">
        <v>35</v>
      </c>
      <c r="C1614" s="266">
        <v>44106</v>
      </c>
      <c r="D1614" s="29" t="s">
        <v>3307</v>
      </c>
      <c r="E1614" s="105" t="s">
        <v>27</v>
      </c>
      <c r="F1614" s="147">
        <v>0.2</v>
      </c>
      <c r="I1614" s="29" t="s">
        <v>3597</v>
      </c>
      <c r="J1614" s="29" t="s">
        <v>3150</v>
      </c>
      <c r="K1614" s="119">
        <v>5.5</v>
      </c>
      <c r="L1614" s="111" t="s">
        <v>1828</v>
      </c>
      <c r="O1614" s="111" t="s">
        <v>1828</v>
      </c>
    </row>
    <row r="1615" spans="2:16" ht="15" customHeight="1" x14ac:dyDescent="0.15">
      <c r="B1615" s="29" t="s">
        <v>18</v>
      </c>
      <c r="C1615" s="266">
        <v>44106</v>
      </c>
      <c r="D1615" s="29" t="s">
        <v>3593</v>
      </c>
      <c r="E1615" s="105" t="s">
        <v>27</v>
      </c>
      <c r="F1615" s="147">
        <v>0.12</v>
      </c>
      <c r="G1615" s="29" t="s">
        <v>555</v>
      </c>
      <c r="I1615" s="29" t="s">
        <v>2354</v>
      </c>
      <c r="J1615" s="29" t="s">
        <v>3603</v>
      </c>
      <c r="K1615" s="119">
        <v>8</v>
      </c>
      <c r="L1615" s="111" t="s">
        <v>3613</v>
      </c>
      <c r="O1615" s="111" t="s">
        <v>1447</v>
      </c>
      <c r="P1615" s="23" t="s">
        <v>3680</v>
      </c>
    </row>
    <row r="1616" spans="2:16" ht="15" customHeight="1" x14ac:dyDescent="0.15">
      <c r="B1616" s="29" t="s">
        <v>18</v>
      </c>
      <c r="C1616" s="266">
        <v>44113</v>
      </c>
      <c r="D1616" s="29" t="s">
        <v>3466</v>
      </c>
      <c r="E1616" s="105" t="s">
        <v>65</v>
      </c>
      <c r="F1616" s="147">
        <v>0.35</v>
      </c>
      <c r="G1616" s="29" t="s">
        <v>3511</v>
      </c>
      <c r="I1616" s="29" t="s">
        <v>46</v>
      </c>
      <c r="J1616" s="29" t="s">
        <v>3697</v>
      </c>
      <c r="K1616" s="119">
        <v>2</v>
      </c>
      <c r="L1616" s="111" t="s">
        <v>1587</v>
      </c>
      <c r="O1616" s="111" t="s">
        <v>1516</v>
      </c>
    </row>
    <row r="1617" spans="2:16" ht="15" customHeight="1" x14ac:dyDescent="0.15">
      <c r="B1617" s="29" t="s">
        <v>26</v>
      </c>
      <c r="C1617" s="266">
        <v>44113</v>
      </c>
      <c r="D1617" s="29" t="s">
        <v>3211</v>
      </c>
      <c r="E1617" s="105" t="s">
        <v>27</v>
      </c>
      <c r="F1617" s="147">
        <v>0.2</v>
      </c>
      <c r="G1617" s="29" t="s">
        <v>415</v>
      </c>
      <c r="I1617" s="29" t="s">
        <v>322</v>
      </c>
      <c r="J1617" s="29" t="s">
        <v>3619</v>
      </c>
      <c r="K1617" s="119">
        <v>4</v>
      </c>
      <c r="L1617" s="111" t="s">
        <v>1973</v>
      </c>
      <c r="O1617" s="111" t="s">
        <v>1447</v>
      </c>
    </row>
    <row r="1618" spans="2:16" ht="15" customHeight="1" x14ac:dyDescent="0.15">
      <c r="B1618" s="29" t="s">
        <v>361</v>
      </c>
      <c r="C1618" s="266">
        <v>44113</v>
      </c>
      <c r="D1618" s="29" t="s">
        <v>1630</v>
      </c>
      <c r="E1618" s="105" t="s">
        <v>65</v>
      </c>
      <c r="F1618" s="147">
        <v>0.375</v>
      </c>
      <c r="I1618" s="29" t="s">
        <v>3620</v>
      </c>
      <c r="J1618" s="29" t="s">
        <v>3621</v>
      </c>
      <c r="K1618" s="119">
        <v>7</v>
      </c>
      <c r="L1618" s="111" t="s">
        <v>1536</v>
      </c>
      <c r="O1618" s="111" t="s">
        <v>1537</v>
      </c>
      <c r="P1618" s="23" t="s">
        <v>3679</v>
      </c>
    </row>
    <row r="1619" spans="2:16" ht="15" customHeight="1" x14ac:dyDescent="0.15">
      <c r="B1619" s="29" t="s">
        <v>35</v>
      </c>
      <c r="C1619" s="266">
        <v>44113</v>
      </c>
      <c r="D1619" s="29" t="s">
        <v>1972</v>
      </c>
      <c r="E1619" s="105" t="s">
        <v>27</v>
      </c>
      <c r="F1619" s="147">
        <v>0.2</v>
      </c>
      <c r="I1619" s="29" t="s">
        <v>3598</v>
      </c>
      <c r="J1619" s="29" t="s">
        <v>3622</v>
      </c>
      <c r="K1619" s="119">
        <v>3</v>
      </c>
      <c r="L1619" s="111" t="s">
        <v>1973</v>
      </c>
      <c r="O1619" s="111" t="s">
        <v>1447</v>
      </c>
    </row>
    <row r="1620" spans="2:16" ht="15" customHeight="1" x14ac:dyDescent="0.15">
      <c r="B1620" s="29" t="s">
        <v>41</v>
      </c>
      <c r="C1620" s="266">
        <v>44113</v>
      </c>
      <c r="D1620" s="29" t="s">
        <v>3677</v>
      </c>
      <c r="E1620" s="105" t="s">
        <v>27</v>
      </c>
      <c r="F1620" s="147">
        <v>0.25</v>
      </c>
      <c r="I1620" s="29" t="s">
        <v>464</v>
      </c>
      <c r="J1620" s="29" t="s">
        <v>3623</v>
      </c>
      <c r="K1620" s="119">
        <v>5</v>
      </c>
      <c r="L1620" s="111" t="s">
        <v>3681</v>
      </c>
      <c r="O1620" s="111" t="s">
        <v>3681</v>
      </c>
      <c r="P1620" s="23" t="s">
        <v>3678</v>
      </c>
    </row>
    <row r="1621" spans="2:16" ht="15" customHeight="1" x14ac:dyDescent="0.15">
      <c r="B1621" s="29" t="s">
        <v>1120</v>
      </c>
      <c r="C1621" s="266">
        <v>44113</v>
      </c>
      <c r="D1621" s="29" t="s">
        <v>3307</v>
      </c>
      <c r="E1621" s="105" t="s">
        <v>27</v>
      </c>
      <c r="F1621" s="147">
        <v>0.2</v>
      </c>
      <c r="I1621" s="29" t="s">
        <v>2327</v>
      </c>
      <c r="J1621" s="29" t="s">
        <v>3627</v>
      </c>
      <c r="K1621" s="119">
        <v>8</v>
      </c>
      <c r="L1621" s="111" t="s">
        <v>1828</v>
      </c>
      <c r="O1621" s="111" t="s">
        <v>1828</v>
      </c>
    </row>
    <row r="1622" spans="2:16" ht="15" customHeight="1" x14ac:dyDescent="0.15">
      <c r="B1622" s="29" t="s">
        <v>61</v>
      </c>
      <c r="C1622" s="266">
        <v>44113</v>
      </c>
      <c r="D1622" s="29" t="s">
        <v>3624</v>
      </c>
      <c r="E1622" s="105" t="s">
        <v>12</v>
      </c>
      <c r="F1622" s="147">
        <v>0.4</v>
      </c>
      <c r="I1622" s="29" t="s">
        <v>3625</v>
      </c>
      <c r="J1622" s="29" t="s">
        <v>3626</v>
      </c>
      <c r="K1622" s="119">
        <v>3</v>
      </c>
      <c r="L1622" s="111" t="s">
        <v>3682</v>
      </c>
      <c r="O1622" s="111" t="s">
        <v>3683</v>
      </c>
    </row>
    <row r="1623" spans="2:16" ht="15" customHeight="1" x14ac:dyDescent="0.15">
      <c r="B1623" s="29" t="s">
        <v>361</v>
      </c>
      <c r="C1623" s="266">
        <v>44113</v>
      </c>
      <c r="D1623" s="29" t="s">
        <v>2142</v>
      </c>
      <c r="E1623" s="105" t="s">
        <v>34</v>
      </c>
      <c r="F1623" s="147">
        <v>0.04</v>
      </c>
      <c r="I1623" s="29" t="s">
        <v>3629</v>
      </c>
      <c r="J1623" s="29" t="s">
        <v>3628</v>
      </c>
      <c r="K1623" s="119">
        <v>5</v>
      </c>
      <c r="L1623" s="111" t="s">
        <v>1704</v>
      </c>
      <c r="O1623" s="111" t="s">
        <v>1705</v>
      </c>
    </row>
    <row r="1624" spans="2:16" ht="15" customHeight="1" x14ac:dyDescent="0.15">
      <c r="B1624" s="29" t="s">
        <v>35</v>
      </c>
      <c r="C1624" s="266">
        <v>44113</v>
      </c>
      <c r="D1624" s="29" t="s">
        <v>3104</v>
      </c>
      <c r="E1624" s="105" t="s">
        <v>6</v>
      </c>
      <c r="F1624" s="147">
        <v>4.7E-2</v>
      </c>
      <c r="I1624" s="29" t="s">
        <v>722</v>
      </c>
      <c r="J1624" s="29" t="s">
        <v>3630</v>
      </c>
      <c r="K1624" s="119">
        <v>7</v>
      </c>
      <c r="L1624" s="111" t="s">
        <v>1515</v>
      </c>
      <c r="O1624" s="111" t="s">
        <v>1515</v>
      </c>
    </row>
    <row r="1625" spans="2:16" ht="15" customHeight="1" x14ac:dyDescent="0.15">
      <c r="B1625" s="29" t="s">
        <v>41</v>
      </c>
      <c r="C1625" s="266">
        <v>44113</v>
      </c>
      <c r="D1625" s="29" t="s">
        <v>3671</v>
      </c>
      <c r="E1625" s="105" t="s">
        <v>6</v>
      </c>
      <c r="F1625" s="147">
        <v>7.0999999999999994E-2</v>
      </c>
      <c r="I1625" s="29" t="s">
        <v>265</v>
      </c>
      <c r="J1625" s="29" t="s">
        <v>3631</v>
      </c>
      <c r="K1625" s="119">
        <v>4.5</v>
      </c>
      <c r="L1625" s="111" t="s">
        <v>765</v>
      </c>
      <c r="O1625" s="111" t="s">
        <v>1569</v>
      </c>
    </row>
    <row r="1626" spans="2:16" ht="15" customHeight="1" x14ac:dyDescent="0.15">
      <c r="B1626" s="29" t="s">
        <v>41</v>
      </c>
      <c r="C1626" s="266">
        <v>44113</v>
      </c>
      <c r="D1626" s="29" t="s">
        <v>3192</v>
      </c>
      <c r="E1626" s="105" t="s">
        <v>32</v>
      </c>
      <c r="F1626" s="147">
        <v>0.4</v>
      </c>
      <c r="G1626" s="29" t="s">
        <v>69</v>
      </c>
      <c r="I1626" s="29" t="s">
        <v>217</v>
      </c>
      <c r="J1626" s="29" t="s">
        <v>2874</v>
      </c>
      <c r="K1626" s="119">
        <v>6</v>
      </c>
      <c r="L1626" s="111" t="s">
        <v>1546</v>
      </c>
      <c r="O1626" s="111" t="s">
        <v>1594</v>
      </c>
      <c r="P1626" s="23" t="s">
        <v>3702</v>
      </c>
    </row>
    <row r="1627" spans="2:16" ht="15" customHeight="1" x14ac:dyDescent="0.15">
      <c r="B1627" s="29" t="s">
        <v>35</v>
      </c>
      <c r="C1627" s="266">
        <v>44113</v>
      </c>
      <c r="D1627" s="29" t="s">
        <v>3299</v>
      </c>
      <c r="E1627" s="105" t="s">
        <v>6</v>
      </c>
      <c r="F1627" s="147">
        <v>5.7000000000000002E-2</v>
      </c>
      <c r="I1627" s="29" t="s">
        <v>2230</v>
      </c>
      <c r="J1627" s="29" t="s">
        <v>237</v>
      </c>
      <c r="K1627" s="119">
        <v>5.5</v>
      </c>
      <c r="L1627" s="111" t="s">
        <v>1089</v>
      </c>
      <c r="M1627" s="111" t="s">
        <v>3033</v>
      </c>
      <c r="O1627" s="111" t="s">
        <v>3408</v>
      </c>
    </row>
    <row r="1628" spans="2:16" ht="15" customHeight="1" x14ac:dyDescent="0.15">
      <c r="B1628" s="29" t="s">
        <v>61</v>
      </c>
      <c r="C1628" s="266">
        <v>44113</v>
      </c>
      <c r="D1628" s="29" t="s">
        <v>1045</v>
      </c>
      <c r="E1628" s="105" t="s">
        <v>12</v>
      </c>
      <c r="F1628" s="147">
        <v>0.4</v>
      </c>
      <c r="G1628" s="29" t="s">
        <v>3056</v>
      </c>
      <c r="H1628" s="29" t="s">
        <v>3632</v>
      </c>
      <c r="I1628" s="29" t="s">
        <v>3696</v>
      </c>
      <c r="J1628" s="29" t="s">
        <v>23</v>
      </c>
      <c r="K1628" s="119">
        <v>5</v>
      </c>
      <c r="L1628" s="111" t="s">
        <v>2033</v>
      </c>
      <c r="O1628" s="111" t="s">
        <v>1875</v>
      </c>
    </row>
    <row r="1629" spans="2:16" ht="15" customHeight="1" x14ac:dyDescent="0.15">
      <c r="B1629" s="29" t="s">
        <v>1120</v>
      </c>
      <c r="C1629" s="266">
        <v>44113</v>
      </c>
      <c r="D1629" s="29" t="s">
        <v>1045</v>
      </c>
      <c r="E1629" s="105" t="s">
        <v>12</v>
      </c>
      <c r="F1629" s="147">
        <v>0.4</v>
      </c>
      <c r="G1629" s="29" t="s">
        <v>3056</v>
      </c>
      <c r="H1629" s="29" t="s">
        <v>3632</v>
      </c>
      <c r="I1629" s="29" t="s">
        <v>3326</v>
      </c>
      <c r="J1629" s="29" t="s">
        <v>3634</v>
      </c>
      <c r="K1629" s="119">
        <v>10</v>
      </c>
      <c r="L1629" s="111" t="s">
        <v>2033</v>
      </c>
      <c r="O1629" s="111" t="s">
        <v>1875</v>
      </c>
    </row>
    <row r="1630" spans="2:16" ht="15" customHeight="1" x14ac:dyDescent="0.15">
      <c r="B1630" s="29" t="s">
        <v>38</v>
      </c>
      <c r="C1630" s="266">
        <v>44113</v>
      </c>
      <c r="D1630" s="29" t="s">
        <v>3633</v>
      </c>
      <c r="E1630" s="105" t="s">
        <v>6</v>
      </c>
      <c r="F1630" s="147">
        <v>4.8000000000000001E-2</v>
      </c>
      <c r="I1630" s="29" t="s">
        <v>3637</v>
      </c>
      <c r="J1630" s="29" t="s">
        <v>249</v>
      </c>
      <c r="K1630" s="119">
        <v>6.5</v>
      </c>
      <c r="L1630" s="111" t="s">
        <v>3633</v>
      </c>
      <c r="O1630" s="111" t="s">
        <v>3633</v>
      </c>
    </row>
    <row r="1631" spans="2:16" ht="15" customHeight="1" x14ac:dyDescent="0.15">
      <c r="B1631" s="29" t="s">
        <v>26</v>
      </c>
      <c r="C1631" s="266">
        <v>44113</v>
      </c>
      <c r="D1631" s="29" t="s">
        <v>3645</v>
      </c>
      <c r="E1631" s="105" t="s">
        <v>6</v>
      </c>
      <c r="F1631" s="147">
        <v>0.05</v>
      </c>
      <c r="I1631" s="29" t="s">
        <v>321</v>
      </c>
      <c r="J1631" s="29" t="s">
        <v>3644</v>
      </c>
      <c r="K1631" s="119">
        <v>6</v>
      </c>
      <c r="L1631" s="111" t="s">
        <v>3426</v>
      </c>
      <c r="O1631" s="111" t="s">
        <v>3426</v>
      </c>
    </row>
    <row r="1632" spans="2:16" ht="15" customHeight="1" x14ac:dyDescent="0.15">
      <c r="B1632" s="29" t="s">
        <v>361</v>
      </c>
      <c r="C1632" s="266">
        <v>44113</v>
      </c>
      <c r="D1632" s="29" t="s">
        <v>3638</v>
      </c>
      <c r="E1632" s="105" t="s">
        <v>190</v>
      </c>
      <c r="F1632" s="147">
        <v>4.4999999999999998E-2</v>
      </c>
      <c r="I1632" s="29" t="s">
        <v>3635</v>
      </c>
      <c r="J1632" s="29" t="s">
        <v>3636</v>
      </c>
      <c r="K1632" s="119">
        <v>4</v>
      </c>
      <c r="L1632" s="111" t="s">
        <v>2707</v>
      </c>
      <c r="O1632" s="111" t="s">
        <v>2096</v>
      </c>
    </row>
    <row r="1633" spans="2:16" ht="15" customHeight="1" x14ac:dyDescent="0.15">
      <c r="B1633" s="29" t="s">
        <v>41</v>
      </c>
      <c r="C1633" s="266">
        <v>44113</v>
      </c>
      <c r="D1633" s="29" t="s">
        <v>3192</v>
      </c>
      <c r="E1633" s="105" t="s">
        <v>32</v>
      </c>
      <c r="F1633" s="147">
        <v>0.4</v>
      </c>
      <c r="G1633" s="105" t="s">
        <v>380</v>
      </c>
      <c r="I1633" s="29" t="s">
        <v>194</v>
      </c>
      <c r="J1633" s="29" t="s">
        <v>15</v>
      </c>
      <c r="K1633" s="119">
        <v>6.5</v>
      </c>
      <c r="L1633" s="111" t="s">
        <v>1546</v>
      </c>
      <c r="O1633" s="111" t="s">
        <v>1594</v>
      </c>
      <c r="P1633" s="23" t="s">
        <v>3703</v>
      </c>
    </row>
    <row r="1634" spans="2:16" ht="15" customHeight="1" x14ac:dyDescent="0.15">
      <c r="B1634" s="29" t="s">
        <v>41</v>
      </c>
      <c r="C1634" s="266">
        <v>44113</v>
      </c>
      <c r="D1634" s="29" t="s">
        <v>3639</v>
      </c>
      <c r="E1634" s="105" t="s">
        <v>32</v>
      </c>
      <c r="F1634" s="147">
        <v>0.4</v>
      </c>
      <c r="G1634" s="29" t="s">
        <v>69</v>
      </c>
      <c r="I1634" s="29" t="s">
        <v>3640</v>
      </c>
      <c r="J1634" s="29" t="s">
        <v>188</v>
      </c>
      <c r="K1634" s="119">
        <v>6.5</v>
      </c>
      <c r="L1634" s="111" t="s">
        <v>1546</v>
      </c>
      <c r="O1634" s="111" t="s">
        <v>1594</v>
      </c>
      <c r="P1634" s="23" t="s">
        <v>3702</v>
      </c>
    </row>
    <row r="1635" spans="2:16" ht="15" customHeight="1" x14ac:dyDescent="0.15">
      <c r="B1635" s="29" t="s">
        <v>18</v>
      </c>
      <c r="C1635" s="266">
        <v>44113</v>
      </c>
      <c r="D1635" s="29" t="s">
        <v>1424</v>
      </c>
      <c r="E1635" s="105" t="s">
        <v>6</v>
      </c>
      <c r="F1635" s="147">
        <v>3.9E-2</v>
      </c>
      <c r="I1635" s="29" t="s">
        <v>3641</v>
      </c>
      <c r="J1635" s="29" t="s">
        <v>3642</v>
      </c>
      <c r="K1635" s="119">
        <v>8</v>
      </c>
      <c r="L1635" s="111" t="s">
        <v>1544</v>
      </c>
      <c r="O1635" s="111" t="s">
        <v>1544</v>
      </c>
    </row>
    <row r="1636" spans="2:16" ht="15" customHeight="1" x14ac:dyDescent="0.15">
      <c r="B1636" s="29" t="s">
        <v>38</v>
      </c>
      <c r="C1636" s="266">
        <v>44113</v>
      </c>
      <c r="D1636" s="29" t="s">
        <v>3643</v>
      </c>
      <c r="E1636" s="105" t="s">
        <v>6</v>
      </c>
      <c r="F1636" s="147">
        <v>4.8000000000000001E-2</v>
      </c>
      <c r="G1636" s="105"/>
      <c r="I1636" s="29" t="s">
        <v>1899</v>
      </c>
      <c r="J1636" s="29" t="s">
        <v>1415</v>
      </c>
      <c r="K1636" s="119">
        <v>6.5</v>
      </c>
      <c r="L1636" s="111" t="s">
        <v>3643</v>
      </c>
      <c r="O1636" s="111" t="s">
        <v>3684</v>
      </c>
    </row>
    <row r="1637" spans="2:16" ht="15" customHeight="1" x14ac:dyDescent="0.15">
      <c r="B1637" s="29" t="s">
        <v>41</v>
      </c>
      <c r="C1637" s="266">
        <v>44113</v>
      </c>
      <c r="D1637" s="29" t="s">
        <v>3639</v>
      </c>
      <c r="E1637" s="105" t="s">
        <v>32</v>
      </c>
      <c r="F1637" s="147">
        <v>0.4</v>
      </c>
      <c r="G1637" s="105" t="s">
        <v>380</v>
      </c>
      <c r="I1637" s="29" t="s">
        <v>3365</v>
      </c>
      <c r="J1637" s="29" t="s">
        <v>3366</v>
      </c>
      <c r="K1637" s="119">
        <v>8</v>
      </c>
      <c r="L1637" s="111" t="s">
        <v>1546</v>
      </c>
      <c r="O1637" s="111" t="s">
        <v>1594</v>
      </c>
      <c r="P1637" s="23" t="s">
        <v>3703</v>
      </c>
    </row>
    <row r="1638" spans="2:16" ht="15" customHeight="1" x14ac:dyDescent="0.15">
      <c r="B1638" s="29" t="s">
        <v>361</v>
      </c>
      <c r="C1638" s="266">
        <v>44113</v>
      </c>
      <c r="D1638" s="29" t="s">
        <v>2143</v>
      </c>
      <c r="E1638" s="105" t="s">
        <v>34</v>
      </c>
      <c r="F1638" s="147">
        <v>0.04</v>
      </c>
      <c r="I1638" s="29" t="s">
        <v>3648</v>
      </c>
      <c r="J1638" s="29" t="s">
        <v>3649</v>
      </c>
      <c r="K1638" s="119">
        <v>6</v>
      </c>
      <c r="L1638" s="111" t="s">
        <v>1704</v>
      </c>
      <c r="O1638" s="111" t="s">
        <v>1705</v>
      </c>
    </row>
    <row r="1639" spans="2:16" ht="15" customHeight="1" x14ac:dyDescent="0.15">
      <c r="B1639" s="29" t="s">
        <v>18</v>
      </c>
      <c r="C1639" s="266">
        <v>44113</v>
      </c>
      <c r="D1639" s="29" t="s">
        <v>3685</v>
      </c>
      <c r="E1639" s="105" t="s">
        <v>6</v>
      </c>
      <c r="F1639" s="147">
        <v>0.05</v>
      </c>
      <c r="I1639" s="29" t="s">
        <v>313</v>
      </c>
      <c r="J1639" s="29">
        <v>99</v>
      </c>
      <c r="K1639" s="119">
        <v>8</v>
      </c>
      <c r="L1639" s="111" t="s">
        <v>1544</v>
      </c>
      <c r="O1639" s="111" t="s">
        <v>1544</v>
      </c>
      <c r="P1639" s="23" t="s">
        <v>3704</v>
      </c>
    </row>
    <row r="1640" spans="2:16" ht="15" customHeight="1" x14ac:dyDescent="0.15">
      <c r="B1640" s="29" t="s">
        <v>61</v>
      </c>
      <c r="C1640" s="266">
        <v>44113</v>
      </c>
      <c r="D1640" s="29" t="s">
        <v>3606</v>
      </c>
      <c r="E1640" s="105" t="s">
        <v>12</v>
      </c>
      <c r="F1640" s="147">
        <v>0.375</v>
      </c>
      <c r="G1640" s="105" t="s">
        <v>966</v>
      </c>
      <c r="H1640" s="105" t="s">
        <v>504</v>
      </c>
      <c r="I1640" s="105" t="s">
        <v>16</v>
      </c>
      <c r="J1640" s="105" t="s">
        <v>623</v>
      </c>
      <c r="K1640" s="119">
        <v>7</v>
      </c>
      <c r="L1640" s="111" t="s">
        <v>1874</v>
      </c>
      <c r="O1640" s="111" t="s">
        <v>1875</v>
      </c>
      <c r="P1640" s="23" t="s">
        <v>3647</v>
      </c>
    </row>
    <row r="1641" spans="2:16" ht="15" customHeight="1" x14ac:dyDescent="0.15">
      <c r="B1641" s="29" t="s">
        <v>1120</v>
      </c>
      <c r="C1641" s="266">
        <v>44113</v>
      </c>
      <c r="D1641" s="29" t="s">
        <v>3606</v>
      </c>
      <c r="E1641" s="105" t="s">
        <v>12</v>
      </c>
      <c r="F1641" s="147">
        <v>0.375</v>
      </c>
      <c r="G1641" s="105" t="s">
        <v>966</v>
      </c>
      <c r="H1641" s="105" t="s">
        <v>504</v>
      </c>
      <c r="I1641" s="105" t="s">
        <v>3646</v>
      </c>
      <c r="J1641" s="105" t="s">
        <v>228</v>
      </c>
      <c r="K1641" s="119">
        <v>3</v>
      </c>
      <c r="L1641" s="111" t="s">
        <v>1874</v>
      </c>
      <c r="O1641" s="111" t="s">
        <v>1875</v>
      </c>
    </row>
    <row r="1642" spans="2:16" ht="15" customHeight="1" x14ac:dyDescent="0.15">
      <c r="B1642" s="29" t="s">
        <v>26</v>
      </c>
      <c r="C1642" s="266">
        <v>44113</v>
      </c>
      <c r="D1642" s="29" t="s">
        <v>3651</v>
      </c>
      <c r="E1642" s="105" t="s">
        <v>34</v>
      </c>
      <c r="F1642" s="147">
        <v>0.04</v>
      </c>
      <c r="I1642" s="105" t="s">
        <v>3652</v>
      </c>
      <c r="J1642" s="105" t="s">
        <v>920</v>
      </c>
      <c r="K1642" s="119">
        <v>8.5</v>
      </c>
      <c r="L1642" s="111" t="s">
        <v>2924</v>
      </c>
      <c r="O1642" s="111" t="s">
        <v>2925</v>
      </c>
    </row>
    <row r="1643" spans="2:16" ht="15" customHeight="1" x14ac:dyDescent="0.15">
      <c r="B1643" s="29" t="s">
        <v>38</v>
      </c>
      <c r="C1643" s="266">
        <v>44113</v>
      </c>
      <c r="D1643" s="53" t="s">
        <v>2041</v>
      </c>
      <c r="E1643" s="53" t="s">
        <v>6</v>
      </c>
      <c r="F1643" s="147">
        <v>0.05</v>
      </c>
      <c r="I1643" s="105" t="s">
        <v>3662</v>
      </c>
      <c r="J1643" s="105" t="s">
        <v>3663</v>
      </c>
      <c r="K1643" s="119">
        <v>8</v>
      </c>
      <c r="L1643" s="111" t="s">
        <v>158</v>
      </c>
      <c r="O1643" s="111" t="s">
        <v>1565</v>
      </c>
    </row>
    <row r="1644" spans="2:16" ht="15" customHeight="1" x14ac:dyDescent="0.15">
      <c r="B1644" s="29" t="s">
        <v>18</v>
      </c>
      <c r="C1644" s="266">
        <v>44113</v>
      </c>
      <c r="D1644" s="29" t="s">
        <v>3650</v>
      </c>
      <c r="E1644" s="105" t="s">
        <v>42</v>
      </c>
      <c r="F1644" s="147">
        <v>0.13500000000000001</v>
      </c>
      <c r="I1644" s="29" t="s">
        <v>86</v>
      </c>
      <c r="J1644" s="29" t="s">
        <v>219</v>
      </c>
      <c r="K1644" s="119">
        <v>6</v>
      </c>
      <c r="L1644" s="111" t="s">
        <v>3692</v>
      </c>
      <c r="O1644" s="111" t="s">
        <v>3691</v>
      </c>
    </row>
    <row r="1645" spans="2:16" ht="15" customHeight="1" x14ac:dyDescent="0.15">
      <c r="B1645" s="29" t="s">
        <v>41</v>
      </c>
      <c r="C1645" s="266">
        <v>44113</v>
      </c>
      <c r="D1645" s="29" t="s">
        <v>3653</v>
      </c>
      <c r="E1645" s="105" t="s">
        <v>32</v>
      </c>
      <c r="F1645" s="147">
        <v>0.4</v>
      </c>
      <c r="G1645" s="105" t="s">
        <v>69</v>
      </c>
      <c r="I1645" s="29" t="s">
        <v>323</v>
      </c>
      <c r="J1645" s="29" t="s">
        <v>328</v>
      </c>
      <c r="K1645" s="119">
        <v>5</v>
      </c>
      <c r="L1645" s="111" t="s">
        <v>1546</v>
      </c>
      <c r="O1645" s="111" t="s">
        <v>1594</v>
      </c>
      <c r="P1645" s="23" t="s">
        <v>3702</v>
      </c>
    </row>
    <row r="1646" spans="2:16" ht="15" customHeight="1" x14ac:dyDescent="0.15">
      <c r="B1646" s="29" t="s">
        <v>41</v>
      </c>
      <c r="C1646" s="266">
        <v>44113</v>
      </c>
      <c r="D1646" s="29" t="s">
        <v>3653</v>
      </c>
      <c r="E1646" s="105" t="s">
        <v>32</v>
      </c>
      <c r="F1646" s="147">
        <v>0.4</v>
      </c>
      <c r="G1646" s="29" t="s">
        <v>380</v>
      </c>
      <c r="I1646" s="29" t="s">
        <v>278</v>
      </c>
      <c r="J1646" s="29" t="s">
        <v>3664</v>
      </c>
      <c r="K1646" s="119">
        <v>7</v>
      </c>
      <c r="L1646" s="111" t="s">
        <v>1546</v>
      </c>
      <c r="O1646" s="111" t="s">
        <v>1594</v>
      </c>
      <c r="P1646" s="23" t="s">
        <v>3703</v>
      </c>
    </row>
    <row r="1647" spans="2:16" ht="15" customHeight="1" x14ac:dyDescent="0.15">
      <c r="B1647" s="29" t="s">
        <v>26</v>
      </c>
      <c r="C1647" s="266">
        <v>44113</v>
      </c>
      <c r="D1647" s="29" t="s">
        <v>703</v>
      </c>
      <c r="E1647" s="105" t="s">
        <v>27</v>
      </c>
      <c r="F1647" s="147">
        <v>0.2</v>
      </c>
      <c r="G1647" s="29" t="s">
        <v>839</v>
      </c>
      <c r="I1647" s="29" t="s">
        <v>2382</v>
      </c>
      <c r="J1647" s="29" t="s">
        <v>3655</v>
      </c>
      <c r="K1647" s="119">
        <v>8</v>
      </c>
      <c r="L1647" s="111" t="s">
        <v>703</v>
      </c>
      <c r="O1647" s="116" t="s">
        <v>1508</v>
      </c>
    </row>
    <row r="1648" spans="2:16" ht="15" customHeight="1" x14ac:dyDescent="0.15">
      <c r="B1648" s="29" t="s">
        <v>38</v>
      </c>
      <c r="C1648" s="266">
        <v>44113</v>
      </c>
      <c r="D1648" s="29" t="s">
        <v>3676</v>
      </c>
      <c r="E1648" s="105" t="s">
        <v>42</v>
      </c>
      <c r="F1648" s="147">
        <v>0.125</v>
      </c>
      <c r="I1648" s="29" t="s">
        <v>2555</v>
      </c>
      <c r="J1648" s="29" t="s">
        <v>3654</v>
      </c>
      <c r="K1648" s="119">
        <v>9</v>
      </c>
      <c r="L1648" s="111" t="s">
        <v>3694</v>
      </c>
      <c r="O1648" s="111" t="s">
        <v>3693</v>
      </c>
    </row>
    <row r="1649" spans="2:16" ht="15" customHeight="1" x14ac:dyDescent="0.15">
      <c r="B1649" s="29" t="s">
        <v>61</v>
      </c>
      <c r="C1649" s="266">
        <v>44113</v>
      </c>
      <c r="D1649" s="29" t="s">
        <v>3420</v>
      </c>
      <c r="E1649" s="105" t="s">
        <v>27</v>
      </c>
      <c r="F1649" s="147">
        <v>0.2</v>
      </c>
      <c r="I1649" s="29" t="s">
        <v>622</v>
      </c>
      <c r="J1649" s="29" t="s">
        <v>3657</v>
      </c>
      <c r="K1649" s="119">
        <v>4</v>
      </c>
      <c r="L1649" s="111" t="s">
        <v>1560</v>
      </c>
      <c r="O1649" s="116" t="s">
        <v>1496</v>
      </c>
    </row>
    <row r="1650" spans="2:16" ht="15" customHeight="1" x14ac:dyDescent="0.15">
      <c r="B1650" s="29" t="s">
        <v>1120</v>
      </c>
      <c r="C1650" s="266">
        <v>44113</v>
      </c>
      <c r="D1650" s="29" t="s">
        <v>3420</v>
      </c>
      <c r="E1650" s="105" t="s">
        <v>27</v>
      </c>
      <c r="F1650" s="147">
        <v>0.2</v>
      </c>
      <c r="I1650" s="29" t="s">
        <v>2290</v>
      </c>
      <c r="J1650" s="29" t="s">
        <v>3656</v>
      </c>
      <c r="K1650" s="119">
        <v>5</v>
      </c>
      <c r="L1650" s="111" t="s">
        <v>1560</v>
      </c>
      <c r="O1650" s="116" t="s">
        <v>1496</v>
      </c>
    </row>
    <row r="1651" spans="2:16" ht="15" customHeight="1" x14ac:dyDescent="0.15">
      <c r="B1651" s="29" t="s">
        <v>35</v>
      </c>
      <c r="C1651" s="266">
        <v>44113</v>
      </c>
      <c r="D1651" s="29" t="s">
        <v>3658</v>
      </c>
      <c r="E1651" s="105" t="s">
        <v>6</v>
      </c>
      <c r="F1651" s="147">
        <v>4.2000000000000003E-2</v>
      </c>
      <c r="I1651" s="29" t="s">
        <v>3659</v>
      </c>
      <c r="J1651" s="29" t="s">
        <v>3634</v>
      </c>
      <c r="K1651" s="119">
        <v>7.5</v>
      </c>
      <c r="L1651" s="111" t="s">
        <v>895</v>
      </c>
      <c r="O1651" s="116" t="s">
        <v>1844</v>
      </c>
      <c r="P1651" s="23" t="s">
        <v>3705</v>
      </c>
    </row>
    <row r="1652" spans="2:16" ht="15" customHeight="1" x14ac:dyDescent="0.15">
      <c r="B1652" s="29" t="s">
        <v>18</v>
      </c>
      <c r="C1652" s="266">
        <v>44113</v>
      </c>
      <c r="D1652" s="29" t="s">
        <v>3511</v>
      </c>
      <c r="E1652" s="105" t="s">
        <v>36</v>
      </c>
      <c r="F1652" s="147">
        <v>0.46</v>
      </c>
      <c r="G1652" s="29" t="s">
        <v>3593</v>
      </c>
      <c r="I1652" s="29" t="s">
        <v>1171</v>
      </c>
      <c r="J1652" s="29" t="s">
        <v>3042</v>
      </c>
      <c r="K1652" s="119">
        <v>4</v>
      </c>
      <c r="L1652" s="111" t="s">
        <v>3512</v>
      </c>
      <c r="O1652" s="111" t="s">
        <v>3512</v>
      </c>
      <c r="P1652" s="23" t="s">
        <v>3706</v>
      </c>
    </row>
    <row r="1653" spans="2:16" ht="15" customHeight="1" x14ac:dyDescent="0.15">
      <c r="B1653" s="29" t="s">
        <v>361</v>
      </c>
      <c r="C1653" s="266">
        <v>44113</v>
      </c>
      <c r="D1653" s="29" t="s">
        <v>1630</v>
      </c>
      <c r="E1653" s="105" t="s">
        <v>65</v>
      </c>
      <c r="F1653" s="147">
        <v>0.375</v>
      </c>
      <c r="G1653" s="105" t="s">
        <v>1269</v>
      </c>
      <c r="I1653" s="29" t="s">
        <v>3695</v>
      </c>
      <c r="J1653" s="29" t="s">
        <v>3660</v>
      </c>
      <c r="K1653" s="119">
        <v>4</v>
      </c>
      <c r="L1653" s="111" t="s">
        <v>1536</v>
      </c>
      <c r="O1653" s="111" t="s">
        <v>1537</v>
      </c>
    </row>
    <row r="1654" spans="2:16" ht="15" customHeight="1" x14ac:dyDescent="0.15">
      <c r="B1654" s="29" t="s">
        <v>41</v>
      </c>
      <c r="C1654" s="266">
        <v>44113</v>
      </c>
      <c r="D1654" s="29" t="s">
        <v>123</v>
      </c>
      <c r="E1654" s="105" t="s">
        <v>27</v>
      </c>
      <c r="F1654" s="147">
        <v>0.35</v>
      </c>
      <c r="I1654" s="29" t="s">
        <v>149</v>
      </c>
      <c r="J1654" s="29" t="s">
        <v>3661</v>
      </c>
      <c r="K1654" s="119">
        <v>8</v>
      </c>
      <c r="L1654" s="111" t="s">
        <v>123</v>
      </c>
      <c r="O1654" s="111" t="s">
        <v>1525</v>
      </c>
      <c r="P1654" s="23" t="s">
        <v>3698</v>
      </c>
    </row>
    <row r="1655" spans="2:16" ht="15" customHeight="1" x14ac:dyDescent="0.15">
      <c r="B1655" s="29" t="s">
        <v>361</v>
      </c>
      <c r="C1655" s="266">
        <v>44113</v>
      </c>
      <c r="D1655" s="29" t="s">
        <v>1269</v>
      </c>
      <c r="E1655" s="105" t="s">
        <v>190</v>
      </c>
      <c r="F1655" s="147">
        <v>4.4999999999999998E-2</v>
      </c>
      <c r="I1655" s="29" t="s">
        <v>33</v>
      </c>
      <c r="J1655" s="29" t="s">
        <v>3665</v>
      </c>
      <c r="K1655" s="119">
        <v>2.5</v>
      </c>
      <c r="L1655" s="111" t="s">
        <v>2707</v>
      </c>
      <c r="O1655" s="111" t="s">
        <v>2096</v>
      </c>
      <c r="P1655" s="23" t="s">
        <v>3666</v>
      </c>
    </row>
    <row r="1656" spans="2:16" ht="15" customHeight="1" x14ac:dyDescent="0.15">
      <c r="B1656" s="29" t="s">
        <v>41</v>
      </c>
      <c r="C1656" s="266">
        <v>44113</v>
      </c>
      <c r="D1656" s="29" t="s">
        <v>3672</v>
      </c>
      <c r="E1656" s="105" t="s">
        <v>6</v>
      </c>
      <c r="F1656" s="147">
        <v>4.2999999999999997E-2</v>
      </c>
      <c r="I1656" s="29" t="s">
        <v>775</v>
      </c>
      <c r="J1656" s="29" t="s">
        <v>1234</v>
      </c>
      <c r="K1656" s="119">
        <v>6</v>
      </c>
      <c r="L1656" s="111" t="s">
        <v>765</v>
      </c>
      <c r="O1656" s="111" t="s">
        <v>1569</v>
      </c>
    </row>
    <row r="1657" spans="2:16" ht="15" customHeight="1" x14ac:dyDescent="0.15">
      <c r="B1657" s="29" t="s">
        <v>18</v>
      </c>
      <c r="C1657" s="266">
        <v>44113</v>
      </c>
      <c r="D1657" s="53" t="s">
        <v>940</v>
      </c>
      <c r="E1657" s="53" t="s">
        <v>6</v>
      </c>
      <c r="F1657" s="147">
        <v>5.3999999999999999E-2</v>
      </c>
      <c r="I1657" s="29" t="s">
        <v>25</v>
      </c>
      <c r="J1657" s="29" t="s">
        <v>3667</v>
      </c>
      <c r="K1657" s="119">
        <v>6</v>
      </c>
      <c r="L1657" s="111" t="s">
        <v>765</v>
      </c>
      <c r="O1657" s="111" t="s">
        <v>1569</v>
      </c>
    </row>
    <row r="1658" spans="2:16" ht="15" customHeight="1" x14ac:dyDescent="0.15">
      <c r="B1658" s="29" t="s">
        <v>35</v>
      </c>
      <c r="C1658" s="266">
        <v>44113</v>
      </c>
      <c r="D1658" s="29" t="s">
        <v>3668</v>
      </c>
      <c r="E1658" s="105" t="s">
        <v>6</v>
      </c>
      <c r="F1658" s="147">
        <v>0.04</v>
      </c>
      <c r="I1658" s="29" t="s">
        <v>3669</v>
      </c>
      <c r="J1658" s="29" t="s">
        <v>3670</v>
      </c>
      <c r="K1658" s="119">
        <v>6.5</v>
      </c>
      <c r="L1658" s="111" t="s">
        <v>3700</v>
      </c>
      <c r="O1658" s="111" t="s">
        <v>3699</v>
      </c>
    </row>
    <row r="1659" spans="2:16" ht="15" customHeight="1" x14ac:dyDescent="0.15">
      <c r="B1659" s="29" t="s">
        <v>41</v>
      </c>
      <c r="C1659" s="266">
        <v>44113</v>
      </c>
      <c r="D1659" s="29" t="s">
        <v>3673</v>
      </c>
      <c r="E1659" s="105" t="s">
        <v>6</v>
      </c>
      <c r="F1659" s="147">
        <v>5.0999999999999997E-2</v>
      </c>
      <c r="I1659" s="29" t="s">
        <v>384</v>
      </c>
      <c r="J1659" s="29" t="s">
        <v>3674</v>
      </c>
      <c r="K1659" s="119">
        <v>3.5</v>
      </c>
      <c r="L1659" s="111" t="s">
        <v>765</v>
      </c>
      <c r="O1659" s="111" t="s">
        <v>1569</v>
      </c>
    </row>
    <row r="1660" spans="2:16" ht="15" customHeight="1" x14ac:dyDescent="0.15">
      <c r="B1660" s="29" t="s">
        <v>18</v>
      </c>
      <c r="C1660" s="266">
        <v>44113</v>
      </c>
      <c r="D1660" s="29" t="s">
        <v>3675</v>
      </c>
      <c r="E1660" s="105" t="s">
        <v>6</v>
      </c>
      <c r="F1660" s="147">
        <v>4.8000000000000001E-2</v>
      </c>
      <c r="I1660" s="29" t="s">
        <v>3212</v>
      </c>
      <c r="J1660" s="29" t="s">
        <v>495</v>
      </c>
      <c r="K1660" s="119">
        <v>4.5</v>
      </c>
      <c r="L1660" s="111" t="s">
        <v>3701</v>
      </c>
      <c r="O1660" s="111" t="s">
        <v>3701</v>
      </c>
    </row>
  </sheetData>
  <customSheetViews>
    <customSheetView guid="{4EFE790B-6171-4511-8D70-B72F69E0BBE7}" filter="1" showAutoFilter="1">
      <pageMargins left="0.7" right="0.7" top="0.75" bottom="0.75" header="0.3" footer="0.3"/>
      <autoFilter ref="C1:C1000" xr:uid="{00000000-0000-0000-0000-000000000000}"/>
    </customSheetView>
  </customSheetViews>
  <phoneticPr fontId="21" type="noConversion"/>
  <dataValidations count="2">
    <dataValidation type="custom" allowBlank="1" showDropDown="1" sqref="C954:C983" xr:uid="{00000000-0002-0000-0000-000000000000}">
      <formula1>OR(NOT(ISERROR(DATEVALUE(C954))), AND(ISNUMBER(C954), LEFT(CELL("format", C954))="D"))</formula1>
    </dataValidation>
    <dataValidation type="decimal" allowBlank="1" showDropDown="1" sqref="K1 K3:K983" xr:uid="{00000000-0002-0000-0000-000002000000}">
      <formula1>0</formula1>
      <formula2>10</formula2>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1000000}">
          <x14:formula1>
            <xm:f>People!$B$3:$B$27</xm:f>
          </x14:formula1>
          <xm:sqref>D1026 B954:B983 B1 D975 D1046 D1050 D1400 D1501:E1501 G3:J953 B3:E953 D1643:E1643 D1657:E1657</xm:sqref>
        </x14:dataValidation>
        <x14:dataValidation type="list" allowBlank="1" xr:uid="{C1F880D5-6280-1844-B589-AD0EC7CE17C7}">
          <x14:formula1>
            <xm:f>Drinks!$B$3:$B$14</xm:f>
          </x14:formula1>
          <xm:sqref>E954:E983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5"/>
  <sheetViews>
    <sheetView zoomScale="87" zoomScaleNormal="114" workbookViewId="0">
      <selection activeCell="B32" sqref="B3:B32"/>
    </sheetView>
  </sheetViews>
  <sheetFormatPr baseColWidth="10" defaultColWidth="12.6640625" defaultRowHeight="15" customHeight="1" x14ac:dyDescent="0.15"/>
  <cols>
    <col min="1" max="1" width="7.6640625" customWidth="1"/>
    <col min="2" max="2" width="17.1640625" customWidth="1"/>
    <col min="3" max="3" width="16.83203125" bestFit="1" customWidth="1"/>
    <col min="4" max="4" width="15.6640625" bestFit="1" customWidth="1"/>
    <col min="5" max="5" width="12.83203125" customWidth="1"/>
    <col min="6" max="6" width="14" customWidth="1"/>
    <col min="7" max="7" width="16.6640625" bestFit="1" customWidth="1"/>
    <col min="8" max="8" width="9" customWidth="1"/>
    <col min="9" max="9" width="14" customWidth="1"/>
    <col min="10" max="10" width="18.33203125" bestFit="1" customWidth="1"/>
    <col min="11" max="11" width="14.5" bestFit="1" customWidth="1"/>
    <col min="12" max="12" width="16.1640625" customWidth="1"/>
    <col min="13" max="13" width="21.33203125" customWidth="1"/>
    <col min="14" max="14" width="12.5" bestFit="1" customWidth="1"/>
    <col min="15" max="15" width="15.33203125" customWidth="1"/>
    <col min="16" max="16" width="44" bestFit="1" customWidth="1"/>
    <col min="17" max="17" width="36.5" bestFit="1" customWidth="1"/>
    <col min="18" max="18" width="8.6640625" bestFit="1" customWidth="1"/>
    <col min="19" max="19" width="11.33203125" customWidth="1"/>
    <col min="20" max="20" width="8.1640625" bestFit="1" customWidth="1"/>
    <col min="21" max="21" width="14.5" bestFit="1" customWidth="1"/>
    <col min="22" max="22" width="12.33203125" style="162" bestFit="1" customWidth="1"/>
    <col min="23" max="23" width="6.83203125" bestFit="1" customWidth="1"/>
    <col min="24" max="24" width="8.1640625" bestFit="1" customWidth="1"/>
    <col min="25" max="26" width="14.83203125" bestFit="1" customWidth="1"/>
    <col min="27" max="27" width="12.1640625" customWidth="1"/>
    <col min="28" max="30" width="7.6640625" customWidth="1"/>
  </cols>
  <sheetData>
    <row r="1" spans="1:26" ht="15" customHeight="1" thickBot="1" x14ac:dyDescent="0.2"/>
    <row r="2" spans="1:26" ht="46" thickBot="1" x14ac:dyDescent="0.25">
      <c r="A2" s="2"/>
      <c r="B2" s="167" t="s">
        <v>1</v>
      </c>
      <c r="C2" s="168" t="s">
        <v>2</v>
      </c>
      <c r="D2" s="169" t="s">
        <v>2150</v>
      </c>
      <c r="E2" s="169" t="s">
        <v>2151</v>
      </c>
      <c r="F2" s="170" t="s">
        <v>1196</v>
      </c>
      <c r="G2" s="168" t="s">
        <v>2149</v>
      </c>
      <c r="H2" s="168" t="s">
        <v>2152</v>
      </c>
      <c r="I2" s="171" t="s">
        <v>1199</v>
      </c>
      <c r="J2" s="168" t="s">
        <v>4</v>
      </c>
      <c r="K2" s="168" t="s">
        <v>1198</v>
      </c>
      <c r="L2" s="172" t="s">
        <v>1197</v>
      </c>
      <c r="M2" s="172" t="s">
        <v>1200</v>
      </c>
      <c r="N2" s="2"/>
      <c r="O2" s="160" t="s">
        <v>2146</v>
      </c>
      <c r="P2" s="161" t="s">
        <v>2147</v>
      </c>
      <c r="Q2" s="161" t="s">
        <v>1469</v>
      </c>
      <c r="R2" s="163" t="s">
        <v>2144</v>
      </c>
      <c r="S2" s="161" t="s">
        <v>7</v>
      </c>
      <c r="T2" s="161" t="s">
        <v>8</v>
      </c>
      <c r="U2" s="161" t="s">
        <v>1194</v>
      </c>
      <c r="V2" s="161" t="s">
        <v>1195</v>
      </c>
      <c r="W2" s="161" t="s">
        <v>1176</v>
      </c>
      <c r="X2" s="2"/>
      <c r="Y2" s="2"/>
      <c r="Z2" s="2"/>
    </row>
    <row r="3" spans="1:26" ht="16" x14ac:dyDescent="0.15">
      <c r="B3" s="52" t="s">
        <v>9</v>
      </c>
      <c r="C3" s="53">
        <f>COUNTIF(TallyPeopleNames, $B3)</f>
        <v>18</v>
      </c>
      <c r="D3" s="110" cm="1">
        <f t="array" ref="D3">SUM(--(FREQUENCY(IF(TallyPeopleNames=B3,MATCH(TallyDates,TallyDates,0)),ROW(TallyDates)-ROW('Friday Spreadsheet CSV'!$C$3)+1)&gt;0))</f>
        <v>9</v>
      </c>
      <c r="E3" s="54">
        <f t="shared" ref="E3:E28" si="0">SUM(C3/D3)</f>
        <v>2</v>
      </c>
      <c r="F3" s="53" t="str" cm="1">
        <f t="array" ref="F3">IFERROR(IF($E3=1,INDEX(TallyDrinkType,MATCH($B3,TallyPeopleNames,0)),INDEX(TallyDrinkType,MODE(IF(TallyPeopleNames=$B3,MATCH(TallyDrinkType,TallyDrinkType,0))))),"Joint Top Drink")</f>
        <v>Gin</v>
      </c>
      <c r="G3" s="56" cm="1">
        <f t="array" ref="G3">IF($C3=1,INDEX(TallyScore,MATCH($B3,TallyPeopleNames,0)),MAX(IF(TallyPeopleNames=$B3,TallyScore)))</f>
        <v>10</v>
      </c>
      <c r="H3" s="53" cm="1">
        <f t="array" ref="H3">IF($C3=1,INDEX('Friday Spreadsheet CSV'!$K:$K,MATCH($B3,'Friday Spreadsheet CSV'!$B:$B,0)),MIN(IF('Friday Spreadsheet CSV'!$B:$B=$B3,'Friday Spreadsheet CSV'!$K:$K)))</f>
        <v>4</v>
      </c>
      <c r="I3" s="53" t="str" cm="1">
        <f t="array" ref="I3">INDEX('Friday Spreadsheet CSV'!$D:$D,MATCH(1,('Friday Spreadsheet CSV'!$B:$B=$B3)*('Friday Spreadsheet CSV'!$K:$K=H3),0))</f>
        <v>City of London Distillery Rhubarb and Rum Gin</v>
      </c>
      <c r="J3" s="57">
        <f>AVERAGEIF(TallyPeopleNames,$B3,TallyScore)</f>
        <v>7.1944444444444446</v>
      </c>
      <c r="K3" s="57">
        <f>RANK(J3,$J$3:$J$30,0)</f>
        <v>8</v>
      </c>
      <c r="L3" s="241">
        <f>RANK(C3,$C$3:$C$30,0)</f>
        <v>15</v>
      </c>
      <c r="M3" s="58">
        <f>($C3/$C$33)</f>
        <v>1.2145748987854251E-2</v>
      </c>
      <c r="O3" s="142" t="s">
        <v>50</v>
      </c>
      <c r="P3" s="153" t="str" cm="1">
        <f t="array" ref="P3">IFERROR(INDEX(TallyDrinkNames,SMALL(IF((TallyScore=$W3)*(TallyPeopleNames=$O$3)*(TallyDrinkType=$O$4),ROW(TallyDrinkNames)-ROW('Friday Spreadsheet CSV'!$E$3)+1),COUNTIF($W3:$W$22,$W3))),"")</f>
        <v>Siren Pompelmocello Grapefruit Sour IPA</v>
      </c>
      <c r="Q3" s="153" t="str" cm="1">
        <f t="array" ref="Q3">IFERROR(INDEX(TallyBrands,SMALL(IF((TallyScore=$W3)*(TallyPeopleNames=$O$3)*(TallyDrinkType=$O$4),ROW(TallyDrinkNames)-ROW('Friday Spreadsheet CSV'!$E$3)+1),COUNTIF($W3:$W$22,$W3))),"")</f>
        <v>Siren</v>
      </c>
      <c r="R3" s="164" cm="1">
        <f t="array" ref="R3">IFERROR(INDEX(TallyABV,SMALL(IF((TallyScore=$W3)*(TallyPeopleNames=$O$3)*(TallyDrinkType=$O$4),ROW(TallyDrinkNames)-ROW('Friday Spreadsheet CSV'!$E$3)+1),COUNTIF($W3:$W$22,$W3))),"")</f>
        <v>0.06</v>
      </c>
      <c r="S3" s="153" t="str" cm="1">
        <f t="array" ref="S3">IFERROR(INDEX(TallyMixer1,SMALL(IF((TallyScore=$W3)*(TallyPeopleNames=$O$3)*(TallyDrinkType=$O$4),ROW(TallyDrinkNames)-ROW('Friday Spreadsheet CSV'!$E$3)+1),COUNTIF($W3:$W$22,$W3))),"")</f>
        <v/>
      </c>
      <c r="T3" s="153" t="str" cm="1">
        <f t="array" ref="T3">IFERROR(INDEX(TallyMixer2,SMALL(IF((TallyScore=$W3)*(TallyPeopleNames=$O$3)*(TallyDrinkType=$O$4),ROW(TallyDrinkNames)-ROW('Friday Spreadsheet CSV'!$E$3)+1),COUNTIF($W3:$W$22,$W3))),"")</f>
        <v/>
      </c>
      <c r="U3" s="153" t="str" cm="1">
        <f t="array" ref="U3">IFERROR(INDEX(TallyRatingWord1,SMALL(IF((TallyScore=$W3)*(TallyPeopleNames=$O$3)*(TallyDrinkType=$O$4),ROW(TallyDrinkNames)-ROW('Friday Spreadsheet CSV'!$E$3)+1),COUNTIF($W3:$W$22,$W3))),"")</f>
        <v>Sour</v>
      </c>
      <c r="V3" s="153" t="str" cm="1">
        <f t="array" ref="V3">IFERROR(INDEX(TallyRatingWord2,SMALL(IF((TallyScore=$W3)*(TallyPeopleNames=$O$3)*(TallyDrinkType=$O$4),ROW(TallyDrinkNames)-ROW('Friday Spreadsheet CSV'!$E$3)+1),COUNTIF($W3:$W$22,$W3))),"")</f>
        <v>Nightmare</v>
      </c>
      <c r="W3" s="154" cm="1">
        <f t="array" ref="W3">IFERROR(LARGE(IF((TallyPeopleNames=$O$3)*(TallyDrinkType=$O$4),TallyScore),ROWS($W$3:$W3)),"")</f>
        <v>3</v>
      </c>
    </row>
    <row r="4" spans="1:26" ht="16" x14ac:dyDescent="0.15">
      <c r="B4" s="52" t="s">
        <v>18</v>
      </c>
      <c r="C4" s="53">
        <f t="shared" ref="C4:C30" si="1">COUNTIF(TallyPeopleNames, $B4)</f>
        <v>150</v>
      </c>
      <c r="D4" s="110" cm="1">
        <f t="array" ref="D4">SUM(--(FREQUENCY(IF(TallyPeopleNames=B4,MATCH(TallyDates,TallyDates,0)),ROW(TallyDates)-ROW('Friday Spreadsheet CSV'!$C$3)+1)&gt;0))</f>
        <v>21</v>
      </c>
      <c r="E4" s="54">
        <f t="shared" si="0"/>
        <v>7.1428571428571432</v>
      </c>
      <c r="F4" s="53" t="str" cm="1">
        <f t="array" ref="F4">IFERROR(IF($E4=1,INDEX(TallyDrinkType,MATCH($B4,TallyPeopleNames,0)),INDEX(TallyDrinkType,MODE(IF(TallyPeopleNames=$B4,MATCH(TallyDrinkType,TallyDrinkType,0))))),"Joint Top Drink")</f>
        <v>Beer</v>
      </c>
      <c r="G4" s="56" cm="1">
        <f t="array" ref="G4">IF($C4=1,INDEX(TallyScore,MATCH($B4,TallyPeopleNames,0)),MAX(IF(TallyPeopleNames=$B4,TallyScore)))</f>
        <v>9.5</v>
      </c>
      <c r="H4" s="53" cm="1">
        <f t="array" ref="H4">IF($C4=1,INDEX('Friday Spreadsheet CSV'!$K:$K,MATCH($B4,'Friday Spreadsheet CSV'!$B:$B,0)),MIN(IF('Friday Spreadsheet CSV'!$B:$B=$B4,'Friday Spreadsheet CSV'!$K:$K)))</f>
        <v>1</v>
      </c>
      <c r="I4" s="53" t="str" cm="1">
        <f t="array" ref="I4">INDEX('Friday Spreadsheet CSV'!$D:$D,MATCH(1,('Friday Spreadsheet CSV'!$B:$B=$B4)*('Friday Spreadsheet CSV'!$K:$K=H4),0))</f>
        <v>Stella Artois Cidre Raspberry</v>
      </c>
      <c r="J4" s="57">
        <f t="shared" ref="J4:J30" si="2">AVERAGEIF(TallyPeopleNames,$B4,TallyScore)</f>
        <v>6.25</v>
      </c>
      <c r="K4" s="57">
        <f t="shared" ref="K4:K30" si="3">RANK(J4,$J$3:$J$30,0)</f>
        <v>15</v>
      </c>
      <c r="L4" s="241">
        <f t="shared" ref="L4:L30" si="4">RANK(C4,$C$3:$C$30,0)</f>
        <v>3</v>
      </c>
      <c r="M4" s="61">
        <f t="shared" ref="M4:M33" si="5">($C4/$C$33)</f>
        <v>0.10121457489878542</v>
      </c>
      <c r="O4" s="143" t="s">
        <v>6</v>
      </c>
      <c r="P4" s="137" t="str" cm="1">
        <f t="array" ref="P4">IFERROR(INDEX(TallyDrinkNames,SMALL(IF((TallyScore=$W4)*(TallyPeopleNames=$O$3)*(TallyDrinkType=$O$4),ROW(TallyDrinkNames)-ROW('Friday Spreadsheet CSV'!$E$3)+1),COUNTIF($W4:$W$22,$W4))),"")</f>
        <v/>
      </c>
      <c r="Q4" s="137" t="str" cm="1">
        <f t="array" ref="Q4">IFERROR(INDEX(TallyBrands,SMALL(IF((TallyScore=$W4)*(TallyPeopleNames=$O$3)*(TallyDrinkType=$O$4),ROW(TallyDrinkNames)-ROW('Friday Spreadsheet CSV'!$E$3)+1),COUNTIF($W4:$W$22,$W4))),"")</f>
        <v/>
      </c>
      <c r="R4" s="165" t="str" cm="1">
        <f t="array" ref="R4">IFERROR(INDEX(TallyABV,SMALL(IF((TallyScore=$W4)*(TallyPeopleNames=$O$3)*(TallyDrinkType=$O$4),ROW(TallyDrinkNames)-ROW('Friday Spreadsheet CSV'!$E$3)+1),COUNTIF($W4:$W$22,$W4))),"")</f>
        <v/>
      </c>
      <c r="S4" s="137" t="str" cm="1">
        <f t="array" ref="S4">IFERROR(INDEX(TallyMixer1,SMALL(IF((TallyScore=$W4)*(TallyPeopleNames=$O$3)*(TallyDrinkType=$O$4),ROW(TallyDrinkNames)-ROW('Friday Spreadsheet CSV'!$E$3)+1),COUNTIF($W4:$W$22,$W4))),"")</f>
        <v/>
      </c>
      <c r="T4" s="137" t="str" cm="1">
        <f t="array" ref="T4">IFERROR(INDEX(TallyMixer2,SMALL(IF((TallyScore=$W4)*(TallyPeopleNames=$O$3)*(TallyDrinkType=$O$4),ROW(TallyDrinkNames)-ROW('Friday Spreadsheet CSV'!$E$3)+1),COUNTIF($W4:$W$22,$W4))),"")</f>
        <v/>
      </c>
      <c r="U4" s="137" t="str" cm="1">
        <f t="array" ref="U4">IFERROR(INDEX(TallyRatingWord1,SMALL(IF((TallyScore=$W4)*(TallyPeopleNames=$O$3)*(TallyDrinkType=$O$4),ROW(TallyDrinkNames)-ROW('Friday Spreadsheet CSV'!$E$3)+1),COUNTIF($W4:$W$22,$W4))),"")</f>
        <v/>
      </c>
      <c r="V4" s="137" t="str" cm="1">
        <f t="array" ref="V4">IFERROR(INDEX(TallyRatingWord2,SMALL(IF((TallyScore=$W4)*(TallyPeopleNames=$O$3)*(TallyDrinkType=$O$4),ROW(TallyDrinkNames)-ROW('Friday Spreadsheet CSV'!$E$3)+1),COUNTIF($W4:$W$22,$W4))),"")</f>
        <v/>
      </c>
      <c r="W4" s="155" t="str" cm="1">
        <f t="array" ref="W4">IFERROR(LARGE(IF((TallyPeopleNames=$O$3)*(TallyDrinkType=$O$4),TallyScore),ROWS($W$3:$W4)),"")</f>
        <v/>
      </c>
    </row>
    <row r="5" spans="1:26" ht="16" x14ac:dyDescent="0.15">
      <c r="B5" s="52" t="s">
        <v>26</v>
      </c>
      <c r="C5" s="53">
        <f t="shared" si="1"/>
        <v>188</v>
      </c>
      <c r="D5" s="110" cm="1">
        <f t="array" ref="D5">SUM(--(FREQUENCY(IF(TallyPeopleNames=B5,MATCH(TallyDates,TallyDates,0)),ROW(TallyDates)-ROW('Friday Spreadsheet CSV'!$C$3)+1)&gt;0))</f>
        <v>24</v>
      </c>
      <c r="E5" s="54">
        <f t="shared" si="0"/>
        <v>7.833333333333333</v>
      </c>
      <c r="F5" s="53" t="str" cm="1">
        <f t="array" ref="F5">IFERROR(IF($E5=1,INDEX(TallyDrinkType,MATCH($B5,TallyPeopleNames,0)),INDEX(TallyDrinkType,MODE(IF(TallyPeopleNames=$B5,MATCH(TallyDrinkType,TallyDrinkType,0))))),"Joint Top Drink")</f>
        <v>Cider</v>
      </c>
      <c r="G5" s="56" cm="1">
        <f t="array" ref="G5">IF($C5=1,INDEX(TallyScore,MATCH($B5,TallyPeopleNames,0)),MAX(IF(TallyPeopleNames=$B5,TallyScore)))</f>
        <v>10</v>
      </c>
      <c r="H5" s="53" cm="1">
        <f t="array" ref="H5">IF($C5=1,INDEX('Friday Spreadsheet CSV'!$K:$K,MATCH($B5,'Friday Spreadsheet CSV'!$B:$B,0)),MIN(IF('Friday Spreadsheet CSV'!$B:$B=$B5,'Friday Spreadsheet CSV'!$K:$K)))</f>
        <v>0.5</v>
      </c>
      <c r="I5" s="53" t="str" cm="1">
        <f t="array" ref="I5">INDEX('Friday Spreadsheet CSV'!$D:$D,MATCH(1,('Friday Spreadsheet CSV'!$B:$B=$B5)*('Friday Spreadsheet CSV'!$K:$K=H5),0))</f>
        <v>Sainsbury's White Rum</v>
      </c>
      <c r="J5" s="57">
        <f t="shared" si="2"/>
        <v>6.4893617021276597</v>
      </c>
      <c r="K5" s="57">
        <f t="shared" si="3"/>
        <v>12</v>
      </c>
      <c r="L5" s="241">
        <f t="shared" si="4"/>
        <v>1</v>
      </c>
      <c r="M5" s="61">
        <f t="shared" si="5"/>
        <v>0.12685560053981107</v>
      </c>
      <c r="O5" s="156"/>
      <c r="P5" s="137" t="str" cm="1">
        <f t="array" ref="P5">IFERROR(INDEX(TallyDrinkNames,SMALL(IF((TallyScore=$W5)*(TallyPeopleNames=$O$3)*(TallyDrinkType=$O$4),ROW(TallyDrinkNames)-ROW('Friday Spreadsheet CSV'!$E$3)+1),COUNTIF($W5:$W$22,$W5))),"")</f>
        <v/>
      </c>
      <c r="Q5" s="137" t="str" cm="1">
        <f t="array" ref="Q5">IFERROR(INDEX(TallyBrands,SMALL(IF((TallyScore=$W5)*(TallyPeopleNames=$O$3)*(TallyDrinkType=$O$4),ROW(TallyDrinkNames)-ROW('Friday Spreadsheet CSV'!$E$3)+1),COUNTIF($W5:$W$22,$W5))),"")</f>
        <v/>
      </c>
      <c r="R5" s="165" t="str" cm="1">
        <f t="array" ref="R5">IFERROR(INDEX(TallyABV,SMALL(IF((TallyScore=$W5)*(TallyPeopleNames=$O$3)*(TallyDrinkType=$O$4),ROW(TallyDrinkNames)-ROW('Friday Spreadsheet CSV'!$E$3)+1),COUNTIF($W5:$W$22,$W5))),"")</f>
        <v/>
      </c>
      <c r="S5" s="137" t="str" cm="1">
        <f t="array" ref="S5">IFERROR(INDEX(TallyMixer1,SMALL(IF((TallyScore=$W5)*(TallyPeopleNames=$O$3)*(TallyDrinkType=$O$4),ROW(TallyDrinkNames)-ROW('Friday Spreadsheet CSV'!$E$3)+1),COUNTIF($W5:$W$22,$W5))),"")</f>
        <v/>
      </c>
      <c r="T5" s="137" t="str" cm="1">
        <f t="array" ref="T5">IFERROR(INDEX(TallyMixer2,SMALL(IF((TallyScore=$W5)*(TallyPeopleNames=$O$3)*(TallyDrinkType=$O$4),ROW(TallyDrinkNames)-ROW('Friday Spreadsheet CSV'!$E$3)+1),COUNTIF($W5:$W$22,$W5))),"")</f>
        <v/>
      </c>
      <c r="U5" s="137" t="str" cm="1">
        <f t="array" ref="U5">IFERROR(INDEX(TallyRatingWord1,SMALL(IF((TallyScore=$W5)*(TallyPeopleNames=$O$3)*(TallyDrinkType=$O$4),ROW(TallyDrinkNames)-ROW('Friday Spreadsheet CSV'!$E$3)+1),COUNTIF($W5:$W$22,$W5))),"")</f>
        <v/>
      </c>
      <c r="V5" s="137" t="str" cm="1">
        <f t="array" ref="V5">IFERROR(INDEX(TallyRatingWord2,SMALL(IF((TallyScore=$W5)*(TallyPeopleNames=$O$3)*(TallyDrinkType=$O$4),ROW(TallyDrinkNames)-ROW('Friday Spreadsheet CSV'!$E$3)+1),COUNTIF($W5:$W$22,$W5))),"")</f>
        <v/>
      </c>
      <c r="W5" s="155" t="str" cm="1">
        <f t="array" ref="W5">IFERROR(LARGE(IF((TallyPeopleNames=$O$3)*(TallyDrinkType=$O$4),TallyScore),ROWS($W$3:$W5)),"")</f>
        <v/>
      </c>
    </row>
    <row r="6" spans="1:26" ht="16" x14ac:dyDescent="0.15">
      <c r="B6" s="52" t="s">
        <v>35</v>
      </c>
      <c r="C6" s="53">
        <f t="shared" si="1"/>
        <v>169</v>
      </c>
      <c r="D6" s="110" cm="1">
        <f t="array" ref="D6">SUM(--(FREQUENCY(IF(TallyPeopleNames=B6,MATCH(TallyDates,TallyDates,0)),ROW(TallyDates)-ROW('Friday Spreadsheet CSV'!$C$3)+1)&gt;0))</f>
        <v>21</v>
      </c>
      <c r="E6" s="54">
        <f t="shared" si="0"/>
        <v>8.0476190476190474</v>
      </c>
      <c r="F6" s="53" t="str" cm="1">
        <f t="array" ref="F6">IFERROR(IF($E6=1,INDEX(TallyDrinkType,MATCH($B6,TallyPeopleNames,0)),INDEX(TallyDrinkType,MODE(IF(TallyPeopleNames=$B6,MATCH(TallyDrinkType,TallyDrinkType,0))))),"Joint Top Drink")</f>
        <v>Beer</v>
      </c>
      <c r="G6" s="56" cm="1">
        <f t="array" ref="G6">IF($C6=1,INDEX(TallyScore,MATCH($B6,TallyPeopleNames,0)),MAX(IF(TallyPeopleNames=$B6,TallyScore)))</f>
        <v>9.5</v>
      </c>
      <c r="H6" s="53" cm="1">
        <f t="array" ref="H6">IF($C6=1,INDEX('Friday Spreadsheet CSV'!$K:$K,MATCH($B6,'Friday Spreadsheet CSV'!$B:$B,0)),MIN(IF('Friday Spreadsheet CSV'!$B:$B=$B6,'Friday Spreadsheet CSV'!$K:$K)))</f>
        <v>1</v>
      </c>
      <c r="I6" s="53" t="str" cm="1">
        <f t="array" ref="I6">INDEX('Friday Spreadsheet CSV'!$D:$D,MATCH(1,('Friday Spreadsheet CSV'!$B:$B=$B6)*('Friday Spreadsheet CSV'!$K:$K=H6),0))</f>
        <v>Sainsbury's Pale Dry Fino Sherry</v>
      </c>
      <c r="J6" s="57">
        <f t="shared" si="2"/>
        <v>5.8372781065088759</v>
      </c>
      <c r="K6" s="57">
        <f t="shared" si="3"/>
        <v>22</v>
      </c>
      <c r="L6" s="241">
        <f t="shared" si="4"/>
        <v>2</v>
      </c>
      <c r="M6" s="61">
        <f t="shared" si="5"/>
        <v>0.11403508771929824</v>
      </c>
      <c r="O6" s="156"/>
      <c r="P6" s="137" t="str" cm="1">
        <f t="array" ref="P6">IFERROR(INDEX(TallyDrinkNames,SMALL(IF((TallyScore=$W6)*(TallyPeopleNames=$O$3)*(TallyDrinkType=$O$4),ROW(TallyDrinkNames)-ROW('Friday Spreadsheet CSV'!$E$3)+1),COUNTIF($W6:$W$22,$W6))),"")</f>
        <v/>
      </c>
      <c r="Q6" s="137" t="str" cm="1">
        <f t="array" ref="Q6">IFERROR(INDEX(TallyBrands,SMALL(IF((TallyScore=$W6)*(TallyPeopleNames=$O$3)*(TallyDrinkType=$O$4),ROW(TallyDrinkNames)-ROW('Friday Spreadsheet CSV'!$E$3)+1),COUNTIF($W6:$W$22,$W6))),"")</f>
        <v/>
      </c>
      <c r="R6" s="165" t="str" cm="1">
        <f t="array" ref="R6">IFERROR(INDEX(TallyABV,SMALL(IF((TallyScore=$W6)*(TallyPeopleNames=$O$3)*(TallyDrinkType=$O$4),ROW(TallyDrinkNames)-ROW('Friday Spreadsheet CSV'!$E$3)+1),COUNTIF($W6:$W$22,$W6))),"")</f>
        <v/>
      </c>
      <c r="S6" s="137" t="str" cm="1">
        <f t="array" ref="S6">IFERROR(INDEX(TallyMixer1,SMALL(IF((TallyScore=$W6)*(TallyPeopleNames=$O$3)*(TallyDrinkType=$O$4),ROW(TallyDrinkNames)-ROW('Friday Spreadsheet CSV'!$E$3)+1),COUNTIF($W6:$W$22,$W6))),"")</f>
        <v/>
      </c>
      <c r="T6" s="137" t="str" cm="1">
        <f t="array" ref="T6">IFERROR(INDEX(TallyMixer2,SMALL(IF((TallyScore=$W6)*(TallyPeopleNames=$O$3)*(TallyDrinkType=$O$4),ROW(TallyDrinkNames)-ROW('Friday Spreadsheet CSV'!$E$3)+1),COUNTIF($W6:$W$22,$W6))),"")</f>
        <v/>
      </c>
      <c r="U6" s="137" t="str" cm="1">
        <f t="array" ref="U6">IFERROR(INDEX(TallyRatingWord1,SMALL(IF((TallyScore=$W6)*(TallyPeopleNames=$O$3)*(TallyDrinkType=$O$4),ROW(TallyDrinkNames)-ROW('Friday Spreadsheet CSV'!$E$3)+1),COUNTIF($W6:$W$22,$W6))),"")</f>
        <v/>
      </c>
      <c r="V6" s="137" t="str" cm="1">
        <f t="array" ref="V6">IFERROR(INDEX(TallyRatingWord2,SMALL(IF((TallyScore=$W6)*(TallyPeopleNames=$O$3)*(TallyDrinkType=$O$4),ROW(TallyDrinkNames)-ROW('Friday Spreadsheet CSV'!$E$3)+1),COUNTIF($W6:$W$22,$W6))),"")</f>
        <v/>
      </c>
      <c r="W6" s="155" t="str" cm="1">
        <f t="array" ref="W6">IFERROR(LARGE(IF((TallyPeopleNames=$O$3)*(TallyDrinkType=$O$4),TallyScore),ROWS($W$3:$W6)),"")</f>
        <v/>
      </c>
    </row>
    <row r="7" spans="1:26" ht="16" x14ac:dyDescent="0.15">
      <c r="B7" s="52" t="s">
        <v>38</v>
      </c>
      <c r="C7" s="53">
        <f t="shared" si="1"/>
        <v>135</v>
      </c>
      <c r="D7" s="110" cm="1">
        <f t="array" ref="D7">SUM(--(FREQUENCY(IF(TallyPeopleNames=B7,MATCH(TallyDates,TallyDates,0)),ROW(TallyDates)-ROW('Friday Spreadsheet CSV'!$C$3)+1)&gt;0))</f>
        <v>25</v>
      </c>
      <c r="E7" s="54">
        <f t="shared" si="0"/>
        <v>5.4</v>
      </c>
      <c r="F7" s="53" t="str" cm="1">
        <f t="array" ref="F7">IFERROR(IF($E7=1,INDEX(TallyDrinkType,MATCH($B7,TallyPeopleNames,0)),INDEX(TallyDrinkType,MODE(IF(TallyPeopleNames=$B7,MATCH(TallyDrinkType,TallyDrinkType,0))))),"Joint Top Drink")</f>
        <v>Beer</v>
      </c>
      <c r="G7" s="56" cm="1">
        <f t="array" ref="G7">IF($C7=1,INDEX(TallyScore,MATCH($B7,TallyPeopleNames,0)),MAX(IF(TallyPeopleNames=$B7,TallyScore)))</f>
        <v>10</v>
      </c>
      <c r="H7" s="53" cm="1">
        <f t="array" ref="H7">IF($C7=1,INDEX('Friday Spreadsheet CSV'!$K:$K,MATCH($B7,'Friday Spreadsheet CSV'!$B:$B,0)),MIN(IF('Friday Spreadsheet CSV'!$B:$B=$B7,'Friday Spreadsheet CSV'!$K:$K)))</f>
        <v>1</v>
      </c>
      <c r="I7" s="53" t="str" cm="1">
        <f t="array" ref="I7">INDEX('Friday Spreadsheet CSV'!$D:$D,MATCH(1,('Friday Spreadsheet CSV'!$B:$B=$B7)*('Friday Spreadsheet CSV'!$K:$K=H7),0))</f>
        <v>Home Bargain Shuda Berry Sour</v>
      </c>
      <c r="J7" s="57">
        <f t="shared" si="2"/>
        <v>6.5185185185185182</v>
      </c>
      <c r="K7" s="57">
        <f t="shared" si="3"/>
        <v>11</v>
      </c>
      <c r="L7" s="241">
        <f t="shared" si="4"/>
        <v>5</v>
      </c>
      <c r="M7" s="61">
        <f t="shared" si="5"/>
        <v>9.1093117408906882E-2</v>
      </c>
      <c r="O7" s="156"/>
      <c r="P7" s="137" t="str" cm="1">
        <f t="array" ref="P7">IFERROR(INDEX(TallyDrinkNames,SMALL(IF((TallyScore=$W7)*(TallyPeopleNames=$O$3)*(TallyDrinkType=$O$4),ROW(TallyDrinkNames)-ROW('Friday Spreadsheet CSV'!$E$3)+1),COUNTIF($W7:$W$22,$W7))),"")</f>
        <v/>
      </c>
      <c r="Q7" s="137" t="str" cm="1">
        <f t="array" ref="Q7">IFERROR(INDEX(TallyBrands,SMALL(IF((TallyScore=$W7)*(TallyPeopleNames=$O$3)*(TallyDrinkType=$O$4),ROW(TallyDrinkNames)-ROW('Friday Spreadsheet CSV'!$E$3)+1),COUNTIF($W7:$W$22,$W7))),"")</f>
        <v/>
      </c>
      <c r="R7" s="165" t="str" cm="1">
        <f t="array" ref="R7">IFERROR(INDEX(TallyABV,SMALL(IF((TallyScore=$W7)*(TallyPeopleNames=$O$3)*(TallyDrinkType=$O$4),ROW(TallyDrinkNames)-ROW('Friday Spreadsheet CSV'!$E$3)+1),COUNTIF($W7:$W$22,$W7))),"")</f>
        <v/>
      </c>
      <c r="S7" s="137" t="str" cm="1">
        <f t="array" ref="S7">IFERROR(INDEX(TallyMixer1,SMALL(IF((TallyScore=$W7)*(TallyPeopleNames=$O$3)*(TallyDrinkType=$O$4),ROW(TallyDrinkNames)-ROW('Friday Spreadsheet CSV'!$E$3)+1),COUNTIF($W7:$W$22,$W7))),"")</f>
        <v/>
      </c>
      <c r="T7" s="137" t="str" cm="1">
        <f t="array" ref="T7">IFERROR(INDEX(TallyMixer2,SMALL(IF((TallyScore=$W7)*(TallyPeopleNames=$O$3)*(TallyDrinkType=$O$4),ROW(TallyDrinkNames)-ROW('Friday Spreadsheet CSV'!$E$3)+1),COUNTIF($W7:$W$22,$W7))),"")</f>
        <v/>
      </c>
      <c r="U7" s="137" t="str" cm="1">
        <f t="array" ref="U7">IFERROR(INDEX(TallyRatingWord1,SMALL(IF((TallyScore=$W7)*(TallyPeopleNames=$O$3)*(TallyDrinkType=$O$4),ROW(TallyDrinkNames)-ROW('Friday Spreadsheet CSV'!$E$3)+1),COUNTIF($W7:$W$22,$W7))),"")</f>
        <v/>
      </c>
      <c r="V7" s="137" t="str" cm="1">
        <f t="array" ref="V7">IFERROR(INDEX(TallyRatingWord2,SMALL(IF((TallyScore=$W7)*(TallyPeopleNames=$O$3)*(TallyDrinkType=$O$4),ROW(TallyDrinkNames)-ROW('Friday Spreadsheet CSV'!$E$3)+1),COUNTIF($W7:$W$22,$W7))),"")</f>
        <v/>
      </c>
      <c r="W7" s="155" t="str" cm="1">
        <f t="array" ref="W7">IFERROR(LARGE(IF((TallyPeopleNames=$O$3)*(TallyDrinkType=$O$4),TallyScore),ROWS($W$3:$W7)),"")</f>
        <v/>
      </c>
    </row>
    <row r="8" spans="1:26" ht="16" x14ac:dyDescent="0.15">
      <c r="B8" s="52" t="s">
        <v>41</v>
      </c>
      <c r="C8" s="53">
        <f t="shared" si="1"/>
        <v>121</v>
      </c>
      <c r="D8" s="110" cm="1">
        <f t="array" ref="D8">SUM(--(FREQUENCY(IF(TallyPeopleNames=B8,MATCH(TallyDates,TallyDates,0)),ROW(TallyDates)-ROW('Friday Spreadsheet CSV'!$C$3)+1)&gt;0))</f>
        <v>25</v>
      </c>
      <c r="E8" s="54">
        <f t="shared" si="0"/>
        <v>4.84</v>
      </c>
      <c r="F8" s="53" t="str" cm="1">
        <f t="array" ref="F8">IFERROR(IF($E8=1,INDEX(TallyDrinkType,MATCH($B8,TallyPeopleNames,0)),INDEX(TallyDrinkType,MODE(IF(TallyPeopleNames=$B8,MATCH(TallyDrinkType,TallyDrinkType,0))))),"Joint Top Drink")</f>
        <v>Cider</v>
      </c>
      <c r="G8" s="56" cm="1">
        <f t="array" ref="G8">IF($C8=1,INDEX(TallyScore,MATCH($B8,TallyPeopleNames,0)),MAX(IF(TallyPeopleNames=$B8,TallyScore)))</f>
        <v>10</v>
      </c>
      <c r="H8" s="53" cm="1">
        <f t="array" ref="H8">IF($C8=1,INDEX('Friday Spreadsheet CSV'!$K:$K,MATCH($B8,'Friday Spreadsheet CSV'!$B:$B,0)),MIN(IF('Friday Spreadsheet CSV'!$B:$B=$B8,'Friday Spreadsheet CSV'!$K:$K)))</f>
        <v>0</v>
      </c>
      <c r="I8" s="53" t="str" cm="1">
        <f t="array" ref="I8">INDEX('Friday Spreadsheet CSV'!$D:$D,MATCH(1,('Friday Spreadsheet CSV'!$B:$B=$B8)*('Friday Spreadsheet CSV'!$K:$K=H8),0))</f>
        <v>Brew York Rhubarbara Streisand</v>
      </c>
      <c r="J8" s="57">
        <f t="shared" si="2"/>
        <v>5.6735537190082646</v>
      </c>
      <c r="K8" s="57">
        <f t="shared" si="3"/>
        <v>23</v>
      </c>
      <c r="L8" s="241">
        <f t="shared" si="4"/>
        <v>6</v>
      </c>
      <c r="M8" s="61">
        <f t="shared" si="5"/>
        <v>8.1646423751686903E-2</v>
      </c>
      <c r="O8" s="156"/>
      <c r="P8" s="137" t="str" cm="1">
        <f t="array" ref="P8">IFERROR(INDEX(TallyDrinkNames,SMALL(IF((TallyScore=$W8)*(TallyPeopleNames=$O$3)*(TallyDrinkType=$O$4),ROW(TallyDrinkNames)-ROW('Friday Spreadsheet CSV'!$E$3)+1),COUNTIF($W8:$W$22,$W8))),"")</f>
        <v/>
      </c>
      <c r="Q8" s="137" t="str" cm="1">
        <f t="array" ref="Q8">IFERROR(INDEX(TallyBrands,SMALL(IF((TallyScore=$W8)*(TallyPeopleNames=$O$3)*(TallyDrinkType=$O$4),ROW(TallyDrinkNames)-ROW('Friday Spreadsheet CSV'!$E$3)+1),COUNTIF($W8:$W$22,$W8))),"")</f>
        <v/>
      </c>
      <c r="R8" s="165" t="str" cm="1">
        <f t="array" ref="R8">IFERROR(INDEX(TallyABV,SMALL(IF((TallyScore=$W8)*(TallyPeopleNames=$O$3)*(TallyDrinkType=$O$4),ROW(TallyDrinkNames)-ROW('Friday Spreadsheet CSV'!$E$3)+1),COUNTIF($W8:$W$22,$W8))),"")</f>
        <v/>
      </c>
      <c r="S8" s="137" t="str" cm="1">
        <f t="array" ref="S8">IFERROR(INDEX(TallyMixer1,SMALL(IF((TallyScore=$W8)*(TallyPeopleNames=$O$3)*(TallyDrinkType=$O$4),ROW(TallyDrinkNames)-ROW('Friday Spreadsheet CSV'!$E$3)+1),COUNTIF($W8:$W$22,$W8))),"")</f>
        <v/>
      </c>
      <c r="T8" s="137" t="str" cm="1">
        <f t="array" ref="T8">IFERROR(INDEX(TallyMixer2,SMALL(IF((TallyScore=$W8)*(TallyPeopleNames=$O$3)*(TallyDrinkType=$O$4),ROW(TallyDrinkNames)-ROW('Friday Spreadsheet CSV'!$E$3)+1),COUNTIF($W8:$W$22,$W8))),"")</f>
        <v/>
      </c>
      <c r="U8" s="137" t="str" cm="1">
        <f t="array" ref="U8">IFERROR(INDEX(TallyRatingWord1,SMALL(IF((TallyScore=$W8)*(TallyPeopleNames=$O$3)*(TallyDrinkType=$O$4),ROW(TallyDrinkNames)-ROW('Friday Spreadsheet CSV'!$E$3)+1),COUNTIF($W8:$W$22,$W8))),"")</f>
        <v/>
      </c>
      <c r="V8" s="137" t="str" cm="1">
        <f t="array" ref="V8">IFERROR(INDEX(TallyRatingWord2,SMALL(IF((TallyScore=$W8)*(TallyPeopleNames=$O$3)*(TallyDrinkType=$O$4),ROW(TallyDrinkNames)-ROW('Friday Spreadsheet CSV'!$E$3)+1),COUNTIF($W8:$W$22,$W8))),"")</f>
        <v/>
      </c>
      <c r="W8" s="155" t="str" cm="1">
        <f t="array" ref="W8">IFERROR(LARGE(IF((TallyPeopleNames=$O$3)*(TallyDrinkType=$O$4),TallyScore),ROWS($W$3:$W8)),"")</f>
        <v/>
      </c>
    </row>
    <row r="9" spans="1:26" ht="16" x14ac:dyDescent="0.15">
      <c r="B9" s="52" t="s">
        <v>45</v>
      </c>
      <c r="C9" s="53">
        <f t="shared" si="1"/>
        <v>138</v>
      </c>
      <c r="D9" s="110" cm="1">
        <f t="array" ref="D9">SUM(--(FREQUENCY(IF(TallyPeopleNames=B9,MATCH(TallyDates,TallyDates,0)),ROW(TallyDates)-ROW('Friday Spreadsheet CSV'!$C$3)+1)&gt;0))</f>
        <v>18</v>
      </c>
      <c r="E9" s="54">
        <f t="shared" si="0"/>
        <v>7.666666666666667</v>
      </c>
      <c r="F9" s="53" t="str" cm="1">
        <f t="array" ref="F9">IFERROR(IF($E9=1,INDEX(TallyDrinkType,MATCH($B9,TallyPeopleNames,0)),INDEX(TallyDrinkType,MODE(IF(TallyPeopleNames=$B9,MATCH(TallyDrinkType,TallyDrinkType,0))))),"Joint Top Drink")</f>
        <v>Beer</v>
      </c>
      <c r="G9" s="56" cm="1">
        <f t="array" ref="G9">IF($C9=1,INDEX(TallyScore,MATCH($B9,TallyPeopleNames,0)),MAX(IF(TallyPeopleNames=$B9,TallyScore)))</f>
        <v>10</v>
      </c>
      <c r="H9" s="53" cm="1">
        <f t="array" ref="H9">IF($C9=1,INDEX('Friday Spreadsheet CSV'!$K:$K,MATCH($B9,'Friday Spreadsheet CSV'!$B:$B,0)),MIN(IF('Friday Spreadsheet CSV'!$B:$B=$B9,'Friday Spreadsheet CSV'!$K:$K)))</f>
        <v>1</v>
      </c>
      <c r="I9" s="53" t="str" cm="1">
        <f t="array" ref="I9">INDEX('Friday Spreadsheet CSV'!$D:$D,MATCH(1,('Friday Spreadsheet CSV'!$B:$B=$B9)*('Friday Spreadsheet CSV'!$K:$K=H9),0))</f>
        <v>Gordon's Gin</v>
      </c>
      <c r="J9" s="57">
        <f t="shared" si="2"/>
        <v>6.2789855072463769</v>
      </c>
      <c r="K9" s="57">
        <f t="shared" si="3"/>
        <v>14</v>
      </c>
      <c r="L9" s="241">
        <f t="shared" si="4"/>
        <v>4</v>
      </c>
      <c r="M9" s="61">
        <f t="shared" si="5"/>
        <v>9.3117408906882596E-2</v>
      </c>
      <c r="O9" s="156"/>
      <c r="P9" s="137" t="str" cm="1">
        <f t="array" ref="P9">IFERROR(INDEX(TallyDrinkNames,SMALL(IF((TallyScore=$W9)*(TallyPeopleNames=$O$3)*(TallyDrinkType=$O$4),ROW(TallyDrinkNames)-ROW('Friday Spreadsheet CSV'!$E$3)+1),COUNTIF($W9:$W$22,$W9))),"")</f>
        <v/>
      </c>
      <c r="Q9" s="137" t="str" cm="1">
        <f t="array" ref="Q9">IFERROR(INDEX(TallyBrands,SMALL(IF((TallyScore=$W9)*(TallyPeopleNames=$O$3)*(TallyDrinkType=$O$4),ROW(TallyDrinkNames)-ROW('Friday Spreadsheet CSV'!$E$3)+1),COUNTIF($W9:$W$22,$W9))),"")</f>
        <v/>
      </c>
      <c r="R9" s="165" t="str" cm="1">
        <f t="array" ref="R9">IFERROR(INDEX(TallyABV,SMALL(IF((TallyScore=$W9)*(TallyPeopleNames=$O$3)*(TallyDrinkType=$O$4),ROW(TallyDrinkNames)-ROW('Friday Spreadsheet CSV'!$E$3)+1),COUNTIF($W9:$W$22,$W9))),"")</f>
        <v/>
      </c>
      <c r="S9" s="137" t="str" cm="1">
        <f t="array" ref="S9">IFERROR(INDEX(TallyMixer1,SMALL(IF((TallyScore=$W9)*(TallyPeopleNames=$O$3)*(TallyDrinkType=$O$4),ROW(TallyDrinkNames)-ROW('Friday Spreadsheet CSV'!$E$3)+1),COUNTIF($W9:$W$22,$W9))),"")</f>
        <v/>
      </c>
      <c r="T9" s="137" t="str" cm="1">
        <f t="array" ref="T9">IFERROR(INDEX(TallyMixer2,SMALL(IF((TallyScore=$W9)*(TallyPeopleNames=$O$3)*(TallyDrinkType=$O$4),ROW(TallyDrinkNames)-ROW('Friday Spreadsheet CSV'!$E$3)+1),COUNTIF($W9:$W$22,$W9))),"")</f>
        <v/>
      </c>
      <c r="U9" s="137" t="str" cm="1">
        <f t="array" ref="U9">IFERROR(INDEX(TallyRatingWord1,SMALL(IF((TallyScore=$W9)*(TallyPeopleNames=$O$3)*(TallyDrinkType=$O$4),ROW(TallyDrinkNames)-ROW('Friday Spreadsheet CSV'!$E$3)+1),COUNTIF($W9:$W$22,$W9))),"")</f>
        <v/>
      </c>
      <c r="V9" s="137" t="str" cm="1">
        <f t="array" ref="V9">IFERROR(INDEX(TallyRatingWord2,SMALL(IF((TallyScore=$W9)*(TallyPeopleNames=$O$3)*(TallyDrinkType=$O$4),ROW(TallyDrinkNames)-ROW('Friday Spreadsheet CSV'!$E$3)+1),COUNTIF($W9:$W$22,$W9))),"")</f>
        <v/>
      </c>
      <c r="W9" s="155" t="str" cm="1">
        <f t="array" ref="W9">IFERROR(LARGE(IF((TallyPeopleNames=$O$3)*(TallyDrinkType=$O$4),TallyScore),ROWS($W$3:$W9)),"")</f>
        <v/>
      </c>
    </row>
    <row r="10" spans="1:26" ht="16" x14ac:dyDescent="0.15">
      <c r="B10" s="52" t="s">
        <v>50</v>
      </c>
      <c r="C10" s="53">
        <f t="shared" si="1"/>
        <v>11</v>
      </c>
      <c r="D10" s="110" cm="1">
        <f t="array" ref="D10">SUM(--(FREQUENCY(IF(TallyPeopleNames=B10,MATCH(TallyDates,TallyDates,0)),ROW(TallyDates)-ROW('Friday Spreadsheet CSV'!$C$3)+1)&gt;0))</f>
        <v>6</v>
      </c>
      <c r="E10" s="54">
        <f t="shared" si="0"/>
        <v>1.8333333333333333</v>
      </c>
      <c r="F10" s="53" t="str" cm="1">
        <f t="array" ref="F10">IFERROR(IF($E10=1,INDEX(TallyDrinkType,MATCH($B10,TallyPeopleNames,0)),INDEX(TallyDrinkType,MODE(IF(TallyPeopleNames=$B10,MATCH(TallyDrinkType,TallyDrinkType,0))))),"Joint Top Drink")</f>
        <v>Gin</v>
      </c>
      <c r="G10" s="56" cm="1">
        <f t="array" ref="G10">IF($C10=1,INDEX(TallyScore,MATCH($B10,TallyPeopleNames,0)),MAX(IF(TallyPeopleNames=$B10,TallyScore)))</f>
        <v>10</v>
      </c>
      <c r="H10" s="53" cm="1">
        <f t="array" ref="H10">IF($C10=1,INDEX('Friday Spreadsheet CSV'!$K:$K,MATCH($B10,'Friday Spreadsheet CSV'!$B:$B,0)),MIN(IF('Friday Spreadsheet CSV'!$B:$B=$B10,'Friday Spreadsheet CSV'!$K:$K)))</f>
        <v>2</v>
      </c>
      <c r="I10" s="53" t="str" cm="1">
        <f t="array" ref="I10">INDEX('Friday Spreadsheet CSV'!$D:$D,MATCH(1,('Friday Spreadsheet CSV'!$B:$B=$B10)*('Friday Spreadsheet CSV'!$K:$K=H10),0))</f>
        <v>Red Leg Spiced Rum</v>
      </c>
      <c r="J10" s="57">
        <f t="shared" si="2"/>
        <v>7.0909090909090908</v>
      </c>
      <c r="K10" s="57">
        <f t="shared" si="3"/>
        <v>9</v>
      </c>
      <c r="L10" s="241">
        <f t="shared" si="4"/>
        <v>17</v>
      </c>
      <c r="M10" s="61">
        <f t="shared" si="5"/>
        <v>7.4224021592442643E-3</v>
      </c>
      <c r="O10" s="156"/>
      <c r="P10" s="137" t="str" cm="1">
        <f t="array" ref="P10">IFERROR(INDEX(TallyDrinkNames,SMALL(IF((TallyScore=$W10)*(TallyPeopleNames=$O$3)*(TallyDrinkType=$O$4),ROW(TallyDrinkNames)-ROW('Friday Spreadsheet CSV'!$E$3)+1),COUNTIF($W10:$W$22,$W10))),"")</f>
        <v/>
      </c>
      <c r="Q10" s="137" t="str" cm="1">
        <f t="array" ref="Q10">IFERROR(INDEX(TallyBrands,SMALL(IF((TallyScore=$W10)*(TallyPeopleNames=$O$3)*(TallyDrinkType=$O$4),ROW(TallyDrinkNames)-ROW('Friday Spreadsheet CSV'!$E$3)+1),COUNTIF($W10:$W$22,$W10))),"")</f>
        <v/>
      </c>
      <c r="R10" s="165" t="str" cm="1">
        <f t="array" ref="R10">IFERROR(INDEX(TallyABV,SMALL(IF((TallyScore=$W10)*(TallyPeopleNames=$O$3)*(TallyDrinkType=$O$4),ROW(TallyDrinkNames)-ROW('Friday Spreadsheet CSV'!$E$3)+1),COUNTIF($W10:$W$22,$W10))),"")</f>
        <v/>
      </c>
      <c r="S10" s="137" t="str" cm="1">
        <f t="array" ref="S10">IFERROR(INDEX(TallyMixer1,SMALL(IF((TallyScore=$W10)*(TallyPeopleNames=$O$3)*(TallyDrinkType=$O$4),ROW(TallyDrinkNames)-ROW('Friday Spreadsheet CSV'!$E$3)+1),COUNTIF($W10:$W$22,$W10))),"")</f>
        <v/>
      </c>
      <c r="T10" s="137" t="str" cm="1">
        <f t="array" ref="T10">IFERROR(INDEX(TallyMixer2,SMALL(IF((TallyScore=$W10)*(TallyPeopleNames=$O$3)*(TallyDrinkType=$O$4),ROW(TallyDrinkNames)-ROW('Friday Spreadsheet CSV'!$E$3)+1),COUNTIF($W10:$W$22,$W10))),"")</f>
        <v/>
      </c>
      <c r="U10" s="137" t="str" cm="1">
        <f t="array" ref="U10">IFERROR(INDEX(TallyRatingWord1,SMALL(IF((TallyScore=$W10)*(TallyPeopleNames=$O$3)*(TallyDrinkType=$O$4),ROW(TallyDrinkNames)-ROW('Friday Spreadsheet CSV'!$E$3)+1),COUNTIF($W10:$W$22,$W10))),"")</f>
        <v/>
      </c>
      <c r="V10" s="137" t="str" cm="1">
        <f t="array" ref="V10">IFERROR(INDEX(TallyRatingWord2,SMALL(IF((TallyScore=$W10)*(TallyPeopleNames=$O$3)*(TallyDrinkType=$O$4),ROW(TallyDrinkNames)-ROW('Friday Spreadsheet CSV'!$E$3)+1),COUNTIF($W10:$W$22,$W10))),"")</f>
        <v/>
      </c>
      <c r="W10" s="155" t="str" cm="1">
        <f t="array" ref="W10">IFERROR(LARGE(IF((TallyPeopleNames=$O$3)*(TallyDrinkType=$O$4),TallyScore),ROWS($W$3:$W10)),"")</f>
        <v/>
      </c>
    </row>
    <row r="11" spans="1:26" ht="16" x14ac:dyDescent="0.15">
      <c r="B11" s="21" t="s">
        <v>189</v>
      </c>
      <c r="C11" s="53">
        <f t="shared" si="1"/>
        <v>42</v>
      </c>
      <c r="D11" s="110" cm="1">
        <f t="array" ref="D11">SUM(--(FREQUENCY(IF(TallyPeopleNames=B11,MATCH(TallyDates,TallyDates,0)),ROW(TallyDates)-ROW('Friday Spreadsheet CSV'!$C$3)+1)&gt;0))</f>
        <v>14</v>
      </c>
      <c r="E11" s="54">
        <f t="shared" si="0"/>
        <v>3</v>
      </c>
      <c r="F11" s="53" t="str" cm="1">
        <f t="array" ref="F11">IFERROR(IF($E11=1,INDEX(TallyDrinkType,MATCH($B11,TallyPeopleNames,0)),INDEX(TallyDrinkType,MODE(IF(TallyPeopleNames=$B11,MATCH(TallyDrinkType,TallyDrinkType,0))))),"Joint Top Drink")</f>
        <v>Wine</v>
      </c>
      <c r="G11" s="56" cm="1">
        <f t="array" ref="G11">IF($C11=1,INDEX(TallyScore,MATCH($B11,TallyPeopleNames,0)),MAX(IF(TallyPeopleNames=$B11,TallyScore)))</f>
        <v>10</v>
      </c>
      <c r="H11" s="53" cm="1">
        <f t="array" ref="H11">IF($C11=1,INDEX('Friday Spreadsheet CSV'!$K:$K,MATCH($B11,'Friday Spreadsheet CSV'!$B:$B,0)),MIN(IF('Friday Spreadsheet CSV'!$B:$B=$B11,'Friday Spreadsheet CSV'!$K:$K)))</f>
        <v>2</v>
      </c>
      <c r="I11" s="53" t="str" cm="1">
        <f t="array" ref="I11">INDEX('Friday Spreadsheet CSV'!$D:$D,MATCH(1,('Friday Spreadsheet CSV'!$B:$B=$B11)*('Friday Spreadsheet CSV'!$K:$K=H11),0))</f>
        <v>Italian Plaza Centro Prosecco</v>
      </c>
      <c r="J11" s="57">
        <f t="shared" si="2"/>
        <v>6.166666666666667</v>
      </c>
      <c r="K11" s="57">
        <f t="shared" si="3"/>
        <v>16</v>
      </c>
      <c r="L11" s="241">
        <f t="shared" si="4"/>
        <v>11</v>
      </c>
      <c r="M11" s="61">
        <f t="shared" si="5"/>
        <v>2.8340080971659919E-2</v>
      </c>
      <c r="O11" s="156"/>
      <c r="P11" s="137" t="str" cm="1">
        <f t="array" ref="P11">IFERROR(INDEX(TallyDrinkNames,SMALL(IF((TallyScore=$W11)*(TallyPeopleNames=$O$3)*(TallyDrinkType=$O$4),ROW(TallyDrinkNames)-ROW('Friday Spreadsheet CSV'!$E$3)+1),COUNTIF($W11:$W$22,$W11))),"")</f>
        <v/>
      </c>
      <c r="Q11" s="137" t="str" cm="1">
        <f t="array" ref="Q11">IFERROR(INDEX(TallyBrands,SMALL(IF((TallyScore=$W11)*(TallyPeopleNames=$O$3)*(TallyDrinkType=$O$4),ROW(TallyDrinkNames)-ROW('Friday Spreadsheet CSV'!$E$3)+1),COUNTIF($W11:$W$22,$W11))),"")</f>
        <v/>
      </c>
      <c r="R11" s="165" t="str" cm="1">
        <f t="array" ref="R11">IFERROR(INDEX(TallyABV,SMALL(IF((TallyScore=$W11)*(TallyPeopleNames=$O$3)*(TallyDrinkType=$O$4),ROW(TallyDrinkNames)-ROW('Friday Spreadsheet CSV'!$E$3)+1),COUNTIF($W11:$W$22,$W11))),"")</f>
        <v/>
      </c>
      <c r="S11" s="137" t="str" cm="1">
        <f t="array" ref="S11">IFERROR(INDEX(TallyMixer1,SMALL(IF((TallyScore=$W11)*(TallyPeopleNames=$O$3)*(TallyDrinkType=$O$4),ROW(TallyDrinkNames)-ROW('Friday Spreadsheet CSV'!$E$3)+1),COUNTIF($W11:$W$22,$W11))),"")</f>
        <v/>
      </c>
      <c r="T11" s="137" t="str" cm="1">
        <f t="array" ref="T11">IFERROR(INDEX(TallyMixer2,SMALL(IF((TallyScore=$W11)*(TallyPeopleNames=$O$3)*(TallyDrinkType=$O$4),ROW(TallyDrinkNames)-ROW('Friday Spreadsheet CSV'!$E$3)+1),COUNTIF($W11:$W$22,$W11))),"")</f>
        <v/>
      </c>
      <c r="U11" s="137" t="str" cm="1">
        <f t="array" ref="U11">IFERROR(INDEX(TallyRatingWord1,SMALL(IF((TallyScore=$W11)*(TallyPeopleNames=$O$3)*(TallyDrinkType=$O$4),ROW(TallyDrinkNames)-ROW('Friday Spreadsheet CSV'!$E$3)+1),COUNTIF($W11:$W$22,$W11))),"")</f>
        <v/>
      </c>
      <c r="V11" s="137" t="str" cm="1">
        <f t="array" ref="V11">IFERROR(INDEX(TallyRatingWord2,SMALL(IF((TallyScore=$W11)*(TallyPeopleNames=$O$3)*(TallyDrinkType=$O$4),ROW(TallyDrinkNames)-ROW('Friday Spreadsheet CSV'!$E$3)+1),COUNTIF($W11:$W$22,$W11))),"")</f>
        <v/>
      </c>
      <c r="W11" s="155" t="str" cm="1">
        <f t="array" ref="W11">IFERROR(LARGE(IF((TallyPeopleNames=$O$3)*(TallyDrinkType=$O$4),TallyScore),ROWS($W$3:$W11)),"")</f>
        <v/>
      </c>
    </row>
    <row r="12" spans="1:26" ht="16" x14ac:dyDescent="0.15">
      <c r="B12" s="52" t="s">
        <v>61</v>
      </c>
      <c r="C12" s="53">
        <f t="shared" si="1"/>
        <v>108</v>
      </c>
      <c r="D12" s="110" cm="1">
        <f t="array" ref="D12">SUM(--(FREQUENCY(IF(TallyPeopleNames=B12,MATCH(TallyDates,TallyDates,0)),ROW(TallyDates)-ROW('Friday Spreadsheet CSV'!$C$3)+1)&gt;0))</f>
        <v>19</v>
      </c>
      <c r="E12" s="54">
        <f t="shared" si="0"/>
        <v>5.6842105263157894</v>
      </c>
      <c r="F12" s="53" t="str" cm="1">
        <f t="array" ref="F12">IFERROR(IF($E12=1,INDEX(TallyDrinkType,MATCH($B12,TallyPeopleNames,0)),INDEX(TallyDrinkType,MODE(IF(TallyPeopleNames=$B12,MATCH(TallyDrinkType,TallyDrinkType,0))))),"Joint Top Drink")</f>
        <v>Beer</v>
      </c>
      <c r="G12" s="56" cm="1">
        <f t="array" ref="G12">IF($C12=1,INDEX(TallyScore,MATCH($B12,TallyPeopleNames,0)),MAX(IF(TallyPeopleNames=$B12,TallyScore)))</f>
        <v>9</v>
      </c>
      <c r="H12" s="53" cm="1">
        <f t="array" ref="H12">IF($C12=1,INDEX('Friday Spreadsheet CSV'!$K:$K,MATCH($B12,'Friday Spreadsheet CSV'!$B:$B,0)),MIN(IF('Friday Spreadsheet CSV'!$B:$B=$B12,'Friday Spreadsheet CSV'!$K:$K)))</f>
        <v>0.5</v>
      </c>
      <c r="I12" s="53" t="str" cm="1">
        <f t="array" ref="I12">INDEX('Friday Spreadsheet CSV'!$D:$D,MATCH(1,('Friday Spreadsheet CSV'!$B:$B=$B12)*('Friday Spreadsheet CSV'!$K:$K=H12),0))</f>
        <v>WKD Pink Gin</v>
      </c>
      <c r="J12" s="57">
        <f t="shared" si="2"/>
        <v>5.5787037037037033</v>
      </c>
      <c r="K12" s="57">
        <f t="shared" si="3"/>
        <v>25</v>
      </c>
      <c r="L12" s="241">
        <f t="shared" si="4"/>
        <v>9</v>
      </c>
      <c r="M12" s="61">
        <f t="shared" si="5"/>
        <v>7.28744939271255E-2</v>
      </c>
      <c r="O12" s="156"/>
      <c r="P12" s="137" t="str" cm="1">
        <f t="array" ref="P12">IFERROR(INDEX(TallyDrinkNames,SMALL(IF((TallyScore=$W12)*(TallyPeopleNames=$O$3)*(TallyDrinkType=$O$4),ROW(TallyDrinkNames)-ROW('Friday Spreadsheet CSV'!$E$3)+1),COUNTIF($W12:$W$22,$W12))),"")</f>
        <v/>
      </c>
      <c r="Q12" s="137" t="str" cm="1">
        <f t="array" ref="Q12">IFERROR(INDEX(TallyBrands,SMALL(IF((TallyScore=$W12)*(TallyPeopleNames=$O$3)*(TallyDrinkType=$O$4),ROW(TallyDrinkNames)-ROW('Friday Spreadsheet CSV'!$E$3)+1),COUNTIF($W12:$W$22,$W12))),"")</f>
        <v/>
      </c>
      <c r="R12" s="165" t="str" cm="1">
        <f t="array" ref="R12">IFERROR(INDEX(TallyABV,SMALL(IF((TallyScore=$W12)*(TallyPeopleNames=$O$3)*(TallyDrinkType=$O$4),ROW(TallyDrinkNames)-ROW('Friday Spreadsheet CSV'!$E$3)+1),COUNTIF($W12:$W$22,$W12))),"")</f>
        <v/>
      </c>
      <c r="S12" s="137" t="str" cm="1">
        <f t="array" ref="S12">IFERROR(INDEX(TallyMixer1,SMALL(IF((TallyScore=$W12)*(TallyPeopleNames=$O$3)*(TallyDrinkType=$O$4),ROW(TallyDrinkNames)-ROW('Friday Spreadsheet CSV'!$E$3)+1),COUNTIF($W12:$W$22,$W12))),"")</f>
        <v/>
      </c>
      <c r="T12" s="137" t="str" cm="1">
        <f t="array" ref="T12">IFERROR(INDEX(TallyMixer2,SMALL(IF((TallyScore=$W12)*(TallyPeopleNames=$O$3)*(TallyDrinkType=$O$4),ROW(TallyDrinkNames)-ROW('Friday Spreadsheet CSV'!$E$3)+1),COUNTIF($W12:$W$22,$W12))),"")</f>
        <v/>
      </c>
      <c r="U12" s="137" t="str" cm="1">
        <f t="array" ref="U12">IFERROR(INDEX(TallyRatingWord1,SMALL(IF((TallyScore=$W12)*(TallyPeopleNames=$O$3)*(TallyDrinkType=$O$4),ROW(TallyDrinkNames)-ROW('Friday Spreadsheet CSV'!$E$3)+1),COUNTIF($W12:$W$22,$W12))),"")</f>
        <v/>
      </c>
      <c r="V12" s="137" t="str" cm="1">
        <f t="array" ref="V12">IFERROR(INDEX(TallyRatingWord2,SMALL(IF((TallyScore=$W12)*(TallyPeopleNames=$O$3)*(TallyDrinkType=$O$4),ROW(TallyDrinkNames)-ROW('Friday Spreadsheet CSV'!$E$3)+1),COUNTIF($W12:$W$22,$W12))),"")</f>
        <v/>
      </c>
      <c r="W12" s="155" t="str" cm="1">
        <f t="array" ref="W12">IFERROR(LARGE(IF((TallyPeopleNames=$O$3)*(TallyDrinkType=$O$4),TallyScore),ROWS($W$3:$W12)),"")</f>
        <v/>
      </c>
    </row>
    <row r="13" spans="1:26" ht="16" x14ac:dyDescent="0.15">
      <c r="B13" s="21" t="s">
        <v>179</v>
      </c>
      <c r="C13" s="53">
        <f t="shared" si="1"/>
        <v>36</v>
      </c>
      <c r="D13" s="110" cm="1">
        <f t="array" ref="D13">SUM(--(FREQUENCY(IF(TallyPeopleNames=B13,MATCH(TallyDates,TallyDates,0)),ROW(TallyDates)-ROW('Friday Spreadsheet CSV'!$C$3)+1)&gt;0))</f>
        <v>9</v>
      </c>
      <c r="E13" s="54">
        <f t="shared" si="0"/>
        <v>4</v>
      </c>
      <c r="F13" s="53" t="str" cm="1">
        <f t="array" ref="F13">IFERROR(IF($E13=1,INDEX(TallyDrinkType,MATCH($B13,TallyPeopleNames,0)),INDEX(TallyDrinkType,MODE(IF(TallyPeopleNames=$B13,MATCH(TallyDrinkType,TallyDrinkType,0))))),"Joint Top Drink")</f>
        <v>Beer</v>
      </c>
      <c r="G13" s="56" cm="1">
        <f t="array" ref="G13">IF($C13=1,INDEX(TallyScore,MATCH($B13,TallyPeopleNames,0)),MAX(IF(TallyPeopleNames=$B13,TallyScore)))</f>
        <v>8</v>
      </c>
      <c r="H13" s="53" cm="1">
        <f t="array" ref="H13">IF($C13=1,INDEX('Friday Spreadsheet CSV'!$K:$K,MATCH($B13,'Friday Spreadsheet CSV'!$B:$B,0)),MIN(IF('Friday Spreadsheet CSV'!$B:$B=$B13,'Friday Spreadsheet CSV'!$K:$K)))</f>
        <v>3</v>
      </c>
      <c r="I13" s="53" t="str" cm="1">
        <f t="array" ref="I13">INDEX('Friday Spreadsheet CSV'!$D:$D,MATCH(1,('Friday Spreadsheet CSV'!$B:$B=$B13)*('Friday Spreadsheet CSV'!$K:$K=H13),0))</f>
        <v>Brewdog Hazy Jane</v>
      </c>
      <c r="J13" s="57">
        <f t="shared" si="2"/>
        <v>6.125</v>
      </c>
      <c r="K13" s="57">
        <f t="shared" si="3"/>
        <v>17</v>
      </c>
      <c r="L13" s="241">
        <f t="shared" si="4"/>
        <v>12</v>
      </c>
      <c r="M13" s="61">
        <f t="shared" si="5"/>
        <v>2.4291497975708502E-2</v>
      </c>
      <c r="O13" s="156"/>
      <c r="P13" s="137" t="str" cm="1">
        <f t="array" ref="P13">IFERROR(INDEX(TallyDrinkNames,SMALL(IF((TallyScore=$W13)*(TallyPeopleNames=$O$3)*(TallyDrinkType=$O$4),ROW(TallyDrinkNames)-ROW('Friday Spreadsheet CSV'!$E$3)+1),COUNTIF($W13:$W$22,$W13))),"")</f>
        <v/>
      </c>
      <c r="Q13" s="137" t="str" cm="1">
        <f t="array" ref="Q13">IFERROR(INDEX(TallyBrands,SMALL(IF((TallyScore=$W13)*(TallyPeopleNames=$O$3)*(TallyDrinkType=$O$4),ROW(TallyDrinkNames)-ROW('Friday Spreadsheet CSV'!$E$3)+1),COUNTIF($W13:$W$22,$W13))),"")</f>
        <v/>
      </c>
      <c r="R13" s="165" t="str" cm="1">
        <f t="array" ref="R13">IFERROR(INDEX(TallyABV,SMALL(IF((TallyScore=$W13)*(TallyPeopleNames=$O$3)*(TallyDrinkType=$O$4),ROW(TallyDrinkNames)-ROW('Friday Spreadsheet CSV'!$E$3)+1),COUNTIF($W13:$W$22,$W13))),"")</f>
        <v/>
      </c>
      <c r="S13" s="137" t="str" cm="1">
        <f t="array" ref="S13">IFERROR(INDEX(TallyMixer1,SMALL(IF((TallyScore=$W13)*(TallyPeopleNames=$O$3)*(TallyDrinkType=$O$4),ROW(TallyDrinkNames)-ROW('Friday Spreadsheet CSV'!$E$3)+1),COUNTIF($W13:$W$22,$W13))),"")</f>
        <v/>
      </c>
      <c r="T13" s="137" t="str" cm="1">
        <f t="array" ref="T13">IFERROR(INDEX(TallyMixer2,SMALL(IF((TallyScore=$W13)*(TallyPeopleNames=$O$3)*(TallyDrinkType=$O$4),ROW(TallyDrinkNames)-ROW('Friday Spreadsheet CSV'!$E$3)+1),COUNTIF($W13:$W$22,$W13))),"")</f>
        <v/>
      </c>
      <c r="U13" s="137" t="str" cm="1">
        <f t="array" ref="U13">IFERROR(INDEX(TallyRatingWord1,SMALL(IF((TallyScore=$W13)*(TallyPeopleNames=$O$3)*(TallyDrinkType=$O$4),ROW(TallyDrinkNames)-ROW('Friday Spreadsheet CSV'!$E$3)+1),COUNTIF($W13:$W$22,$W13))),"")</f>
        <v/>
      </c>
      <c r="V13" s="137" t="str" cm="1">
        <f t="array" ref="V13">IFERROR(INDEX(TallyRatingWord2,SMALL(IF((TallyScore=$W13)*(TallyPeopleNames=$O$3)*(TallyDrinkType=$O$4),ROW(TallyDrinkNames)-ROW('Friday Spreadsheet CSV'!$E$3)+1),COUNTIF($W13:$W$22,$W13))),"")</f>
        <v/>
      </c>
      <c r="W13" s="155" t="str" cm="1">
        <f t="array" ref="W13">IFERROR(LARGE(IF((TallyPeopleNames=$O$3)*(TallyDrinkType=$O$4),TallyScore),ROWS($W$3:$W13)),"")</f>
        <v/>
      </c>
    </row>
    <row r="14" spans="1:26" ht="16" x14ac:dyDescent="0.15">
      <c r="B14" s="52" t="s">
        <v>67</v>
      </c>
      <c r="C14" s="53">
        <f t="shared" si="1"/>
        <v>9</v>
      </c>
      <c r="D14" s="110" cm="1">
        <f t="array" ref="D14">SUM(--(FREQUENCY(IF(TallyPeopleNames=B14,MATCH(TallyDates,TallyDates,0)),ROW(TallyDates)-ROW('Friday Spreadsheet CSV'!$C$3)+1)&gt;0))</f>
        <v>4</v>
      </c>
      <c r="E14" s="54">
        <f t="shared" si="0"/>
        <v>2.25</v>
      </c>
      <c r="F14" s="53" t="str" cm="1">
        <f t="array" ref="F14">IFERROR(IF($E14=1,INDEX(TallyDrinkType,MATCH($B14,TallyPeopleNames,0)),INDEX(TallyDrinkType,MODE(IF(TallyPeopleNames=$B14,MATCH(TallyDrinkType,TallyDrinkType,0))))),"Joint Top Drink")</f>
        <v>Beer</v>
      </c>
      <c r="G14" s="56" cm="1">
        <f t="array" ref="G14">IF($C14=1,INDEX(TallyScore,MATCH($B14,TallyPeopleNames,0)),MAX(IF(TallyPeopleNames=$B14,TallyScore)))</f>
        <v>7.5</v>
      </c>
      <c r="H14" s="53" cm="1">
        <f t="array" ref="H14">IF($C14=1,INDEX('Friday Spreadsheet CSV'!$K:$K,MATCH($B14,'Friday Spreadsheet CSV'!$B:$B,0)),MIN(IF('Friday Spreadsheet CSV'!$B:$B=$B14,'Friday Spreadsheet CSV'!$K:$K)))</f>
        <v>3</v>
      </c>
      <c r="I14" s="53" t="str" cm="1">
        <f t="array" ref="I14">INDEX('Friday Spreadsheet CSV'!$D:$D,MATCH(1,('Friday Spreadsheet CSV'!$B:$B=$B14)*('Friday Spreadsheet CSV'!$K:$K=H14),0))</f>
        <v>Chateau Ste Michelle Riesling</v>
      </c>
      <c r="J14" s="57">
        <f t="shared" si="2"/>
        <v>6.3888888888888893</v>
      </c>
      <c r="K14" s="57">
        <f t="shared" si="3"/>
        <v>13</v>
      </c>
      <c r="L14" s="241">
        <f t="shared" si="4"/>
        <v>18</v>
      </c>
      <c r="M14" s="61">
        <f t="shared" si="5"/>
        <v>6.0728744939271256E-3</v>
      </c>
      <c r="O14" s="156"/>
      <c r="P14" s="137" t="str" cm="1">
        <f t="array" ref="P14">IFERROR(INDEX(TallyDrinkNames,SMALL(IF((TallyScore=$W14)*(TallyPeopleNames=$O$3)*(TallyDrinkType=$O$4),ROW(TallyDrinkNames)-ROW('Friday Spreadsheet CSV'!$E$3)+1),COUNTIF($W14:$W$22,$W14))),"")</f>
        <v/>
      </c>
      <c r="Q14" s="137" t="str" cm="1">
        <f t="array" ref="Q14">IFERROR(INDEX(TallyBrands,SMALL(IF((TallyScore=$W14)*(TallyPeopleNames=$O$3)*(TallyDrinkType=$O$4),ROW(TallyDrinkNames)-ROW('Friday Spreadsheet CSV'!$E$3)+1),COUNTIF($W14:$W$22,$W14))),"")</f>
        <v/>
      </c>
      <c r="R14" s="165" t="str" cm="1">
        <f t="array" ref="R14">IFERROR(INDEX(TallyABV,SMALL(IF((TallyScore=$W14)*(TallyPeopleNames=$O$3)*(TallyDrinkType=$O$4),ROW(TallyDrinkNames)-ROW('Friday Spreadsheet CSV'!$E$3)+1),COUNTIF($W14:$W$22,$W14))),"")</f>
        <v/>
      </c>
      <c r="S14" s="137" t="str" cm="1">
        <f t="array" ref="S14">IFERROR(INDEX(TallyMixer1,SMALL(IF((TallyScore=$W14)*(TallyPeopleNames=$O$3)*(TallyDrinkType=$O$4),ROW(TallyDrinkNames)-ROW('Friday Spreadsheet CSV'!$E$3)+1),COUNTIF($W14:$W$22,$W14))),"")</f>
        <v/>
      </c>
      <c r="T14" s="137" t="str" cm="1">
        <f t="array" ref="T14">IFERROR(INDEX(TallyMixer2,SMALL(IF((TallyScore=$W14)*(TallyPeopleNames=$O$3)*(TallyDrinkType=$O$4),ROW(TallyDrinkNames)-ROW('Friday Spreadsheet CSV'!$E$3)+1),COUNTIF($W14:$W$22,$W14))),"")</f>
        <v/>
      </c>
      <c r="U14" s="137" t="str" cm="1">
        <f t="array" ref="U14">IFERROR(INDEX(TallyRatingWord1,SMALL(IF((TallyScore=$W14)*(TallyPeopleNames=$O$3)*(TallyDrinkType=$O$4),ROW(TallyDrinkNames)-ROW('Friday Spreadsheet CSV'!$E$3)+1),COUNTIF($W14:$W$22,$W14))),"")</f>
        <v/>
      </c>
      <c r="V14" s="137" t="str" cm="1">
        <f t="array" ref="V14">IFERROR(INDEX(TallyRatingWord2,SMALL(IF((TallyScore=$W14)*(TallyPeopleNames=$O$3)*(TallyDrinkType=$O$4),ROW(TallyDrinkNames)-ROW('Friday Spreadsheet CSV'!$E$3)+1),COUNTIF($W14:$W$22,$W14))),"")</f>
        <v/>
      </c>
      <c r="W14" s="155" t="str" cm="1">
        <f t="array" ref="W14">IFERROR(LARGE(IF((TallyPeopleNames=$O$3)*(TallyDrinkType=$O$4),TallyScore),ROWS($W$3:$W14)),"")</f>
        <v/>
      </c>
    </row>
    <row r="15" spans="1:26" ht="16" x14ac:dyDescent="0.15">
      <c r="B15" s="21" t="s">
        <v>73</v>
      </c>
      <c r="C15" s="53">
        <f t="shared" si="1"/>
        <v>109</v>
      </c>
      <c r="D15" s="110" cm="1">
        <f t="array" ref="D15">SUM(--(FREQUENCY(IF(TallyPeopleNames=B15,MATCH(TallyDates,TallyDates,0)),ROW(TallyDates)-ROW('Friday Spreadsheet CSV'!$C$3)+1)&gt;0))</f>
        <v>17</v>
      </c>
      <c r="E15" s="54">
        <f t="shared" si="0"/>
        <v>6.4117647058823533</v>
      </c>
      <c r="F15" s="53" t="str" cm="1">
        <f t="array" ref="F15">IFERROR(IF($E15=1,INDEX(TallyDrinkType,MATCH($B15,TallyPeopleNames,0)),INDEX(TallyDrinkType,MODE(IF(TallyPeopleNames=$B15,MATCH(TallyDrinkType,TallyDrinkType,0))))),"Joint Top Drink")</f>
        <v>Beer</v>
      </c>
      <c r="G15" s="56" cm="1">
        <f t="array" ref="G15">IF($C15=1,INDEX(TallyScore,MATCH($B15,TallyPeopleNames,0)),MAX(IF(TallyPeopleNames=$B15,TallyScore)))</f>
        <v>10</v>
      </c>
      <c r="H15" s="53" cm="1">
        <f t="array" ref="H15">IF($C15=1,INDEX('Friday Spreadsheet CSV'!$K:$K,MATCH($B15,'Friday Spreadsheet CSV'!$B:$B,0)),MIN(IF('Friday Spreadsheet CSV'!$B:$B=$B15,'Friday Spreadsheet CSV'!$K:$K)))</f>
        <v>0.5</v>
      </c>
      <c r="I15" s="53" t="str" cm="1">
        <f t="array" ref="I15">INDEX('Friday Spreadsheet CSV'!$D:$D,MATCH(1,('Friday Spreadsheet CSV'!$B:$B=$B15)*('Friday Spreadsheet CSV'!$K:$K=H15),0))</f>
        <v>White Hag Farmhouse Saisson</v>
      </c>
      <c r="J15" s="57">
        <f t="shared" si="2"/>
        <v>6.8761467889908259</v>
      </c>
      <c r="K15" s="57">
        <f t="shared" si="3"/>
        <v>10</v>
      </c>
      <c r="L15" s="241">
        <f t="shared" si="4"/>
        <v>8</v>
      </c>
      <c r="M15" s="61">
        <f t="shared" si="5"/>
        <v>7.3549257759784076E-2</v>
      </c>
      <c r="O15" s="156"/>
      <c r="P15" s="137" t="str" cm="1">
        <f t="array" ref="P15">IFERROR(INDEX(TallyDrinkNames,SMALL(IF((TallyScore=$W15)*(TallyPeopleNames=$O$3)*(TallyDrinkType=$O$4),ROW(TallyDrinkNames)-ROW('Friday Spreadsheet CSV'!$E$3)+1),COUNTIF($W15:$W$22,$W15))),"")</f>
        <v/>
      </c>
      <c r="Q15" s="137" t="str" cm="1">
        <f t="array" ref="Q15">IFERROR(INDEX(TallyBrands,SMALL(IF((TallyScore=$W15)*(TallyPeopleNames=$O$3)*(TallyDrinkType=$O$4),ROW(TallyDrinkNames)-ROW('Friday Spreadsheet CSV'!$E$3)+1),COUNTIF($W15:$W$22,$W15))),"")</f>
        <v/>
      </c>
      <c r="R15" s="165" t="str" cm="1">
        <f t="array" ref="R15">IFERROR(INDEX(TallyABV,SMALL(IF((TallyScore=$W15)*(TallyPeopleNames=$O$3)*(TallyDrinkType=$O$4),ROW(TallyDrinkNames)-ROW('Friday Spreadsheet CSV'!$E$3)+1),COUNTIF($W15:$W$22,$W15))),"")</f>
        <v/>
      </c>
      <c r="S15" s="137" t="str" cm="1">
        <f t="array" ref="S15">IFERROR(INDEX(TallyMixer1,SMALL(IF((TallyScore=$W15)*(TallyPeopleNames=$O$3)*(TallyDrinkType=$O$4),ROW(TallyDrinkNames)-ROW('Friday Spreadsheet CSV'!$E$3)+1),COUNTIF($W15:$W$22,$W15))),"")</f>
        <v/>
      </c>
      <c r="T15" s="137" t="str" cm="1">
        <f t="array" ref="T15">IFERROR(INDEX(TallyMixer2,SMALL(IF((TallyScore=$W15)*(TallyPeopleNames=$O$3)*(TallyDrinkType=$O$4),ROW(TallyDrinkNames)-ROW('Friday Spreadsheet CSV'!$E$3)+1),COUNTIF($W15:$W$22,$W15))),"")</f>
        <v/>
      </c>
      <c r="U15" s="137" t="str" cm="1">
        <f t="array" ref="U15">IFERROR(INDEX(TallyRatingWord1,SMALL(IF((TallyScore=$W15)*(TallyPeopleNames=$O$3)*(TallyDrinkType=$O$4),ROW(TallyDrinkNames)-ROW('Friday Spreadsheet CSV'!$E$3)+1),COUNTIF($W15:$W$22,$W15))),"")</f>
        <v/>
      </c>
      <c r="V15" s="137" t="str" cm="1">
        <f t="array" ref="V15">IFERROR(INDEX(TallyRatingWord2,SMALL(IF((TallyScore=$W15)*(TallyPeopleNames=$O$3)*(TallyDrinkType=$O$4),ROW(TallyDrinkNames)-ROW('Friday Spreadsheet CSV'!$E$3)+1),COUNTIF($W15:$W$22,$W15))),"")</f>
        <v/>
      </c>
      <c r="W15" s="155" t="str" cm="1">
        <f t="array" ref="W15">IFERROR(LARGE(IF((TallyPeopleNames=$O$3)*(TallyDrinkType=$O$4),TallyScore),ROWS($W$3:$W15)),"")</f>
        <v/>
      </c>
    </row>
    <row r="16" spans="1:26" ht="16" x14ac:dyDescent="0.15">
      <c r="B16" s="21" t="s">
        <v>75</v>
      </c>
      <c r="C16" s="53">
        <f t="shared" si="1"/>
        <v>19</v>
      </c>
      <c r="D16" s="110" cm="1">
        <f t="array" ref="D16">SUM(--(FREQUENCY(IF(TallyPeopleNames=B16,MATCH(TallyDates,TallyDates,0)),ROW(TallyDates)-ROW('Friday Spreadsheet CSV'!$C$3)+1)&gt;0))</f>
        <v>6</v>
      </c>
      <c r="E16" s="54">
        <f t="shared" si="0"/>
        <v>3.1666666666666665</v>
      </c>
      <c r="F16" s="53" t="str" cm="1">
        <f t="array" ref="F16">IFERROR(IF($E16=1,INDEX(TallyDrinkType,MATCH($B16,TallyPeopleNames,0)),INDEX(TallyDrinkType,MODE(IF(TallyPeopleNames=$B16,MATCH(TallyDrinkType,TallyDrinkType,0))))),"Joint Top Drink")</f>
        <v>Gin</v>
      </c>
      <c r="G16" s="56" cm="1">
        <f t="array" ref="G16">IF($C16=1,INDEX(TallyScore,MATCH($B16,TallyPeopleNames,0)),MAX(IF(TallyPeopleNames=$B16,TallyScore)))</f>
        <v>9</v>
      </c>
      <c r="H16" s="53" cm="1">
        <f t="array" ref="H16">IF($C16=1,INDEX('Friday Spreadsheet CSV'!$K:$K,MATCH($B16,'Friday Spreadsheet CSV'!$B:$B,0)),MIN(IF('Friday Spreadsheet CSV'!$B:$B=$B16,'Friday Spreadsheet CSV'!$K:$K)))</f>
        <v>0.5</v>
      </c>
      <c r="I16" s="53" t="str" cm="1">
        <f t="array" ref="I16">INDEX('Friday Spreadsheet CSV'!$D:$D,MATCH(1,('Friday Spreadsheet CSV'!$B:$B=$B16)*('Friday Spreadsheet CSV'!$K:$K=H16),0))</f>
        <v>Corona Extra</v>
      </c>
      <c r="J16" s="57">
        <f t="shared" si="2"/>
        <v>6.0789473684210522</v>
      </c>
      <c r="K16" s="57">
        <f t="shared" si="3"/>
        <v>18</v>
      </c>
      <c r="L16" s="241">
        <f t="shared" si="4"/>
        <v>14</v>
      </c>
      <c r="M16" s="61">
        <f t="shared" si="5"/>
        <v>1.282051282051282E-2</v>
      </c>
      <c r="O16" s="156"/>
      <c r="P16" s="137" t="str" cm="1">
        <f t="array" ref="P16">IFERROR(INDEX(TallyDrinkNames,SMALL(IF((TallyScore=$W16)*(TallyPeopleNames=$O$3)*(TallyDrinkType=$O$4),ROW(TallyDrinkNames)-ROW('Friday Spreadsheet CSV'!$E$3)+1),COUNTIF($W16:$W$22,$W16))),"")</f>
        <v/>
      </c>
      <c r="Q16" s="137" t="str" cm="1">
        <f t="array" ref="Q16">IFERROR(INDEX(TallyBrands,SMALL(IF((TallyScore=$W16)*(TallyPeopleNames=$O$3)*(TallyDrinkType=$O$4),ROW(TallyDrinkNames)-ROW('Friday Spreadsheet CSV'!$E$3)+1),COUNTIF($W16:$W$22,$W16))),"")</f>
        <v/>
      </c>
      <c r="R16" s="165" t="str" cm="1">
        <f t="array" ref="R16">IFERROR(INDEX(TallyABV,SMALL(IF((TallyScore=$W16)*(TallyPeopleNames=$O$3)*(TallyDrinkType=$O$4),ROW(TallyDrinkNames)-ROW('Friday Spreadsheet CSV'!$E$3)+1),COUNTIF($W16:$W$22,$W16))),"")</f>
        <v/>
      </c>
      <c r="S16" s="137" t="str" cm="1">
        <f t="array" ref="S16">IFERROR(INDEX(TallyMixer1,SMALL(IF((TallyScore=$W16)*(TallyPeopleNames=$O$3)*(TallyDrinkType=$O$4),ROW(TallyDrinkNames)-ROW('Friday Spreadsheet CSV'!$E$3)+1),COUNTIF($W16:$W$22,$W16))),"")</f>
        <v/>
      </c>
      <c r="T16" s="137" t="str" cm="1">
        <f t="array" ref="T16">IFERROR(INDEX(TallyMixer2,SMALL(IF((TallyScore=$W16)*(TallyPeopleNames=$O$3)*(TallyDrinkType=$O$4),ROW(TallyDrinkNames)-ROW('Friday Spreadsheet CSV'!$E$3)+1),COUNTIF($W16:$W$22,$W16))),"")</f>
        <v/>
      </c>
      <c r="U16" s="137" t="str" cm="1">
        <f t="array" ref="U16">IFERROR(INDEX(TallyRatingWord1,SMALL(IF((TallyScore=$W16)*(TallyPeopleNames=$O$3)*(TallyDrinkType=$O$4),ROW(TallyDrinkNames)-ROW('Friday Spreadsheet CSV'!$E$3)+1),COUNTIF($W16:$W$22,$W16))),"")</f>
        <v/>
      </c>
      <c r="V16" s="137" t="str" cm="1">
        <f t="array" ref="V16">IFERROR(INDEX(TallyRatingWord2,SMALL(IF((TallyScore=$W16)*(TallyPeopleNames=$O$3)*(TallyDrinkType=$O$4),ROW(TallyDrinkNames)-ROW('Friday Spreadsheet CSV'!$E$3)+1),COUNTIF($W16:$W$22,$W16))),"")</f>
        <v/>
      </c>
      <c r="W16" s="155" t="str" cm="1">
        <f t="array" ref="W16">IFERROR(LARGE(IF((TallyPeopleNames=$O$3)*(TallyDrinkType=$O$4),TallyScore),ROWS($W$3:$W16)),"")</f>
        <v/>
      </c>
    </row>
    <row r="17" spans="2:23" ht="16" x14ac:dyDescent="0.15">
      <c r="B17" s="21" t="s">
        <v>79</v>
      </c>
      <c r="C17" s="53">
        <f t="shared" si="1"/>
        <v>2</v>
      </c>
      <c r="D17" s="110" cm="1">
        <f t="array" ref="D17">SUM(--(FREQUENCY(IF(TallyPeopleNames=B17,MATCH(TallyDates,TallyDates,0)),ROW(TallyDates)-ROW('Friday Spreadsheet CSV'!$C$3)+1)&gt;0))</f>
        <v>1</v>
      </c>
      <c r="E17" s="54">
        <f t="shared" si="0"/>
        <v>2</v>
      </c>
      <c r="F17" s="53" t="str" cm="1">
        <f t="array" ref="F17">IFERROR(IF($E17=1,INDEX(TallyDrinkType,MATCH($B17,TallyPeopleNames,0)),INDEX(TallyDrinkType,MODE(IF(TallyPeopleNames=$B17,MATCH(TallyDrinkType,TallyDrinkType,0))))),"Joint Top Drink")</f>
        <v>Joint Top Drink</v>
      </c>
      <c r="G17" s="56" cm="1">
        <f t="array" ref="G17">IF($C17=1,INDEX(TallyScore,MATCH($B17,TallyPeopleNames,0)),MAX(IF(TallyPeopleNames=$B17,TallyScore)))</f>
        <v>9</v>
      </c>
      <c r="H17" s="53" cm="1">
        <f t="array" ref="H17">IF($C17=1,INDEX('Friday Spreadsheet CSV'!$K:$K,MATCH($B17,'Friday Spreadsheet CSV'!$B:$B,0)),MIN(IF('Friday Spreadsheet CSV'!$B:$B=$B17,'Friday Spreadsheet CSV'!$K:$K)))</f>
        <v>9</v>
      </c>
      <c r="I17" s="53" t="str" cm="1">
        <f t="array" ref="I17">INDEX('Friday Spreadsheet CSV'!$D:$D,MATCH(1,('Friday Spreadsheet CSV'!$B:$B=$B17)*('Friday Spreadsheet CSV'!$K:$K=H17),0))</f>
        <v>Water</v>
      </c>
      <c r="J17" s="57">
        <f t="shared" si="2"/>
        <v>9</v>
      </c>
      <c r="K17" s="57">
        <f t="shared" si="3"/>
        <v>1</v>
      </c>
      <c r="L17" s="241">
        <f t="shared" si="4"/>
        <v>25</v>
      </c>
      <c r="M17" s="61">
        <f t="shared" si="5"/>
        <v>1.3495276653171389E-3</v>
      </c>
      <c r="O17" s="156"/>
      <c r="P17" s="137" t="str" cm="1">
        <f t="array" ref="P17">IFERROR(INDEX(TallyDrinkNames,SMALL(IF((TallyScore=$W17)*(TallyPeopleNames=$O$3)*(TallyDrinkType=$O$4),ROW(TallyDrinkNames)-ROW('Friday Spreadsheet CSV'!$E$3)+1),COUNTIF($W17:$W$22,$W17))),"")</f>
        <v/>
      </c>
      <c r="Q17" s="137" t="str" cm="1">
        <f t="array" ref="Q17">IFERROR(INDEX(TallyBrands,SMALL(IF((TallyScore=$W17)*(TallyPeopleNames=$O$3)*(TallyDrinkType=$O$4),ROW(TallyDrinkNames)-ROW('Friday Spreadsheet CSV'!$E$3)+1),COUNTIF($W17:$W$22,$W17))),"")</f>
        <v/>
      </c>
      <c r="R17" s="165" t="str" cm="1">
        <f t="array" ref="R17">IFERROR(INDEX(TallyABV,SMALL(IF((TallyScore=$W17)*(TallyPeopleNames=$O$3)*(TallyDrinkType=$O$4),ROW(TallyDrinkNames)-ROW('Friday Spreadsheet CSV'!$E$3)+1),COUNTIF($W17:$W$22,$W17))),"")</f>
        <v/>
      </c>
      <c r="S17" s="137" t="str" cm="1">
        <f t="array" ref="S17">IFERROR(INDEX(TallyMixer1,SMALL(IF((TallyScore=$W17)*(TallyPeopleNames=$O$3)*(TallyDrinkType=$O$4),ROW(TallyDrinkNames)-ROW('Friday Spreadsheet CSV'!$E$3)+1),COUNTIF($W17:$W$22,$W17))),"")</f>
        <v/>
      </c>
      <c r="T17" s="137" t="str" cm="1">
        <f t="array" ref="T17">IFERROR(INDEX(TallyMixer2,SMALL(IF((TallyScore=$W17)*(TallyPeopleNames=$O$3)*(TallyDrinkType=$O$4),ROW(TallyDrinkNames)-ROW('Friday Spreadsheet CSV'!$E$3)+1),COUNTIF($W17:$W$22,$W17))),"")</f>
        <v/>
      </c>
      <c r="U17" s="137" t="str" cm="1">
        <f t="array" ref="U17">IFERROR(INDEX(TallyRatingWord1,SMALL(IF((TallyScore=$W17)*(TallyPeopleNames=$O$3)*(TallyDrinkType=$O$4),ROW(TallyDrinkNames)-ROW('Friday Spreadsheet CSV'!$E$3)+1),COUNTIF($W17:$W$22,$W17))),"")</f>
        <v/>
      </c>
      <c r="V17" s="137" t="str" cm="1">
        <f t="array" ref="V17">IFERROR(INDEX(TallyRatingWord2,SMALL(IF((TallyScore=$W17)*(TallyPeopleNames=$O$3)*(TallyDrinkType=$O$4),ROW(TallyDrinkNames)-ROW('Friday Spreadsheet CSV'!$E$3)+1),COUNTIF($W17:$W$22,$W17))),"")</f>
        <v/>
      </c>
      <c r="W17" s="155" t="str" cm="1">
        <f t="array" ref="W17">IFERROR(LARGE(IF((TallyPeopleNames=$O$3)*(TallyDrinkType=$O$4),TallyScore),ROWS($W$3:$W17)),"")</f>
        <v/>
      </c>
    </row>
    <row r="18" spans="2:23" ht="16" x14ac:dyDescent="0.15">
      <c r="B18" s="21" t="s">
        <v>409</v>
      </c>
      <c r="C18" s="53">
        <f t="shared" si="1"/>
        <v>1</v>
      </c>
      <c r="D18" s="110" cm="1">
        <f t="array" ref="D18">SUM(--(FREQUENCY(IF(TallyPeopleNames=B18,MATCH(TallyDates,TallyDates,0)),ROW(TallyDates)-ROW('Friday Spreadsheet CSV'!$C$3)+1)&gt;0))</f>
        <v>1</v>
      </c>
      <c r="E18" s="54">
        <f>SUM(C18/D18)</f>
        <v>1</v>
      </c>
      <c r="F18" s="53" t="str" cm="1">
        <f t="array" ref="F18">IFERROR(IF($E18=1,INDEX(TallyDrinkType,MATCH($B18,TallyPeopleNames,0)),INDEX(TallyDrinkType,MODE(IF(TallyPeopleNames=$B18,MATCH(TallyDrinkType,TallyDrinkType,0))))),"Joint Top Drink")</f>
        <v>Soft Drink</v>
      </c>
      <c r="G18" s="56" cm="1">
        <f t="array" ref="G18">IF($C18=1,INDEX(TallyScore,MATCH($B18,TallyPeopleNames,0)),MAX(IF(TallyPeopleNames=$B18,TallyScore)))</f>
        <v>9</v>
      </c>
      <c r="H18" s="53" cm="1">
        <f t="array" ref="H18">IF($C18=1,INDEX('Friday Spreadsheet CSV'!$K:$K,MATCH($B18,'Friday Spreadsheet CSV'!$B:$B,0)),MIN(IF('Friday Spreadsheet CSV'!$B:$B=$B18,'Friday Spreadsheet CSV'!$K:$K)))</f>
        <v>9</v>
      </c>
      <c r="I18" s="53" t="str" cm="1">
        <f t="array" ref="I18">INDEX('Friday Spreadsheet CSV'!$D:$D,MATCH(1,('Friday Spreadsheet CSV'!$B:$B=$B18)*('Friday Spreadsheet CSV'!$K:$K=H18),0))</f>
        <v>Hot Milk</v>
      </c>
      <c r="J18" s="57">
        <f t="shared" si="2"/>
        <v>9</v>
      </c>
      <c r="K18" s="57">
        <f t="shared" si="3"/>
        <v>1</v>
      </c>
      <c r="L18" s="241">
        <f t="shared" si="4"/>
        <v>27</v>
      </c>
      <c r="M18" s="61">
        <f t="shared" si="5"/>
        <v>6.7476383265856947E-4</v>
      </c>
      <c r="O18" s="156"/>
      <c r="P18" s="137" t="str" cm="1">
        <f t="array" ref="P18">IFERROR(INDEX(TallyDrinkNames,SMALL(IF((TallyScore=$W18)*(TallyPeopleNames=$O$3)*(TallyDrinkType=$O$4),ROW(TallyDrinkNames)-ROW('Friday Spreadsheet CSV'!$E$3)+1),COUNTIF($W18:$W$22,$W18))),"")</f>
        <v/>
      </c>
      <c r="Q18" s="137" t="str" cm="1">
        <f t="array" ref="Q18">IFERROR(INDEX(TallyBrands,SMALL(IF((TallyScore=$W18)*(TallyPeopleNames=$O$3)*(TallyDrinkType=$O$4),ROW(TallyDrinkNames)-ROW('Friday Spreadsheet CSV'!$E$3)+1),COUNTIF($W18:$W$22,$W18))),"")</f>
        <v/>
      </c>
      <c r="R18" s="165" t="str" cm="1">
        <f t="array" ref="R18">IFERROR(INDEX(TallyABV,SMALL(IF((TallyScore=$W18)*(TallyPeopleNames=$O$3)*(TallyDrinkType=$O$4),ROW(TallyDrinkNames)-ROW('Friday Spreadsheet CSV'!$E$3)+1),COUNTIF($W18:$W$22,$W18))),"")</f>
        <v/>
      </c>
      <c r="S18" s="137" t="str" cm="1">
        <f t="array" ref="S18">IFERROR(INDEX(TallyMixer1,SMALL(IF((TallyScore=$W18)*(TallyPeopleNames=$O$3)*(TallyDrinkType=$O$4),ROW(TallyDrinkNames)-ROW('Friday Spreadsheet CSV'!$E$3)+1),COUNTIF($W18:$W$22,$W18))),"")</f>
        <v/>
      </c>
      <c r="T18" s="137" t="str" cm="1">
        <f t="array" ref="T18">IFERROR(INDEX(TallyMixer2,SMALL(IF((TallyScore=$W18)*(TallyPeopleNames=$O$3)*(TallyDrinkType=$O$4),ROW(TallyDrinkNames)-ROW('Friday Spreadsheet CSV'!$E$3)+1),COUNTIF($W18:$W$22,$W18))),"")</f>
        <v/>
      </c>
      <c r="U18" s="137" t="str" cm="1">
        <f t="array" ref="U18">IFERROR(INDEX(TallyRatingWord1,SMALL(IF((TallyScore=$W18)*(TallyPeopleNames=$O$3)*(TallyDrinkType=$O$4),ROW(TallyDrinkNames)-ROW('Friday Spreadsheet CSV'!$E$3)+1),COUNTIF($W18:$W$22,$W18))),"")</f>
        <v/>
      </c>
      <c r="V18" s="137" t="str" cm="1">
        <f t="array" ref="V18">IFERROR(INDEX(TallyRatingWord2,SMALL(IF((TallyScore=$W18)*(TallyPeopleNames=$O$3)*(TallyDrinkType=$O$4),ROW(TallyDrinkNames)-ROW('Friday Spreadsheet CSV'!$E$3)+1),COUNTIF($W18:$W$22,$W18))),"")</f>
        <v/>
      </c>
      <c r="W18" s="155" t="str" cm="1">
        <f t="array" ref="W18">IFERROR(LARGE(IF((TallyPeopleNames=$O$3)*(TallyDrinkType=$O$4),TallyScore),ROWS($W$3:$W18)),"")</f>
        <v/>
      </c>
    </row>
    <row r="19" spans="2:23" ht="16" x14ac:dyDescent="0.15">
      <c r="B19" s="21" t="s">
        <v>424</v>
      </c>
      <c r="C19" s="53">
        <f t="shared" si="1"/>
        <v>1</v>
      </c>
      <c r="D19" s="110" cm="1">
        <f t="array" ref="D19">SUM(--(FREQUENCY(IF(TallyPeopleNames=B19,MATCH(TallyDates,TallyDates,0)),ROW(TallyDates)-ROW('Friday Spreadsheet CSV'!$C$3)+1)&gt;0))</f>
        <v>1</v>
      </c>
      <c r="E19" s="62">
        <f t="shared" si="0"/>
        <v>1</v>
      </c>
      <c r="F19" s="53" t="str" cm="1">
        <f t="array" ref="F19">IFERROR(IF($E19=1,INDEX(TallyDrinkType,MATCH($B19,TallyPeopleNames,0)),INDEX(TallyDrinkType,MODE(IF(TallyPeopleNames=$B19,MATCH(TallyDrinkType,TallyDrinkType,0))))),"Joint Top Drink")</f>
        <v>Soft Drink</v>
      </c>
      <c r="G19" s="56" cm="1">
        <f t="array" ref="G19">IF($C19=1,INDEX(TallyScore,MATCH($B19,TallyPeopleNames,0)),MAX(IF(TallyPeopleNames=$B19,TallyScore)))</f>
        <v>3</v>
      </c>
      <c r="H19" s="53" cm="1">
        <f t="array" ref="H19">IF($C19=1,INDEX('Friday Spreadsheet CSV'!$K:$K,MATCH($B19,'Friday Spreadsheet CSV'!$B:$B,0)),MIN(IF('Friday Spreadsheet CSV'!$B:$B=$B19,'Friday Spreadsheet CSV'!$K:$K)))</f>
        <v>3</v>
      </c>
      <c r="I19" s="53" t="str" cm="1">
        <f t="array" ref="I19">INDEX('Friday Spreadsheet CSV'!$D:$D,MATCH(1,('Friday Spreadsheet CSV'!$B:$B=$B19)*('Friday Spreadsheet CSV'!$K:$K=H19),0))</f>
        <v>Water</v>
      </c>
      <c r="J19" s="57">
        <f t="shared" si="2"/>
        <v>3</v>
      </c>
      <c r="K19" s="57">
        <f t="shared" si="3"/>
        <v>28</v>
      </c>
      <c r="L19" s="241">
        <f t="shared" si="4"/>
        <v>27</v>
      </c>
      <c r="M19" s="61">
        <f t="shared" si="5"/>
        <v>6.7476383265856947E-4</v>
      </c>
      <c r="O19" s="156"/>
      <c r="P19" s="137" t="str" cm="1">
        <f t="array" ref="P19">IFERROR(INDEX(TallyDrinkNames,SMALL(IF((TallyScore=$W19)*(TallyPeopleNames=$O$3)*(TallyDrinkType=$O$4),ROW(TallyDrinkNames)-ROW('Friday Spreadsheet CSV'!$E$3)+1),COUNTIF($W19:$W$22,$W19))),"")</f>
        <v/>
      </c>
      <c r="Q19" s="137" t="str" cm="1">
        <f t="array" ref="Q19">IFERROR(INDEX(TallyBrands,SMALL(IF((TallyScore=$W19)*(TallyPeopleNames=$O$3)*(TallyDrinkType=$O$4),ROW(TallyDrinkNames)-ROW('Friday Spreadsheet CSV'!$E$3)+1),COUNTIF($W19:$W$22,$W19))),"")</f>
        <v/>
      </c>
      <c r="R19" s="165" t="str" cm="1">
        <f t="array" ref="R19">IFERROR(INDEX(TallyABV,SMALL(IF((TallyScore=$W19)*(TallyPeopleNames=$O$3)*(TallyDrinkType=$O$4),ROW(TallyDrinkNames)-ROW('Friday Spreadsheet CSV'!$E$3)+1),COUNTIF($W19:$W$22,$W19))),"")</f>
        <v/>
      </c>
      <c r="S19" s="137" t="str" cm="1">
        <f t="array" ref="S19">IFERROR(INDEX(TallyMixer1,SMALL(IF((TallyScore=$W19)*(TallyPeopleNames=$O$3)*(TallyDrinkType=$O$4),ROW(TallyDrinkNames)-ROW('Friday Spreadsheet CSV'!$E$3)+1),COUNTIF($W19:$W$22,$W19))),"")</f>
        <v/>
      </c>
      <c r="T19" s="137" t="str" cm="1">
        <f t="array" ref="T19">IFERROR(INDEX(TallyMixer2,SMALL(IF((TallyScore=$W19)*(TallyPeopleNames=$O$3)*(TallyDrinkType=$O$4),ROW(TallyDrinkNames)-ROW('Friday Spreadsheet CSV'!$E$3)+1),COUNTIF($W19:$W$22,$W19))),"")</f>
        <v/>
      </c>
      <c r="U19" s="137" t="str" cm="1">
        <f t="array" ref="U19">IFERROR(INDEX(TallyRatingWord1,SMALL(IF((TallyScore=$W19)*(TallyPeopleNames=$O$3)*(TallyDrinkType=$O$4),ROW(TallyDrinkNames)-ROW('Friday Spreadsheet CSV'!$E$3)+1),COUNTIF($W19:$W$22,$W19))),"")</f>
        <v/>
      </c>
      <c r="V19" s="137" t="str" cm="1">
        <f t="array" ref="V19">IFERROR(INDEX(TallyRatingWord2,SMALL(IF((TallyScore=$W19)*(TallyPeopleNames=$O$3)*(TallyDrinkType=$O$4),ROW(TallyDrinkNames)-ROW('Friday Spreadsheet CSV'!$E$3)+1),COUNTIF($W19:$W$22,$W19))),"")</f>
        <v/>
      </c>
      <c r="W19" s="155" t="str" cm="1">
        <f t="array" ref="W19">IFERROR(LARGE(IF((TallyPeopleNames=$O$3)*(TallyDrinkType=$O$4),TallyScore),ROWS($W$3:$W19)),"")</f>
        <v/>
      </c>
    </row>
    <row r="20" spans="2:23" ht="16" x14ac:dyDescent="0.15">
      <c r="B20" s="21" t="s">
        <v>420</v>
      </c>
      <c r="C20" s="53">
        <f t="shared" si="1"/>
        <v>48</v>
      </c>
      <c r="D20" s="110" cm="1">
        <f t="array" ref="D20">SUM(--(FREQUENCY(IF(TallyPeopleNames=B20,MATCH(TallyDates,TallyDates,0)),ROW(TallyDates)-ROW('Friday Spreadsheet CSV'!$C$3)+1)&gt;0))</f>
        <v>6</v>
      </c>
      <c r="E20" s="54">
        <f t="shared" si="0"/>
        <v>8</v>
      </c>
      <c r="F20" s="53" t="str" cm="1">
        <f t="array" ref="F20">IFERROR(IF($E20=1,INDEX(TallyDrinkType,MATCH($B20,TallyPeopleNames,0)),INDEX(TallyDrinkType,MODE(IF(TallyPeopleNames=$B20,MATCH(TallyDrinkType,TallyDrinkType,0))))),"Joint Top Drink")</f>
        <v>Beer</v>
      </c>
      <c r="G20" s="56" cm="1">
        <f t="array" ref="G20">IF($C20=1,INDEX(TallyScore,MATCH($B20,TallyPeopleNames,0)),MAX(IF(TallyPeopleNames=$B20,TallyScore)))</f>
        <v>10</v>
      </c>
      <c r="H20" s="53" cm="1">
        <f t="array" ref="H20">IF($C20=1,INDEX('Friday Spreadsheet CSV'!$K:$K,MATCH($B20,'Friday Spreadsheet CSV'!$B:$B,0)),MIN(IF('Friday Spreadsheet CSV'!$B:$B=$B20,'Friday Spreadsheet CSV'!$K:$K)))</f>
        <v>1.5</v>
      </c>
      <c r="I20" s="53" t="str" cm="1">
        <f t="array" ref="I20">INDEX('Friday Spreadsheet CSV'!$D:$D,MATCH(1,('Friday Spreadsheet CSV'!$B:$B=$B20)*('Friday Spreadsheet CSV'!$K:$K=H20),0))</f>
        <v>Atlantic Red Rum</v>
      </c>
      <c r="J20" s="57">
        <f t="shared" si="2"/>
        <v>5.927083333333333</v>
      </c>
      <c r="K20" s="57">
        <f t="shared" si="3"/>
        <v>20</v>
      </c>
      <c r="L20" s="241">
        <f t="shared" si="4"/>
        <v>10</v>
      </c>
      <c r="M20" s="61">
        <f t="shared" si="5"/>
        <v>3.2388663967611336E-2</v>
      </c>
      <c r="O20" s="156"/>
      <c r="P20" s="137" t="str" cm="1">
        <f t="array" ref="P20">IFERROR(INDEX(TallyDrinkNames,SMALL(IF((TallyScore=$W20)*(TallyPeopleNames=$O$3)*(TallyDrinkType=$O$4),ROW(TallyDrinkNames)-ROW('Friday Spreadsheet CSV'!$E$3)+1),COUNTIF($W20:$W$22,$W20))),"")</f>
        <v/>
      </c>
      <c r="Q20" s="137" t="str" cm="1">
        <f t="array" ref="Q20">IFERROR(INDEX(TallyBrands,SMALL(IF((TallyScore=$W20)*(TallyPeopleNames=$O$3)*(TallyDrinkType=$O$4),ROW(TallyDrinkNames)-ROW('Friday Spreadsheet CSV'!$E$3)+1),COUNTIF($W20:$W$22,$W20))),"")</f>
        <v/>
      </c>
      <c r="R20" s="165" t="str" cm="1">
        <f t="array" ref="R20">IFERROR(INDEX(TallyABV,SMALL(IF((TallyScore=$W20)*(TallyPeopleNames=$O$3)*(TallyDrinkType=$O$4),ROW(TallyDrinkNames)-ROW('Friday Spreadsheet CSV'!$E$3)+1),COUNTIF($W20:$W$22,$W20))),"")</f>
        <v/>
      </c>
      <c r="S20" s="137" t="str" cm="1">
        <f t="array" ref="S20">IFERROR(INDEX(TallyMixer1,SMALL(IF((TallyScore=$W20)*(TallyPeopleNames=$O$3)*(TallyDrinkType=$O$4),ROW(TallyDrinkNames)-ROW('Friday Spreadsheet CSV'!$E$3)+1),COUNTIF($W20:$W$22,$W20))),"")</f>
        <v/>
      </c>
      <c r="T20" s="137" t="str" cm="1">
        <f t="array" ref="T20">IFERROR(INDEX(TallyMixer2,SMALL(IF((TallyScore=$W20)*(TallyPeopleNames=$O$3)*(TallyDrinkType=$O$4),ROW(TallyDrinkNames)-ROW('Friday Spreadsheet CSV'!$E$3)+1),COUNTIF($W20:$W$22,$W20))),"")</f>
        <v/>
      </c>
      <c r="U20" s="137" t="str" cm="1">
        <f t="array" ref="U20">IFERROR(INDEX(TallyRatingWord1,SMALL(IF((TallyScore=$W20)*(TallyPeopleNames=$O$3)*(TallyDrinkType=$O$4),ROW(TallyDrinkNames)-ROW('Friday Spreadsheet CSV'!$E$3)+1),COUNTIF($W20:$W$22,$W20))),"")</f>
        <v/>
      </c>
      <c r="V20" s="137" t="str" cm="1">
        <f t="array" ref="V20">IFERROR(INDEX(TallyRatingWord2,SMALL(IF((TallyScore=$W20)*(TallyPeopleNames=$O$3)*(TallyDrinkType=$O$4),ROW(TallyDrinkNames)-ROW('Friday Spreadsheet CSV'!$E$3)+1),COUNTIF($W20:$W$22,$W20))),"")</f>
        <v/>
      </c>
      <c r="W20" s="155" t="str" cm="1">
        <f t="array" ref="W20">IFERROR(LARGE(IF((TallyPeopleNames=$O$3)*(TallyDrinkType=$O$4),TallyScore),ROWS($W$3:$W20)),"")</f>
        <v/>
      </c>
    </row>
    <row r="21" spans="2:23" ht="16" x14ac:dyDescent="0.15">
      <c r="B21" s="21" t="s">
        <v>421</v>
      </c>
      <c r="C21" s="53">
        <f t="shared" si="1"/>
        <v>12</v>
      </c>
      <c r="D21" s="110" cm="1">
        <f t="array" ref="D21">SUM(--(FREQUENCY(IF(TallyPeopleNames=B21,MATCH(TallyDates,TallyDates,0)),ROW(TallyDates)-ROW('Friday Spreadsheet CSV'!$C$3)+1)&gt;0))</f>
        <v>4</v>
      </c>
      <c r="E21" s="54">
        <f t="shared" si="0"/>
        <v>3</v>
      </c>
      <c r="F21" s="53" t="str" cm="1">
        <f t="array" ref="F21">IFERROR(IF($E21=1,INDEX(TallyDrinkType,MATCH($B21,TallyPeopleNames,0)),INDEX(TallyDrinkType,MODE(IF(TallyPeopleNames=$B21,MATCH(TallyDrinkType,TallyDrinkType,0))))),"Joint Top Drink")</f>
        <v>Liqueur</v>
      </c>
      <c r="G21" s="56" cm="1">
        <f t="array" ref="G21">IF($C21=1,INDEX(TallyScore,MATCH($B21,TallyPeopleNames,0)),MAX(IF(TallyPeopleNames=$B21,TallyScore)))</f>
        <v>10</v>
      </c>
      <c r="H21" s="53" cm="1">
        <f t="array" ref="H21">IF($C21=1,INDEX('Friday Spreadsheet CSV'!$K:$K,MATCH($B21,'Friday Spreadsheet CSV'!$B:$B,0)),MIN(IF('Friday Spreadsheet CSV'!$B:$B=$B21,'Friday Spreadsheet CSV'!$K:$K)))</f>
        <v>1</v>
      </c>
      <c r="I21" s="53" t="str" cm="1">
        <f t="array" ref="I21">INDEX('Friday Spreadsheet CSV'!$D:$D,MATCH(1,('Friday Spreadsheet CSV'!$B:$B=$B21)*('Friday Spreadsheet CSV'!$K:$K=H21),0))</f>
        <v>Bortolomiol Prosecco</v>
      </c>
      <c r="J21" s="57">
        <f t="shared" si="2"/>
        <v>5.875</v>
      </c>
      <c r="K21" s="57">
        <f t="shared" si="3"/>
        <v>21</v>
      </c>
      <c r="L21" s="241">
        <f t="shared" si="4"/>
        <v>16</v>
      </c>
      <c r="M21" s="61">
        <f t="shared" si="5"/>
        <v>8.0971659919028341E-3</v>
      </c>
      <c r="O21" s="156"/>
      <c r="P21" s="137" t="str" cm="1">
        <f t="array" ref="P21">IFERROR(INDEX(TallyDrinkNames,SMALL(IF((TallyScore=$W21)*(TallyPeopleNames=$O$3)*(TallyDrinkType=$O$4),ROW(TallyDrinkNames)-ROW('Friday Spreadsheet CSV'!$E$3)+1),COUNTIF($W21:$W$22,$W21))),"")</f>
        <v/>
      </c>
      <c r="Q21" s="137" t="str" cm="1">
        <f t="array" ref="Q21">IFERROR(INDEX(TallyBrands,SMALL(IF((TallyScore=$W21)*(TallyPeopleNames=$O$3)*(TallyDrinkType=$O$4),ROW(TallyDrinkNames)-ROW('Friday Spreadsheet CSV'!$E$3)+1),COUNTIF($W21:$W$22,$W21))),"")</f>
        <v/>
      </c>
      <c r="R21" s="165" t="str" cm="1">
        <f t="array" ref="R21">IFERROR(INDEX(TallyABV,SMALL(IF((TallyScore=$W21)*(TallyPeopleNames=$O$3)*(TallyDrinkType=$O$4),ROW(TallyDrinkNames)-ROW('Friday Spreadsheet CSV'!$E$3)+1),COUNTIF($W21:$W$22,$W21))),"")</f>
        <v/>
      </c>
      <c r="S21" s="137" t="str" cm="1">
        <f t="array" ref="S21">IFERROR(INDEX(TallyMixer1,SMALL(IF((TallyScore=$W21)*(TallyPeopleNames=$O$3)*(TallyDrinkType=$O$4),ROW(TallyDrinkNames)-ROW('Friday Spreadsheet CSV'!$E$3)+1),COUNTIF($W21:$W$22,$W21))),"")</f>
        <v/>
      </c>
      <c r="T21" s="137" t="str" cm="1">
        <f t="array" ref="T21">IFERROR(INDEX(TallyMixer2,SMALL(IF((TallyScore=$W21)*(TallyPeopleNames=$O$3)*(TallyDrinkType=$O$4),ROW(TallyDrinkNames)-ROW('Friday Spreadsheet CSV'!$E$3)+1),COUNTIF($W21:$W$22,$W21))),"")</f>
        <v/>
      </c>
      <c r="U21" s="137" t="str" cm="1">
        <f t="array" ref="U21">IFERROR(INDEX(TallyRatingWord1,SMALL(IF((TallyScore=$W21)*(TallyPeopleNames=$O$3)*(TallyDrinkType=$O$4),ROW(TallyDrinkNames)-ROW('Friday Spreadsheet CSV'!$E$3)+1),COUNTIF($W21:$W$22,$W21))),"")</f>
        <v/>
      </c>
      <c r="V21" s="137" t="str" cm="1">
        <f t="array" ref="V21">IFERROR(INDEX(TallyRatingWord2,SMALL(IF((TallyScore=$W21)*(TallyPeopleNames=$O$3)*(TallyDrinkType=$O$4),ROW(TallyDrinkNames)-ROW('Friday Spreadsheet CSV'!$E$3)+1),COUNTIF($W21:$W$22,$W21))),"")</f>
        <v/>
      </c>
      <c r="W21" s="155" t="str" cm="1">
        <f t="array" ref="W21">IFERROR(LARGE(IF((TallyPeopleNames=$O$3)*(TallyDrinkType=$O$4),TallyScore),ROWS($W$3:$W21)),"")</f>
        <v/>
      </c>
    </row>
    <row r="22" spans="2:23" ht="17" thickBot="1" x14ac:dyDescent="0.2">
      <c r="B22" s="52" t="s">
        <v>687</v>
      </c>
      <c r="C22" s="53">
        <f t="shared" si="1"/>
        <v>7</v>
      </c>
      <c r="D22" s="110" cm="1">
        <f t="array" ref="D22">SUM(--(FREQUENCY(IF(TallyPeopleNames=B22,MATCH(TallyDates,TallyDates,0)),ROW(TallyDates)-ROW('Friday Spreadsheet CSV'!$C$3)+1)&gt;0))</f>
        <v>2</v>
      </c>
      <c r="E22" s="54">
        <f t="shared" si="0"/>
        <v>3.5</v>
      </c>
      <c r="F22" s="53" t="str" cm="1">
        <f t="array" ref="F22">IFERROR(IF($E22=1,INDEX(TallyDrinkType,MATCH($B22,TallyPeopleNames,0)),INDEX(TallyDrinkType,MODE(IF(TallyPeopleNames=$B22,MATCH(TallyDrinkType,TallyDrinkType,0))))),"Joint Top Drink")</f>
        <v>Beer</v>
      </c>
      <c r="G22" s="56" cm="1">
        <f t="array" ref="G22">IF($C22=1,INDEX(TallyScore,MATCH($B22,TallyPeopleNames,0)),MAX(IF(TallyPeopleNames=$B22,TallyScore)))</f>
        <v>8.5</v>
      </c>
      <c r="H22" s="53" cm="1">
        <f t="array" ref="H22">IF($C22=1,INDEX('Friday Spreadsheet CSV'!$K:$K,MATCH($B22,'Friday Spreadsheet CSV'!$B:$B,0)),MIN(IF('Friday Spreadsheet CSV'!$B:$B=$B22,'Friday Spreadsheet CSV'!$K:$K)))</f>
        <v>3</v>
      </c>
      <c r="I22" s="53" t="str" cm="1">
        <f t="array" ref="I22">INDEX('Friday Spreadsheet CSV'!$D:$D,MATCH(1,('Friday Spreadsheet CSV'!$B:$B=$B22)*('Friday Spreadsheet CSV'!$K:$K=H22),0))</f>
        <v>Whitstable Bay Pale Ale</v>
      </c>
      <c r="J22" s="57">
        <f t="shared" si="2"/>
        <v>6.0714285714285712</v>
      </c>
      <c r="K22" s="57">
        <f t="shared" si="3"/>
        <v>19</v>
      </c>
      <c r="L22" s="241">
        <f t="shared" si="4"/>
        <v>20</v>
      </c>
      <c r="M22" s="61">
        <f t="shared" si="5"/>
        <v>4.7233468286099868E-3</v>
      </c>
      <c r="O22" s="157"/>
      <c r="P22" s="158" t="str" cm="1">
        <f t="array" ref="P22">IFERROR(INDEX(TallyDrinkNames,SMALL(IF((TallyScore=$W22)*(TallyPeopleNames=$O$3)*(TallyDrinkType=$O$4),ROW(TallyDrinkNames)-ROW('Friday Spreadsheet CSV'!$E$3)+1),COUNTIF($W22:$W$22,$W22))),"")</f>
        <v/>
      </c>
      <c r="Q22" s="158" t="str" cm="1">
        <f t="array" ref="Q22">IFERROR(INDEX(TallyBrands,SMALL(IF((TallyScore=$W22)*(TallyPeopleNames=$O$3)*(TallyDrinkType=$O$4),ROW(TallyDrinkNames)-ROW('Friday Spreadsheet CSV'!$E$3)+1),COUNTIF($W22:$W$22,$W22))),"")</f>
        <v/>
      </c>
      <c r="R22" s="166" t="str" cm="1">
        <f t="array" ref="R22">IFERROR(INDEX(TallyABV,SMALL(IF((TallyScore=$W22)*(TallyPeopleNames=$O$3)*(TallyDrinkType=$O$4),ROW(TallyDrinkNames)-ROW('Friday Spreadsheet CSV'!$E$3)+1),COUNTIF($W22:$W$22,$W22))),"")</f>
        <v/>
      </c>
      <c r="S22" s="158" t="str" cm="1">
        <f t="array" ref="S22">IFERROR(INDEX(TallyMixer1,SMALL(IF((TallyScore=$W22)*(TallyPeopleNames=$O$3)*(TallyDrinkType=$O$4),ROW(TallyDrinkNames)-ROW('Friday Spreadsheet CSV'!$E$3)+1),COUNTIF($W22:$W$22,$W22))),"")</f>
        <v/>
      </c>
      <c r="T22" s="158" t="str" cm="1">
        <f t="array" ref="T22">IFERROR(INDEX(TallyMixer2,SMALL(IF((TallyScore=$W22)*(TallyPeopleNames=$O$3)*(TallyDrinkType=$O$4),ROW(TallyDrinkNames)-ROW('Friday Spreadsheet CSV'!$E$3)+1),COUNTIF($W22:$W$22,$W22))),"")</f>
        <v/>
      </c>
      <c r="U22" s="158" t="str" cm="1">
        <f t="array" ref="U22">IFERROR(INDEX(TallyRatingWord1,SMALL(IF((TallyScore=$W22)*(TallyPeopleNames=$O$3)*(TallyDrinkType=$O$4),ROW(TallyDrinkNames)-ROW('Friday Spreadsheet CSV'!$E$3)+1),COUNTIF($W22:$W$22,$W22))),"")</f>
        <v/>
      </c>
      <c r="V22" s="158" t="str" cm="1">
        <f t="array" ref="V22">IFERROR(INDEX(TallyRatingWord2,SMALL(IF((TallyScore=$W22)*(TallyPeopleNames=$O$3)*(TallyDrinkType=$O$4),ROW(TallyDrinkNames)-ROW('Friday Spreadsheet CSV'!$E$3)+1),COUNTIF($W22:$W$22,$W22))),"")</f>
        <v/>
      </c>
      <c r="W22" s="159" t="str" cm="1">
        <f t="array" ref="W22">IFERROR(LARGE(IF((TallyPeopleNames=$O$3)*(TallyDrinkType=$O$4),TallyScore),ROWS($W$3:$W22)),"")</f>
        <v/>
      </c>
    </row>
    <row r="23" spans="2:23" ht="16" x14ac:dyDescent="0.15">
      <c r="B23" s="52" t="s">
        <v>690</v>
      </c>
      <c r="C23" s="53">
        <f t="shared" si="1"/>
        <v>9</v>
      </c>
      <c r="D23" s="110" cm="1">
        <f t="array" ref="D23">SUM(--(FREQUENCY(IF(TallyPeopleNames=B23,MATCH(TallyDates,TallyDates,0)),ROW(TallyDates)-ROW('Friday Spreadsheet CSV'!$C$3)+1)&gt;0))</f>
        <v>2</v>
      </c>
      <c r="E23" s="54">
        <f t="shared" si="0"/>
        <v>4.5</v>
      </c>
      <c r="F23" s="53" t="str" cm="1">
        <f t="array" ref="F23">IFERROR(IF($E23=1,INDEX(TallyDrinkType,MATCH($B23,TallyPeopleNames,0)),INDEX(TallyDrinkType,MODE(IF(TallyPeopleNames=$B23,MATCH(TallyDrinkType,TallyDrinkType,0))))),"Joint Top Drink")</f>
        <v>Beer</v>
      </c>
      <c r="G23" s="56" cm="1">
        <f t="array" ref="G23">IF($C23=1,INDEX(TallyScore,MATCH($B23,TallyPeopleNames,0)),MAX(IF(TallyPeopleNames=$B23,TallyScore)))</f>
        <v>9</v>
      </c>
      <c r="H23" s="53" cm="1">
        <f t="array" ref="H23">IF($C23=1,INDEX('Friday Spreadsheet CSV'!$K:$K,MATCH($B23,'Friday Spreadsheet CSV'!$B:$B,0)),MIN(IF('Friday Spreadsheet CSV'!$B:$B=$B23,'Friday Spreadsheet CSV'!$K:$K)))</f>
        <v>2</v>
      </c>
      <c r="I23" s="53" t="str" cm="1">
        <f t="array" ref="I23">INDEX('Friday Spreadsheet CSV'!$D:$D,MATCH(1,('Friday Spreadsheet CSV'!$B:$B=$B23)*('Friday Spreadsheet CSV'!$K:$K=H23),0))</f>
        <v>Hog's Back OTT</v>
      </c>
      <c r="J23" s="57">
        <f t="shared" si="2"/>
        <v>5.5555555555555554</v>
      </c>
      <c r="K23" s="57">
        <f t="shared" si="3"/>
        <v>26</v>
      </c>
      <c r="L23" s="241">
        <f t="shared" si="4"/>
        <v>18</v>
      </c>
      <c r="M23" s="61">
        <f t="shared" si="5"/>
        <v>6.0728744939271256E-3</v>
      </c>
      <c r="R23" s="162"/>
      <c r="V23"/>
    </row>
    <row r="24" spans="2:23" ht="16" x14ac:dyDescent="0.15">
      <c r="B24" s="52" t="s">
        <v>822</v>
      </c>
      <c r="C24" s="53">
        <f t="shared" si="1"/>
        <v>4</v>
      </c>
      <c r="D24" s="110" cm="1">
        <f t="array" ref="D24">SUM(--(FREQUENCY(IF(TallyPeopleNames=B24,MATCH(TallyDates,TallyDates,0)),ROW(TallyDates)-ROW('Friday Spreadsheet CSV'!$C$3)+1)&gt;0))</f>
        <v>1</v>
      </c>
      <c r="E24" s="54">
        <f t="shared" si="0"/>
        <v>4</v>
      </c>
      <c r="F24" s="53" t="str" cm="1">
        <f t="array" ref="F24">IFERROR(IF($E24=1,INDEX(TallyDrinkType,MATCH($B24,TallyPeopleNames,0)),INDEX(TallyDrinkType,MODE(IF(TallyPeopleNames=$B24,MATCH(TallyDrinkType,TallyDrinkType,0))))),"Joint Top Drink")</f>
        <v>Vodka</v>
      </c>
      <c r="G24" s="56" cm="1">
        <f t="array" ref="G24">IF($C24=1,INDEX(TallyScore,MATCH($B24,TallyPeopleNames,0)),MAX(IF(TallyPeopleNames=$B24,TallyScore)))</f>
        <v>10</v>
      </c>
      <c r="H24" s="53" cm="1">
        <f t="array" ref="H24">IF($C24=1,INDEX('Friday Spreadsheet CSV'!$K:$K,MATCH($B24,'Friday Spreadsheet CSV'!$B:$B,0)),MIN(IF('Friday Spreadsheet CSV'!$B:$B=$B24,'Friday Spreadsheet CSV'!$K:$K)))</f>
        <v>2.5</v>
      </c>
      <c r="I24" s="53" t="str" cm="1">
        <f t="array" ref="I24">INDEX('Friday Spreadsheet CSV'!$D:$D,MATCH(1,('Friday Spreadsheet CSV'!$B:$B=$B24)*('Friday Spreadsheet CSV'!$K:$K=H24),0))</f>
        <v>Smirnoff Apple Vodka</v>
      </c>
      <c r="J24" s="57">
        <f t="shared" si="2"/>
        <v>7.375</v>
      </c>
      <c r="K24" s="57">
        <f t="shared" si="3"/>
        <v>6</v>
      </c>
      <c r="L24" s="241">
        <f t="shared" si="4"/>
        <v>21</v>
      </c>
      <c r="M24" s="60">
        <f t="shared" si="5"/>
        <v>2.6990553306342779E-3</v>
      </c>
      <c r="R24" s="162"/>
      <c r="V24"/>
    </row>
    <row r="25" spans="2:23" ht="16" x14ac:dyDescent="0.15">
      <c r="B25" s="52" t="s">
        <v>996</v>
      </c>
      <c r="C25" s="53">
        <f t="shared" si="1"/>
        <v>4</v>
      </c>
      <c r="D25" s="110" cm="1">
        <f t="array" ref="D25">SUM(--(FREQUENCY(IF(TallyPeopleNames=B25,MATCH(TallyDates,TallyDates,0)),ROW(TallyDates)-ROW('Friday Spreadsheet CSV'!$C$3)+1)&gt;0))</f>
        <v>3</v>
      </c>
      <c r="E25" s="54">
        <f t="shared" si="0"/>
        <v>1.3333333333333333</v>
      </c>
      <c r="F25" s="53" t="str" cm="1">
        <f t="array" ref="F25">IFERROR(IF($E25=1,INDEX(TallyDrinkType,MATCH($B25,TallyPeopleNames,0)),INDEX(TallyDrinkType,MODE(IF(TallyPeopleNames=$B25,MATCH(TallyDrinkType,TallyDrinkType,0))))),"Joint Top Drink")</f>
        <v>Joint Top Drink</v>
      </c>
      <c r="G25" s="56" cm="1">
        <f t="array" ref="G25">IF($C25=1,INDEX(TallyScore,MATCH($B25,TallyPeopleNames,0)),MAX(IF(TallyPeopleNames=$B25,TallyScore)))</f>
        <v>9.5</v>
      </c>
      <c r="H25" s="53" cm="1">
        <f t="array" ref="H25">IF($C25=1,INDEX('Friday Spreadsheet CSV'!$K:$K,MATCH($B25,'Friday Spreadsheet CSV'!$B:$B,0)),MIN(IF('Friday Spreadsheet CSV'!$B:$B=$B25,'Friday Spreadsheet CSV'!$K:$K)))</f>
        <v>5</v>
      </c>
      <c r="I25" s="53" t="str" cm="1">
        <f t="array" ref="I25">INDEX('Friday Spreadsheet CSV'!$D:$D,MATCH(1,('Friday Spreadsheet CSV'!$B:$B=$B25)*('Friday Spreadsheet CSV'!$K:$K=H25),0))</f>
        <v>Ozeki Sake Dry</v>
      </c>
      <c r="J25" s="57">
        <f t="shared" si="2"/>
        <v>7.375</v>
      </c>
      <c r="K25" s="57">
        <f t="shared" si="3"/>
        <v>6</v>
      </c>
      <c r="L25" s="241">
        <f t="shared" si="4"/>
        <v>21</v>
      </c>
      <c r="M25" s="60">
        <f t="shared" si="5"/>
        <v>2.6990553306342779E-3</v>
      </c>
      <c r="R25" s="162"/>
      <c r="V25"/>
    </row>
    <row r="26" spans="2:23" ht="16" x14ac:dyDescent="0.15">
      <c r="B26" s="52" t="s">
        <v>1019</v>
      </c>
      <c r="C26" s="53">
        <f t="shared" si="1"/>
        <v>4</v>
      </c>
      <c r="D26" s="110" cm="1">
        <f t="array" ref="D26">SUM(--(FREQUENCY(IF(TallyPeopleNames=B26,MATCH(TallyDates,TallyDates,0)),ROW(TallyDates)-ROW('Friday Spreadsheet CSV'!$C$3)+1)&gt;0))</f>
        <v>2</v>
      </c>
      <c r="E26" s="62">
        <f t="shared" si="0"/>
        <v>2</v>
      </c>
      <c r="F26" s="53" t="str" cm="1">
        <f t="array" ref="F26">IFERROR(IF($E26=1,INDEX(TallyDrinkType,MATCH($B26,TallyPeopleNames,0)),INDEX(TallyDrinkType,MODE(IF(TallyPeopleNames=$B26,MATCH(TallyDrinkType,TallyDrinkType,0))))),"Joint Top Drink")</f>
        <v>Other</v>
      </c>
      <c r="G26" s="56" cm="1">
        <f t="array" ref="G26">IF($C26=1,INDEX(TallyScore,MATCH($B26,TallyPeopleNames,0)),MAX(IF(TallyPeopleNames=$B26,TallyScore)))</f>
        <v>10</v>
      </c>
      <c r="H26" s="53" cm="1">
        <f t="array" ref="H26">IF($C26=1,INDEX('Friday Spreadsheet CSV'!$K:$K,MATCH($B26,'Friday Spreadsheet CSV'!$B:$B,0)),MIN(IF('Friday Spreadsheet CSV'!$B:$B=$B26,'Friday Spreadsheet CSV'!$K:$K)))</f>
        <v>7</v>
      </c>
      <c r="I26" s="53" t="str" cm="1">
        <f t="array" ref="I26">INDEX('Friday Spreadsheet CSV'!$D:$D,MATCH(1,('Friday Spreadsheet CSV'!$B:$B=$B26)*('Friday Spreadsheet CSV'!$K:$K=H26),0))</f>
        <v>Aguardiente</v>
      </c>
      <c r="J26" s="57">
        <f t="shared" si="2"/>
        <v>8.75</v>
      </c>
      <c r="K26" s="57">
        <f t="shared" si="3"/>
        <v>4</v>
      </c>
      <c r="L26" s="241">
        <f t="shared" si="4"/>
        <v>21</v>
      </c>
      <c r="M26" s="60">
        <f t="shared" si="5"/>
        <v>2.6990553306342779E-3</v>
      </c>
      <c r="R26" s="162"/>
      <c r="V26"/>
    </row>
    <row r="27" spans="2:23" ht="16" x14ac:dyDescent="0.15">
      <c r="B27" s="52" t="s">
        <v>361</v>
      </c>
      <c r="C27" s="53">
        <f t="shared" si="1"/>
        <v>111</v>
      </c>
      <c r="D27" s="110" cm="1">
        <f t="array" ref="D27">SUM(--(FREQUENCY(IF(TallyPeopleNames=B27,MATCH(TallyDates,TallyDates,0)),ROW(TallyDates)-ROW('Friday Spreadsheet CSV'!$C$3)+1)&gt;0))</f>
        <v>16</v>
      </c>
      <c r="E27" s="54">
        <f t="shared" si="0"/>
        <v>6.9375</v>
      </c>
      <c r="F27" s="53" t="str" cm="1">
        <f t="array" ref="F27">IFERROR(IF($E27=1,INDEX(TallyDrinkType,MATCH($B27,TallyPeopleNames,0)),INDEX(TallyDrinkType,MODE(IF(TallyPeopleNames=$B27,MATCH(TallyDrinkType,TallyDrinkType,0))))),"Joint Top Drink")</f>
        <v>Cider</v>
      </c>
      <c r="G27" s="56" cm="1">
        <f t="array" ref="G27">IF($C27=1,INDEX(TallyScore,MATCH($B27,TallyPeopleNames,0)),MAX(IF(TallyPeopleNames=$B27,TallyScore)))</f>
        <v>9.5</v>
      </c>
      <c r="H27" s="53" cm="1">
        <f t="array" ref="H27">IF($C27=1,INDEX('Friday Spreadsheet CSV'!$K:$K,MATCH($B27,'Friday Spreadsheet CSV'!$B:$B,0)),MIN(IF('Friday Spreadsheet CSV'!$B:$B=$B27,'Friday Spreadsheet CSV'!$K:$K)))</f>
        <v>0.5</v>
      </c>
      <c r="I27" s="53" t="str" cm="1">
        <f t="array" ref="I27">INDEX('Friday Spreadsheet CSV'!$D:$D,MATCH(1,('Friday Spreadsheet CSV'!$B:$B=$B27)*('Friday Spreadsheet CSV'!$K:$K=H27),0))</f>
        <v>Captain Morgan Dark Rum</v>
      </c>
      <c r="J27" s="57">
        <f t="shared" si="2"/>
        <v>5.5855855855855854</v>
      </c>
      <c r="K27" s="57">
        <f t="shared" si="3"/>
        <v>24</v>
      </c>
      <c r="L27" s="241">
        <f t="shared" si="4"/>
        <v>7</v>
      </c>
      <c r="M27" s="60">
        <f t="shared" si="5"/>
        <v>7.4898785425101214E-2</v>
      </c>
      <c r="R27" s="162"/>
      <c r="V27"/>
    </row>
    <row r="28" spans="2:23" ht="16" x14ac:dyDescent="0.15">
      <c r="B28" s="52" t="s">
        <v>1120</v>
      </c>
      <c r="C28" s="53">
        <f t="shared" si="1"/>
        <v>21</v>
      </c>
      <c r="D28" s="110" cm="1">
        <f t="array" ref="D28">SUM(--(FREQUENCY(IF(TallyPeopleNames=B28,MATCH(TallyDates,TallyDates,0)),ROW(TallyDates)-ROW('Friday Spreadsheet CSV'!$C$3)+1)&gt;0))</f>
        <v>5</v>
      </c>
      <c r="E28" s="54">
        <f t="shared" si="0"/>
        <v>4.2</v>
      </c>
      <c r="F28" s="53" t="str" cm="1">
        <f t="array" ref="F28">IFERROR(IF($E28=1,INDEX(TallyDrinkType,MATCH($B28,TallyPeopleNames,0)),INDEX(TallyDrinkType,MODE(IF(TallyPeopleNames=$B28,MATCH(TallyDrinkType,TallyDrinkType,0))))),"Joint Top Drink")</f>
        <v>Wine</v>
      </c>
      <c r="G28" s="56" cm="1">
        <f t="array" ref="G28">IF($C28=1,INDEX(TallyScore,MATCH($B28,TallyPeopleNames,0)),MAX(IF(TallyPeopleNames=$B28,TallyScore)))</f>
        <v>9.5</v>
      </c>
      <c r="H28" s="53" cm="1">
        <f t="array" ref="H28">IF($C28=1,INDEX('Friday Spreadsheet CSV'!$K:$K,MATCH($B28,'Friday Spreadsheet CSV'!$B:$B,0)),MIN(IF('Friday Spreadsheet CSV'!$B:$B=$B28,'Friday Spreadsheet CSV'!$K:$K)))</f>
        <v>1</v>
      </c>
      <c r="I28" s="53" t="str" cm="1">
        <f t="array" ref="I28">INDEX('Friday Spreadsheet CSV'!$D:$D,MATCH(1,('Friday Spreadsheet CSV'!$B:$B=$B28)*('Friday Spreadsheet CSV'!$K:$K=H28),0))</f>
        <v>Sipsmith Lemon Drizzle Gin</v>
      </c>
      <c r="J28" s="57">
        <f t="shared" si="2"/>
        <v>5.2619047619047619</v>
      </c>
      <c r="K28" s="57">
        <f t="shared" si="3"/>
        <v>27</v>
      </c>
      <c r="L28" s="241">
        <f t="shared" si="4"/>
        <v>13</v>
      </c>
      <c r="M28" s="60">
        <f t="shared" si="5"/>
        <v>1.417004048582996E-2</v>
      </c>
      <c r="R28" s="162"/>
      <c r="V28"/>
    </row>
    <row r="29" spans="2:23" ht="16" x14ac:dyDescent="0.15">
      <c r="B29" s="52" t="s">
        <v>2881</v>
      </c>
      <c r="C29" s="53">
        <f t="shared" si="1"/>
        <v>2</v>
      </c>
      <c r="D29" s="110" cm="1">
        <f t="array" ref="D29">SUM(--(FREQUENCY(IF(TallyPeopleNames=B29,MATCH(TallyDates,TallyDates,0)),ROW(TallyDates)-ROW('Friday Spreadsheet CSV'!$C$3)+1)&gt;0))</f>
        <v>2</v>
      </c>
      <c r="E29" s="54">
        <f>SUM(C29/D29)</f>
        <v>1</v>
      </c>
      <c r="F29" s="53" t="str" cm="1">
        <f t="array" ref="F29">IFERROR(IF($E29=1,INDEX(TallyDrinkType,MATCH($B29,TallyPeopleNames,0)),INDEX(TallyDrinkType,MODE(IF(TallyPeopleNames=$B29,MATCH(TallyDrinkType,TallyDrinkType,0))))),"Joint Top Drink")</f>
        <v>Wine</v>
      </c>
      <c r="G29" s="56" cm="1">
        <f t="array" ref="G29">IF($C29=1,INDEX(TallyScore,MATCH($B29,TallyPeopleNames,0)),MAX(IF(TallyPeopleNames=$B29,TallyScore)))</f>
        <v>10</v>
      </c>
      <c r="H29" s="53" cm="1">
        <f t="array" ref="H29">IF($C29=1,INDEX('Friday Spreadsheet CSV'!$K:$K,MATCH($B29,'Friday Spreadsheet CSV'!$B:$B,0)),MIN(IF('Friday Spreadsheet CSV'!$B:$B=$B29,'Friday Spreadsheet CSV'!$K:$K)))</f>
        <v>8</v>
      </c>
      <c r="I29" s="53" t="str" cm="1">
        <f t="array" ref="I29">INDEX('Friday Spreadsheet CSV'!$D:$D,MATCH(1,('Friday Spreadsheet CSV'!$B:$B=$B29)*('Friday Spreadsheet CSV'!$K:$K=H29),0))</f>
        <v>Alluria Organic Pinot Grigio 2019</v>
      </c>
      <c r="J29" s="57">
        <f t="shared" si="2"/>
        <v>9</v>
      </c>
      <c r="K29" s="57">
        <f t="shared" si="3"/>
        <v>1</v>
      </c>
      <c r="L29" s="241">
        <f t="shared" si="4"/>
        <v>25</v>
      </c>
      <c r="M29" s="60">
        <f t="shared" si="5"/>
        <v>1.3495276653171389E-3</v>
      </c>
      <c r="R29" s="162"/>
      <c r="V29"/>
    </row>
    <row r="30" spans="2:23" ht="16" x14ac:dyDescent="0.15">
      <c r="B30" s="52" t="s">
        <v>2879</v>
      </c>
      <c r="C30" s="53">
        <f t="shared" si="1"/>
        <v>3</v>
      </c>
      <c r="D30" s="110" cm="1">
        <f t="array" ref="D30">SUM(--(FREQUENCY(IF(TallyPeopleNames=B30,MATCH(TallyDates,TallyDates,0)),ROW(TallyDates)-ROW('Friday Spreadsheet CSV'!$C$3)+1)&gt;0))</f>
        <v>2</v>
      </c>
      <c r="E30" s="54">
        <f>SUM(C30/D30)</f>
        <v>1.5</v>
      </c>
      <c r="F30" s="53" t="str" cm="1">
        <f t="array" ref="F30">IFERROR(IF($E30=1,INDEX(TallyDrinkType,MATCH($B30,TallyPeopleNames,0)),INDEX(TallyDrinkType,MODE(IF(TallyPeopleNames=$B30,MATCH(TallyDrinkType,TallyDrinkType,0))))),"Joint Top Drink")</f>
        <v>Wine</v>
      </c>
      <c r="G30" s="56" cm="1">
        <f t="array" ref="G30">IF($C30=1,INDEX(TallyScore,MATCH($B30,TallyPeopleNames,0)),MAX(IF(TallyPeopleNames=$B30,TallyScore)))</f>
        <v>9.5</v>
      </c>
      <c r="H30" s="53" cm="1">
        <f t="array" ref="H30">IF($C30=1,INDEX('Friday Spreadsheet CSV'!$K:$K,MATCH($B30,'Friday Spreadsheet CSV'!$B:$B,0)),MIN(IF('Friday Spreadsheet CSV'!$B:$B=$B30,'Friday Spreadsheet CSV'!$K:$K)))</f>
        <v>7</v>
      </c>
      <c r="I30" s="53" t="str" cm="1">
        <f t="array" ref="I30">INDEX('Friday Spreadsheet CSV'!$D:$D,MATCH(1,('Friday Spreadsheet CSV'!$B:$B=$B30)*('Friday Spreadsheet CSV'!$K:$K=H30),0))</f>
        <v>Mud House Sav Blanc Rose 2019</v>
      </c>
      <c r="J30" s="57">
        <f t="shared" si="2"/>
        <v>8.5</v>
      </c>
      <c r="K30" s="57">
        <f t="shared" si="3"/>
        <v>5</v>
      </c>
      <c r="L30" s="241">
        <f t="shared" si="4"/>
        <v>24</v>
      </c>
      <c r="M30" s="60">
        <f t="shared" si="5"/>
        <v>2.0242914979757085E-3</v>
      </c>
      <c r="R30" s="162"/>
      <c r="V30"/>
    </row>
    <row r="31" spans="2:23" ht="16" x14ac:dyDescent="0.15">
      <c r="B31" s="52" t="s">
        <v>3296</v>
      </c>
      <c r="C31" s="53"/>
      <c r="D31" s="110"/>
      <c r="E31" s="54"/>
      <c r="F31" s="53"/>
      <c r="G31" s="56"/>
      <c r="H31" s="53"/>
      <c r="I31" s="53"/>
      <c r="J31" s="57"/>
      <c r="K31" s="57"/>
      <c r="L31" s="259"/>
      <c r="M31" s="260"/>
      <c r="R31" s="162"/>
      <c r="V31"/>
    </row>
    <row r="32" spans="2:23" ht="17" thickBot="1" x14ac:dyDescent="0.2">
      <c r="B32" s="52" t="s">
        <v>3720</v>
      </c>
      <c r="C32" s="53"/>
      <c r="D32" s="110"/>
      <c r="E32" s="54"/>
      <c r="F32" s="53"/>
      <c r="G32" s="56"/>
      <c r="H32" s="53"/>
      <c r="I32" s="53"/>
      <c r="J32" s="57"/>
      <c r="K32" s="57"/>
      <c r="L32" s="259"/>
      <c r="M32" s="260"/>
      <c r="R32" s="162"/>
      <c r="V32"/>
    </row>
    <row r="33" spans="2:22" thickBot="1" x14ac:dyDescent="0.2">
      <c r="B33" s="63" t="s">
        <v>83</v>
      </c>
      <c r="C33" s="64">
        <f>SUM(C3:C30)</f>
        <v>1482</v>
      </c>
      <c r="D33" s="15">
        <f>MAX(D3:D30)</f>
        <v>25</v>
      </c>
      <c r="E33" s="240">
        <f>AVERAGE(E3:E30)</f>
        <v>4.0445458841431314</v>
      </c>
      <c r="F33" s="65" t="str" cm="1">
        <f t="array" ref="F33">INDEX('Friday Spreadsheet CSV'!E:E,MODE(IF('Friday Spreadsheet CSV'!E:E&lt;&gt;"",MATCH('Friday Spreadsheet CSV'!E:E,'Friday Spreadsheet CSV'!E:E,0))))</f>
        <v>Beer</v>
      </c>
      <c r="G33" s="66"/>
      <c r="H33" s="67">
        <f>MIN('Friday Spreadsheet CSV'!I:I)</f>
        <v>0</v>
      </c>
      <c r="I33" s="68" t="str">
        <f>INDEX('Friday Spreadsheet CSV'!D:D,MATCH(MIN('Friday Spreadsheet CSV'!K:K),'Friday Spreadsheet CSV'!K:K,0))</f>
        <v>Brew York Rhubarbara Streisand</v>
      </c>
      <c r="J33" s="67">
        <f>AVERAGE('Friday Spreadsheet CSV'!K:K)</f>
        <v>6.1727985524728588</v>
      </c>
      <c r="K33" s="67"/>
      <c r="L33" s="67"/>
      <c r="M33" s="242">
        <f t="shared" si="5"/>
        <v>1</v>
      </c>
      <c r="R33" s="162"/>
      <c r="V33"/>
    </row>
    <row r="34" spans="2:22" x14ac:dyDescent="0.2">
      <c r="B34" s="25"/>
      <c r="C34" s="39"/>
      <c r="D34" s="26"/>
      <c r="E34" s="25"/>
      <c r="F34" s="40"/>
      <c r="G34" s="40"/>
      <c r="H34" s="25"/>
      <c r="I34" s="25"/>
      <c r="J34" s="40"/>
      <c r="K34" s="25"/>
      <c r="L34" s="25"/>
      <c r="M34" s="40"/>
      <c r="N34" s="25"/>
      <c r="O34" s="25"/>
      <c r="P34" s="41"/>
      <c r="Q34" s="42"/>
    </row>
    <row r="35" spans="2:22" ht="15" customHeight="1" x14ac:dyDescent="0.2">
      <c r="B35" s="69" t="s">
        <v>1328</v>
      </c>
      <c r="C35" s="29"/>
      <c r="D35" s="29"/>
      <c r="E35" s="29"/>
      <c r="F35" s="29"/>
    </row>
    <row r="36" spans="2:22" ht="15.75" customHeight="1" x14ac:dyDescent="0.15">
      <c r="B36" s="29" t="s">
        <v>420</v>
      </c>
      <c r="C36" s="29"/>
      <c r="D36" s="29"/>
      <c r="E36" s="29"/>
      <c r="F36" s="29"/>
    </row>
    <row r="37" spans="2:22" ht="15.75" customHeight="1" x14ac:dyDescent="0.15">
      <c r="B37" s="29" t="s">
        <v>189</v>
      </c>
      <c r="C37" s="29"/>
      <c r="D37" s="29"/>
      <c r="E37" s="29"/>
      <c r="F37" s="29"/>
    </row>
    <row r="38" spans="2:22" ht="15.75" customHeight="1" x14ac:dyDescent="0.15">
      <c r="B38" s="29" t="s">
        <v>61</v>
      </c>
      <c r="C38" s="29"/>
      <c r="D38" s="29"/>
      <c r="E38" s="29"/>
      <c r="F38" s="29"/>
      <c r="K38" s="29"/>
    </row>
    <row r="39" spans="2:22" ht="15.75" customHeight="1" x14ac:dyDescent="0.15">
      <c r="B39" s="29" t="s">
        <v>1120</v>
      </c>
      <c r="C39" s="29"/>
      <c r="D39" s="29"/>
      <c r="E39" s="29"/>
      <c r="F39" s="29"/>
      <c r="L39" s="29"/>
    </row>
    <row r="40" spans="2:22" ht="15.75" customHeight="1" thickBot="1" x14ac:dyDescent="0.2">
      <c r="B40" s="29"/>
      <c r="C40" s="29"/>
      <c r="D40" s="29"/>
      <c r="E40" s="29"/>
      <c r="F40" s="29"/>
      <c r="L40" s="29"/>
    </row>
    <row r="41" spans="2:22" ht="15.75" customHeight="1" thickBot="1" x14ac:dyDescent="0.2">
      <c r="B41" s="36" t="s">
        <v>1327</v>
      </c>
      <c r="C41" s="43" t="str">
        <f>$B$36</f>
        <v>Ed Saunders</v>
      </c>
      <c r="D41" s="43" t="str">
        <f>$B$37</f>
        <v>Dawn Jones</v>
      </c>
      <c r="E41" s="43" t="str">
        <f>$B$38</f>
        <v>Caroline Draper</v>
      </c>
      <c r="F41" s="37" t="str">
        <f>$B$39</f>
        <v>Nia Harman</v>
      </c>
      <c r="G41" s="38"/>
      <c r="L41" s="29"/>
    </row>
    <row r="42" spans="2:22" ht="15.75" customHeight="1" thickBot="1" x14ac:dyDescent="0.2">
      <c r="B42" s="70">
        <f>'By Week'!C3</f>
        <v>43917</v>
      </c>
      <c r="C42" s="173">
        <f>INDEX(WeeklyIndividualDrinksTotalChart,MATCH($B$36,WeeklyIndividualDrinksTotalPeoplesNames,0),MATCH($B42,ByWeekWeeks,0))</f>
        <v>0</v>
      </c>
      <c r="D42" s="174">
        <f t="shared" ref="D42:D66" si="6">INDEX(WeeklyIndividualDrinksTotalChart,MATCH($B$37,WeeklyIndividualDrinksTotalPeoplesNames,0),MATCH($B42,ByWeekWeeks,0))</f>
        <v>0</v>
      </c>
      <c r="E42" s="174">
        <f t="shared" ref="E42:E66" si="7">INDEX(WeeklyIndividualDrinksTotalChart,MATCH($B$38,WeeklyIndividualDrinksTotalPeoplesNames,0),MATCH($B42,ByWeekWeeks,0))</f>
        <v>0</v>
      </c>
      <c r="F42" s="175">
        <f t="shared" ref="F42:F66" si="8">INDEX(WeeklyIndividualDrinksTotalChart,MATCH($B$39,WeeklyIndividualDrinksTotalPeoplesNames,0),MATCH($B42,ByWeekWeeks,0))</f>
        <v>0</v>
      </c>
      <c r="L42" s="29"/>
    </row>
    <row r="43" spans="2:22" ht="15.75" customHeight="1" thickBot="1" x14ac:dyDescent="0.2">
      <c r="B43" s="70">
        <f>'By Week'!D3</f>
        <v>43924</v>
      </c>
      <c r="C43" s="176">
        <f t="shared" ref="C43:C66" si="9">INDEX(WeeklyIndividualDrinksTotalChart,MATCH($B$36,WeeklyIndividualDrinksTotalPeoplesNames,0),MATCH($B43,ByWeekWeeks,0))</f>
        <v>0</v>
      </c>
      <c r="D43" s="44">
        <f t="shared" si="6"/>
        <v>2</v>
      </c>
      <c r="E43" s="44">
        <f t="shared" si="7"/>
        <v>0</v>
      </c>
      <c r="F43" s="177">
        <f t="shared" si="8"/>
        <v>0</v>
      </c>
      <c r="L43" s="29"/>
    </row>
    <row r="44" spans="2:22" ht="15.75" customHeight="1" thickBot="1" x14ac:dyDescent="0.2">
      <c r="B44" s="70">
        <f>'By Week'!E3</f>
        <v>43931</v>
      </c>
      <c r="C44" s="176">
        <f t="shared" si="9"/>
        <v>0</v>
      </c>
      <c r="D44" s="44">
        <f t="shared" si="6"/>
        <v>3</v>
      </c>
      <c r="E44" s="44">
        <f t="shared" si="7"/>
        <v>6</v>
      </c>
      <c r="F44" s="177">
        <f t="shared" si="8"/>
        <v>0</v>
      </c>
      <c r="L44" s="29"/>
    </row>
    <row r="45" spans="2:22" ht="15.75" customHeight="1" thickBot="1" x14ac:dyDescent="0.2">
      <c r="B45" s="70">
        <f>'By Week'!F3</f>
        <v>43938</v>
      </c>
      <c r="C45" s="176">
        <f t="shared" si="9"/>
        <v>0</v>
      </c>
      <c r="D45" s="44">
        <f t="shared" si="6"/>
        <v>0</v>
      </c>
      <c r="E45" s="44">
        <f t="shared" si="7"/>
        <v>6</v>
      </c>
      <c r="F45" s="177">
        <f t="shared" si="8"/>
        <v>0</v>
      </c>
      <c r="L45" s="29"/>
    </row>
    <row r="46" spans="2:22" ht="15.75" customHeight="1" thickBot="1" x14ac:dyDescent="0.2">
      <c r="B46" s="70">
        <f>'By Week'!G3</f>
        <v>43945</v>
      </c>
      <c r="C46" s="176">
        <f t="shared" si="9"/>
        <v>0</v>
      </c>
      <c r="D46" s="44">
        <f t="shared" si="6"/>
        <v>2</v>
      </c>
      <c r="E46" s="44">
        <f t="shared" si="7"/>
        <v>7</v>
      </c>
      <c r="F46" s="177">
        <f t="shared" si="8"/>
        <v>0</v>
      </c>
      <c r="L46" s="29"/>
    </row>
    <row r="47" spans="2:22" ht="15.75" customHeight="1" thickBot="1" x14ac:dyDescent="0.2">
      <c r="B47" s="70">
        <f>'By Week'!H3</f>
        <v>43952</v>
      </c>
      <c r="C47" s="176">
        <f t="shared" si="9"/>
        <v>5</v>
      </c>
      <c r="D47" s="44">
        <f t="shared" si="6"/>
        <v>0</v>
      </c>
      <c r="E47" s="44">
        <f t="shared" si="7"/>
        <v>5</v>
      </c>
      <c r="F47" s="177">
        <f t="shared" si="8"/>
        <v>0</v>
      </c>
      <c r="L47" s="29"/>
    </row>
    <row r="48" spans="2:22" ht="15.75" customHeight="1" thickBot="1" x14ac:dyDescent="0.2">
      <c r="B48" s="70">
        <f>'By Week'!I3</f>
        <v>43959</v>
      </c>
      <c r="C48" s="176">
        <f t="shared" si="9"/>
        <v>0</v>
      </c>
      <c r="D48" s="44">
        <f t="shared" si="6"/>
        <v>0</v>
      </c>
      <c r="E48" s="44">
        <f t="shared" si="7"/>
        <v>7</v>
      </c>
      <c r="F48" s="177">
        <f t="shared" si="8"/>
        <v>0</v>
      </c>
      <c r="L48" s="29"/>
    </row>
    <row r="49" spans="1:12" ht="15.75" customHeight="1" thickBot="1" x14ac:dyDescent="0.2">
      <c r="B49" s="70">
        <f>'By Week'!J3</f>
        <v>43966</v>
      </c>
      <c r="C49" s="176">
        <f t="shared" si="9"/>
        <v>9</v>
      </c>
      <c r="D49" s="44">
        <f t="shared" si="6"/>
        <v>0</v>
      </c>
      <c r="E49" s="44">
        <f t="shared" si="7"/>
        <v>6</v>
      </c>
      <c r="F49" s="177">
        <f t="shared" si="8"/>
        <v>0</v>
      </c>
      <c r="L49" s="29"/>
    </row>
    <row r="50" spans="1:12" ht="15.75" customHeight="1" thickBot="1" x14ac:dyDescent="0.2">
      <c r="B50" s="70">
        <f>'By Week'!K3</f>
        <v>43973</v>
      </c>
      <c r="C50" s="176">
        <f t="shared" si="9"/>
        <v>0</v>
      </c>
      <c r="D50" s="44">
        <f t="shared" si="6"/>
        <v>6</v>
      </c>
      <c r="E50" s="44">
        <f t="shared" si="7"/>
        <v>7</v>
      </c>
      <c r="F50" s="177">
        <f t="shared" si="8"/>
        <v>0</v>
      </c>
      <c r="L50" s="29"/>
    </row>
    <row r="51" spans="1:12" ht="15.75" customHeight="1" thickBot="1" x14ac:dyDescent="0.2">
      <c r="B51" s="70">
        <f>'By Week'!L3</f>
        <v>43980</v>
      </c>
      <c r="C51" s="176">
        <f t="shared" si="9"/>
        <v>10</v>
      </c>
      <c r="D51" s="44">
        <f t="shared" si="6"/>
        <v>0</v>
      </c>
      <c r="E51" s="44">
        <f t="shared" si="7"/>
        <v>6</v>
      </c>
      <c r="F51" s="177">
        <f t="shared" si="8"/>
        <v>0</v>
      </c>
      <c r="L51" s="29"/>
    </row>
    <row r="52" spans="1:12" ht="15.75" customHeight="1" thickBot="1" x14ac:dyDescent="0.2">
      <c r="B52" s="70">
        <f>'By Week'!M3</f>
        <v>43987</v>
      </c>
      <c r="C52" s="176">
        <f t="shared" si="9"/>
        <v>0</v>
      </c>
      <c r="D52" s="44">
        <f t="shared" si="6"/>
        <v>0</v>
      </c>
      <c r="E52" s="44">
        <f t="shared" si="7"/>
        <v>7</v>
      </c>
      <c r="F52" s="177">
        <f t="shared" si="8"/>
        <v>0</v>
      </c>
      <c r="L52" s="29"/>
    </row>
    <row r="53" spans="1:12" ht="15.75" customHeight="1" thickBot="1" x14ac:dyDescent="0.2">
      <c r="B53" s="70">
        <f>'By Week'!N3</f>
        <v>43994</v>
      </c>
      <c r="C53" s="176">
        <f t="shared" si="9"/>
        <v>8</v>
      </c>
      <c r="D53" s="44">
        <f t="shared" si="6"/>
        <v>9</v>
      </c>
      <c r="E53" s="44">
        <f t="shared" si="7"/>
        <v>8</v>
      </c>
      <c r="F53" s="177">
        <f t="shared" si="8"/>
        <v>0</v>
      </c>
    </row>
    <row r="54" spans="1:12" ht="15.75" customHeight="1" thickBot="1" x14ac:dyDescent="0.2">
      <c r="B54" s="70">
        <f>'By Week'!O3</f>
        <v>44001</v>
      </c>
      <c r="C54" s="176">
        <f t="shared" si="9"/>
        <v>0</v>
      </c>
      <c r="D54" s="44">
        <f t="shared" si="6"/>
        <v>0</v>
      </c>
      <c r="E54" s="44">
        <f t="shared" si="7"/>
        <v>6</v>
      </c>
      <c r="F54" s="177">
        <f t="shared" si="8"/>
        <v>6</v>
      </c>
    </row>
    <row r="55" spans="1:12" ht="15.75" customHeight="1" thickBot="1" x14ac:dyDescent="0.2">
      <c r="B55" s="70">
        <f>'By Week'!P3</f>
        <v>44008</v>
      </c>
      <c r="C55" s="176">
        <f t="shared" si="9"/>
        <v>14</v>
      </c>
      <c r="D55" s="44">
        <f t="shared" si="6"/>
        <v>1</v>
      </c>
      <c r="E55" s="44">
        <f t="shared" si="7"/>
        <v>8</v>
      </c>
      <c r="F55" s="177">
        <f t="shared" si="8"/>
        <v>7</v>
      </c>
    </row>
    <row r="56" spans="1:12" ht="15.75" customHeight="1" thickBot="1" x14ac:dyDescent="0.2">
      <c r="B56" s="109">
        <v>44015</v>
      </c>
      <c r="C56" s="176">
        <f t="shared" si="9"/>
        <v>0</v>
      </c>
      <c r="D56" s="44">
        <f t="shared" si="6"/>
        <v>0</v>
      </c>
      <c r="E56" s="44">
        <f t="shared" si="7"/>
        <v>7</v>
      </c>
      <c r="F56" s="177">
        <f t="shared" si="8"/>
        <v>0</v>
      </c>
    </row>
    <row r="57" spans="1:12" ht="15.75" customHeight="1" thickBot="1" x14ac:dyDescent="0.2">
      <c r="B57" s="109">
        <v>44022</v>
      </c>
      <c r="C57" s="176">
        <f t="shared" si="9"/>
        <v>0</v>
      </c>
      <c r="D57" s="44">
        <f t="shared" si="6"/>
        <v>0</v>
      </c>
      <c r="E57" s="44">
        <f t="shared" si="7"/>
        <v>3</v>
      </c>
      <c r="F57" s="177">
        <f t="shared" si="8"/>
        <v>3</v>
      </c>
    </row>
    <row r="58" spans="1:12" ht="15.75" customHeight="1" thickBot="1" x14ac:dyDescent="0.2">
      <c r="A58" s="45"/>
      <c r="B58" s="109">
        <v>44029</v>
      </c>
      <c r="C58" s="176">
        <f t="shared" si="9"/>
        <v>0</v>
      </c>
      <c r="D58" s="44">
        <f t="shared" si="6"/>
        <v>2</v>
      </c>
      <c r="E58" s="44">
        <f t="shared" si="7"/>
        <v>2</v>
      </c>
      <c r="F58" s="177">
        <f t="shared" si="8"/>
        <v>2</v>
      </c>
    </row>
    <row r="59" spans="1:12" ht="15.75" customHeight="1" thickBot="1" x14ac:dyDescent="0.2">
      <c r="A59" s="45"/>
      <c r="B59" s="109">
        <v>44036</v>
      </c>
      <c r="C59" s="176">
        <f t="shared" si="9"/>
        <v>0</v>
      </c>
      <c r="D59" s="44">
        <f t="shared" si="6"/>
        <v>1</v>
      </c>
      <c r="E59" s="44">
        <f t="shared" si="7"/>
        <v>0</v>
      </c>
      <c r="F59" s="177">
        <f t="shared" si="8"/>
        <v>0</v>
      </c>
    </row>
    <row r="60" spans="1:12" ht="15.75" customHeight="1" thickBot="1" x14ac:dyDescent="0.2">
      <c r="A60" s="45"/>
      <c r="B60" s="109">
        <v>44043</v>
      </c>
      <c r="C60" s="176">
        <f t="shared" si="9"/>
        <v>0</v>
      </c>
      <c r="D60" s="44">
        <f t="shared" si="6"/>
        <v>4</v>
      </c>
      <c r="E60" s="44">
        <f t="shared" si="7"/>
        <v>4</v>
      </c>
      <c r="F60" s="177">
        <f t="shared" si="8"/>
        <v>0</v>
      </c>
    </row>
    <row r="61" spans="1:12" ht="15.75" customHeight="1" thickBot="1" x14ac:dyDescent="0.2">
      <c r="A61" s="45"/>
      <c r="B61" s="109">
        <v>44050</v>
      </c>
      <c r="C61" s="176">
        <f t="shared" si="9"/>
        <v>0</v>
      </c>
      <c r="D61" s="44">
        <f t="shared" si="6"/>
        <v>0</v>
      </c>
      <c r="E61" s="44">
        <f t="shared" si="7"/>
        <v>6</v>
      </c>
      <c r="F61" s="177">
        <f t="shared" si="8"/>
        <v>0</v>
      </c>
    </row>
    <row r="62" spans="1:12" ht="15.75" customHeight="1" thickBot="1" x14ac:dyDescent="0.2">
      <c r="A62" s="45"/>
      <c r="B62" s="109">
        <v>44057</v>
      </c>
      <c r="C62" s="44">
        <f t="shared" si="9"/>
        <v>0</v>
      </c>
      <c r="D62" s="44">
        <f t="shared" si="6"/>
        <v>3</v>
      </c>
      <c r="E62" s="44">
        <f t="shared" si="7"/>
        <v>3</v>
      </c>
      <c r="F62" s="177">
        <f t="shared" si="8"/>
        <v>3</v>
      </c>
    </row>
    <row r="63" spans="1:12" ht="15.75" customHeight="1" thickBot="1" x14ac:dyDescent="0.2">
      <c r="A63" s="45"/>
      <c r="B63" s="109">
        <v>44064</v>
      </c>
      <c r="C63" s="176">
        <f t="shared" si="9"/>
        <v>2</v>
      </c>
      <c r="D63" s="44">
        <f t="shared" si="6"/>
        <v>2</v>
      </c>
      <c r="E63" s="44">
        <f t="shared" si="7"/>
        <v>0</v>
      </c>
      <c r="F63" s="177">
        <f t="shared" si="8"/>
        <v>0</v>
      </c>
    </row>
    <row r="64" spans="1:12" ht="15.75" customHeight="1" thickBot="1" x14ac:dyDescent="0.2">
      <c r="A64" s="45"/>
      <c r="B64" s="109">
        <v>44071</v>
      </c>
      <c r="C64" s="176">
        <f>INDEX(WeeklyIndividualDrinksTotalChart,MATCH($B$36,WeeklyIndividualDrinksTotalPeoplesNames,0),MATCH($B64,ByWeekWeeks,0))</f>
        <v>0</v>
      </c>
      <c r="D64" s="44">
        <f t="shared" si="6"/>
        <v>1</v>
      </c>
      <c r="E64" s="44">
        <f t="shared" si="7"/>
        <v>4</v>
      </c>
      <c r="F64" s="177">
        <f t="shared" si="8"/>
        <v>0</v>
      </c>
    </row>
    <row r="65" spans="1:6" ht="15.75" customHeight="1" thickBot="1" x14ac:dyDescent="0.2">
      <c r="A65" s="45"/>
      <c r="B65" s="109">
        <v>44078</v>
      </c>
      <c r="C65" s="176">
        <f t="shared" si="9"/>
        <v>0</v>
      </c>
      <c r="D65" s="44">
        <f t="shared" si="6"/>
        <v>2</v>
      </c>
      <c r="E65" s="44">
        <f t="shared" si="7"/>
        <v>0</v>
      </c>
      <c r="F65" s="177">
        <f t="shared" si="8"/>
        <v>0</v>
      </c>
    </row>
    <row r="66" spans="1:6" ht="15.75" customHeight="1" thickBot="1" x14ac:dyDescent="0.2">
      <c r="A66" s="45"/>
      <c r="B66" s="109">
        <v>44085</v>
      </c>
      <c r="C66" s="178">
        <f t="shared" si="9"/>
        <v>0</v>
      </c>
      <c r="D66" s="178">
        <f t="shared" si="6"/>
        <v>4</v>
      </c>
      <c r="E66" s="178">
        <f t="shared" si="7"/>
        <v>0</v>
      </c>
      <c r="F66" s="179">
        <f t="shared" si="8"/>
        <v>0</v>
      </c>
    </row>
    <row r="67" spans="1:6" ht="15.75" customHeight="1" x14ac:dyDescent="0.15">
      <c r="A67" s="45"/>
      <c r="B67" s="45"/>
      <c r="C67" s="45"/>
    </row>
    <row r="68" spans="1:6" ht="15.75" customHeight="1" x14ac:dyDescent="0.15">
      <c r="A68" s="45"/>
      <c r="B68" s="45"/>
      <c r="C68" s="45"/>
    </row>
    <row r="69" spans="1:6" ht="15.75" customHeight="1" x14ac:dyDescent="0.15">
      <c r="A69" s="45"/>
      <c r="B69" s="45"/>
      <c r="C69" s="45"/>
    </row>
    <row r="70" spans="1:6" ht="15.75" customHeight="1" x14ac:dyDescent="0.15">
      <c r="A70" s="45"/>
      <c r="B70" s="45"/>
      <c r="C70" s="45"/>
    </row>
    <row r="71" spans="1:6" ht="15.75" customHeight="1" x14ac:dyDescent="0.15">
      <c r="A71" s="45"/>
      <c r="B71" s="45"/>
      <c r="C71" s="45"/>
    </row>
    <row r="72" spans="1:6" ht="15.75" customHeight="1" x14ac:dyDescent="0.15">
      <c r="A72" s="45"/>
      <c r="B72" s="45"/>
      <c r="C72" s="45"/>
    </row>
    <row r="73" spans="1:6" ht="15.75" customHeight="1" x14ac:dyDescent="0.15">
      <c r="A73" s="45"/>
      <c r="B73" s="45"/>
      <c r="C73" s="45"/>
    </row>
    <row r="74" spans="1:6" ht="15.75" customHeight="1" x14ac:dyDescent="0.15">
      <c r="A74" s="45"/>
      <c r="B74" s="45"/>
      <c r="C74" s="45"/>
    </row>
    <row r="75" spans="1:6" ht="15.75" customHeight="1" x14ac:dyDescent="0.15">
      <c r="A75" s="45"/>
      <c r="B75" s="45"/>
      <c r="C75" s="45"/>
    </row>
    <row r="76" spans="1:6" ht="15.75" customHeight="1" x14ac:dyDescent="0.15">
      <c r="A76" s="45"/>
      <c r="B76" s="45"/>
      <c r="C76" s="45"/>
    </row>
    <row r="77" spans="1:6" ht="15.75" customHeight="1" x14ac:dyDescent="0.15">
      <c r="A77" s="45"/>
      <c r="B77" s="45"/>
      <c r="C77" s="45"/>
    </row>
    <row r="78" spans="1:6" ht="15.75" customHeight="1" x14ac:dyDescent="0.15">
      <c r="A78" s="45"/>
      <c r="B78" s="45"/>
      <c r="C78" s="45"/>
    </row>
    <row r="79" spans="1:6" ht="15.75" customHeight="1" x14ac:dyDescent="0.15">
      <c r="A79" s="45"/>
      <c r="B79" s="45"/>
      <c r="C79" s="45"/>
    </row>
    <row r="80" spans="1:6" ht="15.75" customHeight="1" x14ac:dyDescent="0.15">
      <c r="A80" s="45"/>
      <c r="B80" s="45"/>
      <c r="C80" s="45"/>
    </row>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sheetData>
  <autoFilter ref="B2:P33" xr:uid="{9B11165A-662C-1945-B173-D18EEF33A005}"/>
  <dataValidations count="4">
    <dataValidation type="list" allowBlank="1" sqref="B22:B26" xr:uid="{249DED1B-E0A1-A642-9779-825BCDA937FE}">
      <formula1>$B$3:$B$27</formula1>
    </dataValidation>
    <dataValidation type="list" allowBlank="1" showInputMessage="1" showErrorMessage="1" sqref="B39 B36:B37" xr:uid="{D4122376-0F58-7844-9915-E5ECB9725809}">
      <formula1>$B$2:$B$28</formula1>
    </dataValidation>
    <dataValidation type="list" allowBlank="1" showInputMessage="1" showErrorMessage="1" promptTitle="Choose Drinker" sqref="B38" xr:uid="{5E73CA5A-722E-C34E-9BC8-6E9A1394EF4C}">
      <formula1>$B$2:$B$28</formula1>
    </dataValidation>
    <dataValidation type="list" allowBlank="1" showInputMessage="1" showErrorMessage="1" promptTitle="Person" sqref="O3" xr:uid="{A9A77FAD-7C9D-0C44-B108-ECF5C6B9FC9E}">
      <formula1>$B$2:$B$28</formula1>
    </dataValidation>
  </dataValidations>
  <pageMargins left="0.7" right="0.7" top="0.75" bottom="0.75" header="0" footer="0"/>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5D1F989-A235-DB43-8931-AD101866199F}">
          <x14:formula1>
            <xm:f>Drinks!$B$2:$B$14</xm:f>
          </x14:formula1>
          <xm:sqref>O4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8AEB-935D-EF4F-ACA5-DF2B7CCCCD3D}">
  <dimension ref="B1:L462"/>
  <sheetViews>
    <sheetView zoomScaleNormal="107" workbookViewId="0">
      <selection activeCell="B5" sqref="B5"/>
    </sheetView>
  </sheetViews>
  <sheetFormatPr baseColWidth="10" defaultRowHeight="14" x14ac:dyDescent="0.15"/>
  <cols>
    <col min="2" max="2" width="37.83203125" bestFit="1" customWidth="1"/>
    <col min="3" max="3" width="37.83203125" customWidth="1"/>
    <col min="5" max="5" width="38.6640625" bestFit="1" customWidth="1"/>
    <col min="6" max="6" width="16.83203125" style="124" bestFit="1" customWidth="1"/>
    <col min="7" max="7" width="16.83203125" style="124" customWidth="1"/>
    <col min="8" max="8" width="10.83203125" style="185"/>
    <col min="9" max="9" width="36.83203125" bestFit="1" customWidth="1"/>
    <col min="10" max="10" width="25.33203125" bestFit="1" customWidth="1"/>
    <col min="11" max="11" width="16.83203125" bestFit="1" customWidth="1"/>
    <col min="12" max="12" width="10.83203125" style="184"/>
  </cols>
  <sheetData>
    <row r="1" spans="2:12" ht="15" thickBot="1" x14ac:dyDescent="0.2"/>
    <row r="2" spans="2:12" ht="15" thickBot="1" x14ac:dyDescent="0.2">
      <c r="B2" s="221" t="s">
        <v>2709</v>
      </c>
      <c r="C2" s="222">
        <f>COUNTIF(Brands_All_Brands,"&lt;&gt;0")</f>
        <v>391</v>
      </c>
      <c r="E2" s="196" t="s">
        <v>2582</v>
      </c>
      <c r="F2" s="197" cm="1">
        <f t="array" ref="F2">SUM(--(FREQUENCY(IF(TallyDrinkType={"Beer","Cider"},MATCH(TallyBrands,TallyBrands,0)),ROW(TallyBrands)-ROW('Friday Spreadsheet CSV'!L3)+1)&gt;0))</f>
        <v>239</v>
      </c>
      <c r="G2" s="146"/>
      <c r="J2" s="198" t="s">
        <v>2584</v>
      </c>
      <c r="K2" s="183"/>
    </row>
    <row r="3" spans="2:12" ht="15" thickBot="1" x14ac:dyDescent="0.2"/>
    <row r="4" spans="2:12" ht="15" thickBot="1" x14ac:dyDescent="0.2">
      <c r="B4" s="221" t="s">
        <v>2708</v>
      </c>
      <c r="C4" s="222"/>
      <c r="E4" s="191" t="s">
        <v>2575</v>
      </c>
      <c r="F4" s="192" t="s">
        <v>2</v>
      </c>
      <c r="G4" s="192" t="s">
        <v>2592</v>
      </c>
      <c r="H4" s="193" t="s">
        <v>2583</v>
      </c>
      <c r="J4" s="191" t="s">
        <v>2575</v>
      </c>
      <c r="K4" s="192" t="s">
        <v>2</v>
      </c>
      <c r="L4" s="193" t="s">
        <v>2583</v>
      </c>
    </row>
    <row r="5" spans="2:12" ht="15" x14ac:dyDescent="0.15">
      <c r="B5" s="225" t="str" cm="1">
        <f t="array" ref="B5">IFERROR(IFERROR(IFERROR(INDEX(TallyBrands, MATCH(0, COUNTIF(B$4:$B4, TallyBrands), 0)), INDEX(TallyBrands2, MATCH(0, COUNTIF(B$4:$B4, TallyBrands2), 0))), INDEX(TallyBrands3, MATCH(0, COUNTIF(B$4:$B4, TallyBrands3), 0))),"")</f>
        <v>Sipsmiths</v>
      </c>
      <c r="C5" s="113"/>
      <c r="E5" s="186" t="str" cm="1">
        <f t="array" ref="E5">IFERROR(IFERROR(IFERROR(INDEX(TallyBrands,MATCH(0, _xlfn.IFS("Beer"=TallyDrinkType,COUNTIF($E$4:$E4,TallyBrands),"Cider"=TallyDrinkType,COUNTIF($E$4:$E4,TallyBrands)),0)),INDEX(TallyBrands2,MATCH(0, _xlfn.IFS("Beer"=TallyDrinkType,COUNTIF($E$4:$E4,TallyBrands2),"Cider"=TallyDrinkType,COUNTIF($E$4:$E4,TallyBrands2)),0))),INDEX(TallyBrands3,MATCH(0, _xlfn.IFS("Beer"=TallyDrinkType,COUNTIF($E$4:$E4,TallyBrands3),"Cider"=TallyDrinkType,COUNTIF($E$4:$E4,TallyBrands3)),0))),"")</f>
        <v>Leffe</v>
      </c>
      <c r="F5" s="227">
        <f t="shared" ref="F5:F36" si="0">COUNTIFS(TallyBrands, $E5,TallyDrinkType, "Beer") + COUNTIFS(TallyBrands,$E5,TallyDrinkType, "Cider")+COUNTIFS(TallyBrands2, $E5,TallyDrinkType, "Beer") + COUNTIFS(TallyBrands2,$E5,TallyDrinkType, "Cider")+COUNTIFS(TallyBrands3, $E5,TallyDrinkType, "Beer") + COUNTIFS(TallyBrands3,$E5,TallyDrinkType, "Cider")</f>
        <v>3</v>
      </c>
      <c r="G5" s="195">
        <f t="shared" ref="G5:G68" si="1">COUNTIFS(TallyBrands,$E5,TallyBrands2,"&lt;&gt;")+COUNTIFS(TallyBrands2,$E5,TallyBrands,"&lt;&gt;")+COUNTIFS(TallyBrands3,$E5,TallyBrands2,"&lt;&gt;",TallyBrands,"&lt;&gt;")</f>
        <v>0</v>
      </c>
      <c r="H5" s="229">
        <f t="shared" ref="H5:H68" si="2">(SUMIFS(TallyScore,TallyBrands,$E5,TallyDrinkType,"Beer")+SUMIFS(TallyScore,TallyBrands,$E5,TallyDrinkType,"Cider")+SUMIFS(TallyScore,TallyBrands2,$E5,TallyDrinkType,"Beer")+SUMIFS(TallyScore,TallyBrands2,$E5,TallyDrinkType,"Cider")+SUMIFS(TallyScore,TallyBrands3,$E5,TallyDrinkType,"Beer")+SUMIFS(TallyScore,TallyBrands3,$E5,TallyDrinkType,"Cider"))/$F5</f>
        <v>7</v>
      </c>
      <c r="I5" s="220"/>
      <c r="J5" s="186" t="str" cm="1">
        <f t="array" ref="J5">INDEX(Brands_Brand_Name,SMALL(IF(Brands_Number_Of_Drinks&gt;=10,ROW(Brands_Brand_Name)),ROW(1:1))-4,1)</f>
        <v>Tiny Rebel</v>
      </c>
      <c r="K5" s="45">
        <f t="shared" ref="K5:K15" si="3">INDEX(Brands_Main_Table,MATCH($J5,Brands_Brand_Name,0),2)</f>
        <v>15</v>
      </c>
      <c r="L5" s="187">
        <f t="shared" ref="L5:L15" si="4">INDEX(Brands_Main_Table,MATCH($J5,Brands_Brand_Name,0),4)</f>
        <v>6.2666666666666666</v>
      </c>
    </row>
    <row r="6" spans="2:12" ht="15" x14ac:dyDescent="0.15">
      <c r="B6" s="226" t="str" cm="1">
        <f t="array" ref="B6">IFERROR(IFERROR(IFERROR(INDEX(TallyBrands, MATCH(0, COUNTIF(B$4:$B5, TallyBrands), 0)), INDEX(TallyBrands2, MATCH(0, COUNTIF(B$4:$B5, TallyBrands2), 0))), INDEX(TallyBrands3, MATCH(0, COUNTIF(B$4:$B5, TallyBrands3), 0))),"")</f>
        <v>Suffolk Distillery</v>
      </c>
      <c r="C6" s="113"/>
      <c r="E6" s="186" t="str" cm="1">
        <f t="array" ref="E6">IFERROR(IFERROR(IFERROR(INDEX(TallyBrands,MATCH(0, _xlfn.IFS("Beer"=TallyDrinkType,COUNTIF($E$4:$E5,TallyBrands),"Cider"=TallyDrinkType,COUNTIF($E$4:$E5,TallyBrands)),0)),INDEX(TallyBrands2,MATCH(0, _xlfn.IFS("Beer"=TallyDrinkType,COUNTIF($E$4:$E5,TallyBrands2),"Cider"=TallyDrinkType,COUNTIF($E$4:$E5,TallyBrands2)),0))),INDEX(TallyBrands3,MATCH(0, _xlfn.IFS("Beer"=TallyDrinkType,COUNTIF($E$4:$E5,TallyBrands3),"Cider"=TallyDrinkType,COUNTIF($E$4:$E5,TallyBrands3)),0))),"")</f>
        <v>Tiny Rebel</v>
      </c>
      <c r="F6" s="228">
        <f t="shared" si="0"/>
        <v>15</v>
      </c>
      <c r="G6" s="195">
        <f t="shared" si="1"/>
        <v>0</v>
      </c>
      <c r="H6" s="230">
        <f t="shared" si="2"/>
        <v>6.2666666666666666</v>
      </c>
      <c r="I6" s="220"/>
      <c r="J6" s="231" t="str" cm="1">
        <f t="array" ref="J6">INDEX(Brands_Brand_Name,SMALL(IF(Brands_Number_Of_Drinks&gt;=10,ROW(Brands_Brand_Name)),ROW(2:2))-4,1)</f>
        <v>Kopparberg</v>
      </c>
      <c r="K6" s="45">
        <f t="shared" si="3"/>
        <v>17</v>
      </c>
      <c r="L6" s="187">
        <f t="shared" si="4"/>
        <v>6.9411764705882355</v>
      </c>
    </row>
    <row r="7" spans="2:12" ht="15" x14ac:dyDescent="0.15">
      <c r="B7" s="226" t="str" cm="1">
        <f t="array" ref="B7">IFERROR(IFERROR(IFERROR(INDEX(TallyBrands, MATCH(0, COUNTIF(B$4:$B6, TallyBrands), 0)), INDEX(TallyBrands2, MATCH(0, COUNTIF(B$4:$B6, TallyBrands2), 0))), INDEX(TallyBrands3, MATCH(0, COUNTIF(B$4:$B6, TallyBrands3), 0))),"")</f>
        <v>Leffe</v>
      </c>
      <c r="C7" s="113"/>
      <c r="E7" s="186" t="str" cm="1">
        <f t="array" ref="E7">IFERROR(IFERROR(IFERROR(INDEX(TallyBrands,MATCH(0, _xlfn.IFS("Beer"=TallyDrinkType,COUNTIF($E$4:$E6,TallyBrands),"Cider"=TallyDrinkType,COUNTIF($E$4:$E6,TallyBrands)),0)),INDEX(TallyBrands2,MATCH(0, _xlfn.IFS("Beer"=TallyDrinkType,COUNTIF($E$4:$E6,TallyBrands2),"Cider"=TallyDrinkType,COUNTIF($E$4:$E6,TallyBrands2)),0))),INDEX(TallyBrands3,MATCH(0, _xlfn.IFS("Beer"=TallyDrinkType,COUNTIF($E$4:$E6,TallyBrands3),"Cider"=TallyDrinkType,COUNTIF($E$4:$E6,TallyBrands3)),0))),"")</f>
        <v>Bavaria</v>
      </c>
      <c r="F7" s="228">
        <f t="shared" si="0"/>
        <v>2</v>
      </c>
      <c r="G7" s="195">
        <f t="shared" si="1"/>
        <v>0</v>
      </c>
      <c r="H7" s="230">
        <f t="shared" si="2"/>
        <v>4.25</v>
      </c>
      <c r="I7" s="220"/>
      <c r="J7" s="186" t="str" cm="1">
        <f t="array" ref="J7">INDEX(Brands_Brand_Name,SMALL(IF(Brands_Number_Of_Drinks&gt;=10,ROW(Brands_Brand_Name)),ROW(3:3))-4,1)</f>
        <v>Thatchers</v>
      </c>
      <c r="K7" s="45">
        <f t="shared" si="3"/>
        <v>11</v>
      </c>
      <c r="L7" s="187">
        <f t="shared" si="4"/>
        <v>5.6818181818181817</v>
      </c>
    </row>
    <row r="8" spans="2:12" ht="15" x14ac:dyDescent="0.15">
      <c r="B8" s="226" t="str" cm="1">
        <f t="array" ref="B8">IFERROR(IFERROR(IFERROR(INDEX(TallyBrands, MATCH(0, COUNTIF(B$4:$B7, TallyBrands), 0)), INDEX(TallyBrands2, MATCH(0, COUNTIF(B$4:$B7, TallyBrands2), 0))), INDEX(TallyBrands3, MATCH(0, COUNTIF(B$4:$B7, TallyBrands3), 0))),"")</f>
        <v>Topaz Blue</v>
      </c>
      <c r="C8" s="113"/>
      <c r="E8" s="186" t="str" cm="1">
        <f t="array" ref="E8">IFERROR(IFERROR(IFERROR(INDEX(TallyBrands,MATCH(0, _xlfn.IFS("Beer"=TallyDrinkType,COUNTIF($E$4:$E7,TallyBrands),"Cider"=TallyDrinkType,COUNTIF($E$4:$E7,TallyBrands)),0)),INDEX(TallyBrands2,MATCH(0, _xlfn.IFS("Beer"=TallyDrinkType,COUNTIF($E$4:$E7,TallyBrands2),"Cider"=TallyDrinkType,COUNTIF($E$4:$E7,TallyBrands2)),0))),INDEX(TallyBrands3,MATCH(0, _xlfn.IFS("Beer"=TallyDrinkType,COUNTIF($E$4:$E7,TallyBrands3),"Cider"=TallyDrinkType,COUNTIF($E$4:$E7,TallyBrands3)),0))),"")</f>
        <v>Angioletti</v>
      </c>
      <c r="F8" s="228">
        <f t="shared" si="0"/>
        <v>2</v>
      </c>
      <c r="G8" s="195">
        <f t="shared" si="1"/>
        <v>0</v>
      </c>
      <c r="H8" s="230">
        <f t="shared" si="2"/>
        <v>6</v>
      </c>
      <c r="I8" s="220"/>
      <c r="J8" s="186" t="str" cm="1">
        <f t="array" ref="J8">INDEX(Brands_Brand_Name,SMALL(IF(Brands_Number_Of_Drinks&gt;=10,ROW(Brands_Brand_Name)),ROW(4:4))-4,1)</f>
        <v>Wild Beer</v>
      </c>
      <c r="K8" s="45">
        <f t="shared" si="3"/>
        <v>21</v>
      </c>
      <c r="L8" s="187">
        <f t="shared" si="4"/>
        <v>7</v>
      </c>
    </row>
    <row r="9" spans="2:12" ht="15" x14ac:dyDescent="0.15">
      <c r="B9" s="226" t="str" cm="1">
        <f t="array" ref="B9">IFERROR(IFERROR(IFERROR(INDEX(TallyBrands, MATCH(0, COUNTIF(B$4:$B8, TallyBrands), 0)), INDEX(TallyBrands2, MATCH(0, COUNTIF(B$4:$B8, TallyBrands2), 0))), INDEX(TallyBrands3, MATCH(0, COUNTIF(B$4:$B8, TallyBrands3), 0))),"")</f>
        <v>Anglesey Distillery</v>
      </c>
      <c r="C9" s="113"/>
      <c r="E9" s="186" t="str" cm="1">
        <f t="array" ref="E9">IFERROR(IFERROR(IFERROR(INDEX(TallyBrands,MATCH(0, _xlfn.IFS("Beer"=TallyDrinkType,COUNTIF($E$4:$E8,TallyBrands),"Cider"=TallyDrinkType,COUNTIF($E$4:$E8,TallyBrands)),0)),INDEX(TallyBrands2,MATCH(0, _xlfn.IFS("Beer"=TallyDrinkType,COUNTIF($E$4:$E8,TallyBrands2),"Cider"=TallyDrinkType,COUNTIF($E$4:$E8,TallyBrands2)),0))),INDEX(TallyBrands3,MATCH(0, _xlfn.IFS("Beer"=TallyDrinkType,COUNTIF($E$4:$E8,TallyBrands3),"Cider"=TallyDrinkType,COUNTIF($E$4:$E8,TallyBrands3)),0))),"")</f>
        <v>Sxollie</v>
      </c>
      <c r="F9" s="228">
        <f t="shared" si="0"/>
        <v>6</v>
      </c>
      <c r="G9" s="195">
        <f t="shared" si="1"/>
        <v>0</v>
      </c>
      <c r="H9" s="230">
        <f t="shared" si="2"/>
        <v>6</v>
      </c>
      <c r="I9" s="220"/>
      <c r="J9" s="186" t="str" cm="1">
        <f t="array" ref="J9">INDEX(Brands_Brand_Name,SMALL(IF(Brands_Number_Of_Drinks&gt;=10,ROW(Brands_Brand_Name)),ROW(5:5))-4,1)</f>
        <v>Beavertown</v>
      </c>
      <c r="K9" s="45">
        <f t="shared" si="3"/>
        <v>12</v>
      </c>
      <c r="L9" s="187">
        <f t="shared" si="4"/>
        <v>6.5</v>
      </c>
    </row>
    <row r="10" spans="2:12" ht="15" x14ac:dyDescent="0.15">
      <c r="B10" s="226" t="str" cm="1">
        <f t="array" ref="B10">IFERROR(IFERROR(IFERROR(INDEX(TallyBrands, MATCH(0, COUNTIF(B$4:$B9, TallyBrands), 0)), INDEX(TallyBrands2, MATCH(0, COUNTIF(B$4:$B9, TallyBrands2), 0))), INDEX(TallyBrands3, MATCH(0, COUNTIF(B$4:$B9, TallyBrands3), 0))),"")</f>
        <v>Tipsy Wight</v>
      </c>
      <c r="C10" s="113"/>
      <c r="E10" s="186" t="str" cm="1">
        <f t="array" ref="E10">IFERROR(IFERROR(IFERROR(INDEX(TallyBrands,MATCH(0, _xlfn.IFS("Beer"=TallyDrinkType,COUNTIF($E$4:$E9,TallyBrands),"Cider"=TallyDrinkType,COUNTIF($E$4:$E9,TallyBrands)),0)),INDEX(TallyBrands2,MATCH(0, _xlfn.IFS("Beer"=TallyDrinkType,COUNTIF($E$4:$E9,TallyBrands2),"Cider"=TallyDrinkType,COUNTIF($E$4:$E9,TallyBrands2)),0))),INDEX(TallyBrands3,MATCH(0, _xlfn.IFS("Beer"=TallyDrinkType,COUNTIF($E$4:$E9,TallyBrands3),"Cider"=TallyDrinkType,COUNTIF($E$4:$E9,TallyBrands3)),0))),"")</f>
        <v>Kopparberg</v>
      </c>
      <c r="F10" s="228">
        <f t="shared" si="0"/>
        <v>17</v>
      </c>
      <c r="G10" s="195">
        <f t="shared" si="1"/>
        <v>0</v>
      </c>
      <c r="H10" s="230">
        <f t="shared" si="2"/>
        <v>6.9411764705882355</v>
      </c>
      <c r="I10" s="220"/>
      <c r="J10" s="186" t="str" cm="1">
        <f t="array" ref="J10">INDEX(Brands_Brand_Name,SMALL(IF(Brands_Number_Of_Drinks&gt;=10,ROW(Brands_Brand_Name)),ROW(6:6))-4,1)</f>
        <v>Brewdog</v>
      </c>
      <c r="K10" s="45">
        <f t="shared" si="3"/>
        <v>29</v>
      </c>
      <c r="L10" s="187">
        <f t="shared" si="4"/>
        <v>6.1724137931034484</v>
      </c>
    </row>
    <row r="11" spans="2:12" ht="15" x14ac:dyDescent="0.15">
      <c r="B11" s="226" t="str" cm="1">
        <f t="array" ref="B11">IFERROR(IFERROR(IFERROR(INDEX(TallyBrands, MATCH(0, COUNTIF(B$4:$B10, TallyBrands), 0)), INDEX(TallyBrands2, MATCH(0, COUNTIF(B$4:$B10, TallyBrands2), 0))), INDEX(TallyBrands3, MATCH(0, COUNTIF(B$4:$B10, TallyBrands3), 0))),"")</f>
        <v>Glen Moray</v>
      </c>
      <c r="C11" s="113"/>
      <c r="E11" s="186" t="str" cm="1">
        <f t="array" ref="E11">IFERROR(IFERROR(IFERROR(INDEX(TallyBrands,MATCH(0, _xlfn.IFS("Beer"=TallyDrinkType,COUNTIF($E$4:$E10,TallyBrands),"Cider"=TallyDrinkType,COUNTIF($E$4:$E10,TallyBrands)),0)),INDEX(TallyBrands2,MATCH(0, _xlfn.IFS("Beer"=TallyDrinkType,COUNTIF($E$4:$E10,TallyBrands2),"Cider"=TallyDrinkType,COUNTIF($E$4:$E10,TallyBrands2)),0))),INDEX(TallyBrands3,MATCH(0, _xlfn.IFS("Beer"=TallyDrinkType,COUNTIF($E$4:$E10,TallyBrands3),"Cider"=TallyDrinkType,COUNTIF($E$4:$E10,TallyBrands3)),0))),"")</f>
        <v>Rattler Cyder</v>
      </c>
      <c r="F11" s="228">
        <f t="shared" si="0"/>
        <v>2</v>
      </c>
      <c r="G11" s="195">
        <f t="shared" si="1"/>
        <v>0</v>
      </c>
      <c r="H11" s="230">
        <f t="shared" si="2"/>
        <v>5.75</v>
      </c>
      <c r="I11" s="220"/>
      <c r="J11" s="186" t="str" cm="1">
        <f t="array" ref="J11">INDEX(Brands_Brand_Name,SMALL(IF(Brands_Number_Of_Drinks&gt;=10,ROW(Brands_Brand_Name)),ROW(7:7))-4,1)</f>
        <v>Siren</v>
      </c>
      <c r="K11" s="45">
        <f t="shared" si="3"/>
        <v>13</v>
      </c>
      <c r="L11" s="187">
        <f t="shared" si="4"/>
        <v>5.5769230769230766</v>
      </c>
    </row>
    <row r="12" spans="2:12" ht="15" x14ac:dyDescent="0.15">
      <c r="B12" s="226" t="str" cm="1">
        <f t="array" ref="B12">IFERROR(IFERROR(IFERROR(INDEX(TallyBrands, MATCH(0, COUNTIF(B$4:$B11, TallyBrands), 0)), INDEX(TallyBrands2, MATCH(0, COUNTIF(B$4:$B11, TallyBrands2), 0))), INDEX(TallyBrands3, MATCH(0, COUNTIF(B$4:$B11, TallyBrands3), 0))),"")</f>
        <v>Sibling Distillery</v>
      </c>
      <c r="C12" s="113"/>
      <c r="E12" s="186" t="str" cm="1">
        <f t="array" ref="E12">IFERROR(IFERROR(IFERROR(INDEX(TallyBrands,MATCH(0, _xlfn.IFS("Beer"=TallyDrinkType,COUNTIF($E$4:$E11,TallyBrands),"Cider"=TallyDrinkType,COUNTIF($E$4:$E11,TallyBrands)),0)),INDEX(TallyBrands2,MATCH(0, _xlfn.IFS("Beer"=TallyDrinkType,COUNTIF($E$4:$E11,TallyBrands2),"Cider"=TallyDrinkType,COUNTIF($E$4:$E11,TallyBrands2)),0))),INDEX(TallyBrands3,MATCH(0, _xlfn.IFS("Beer"=TallyDrinkType,COUNTIF($E$4:$E11,TallyBrands3),"Cider"=TallyDrinkType,COUNTIF($E$4:$E11,TallyBrands3)),0))),"")</f>
        <v>Thatchers</v>
      </c>
      <c r="F12" s="228">
        <f t="shared" si="0"/>
        <v>11</v>
      </c>
      <c r="G12" s="195">
        <f t="shared" si="1"/>
        <v>0</v>
      </c>
      <c r="H12" s="230">
        <f t="shared" si="2"/>
        <v>5.6818181818181817</v>
      </c>
      <c r="I12" s="220"/>
      <c r="J12" s="186" t="str" cm="1">
        <f t="array" ref="J12">INDEX(Brands_Brand_Name,SMALL(IF(Brands_Number_Of_Drinks&gt;=10,ROW(Brands_Brand_Name)),ROW(8:8))-4,1)</f>
        <v>Fourpure Brewing Company</v>
      </c>
      <c r="K12" s="45">
        <f t="shared" si="3"/>
        <v>22</v>
      </c>
      <c r="L12" s="187">
        <f t="shared" si="4"/>
        <v>6.2954545454545459</v>
      </c>
    </row>
    <row r="13" spans="2:12" ht="15" x14ac:dyDescent="0.15">
      <c r="B13" s="226" t="str" cm="1">
        <f t="array" ref="B13">IFERROR(IFERROR(IFERROR(INDEX(TallyBrands, MATCH(0, COUNTIF(B$4:$B12, TallyBrands), 0)), INDEX(TallyBrands2, MATCH(0, COUNTIF(B$4:$B12, TallyBrands2), 0))), INDEX(TallyBrands3, MATCH(0, COUNTIF(B$4:$B12, TallyBrands3), 0))),"")</f>
        <v>Hendrick's</v>
      </c>
      <c r="C13" s="113"/>
      <c r="E13" s="186" t="str" cm="1">
        <f t="array" ref="E13">IFERROR(IFERROR(IFERROR(INDEX(TallyBrands,MATCH(0, _xlfn.IFS("Beer"=TallyDrinkType,COUNTIF($E$4:$E12,TallyBrands),"Cider"=TallyDrinkType,COUNTIF($E$4:$E12,TallyBrands)),0)),INDEX(TallyBrands2,MATCH(0, _xlfn.IFS("Beer"=TallyDrinkType,COUNTIF($E$4:$E12,TallyBrands2),"Cider"=TallyDrinkType,COUNTIF($E$4:$E12,TallyBrands2)),0))),INDEX(TallyBrands3,MATCH(0, _xlfn.IFS("Beer"=TallyDrinkType,COUNTIF($E$4:$E12,TallyBrands3),"Cider"=TallyDrinkType,COUNTIF($E$4:$E12,TallyBrands3)),0))),"")</f>
        <v>Stewart Brewing</v>
      </c>
      <c r="F13" s="228">
        <f t="shared" si="0"/>
        <v>2</v>
      </c>
      <c r="G13" s="195">
        <f t="shared" si="1"/>
        <v>0</v>
      </c>
      <c r="H13" s="230">
        <f t="shared" si="2"/>
        <v>6.5</v>
      </c>
      <c r="I13" s="220"/>
      <c r="J13" s="186" t="str" cm="1">
        <f t="array" ref="J13">INDEX(Brands_Brand_Name,SMALL(IF(Brands_Number_Of_Drinks&gt;=10,ROW(Brands_Brand_Name)),ROW(9:9))-4,1)</f>
        <v>Magic Rock Brewing</v>
      </c>
      <c r="K13" s="45">
        <f t="shared" si="3"/>
        <v>12</v>
      </c>
      <c r="L13" s="187">
        <f t="shared" si="4"/>
        <v>6.5</v>
      </c>
    </row>
    <row r="14" spans="2:12" ht="15" x14ac:dyDescent="0.15">
      <c r="B14" s="226" t="str" cm="1">
        <f t="array" ref="B14">IFERROR(IFERROR(IFERROR(INDEX(TallyBrands, MATCH(0, COUNTIF(B$4:$B13, TallyBrands), 0)), INDEX(TallyBrands2, MATCH(0, COUNTIF(B$4:$B13, TallyBrands2), 0))), INDEX(TallyBrands3, MATCH(0, COUNTIF(B$4:$B13, TallyBrands3), 0))),"")</f>
        <v>Kopparberg</v>
      </c>
      <c r="C14" s="113"/>
      <c r="E14" s="186" t="str" cm="1">
        <f t="array" ref="E14">IFERROR(IFERROR(IFERROR(INDEX(TallyBrands,MATCH(0, _xlfn.IFS("Beer"=TallyDrinkType,COUNTIF($E$4:$E13,TallyBrands),"Cider"=TallyDrinkType,COUNTIF($E$4:$E13,TallyBrands)),0)),INDEX(TallyBrands2,MATCH(0, _xlfn.IFS("Beer"=TallyDrinkType,COUNTIF($E$4:$E13,TallyBrands2),"Cider"=TallyDrinkType,COUNTIF($E$4:$E13,TallyBrands2)),0))),INDEX(TallyBrands3,MATCH(0, _xlfn.IFS("Beer"=TallyDrinkType,COUNTIF($E$4:$E13,TallyBrands3),"Cider"=TallyDrinkType,COUNTIF($E$4:$E13,TallyBrands3)),0))),"")</f>
        <v>Holsten</v>
      </c>
      <c r="F14" s="228">
        <f t="shared" si="0"/>
        <v>2</v>
      </c>
      <c r="G14" s="195">
        <f t="shared" si="1"/>
        <v>0</v>
      </c>
      <c r="H14" s="230">
        <f t="shared" si="2"/>
        <v>5.75</v>
      </c>
      <c r="I14" s="220"/>
      <c r="J14" s="186" t="str" cm="1">
        <f t="array" ref="J14">INDEX(Brands_Brand_Name,SMALL(IF(Brands_Number_Of_Drinks&gt;=10,ROW(Brands_Brand_Name)),ROW(10:10))-4,1)</f>
        <v>Northern Monk</v>
      </c>
      <c r="K14" s="45">
        <f t="shared" si="3"/>
        <v>28</v>
      </c>
      <c r="L14" s="187">
        <f t="shared" si="4"/>
        <v>6.9642857142857144</v>
      </c>
    </row>
    <row r="15" spans="2:12" ht="16" thickBot="1" x14ac:dyDescent="0.2">
      <c r="B15" s="226" t="str" cm="1">
        <f t="array" ref="B15">IFERROR(IFERROR(IFERROR(INDEX(TallyBrands, MATCH(0, COUNTIF(B$4:$B14, TallyBrands), 0)), INDEX(TallyBrands2, MATCH(0, COUNTIF(B$4:$B14, TallyBrands2), 0))), INDEX(TallyBrands3, MATCH(0, COUNTIF(B$4:$B14, TallyBrands3), 0))),"")</f>
        <v>Kalkar</v>
      </c>
      <c r="C15" s="113"/>
      <c r="E15" s="186" t="str" cm="1">
        <f t="array" ref="E15">IFERROR(IFERROR(IFERROR(INDEX(TallyBrands,MATCH(0, _xlfn.IFS("Beer"=TallyDrinkType,COUNTIF($E$4:$E14,TallyBrands),"Cider"=TallyDrinkType,COUNTIF($E$4:$E14,TallyBrands)),0)),INDEX(TallyBrands2,MATCH(0, _xlfn.IFS("Beer"=TallyDrinkType,COUNTIF($E$4:$E14,TallyBrands2),"Cider"=TallyDrinkType,COUNTIF($E$4:$E14,TallyBrands2)),0))),INDEX(TallyBrands3,MATCH(0, _xlfn.IFS("Beer"=TallyDrinkType,COUNTIF($E$4:$E14,TallyBrands3),"Cider"=TallyDrinkType,COUNTIF($E$4:$E14,TallyBrands3)),0))),"")</f>
        <v>Yeastie Boys</v>
      </c>
      <c r="F15" s="228">
        <f t="shared" si="0"/>
        <v>1</v>
      </c>
      <c r="G15" s="195">
        <f t="shared" si="1"/>
        <v>0</v>
      </c>
      <c r="H15" s="230">
        <f t="shared" si="2"/>
        <v>6</v>
      </c>
      <c r="I15" s="220"/>
      <c r="J15" s="188" t="str" cm="1">
        <f t="array" ref="J15">INDEX(Brands_Brand_Name,SMALL(IF(Brands_Number_Of_Drinks&gt;=10,ROW(Brands_Brand_Name)),ROW(11:11))-4,1)</f>
        <v>Alphabet Brewing Company</v>
      </c>
      <c r="K15" s="189">
        <f t="shared" si="3"/>
        <v>14</v>
      </c>
      <c r="L15" s="190">
        <f t="shared" si="4"/>
        <v>6.7857142857142856</v>
      </c>
    </row>
    <row r="16" spans="2:12" ht="16" thickBot="1" x14ac:dyDescent="0.2">
      <c r="B16" s="226" t="str" cm="1">
        <f t="array" ref="B16">IFERROR(IFERROR(IFERROR(INDEX(TallyBrands, MATCH(0, COUNTIF(B$4:$B15, TallyBrands), 0)), INDEX(TallyBrands2, MATCH(0, COUNTIF(B$4:$B15, TallyBrands2), 0))), INDEX(TallyBrands3, MATCH(0, COUNTIF(B$4:$B15, TallyBrands3), 0))),"")</f>
        <v>Celtic Spirit</v>
      </c>
      <c r="C16" s="113"/>
      <c r="E16" s="186" t="str" cm="1">
        <f t="array" ref="E16">IFERROR(IFERROR(IFERROR(INDEX(TallyBrands,MATCH(0, _xlfn.IFS("Beer"=TallyDrinkType,COUNTIF($E$4:$E15,TallyBrands),"Cider"=TallyDrinkType,COUNTIF($E$4:$E15,TallyBrands)),0)),INDEX(TallyBrands2,MATCH(0, _xlfn.IFS("Beer"=TallyDrinkType,COUNTIF($E$4:$E15,TallyBrands2),"Cider"=TallyDrinkType,COUNTIF($E$4:$E15,TallyBrands2)),0))),INDEX(TallyBrands3,MATCH(0, _xlfn.IFS("Beer"=TallyDrinkType,COUNTIF($E$4:$E15,TallyBrands3),"Cider"=TallyDrinkType,COUNTIF($E$4:$E15,TallyBrands3)),0))),"")</f>
        <v>North Brewing Company</v>
      </c>
      <c r="F16" s="228">
        <f t="shared" si="0"/>
        <v>9</v>
      </c>
      <c r="G16" s="195">
        <f t="shared" si="1"/>
        <v>1</v>
      </c>
      <c r="H16" s="230">
        <f t="shared" si="2"/>
        <v>6.666666666666667</v>
      </c>
      <c r="I16" s="220"/>
      <c r="J16" s="29" t="str" cm="1">
        <f t="array" ref="J16">IFERROR(INDEX(Brands_Brand_Name,SMALL(IF(Brands_Number_Of_Drinks&gt;=10,ROW(Brands_Brand_Name)),ROW(12:12))-4,1),"")</f>
        <v>Amundsen Bryggeri</v>
      </c>
    </row>
    <row r="17" spans="2:10" ht="16" thickBot="1" x14ac:dyDescent="0.2">
      <c r="B17" s="226" t="str" cm="1">
        <f t="array" ref="B17">IFERROR(IFERROR(IFERROR(INDEX(TallyBrands, MATCH(0, COUNTIF(B$4:$B16, TallyBrands), 0)), INDEX(TallyBrands2, MATCH(0, COUNTIF(B$4:$B16, TallyBrands2), 0))), INDEX(TallyBrands3, MATCH(0, COUNTIF(B$4:$B16, TallyBrands3), 0))),"")</f>
        <v>Curio</v>
      </c>
      <c r="C17" s="113"/>
      <c r="E17" s="186" t="str" cm="1">
        <f t="array" ref="E17">IFERROR(IFERROR(IFERROR(INDEX(TallyBrands,MATCH(0, _xlfn.IFS("Beer"=TallyDrinkType,COUNTIF($E$4:$E16,TallyBrands),"Cider"=TallyDrinkType,COUNTIF($E$4:$E16,TallyBrands)),0)),INDEX(TallyBrands2,MATCH(0, _xlfn.IFS("Beer"=TallyDrinkType,COUNTIF($E$4:$E16,TallyBrands2),"Cider"=TallyDrinkType,COUNTIF($E$4:$E16,TallyBrands2)),0))),INDEX(TallyBrands3,MATCH(0, _xlfn.IFS("Beer"=TallyDrinkType,COUNTIF($E$4:$E16,TallyBrands3),"Cider"=TallyDrinkType,COUNTIF($E$4:$E16,TallyBrands3)),0))),"")</f>
        <v>Wild Beer</v>
      </c>
      <c r="F17" s="228">
        <f t="shared" si="0"/>
        <v>21</v>
      </c>
      <c r="G17" s="195">
        <f t="shared" si="1"/>
        <v>2</v>
      </c>
      <c r="H17" s="230">
        <f t="shared" si="2"/>
        <v>7</v>
      </c>
      <c r="I17" s="220"/>
      <c r="J17" s="201" t="s">
        <v>2665</v>
      </c>
    </row>
    <row r="18" spans="2:10" ht="15" x14ac:dyDescent="0.15">
      <c r="B18" s="226" t="str" cm="1">
        <f t="array" ref="B18">IFERROR(IFERROR(IFERROR(INDEX(TallyBrands, MATCH(0, COUNTIF(B$4:$B17, TallyBrands), 0)), INDEX(TallyBrands2, MATCH(0, COUNTIF(B$4:$B17, TallyBrands2), 0))), INDEX(TallyBrands3, MATCH(0, COUNTIF(B$4:$B17, TallyBrands3), 0))),"")</f>
        <v>Tiny Rebel</v>
      </c>
      <c r="C18" s="113"/>
      <c r="E18" s="186" t="str" cm="1">
        <f t="array" ref="E18">IFERROR(IFERROR(IFERROR(INDEX(TallyBrands,MATCH(0, _xlfn.IFS("Beer"=TallyDrinkType,COUNTIF($E$4:$E17,TallyBrands),"Cider"=TallyDrinkType,COUNTIF($E$4:$E17,TallyBrands)),0)),INDEX(TallyBrands2,MATCH(0, _xlfn.IFS("Beer"=TallyDrinkType,COUNTIF($E$4:$E17,TallyBrands2),"Cider"=TallyDrinkType,COUNTIF($E$4:$E17,TallyBrands2)),0))),INDEX(TallyBrands3,MATCH(0, _xlfn.IFS("Beer"=TallyDrinkType,COUNTIF($E$4:$E17,TallyBrands3),"Cider"=TallyDrinkType,COUNTIF($E$4:$E17,TallyBrands3)),0))),"")</f>
        <v>Beavertown</v>
      </c>
      <c r="F18" s="228">
        <f t="shared" si="0"/>
        <v>12</v>
      </c>
      <c r="G18" s="195">
        <f t="shared" si="1"/>
        <v>0</v>
      </c>
      <c r="H18" s="230">
        <f t="shared" si="2"/>
        <v>6.5</v>
      </c>
      <c r="I18" s="220"/>
      <c r="J18" s="29" t="str" cm="1">
        <f t="array" ref="J18">IFERROR(INDEX(Brands_Brand_Name,SMALL(IF(Brands_Number_Of_Drinks&gt;=10,ROW(Brands_Brand_Name)),ROW(14:14))-4,1),"")</f>
        <v>Lilley's</v>
      </c>
    </row>
    <row r="19" spans="2:10" ht="15" x14ac:dyDescent="0.15">
      <c r="B19" s="226" t="str" cm="1">
        <f t="array" ref="B19">IFERROR(IFERROR(IFERROR(INDEX(TallyBrands, MATCH(0, COUNTIF(B$4:$B18, TallyBrands), 0)), INDEX(TallyBrands2, MATCH(0, COUNTIF(B$4:$B18, TallyBrands2), 0))), INDEX(TallyBrands3, MATCH(0, COUNTIF(B$4:$B18, TallyBrands3), 0))),"")</f>
        <v>Tamova</v>
      </c>
      <c r="C19" s="113"/>
      <c r="E19" s="186" t="str" cm="1">
        <f t="array" ref="E19">IFERROR(IFERROR(IFERROR(INDEX(TallyBrands,MATCH(0, _xlfn.IFS("Beer"=TallyDrinkType,COUNTIF($E$4:$E18,TallyBrands),"Cider"=TallyDrinkType,COUNTIF($E$4:$E18,TallyBrands)),0)),INDEX(TallyBrands2,MATCH(0, _xlfn.IFS("Beer"=TallyDrinkType,COUNTIF($E$4:$E18,TallyBrands2),"Cider"=TallyDrinkType,COUNTIF($E$4:$E18,TallyBrands2)),0))),INDEX(TallyBrands3,MATCH(0, _xlfn.IFS("Beer"=TallyDrinkType,COUNTIF($E$4:$E18,TallyBrands3),"Cider"=TallyDrinkType,COUNTIF($E$4:$E18,TallyBrands3)),0))),"")</f>
        <v>Boundary Road Brewery</v>
      </c>
      <c r="F19" s="228">
        <f t="shared" si="0"/>
        <v>1</v>
      </c>
      <c r="G19" s="195">
        <f t="shared" si="1"/>
        <v>0</v>
      </c>
      <c r="H19" s="230">
        <f t="shared" si="2"/>
        <v>6.5</v>
      </c>
      <c r="I19" s="220"/>
      <c r="J19" s="29" t="str" cm="1">
        <f t="array" ref="J19">IFERROR(INDEX(Brands_Brand_Name,SMALL(IF(Brands_Number_Of_Drinks&gt;=10,ROW(Brands_Brand_Name)),ROW(15:15))-4,1),"")</f>
        <v/>
      </c>
    </row>
    <row r="20" spans="2:10" ht="15" x14ac:dyDescent="0.15">
      <c r="B20" s="226" t="str" cm="1">
        <f t="array" ref="B20">IFERROR(IFERROR(IFERROR(INDEX(TallyBrands, MATCH(0, COUNTIF(B$4:$B19, TallyBrands), 0)), INDEX(TallyBrands2, MATCH(0, COUNTIF(B$4:$B19, TallyBrands2), 0))), INDEX(TallyBrands3, MATCH(0, COUNTIF(B$4:$B19, TallyBrands3), 0))),"")</f>
        <v>Sourz</v>
      </c>
      <c r="C20" s="113"/>
      <c r="E20" s="186" t="str" cm="1">
        <f t="array" ref="E20">IFERROR(IFERROR(IFERROR(INDEX(TallyBrands,MATCH(0, _xlfn.IFS("Beer"=TallyDrinkType,COUNTIF($E$4:$E19,TallyBrands),"Cider"=TallyDrinkType,COUNTIF($E$4:$E19,TallyBrands)),0)),INDEX(TallyBrands2,MATCH(0, _xlfn.IFS("Beer"=TallyDrinkType,COUNTIF($E$4:$E19,TallyBrands2),"Cider"=TallyDrinkType,COUNTIF($E$4:$E19,TallyBrands2)),0))),INDEX(TallyBrands3,MATCH(0, _xlfn.IFS("Beer"=TallyDrinkType,COUNTIF($E$4:$E19,TallyBrands3),"Cider"=TallyDrinkType,COUNTIF($E$4:$E19,TallyBrands3)),0))),"")</f>
        <v>Heineken</v>
      </c>
      <c r="F20" s="228">
        <f t="shared" si="0"/>
        <v>3</v>
      </c>
      <c r="G20" s="195">
        <f t="shared" si="1"/>
        <v>0</v>
      </c>
      <c r="H20" s="230">
        <f t="shared" si="2"/>
        <v>4.666666666666667</v>
      </c>
      <c r="I20" s="220"/>
      <c r="J20" s="29" t="str" cm="1">
        <f t="array" ref="J20">IFERROR(INDEX(Brands_Brand_Name,SMALL(IF(Brands_Number_Of_Drinks&gt;=10,ROW(Brands_Brand_Name)),ROW(16:16))-4,1),"")</f>
        <v/>
      </c>
    </row>
    <row r="21" spans="2:10" ht="15" x14ac:dyDescent="0.15">
      <c r="B21" s="226" t="str" cm="1">
        <f t="array" ref="B21">IFERROR(IFERROR(IFERROR(INDEX(TallyBrands, MATCH(0, COUNTIF(B$4:$B20, TallyBrands), 0)), INDEX(TallyBrands2, MATCH(0, COUNTIF(B$4:$B20, TallyBrands2), 0))), INDEX(TallyBrands3, MATCH(0, COUNTIF(B$4:$B20, TallyBrands3), 0))),"")</f>
        <v>Bacardi</v>
      </c>
      <c r="C21" s="113"/>
      <c r="E21" s="186" t="str" cm="1">
        <f t="array" ref="E21">IFERROR(IFERROR(IFERROR(INDEX(TallyBrands,MATCH(0, _xlfn.IFS("Beer"=TallyDrinkType,COUNTIF($E$4:$E20,TallyBrands),"Cider"=TallyDrinkType,COUNTIF($E$4:$E20,TallyBrands)),0)),INDEX(TallyBrands2,MATCH(0, _xlfn.IFS("Beer"=TallyDrinkType,COUNTIF($E$4:$E20,TallyBrands2),"Cider"=TallyDrinkType,COUNTIF($E$4:$E20,TallyBrands2)),0))),INDEX(TallyBrands3,MATCH(0, _xlfn.IFS("Beer"=TallyDrinkType,COUNTIF($E$4:$E20,TallyBrands3),"Cider"=TallyDrinkType,COUNTIF($E$4:$E20,TallyBrands3)),0))),"")</f>
        <v>Loch Lomond Brewery</v>
      </c>
      <c r="F21" s="228">
        <f t="shared" si="0"/>
        <v>1</v>
      </c>
      <c r="G21" s="195">
        <f t="shared" si="1"/>
        <v>0</v>
      </c>
      <c r="H21" s="230">
        <f t="shared" si="2"/>
        <v>6</v>
      </c>
      <c r="I21" s="220"/>
      <c r="J21" s="29" t="str" cm="1">
        <f t="array" ref="J21">IFERROR(INDEX(Brands_Brand_Name,SMALL(IF(Brands_Number_Of_Drinks&gt;=10,ROW(Brands_Brand_Name)),ROW(17:17))-4,1),"")</f>
        <v/>
      </c>
    </row>
    <row r="22" spans="2:10" ht="15" x14ac:dyDescent="0.15">
      <c r="B22" s="226" t="str" cm="1">
        <f t="array" ref="B22">IFERROR(IFERROR(IFERROR(INDEX(TallyBrands, MATCH(0, COUNTIF(B$4:$B21, TallyBrands), 0)), INDEX(TallyBrands2, MATCH(0, COUNTIF(B$4:$B21, TallyBrands2), 0))), INDEX(TallyBrands3, MATCH(0, COUNTIF(B$4:$B21, TallyBrands3), 0))),"")</f>
        <v>Bavaria</v>
      </c>
      <c r="C22" s="113"/>
      <c r="E22" s="186" t="str" cm="1">
        <f t="array" ref="E22">IFERROR(IFERROR(IFERROR(INDEX(TallyBrands,MATCH(0, _xlfn.IFS("Beer"=TallyDrinkType,COUNTIF($E$4:$E21,TallyBrands),"Cider"=TallyDrinkType,COUNTIF($E$4:$E21,TallyBrands)),0)),INDEX(TallyBrands2,MATCH(0, _xlfn.IFS("Beer"=TallyDrinkType,COUNTIF($E$4:$E21,TallyBrands2),"Cider"=TallyDrinkType,COUNTIF($E$4:$E21,TallyBrands2)),0))),INDEX(TallyBrands3,MATCH(0, _xlfn.IFS("Beer"=TallyDrinkType,COUNTIF($E$4:$E21,TallyBrands3),"Cider"=TallyDrinkType,COUNTIF($E$4:$E21,TallyBrands3)),0))),"")</f>
        <v>First Chop Brewing Arm</v>
      </c>
      <c r="F22" s="228">
        <f t="shared" si="0"/>
        <v>2</v>
      </c>
      <c r="G22" s="195">
        <f t="shared" si="1"/>
        <v>1</v>
      </c>
      <c r="H22" s="230">
        <f t="shared" si="2"/>
        <v>5.25</v>
      </c>
      <c r="I22" s="220"/>
      <c r="J22" s="29" t="str" cm="1">
        <f t="array" ref="J22">IFERROR(INDEX(Brands_Brand_Name,SMALL(IF(Brands_Number_Of_Drinks&gt;=10,ROW(Brands_Brand_Name)),ROW(18:18))-4,1),"")</f>
        <v/>
      </c>
    </row>
    <row r="23" spans="2:10" ht="15" x14ac:dyDescent="0.15">
      <c r="B23" s="226" t="str" cm="1">
        <f t="array" ref="B23">IFERROR(IFERROR(IFERROR(INDEX(TallyBrands, MATCH(0, COUNTIF(B$4:$B22, TallyBrands), 0)), INDEX(TallyBrands2, MATCH(0, COUNTIF(B$4:$B22, TallyBrands2), 0))), INDEX(TallyBrands3, MATCH(0, COUNTIF(B$4:$B22, TallyBrands3), 0))),"")</f>
        <v>Disaronno</v>
      </c>
      <c r="C23" s="113"/>
      <c r="E23" s="186" t="str" cm="1">
        <f t="array" ref="E23">IFERROR(IFERROR(IFERROR(INDEX(TallyBrands,MATCH(0, _xlfn.IFS("Beer"=TallyDrinkType,COUNTIF($E$4:$E22,TallyBrands),"Cider"=TallyDrinkType,COUNTIF($E$4:$E22,TallyBrands)),0)),INDEX(TallyBrands2,MATCH(0, _xlfn.IFS("Beer"=TallyDrinkType,COUNTIF($E$4:$E22,TallyBrands2),"Cider"=TallyDrinkType,COUNTIF($E$4:$E22,TallyBrands2)),0))),INDEX(TallyBrands3,MATCH(0, _xlfn.IFS("Beer"=TallyDrinkType,COUNTIF($E$4:$E22,TallyBrands3),"Cider"=TallyDrinkType,COUNTIF($E$4:$E22,TallyBrands3)),0))),"")</f>
        <v>Strongbow</v>
      </c>
      <c r="F23" s="228">
        <f t="shared" si="0"/>
        <v>5</v>
      </c>
      <c r="G23" s="195">
        <f t="shared" si="1"/>
        <v>0</v>
      </c>
      <c r="H23" s="230">
        <f t="shared" si="2"/>
        <v>6</v>
      </c>
      <c r="I23" s="220"/>
      <c r="J23" s="29" t="str" cm="1">
        <f t="array" ref="J23">IFERROR(INDEX(Brands_Brand_Name,SMALL(IF(Brands_Number_Of_Drinks&gt;=10,ROW(Brands_Brand_Name)),ROW(19:19))-4,1),"")</f>
        <v/>
      </c>
    </row>
    <row r="24" spans="2:10" ht="15" x14ac:dyDescent="0.15">
      <c r="B24" s="226" t="str" cm="1">
        <f t="array" ref="B24">IFERROR(IFERROR(IFERROR(INDEX(TallyBrands, MATCH(0, COUNTIF(B$4:$B23, TallyBrands), 0)), INDEX(TallyBrands2, MATCH(0, COUNTIF(B$4:$B23, TallyBrands2), 0))), INDEX(TallyBrands3, MATCH(0, COUNTIF(B$4:$B23, TallyBrands3), 0))),"")</f>
        <v>Smirnoff</v>
      </c>
      <c r="C24" s="113"/>
      <c r="E24" s="186" t="str" cm="1">
        <f t="array" ref="E24">IFERROR(IFERROR(IFERROR(INDEX(TallyBrands,MATCH(0, _xlfn.IFS("Beer"=TallyDrinkType,COUNTIF($E$4:$E23,TallyBrands),"Cider"=TallyDrinkType,COUNTIF($E$4:$E23,TallyBrands)),0)),INDEX(TallyBrands2,MATCH(0, _xlfn.IFS("Beer"=TallyDrinkType,COUNTIF($E$4:$E23,TallyBrands2),"Cider"=TallyDrinkType,COUNTIF($E$4:$E23,TallyBrands2)),0))),INDEX(TallyBrands3,MATCH(0, _xlfn.IFS("Beer"=TallyDrinkType,COUNTIF($E$4:$E23,TallyBrands3),"Cider"=TallyDrinkType,COUNTIF($E$4:$E23,TallyBrands3)),0))),"")</f>
        <v>Brewdog</v>
      </c>
      <c r="F24" s="228">
        <f t="shared" si="0"/>
        <v>29</v>
      </c>
      <c r="G24" s="195">
        <f t="shared" si="1"/>
        <v>2</v>
      </c>
      <c r="H24" s="230">
        <f t="shared" si="2"/>
        <v>6.1724137931034484</v>
      </c>
      <c r="I24" s="220"/>
      <c r="J24" s="29" t="str" cm="1">
        <f t="array" ref="J24">IFERROR(INDEX(Brands_Brand_Name,SMALL(IF(Brands_Number_Of_Drinks&gt;=10,ROW(Brands_Brand_Name)),ROW(20:20))-4,1),"")</f>
        <v/>
      </c>
    </row>
    <row r="25" spans="2:10" ht="15" x14ac:dyDescent="0.15">
      <c r="B25" s="226" t="str" cm="1">
        <f t="array" ref="B25">IFERROR(IFERROR(IFERROR(INDEX(TallyBrands, MATCH(0, COUNTIF(B$4:$B24, TallyBrands), 0)), INDEX(TallyBrands2, MATCH(0, COUNTIF(B$4:$B24, TallyBrands2), 0))), INDEX(TallyBrands3, MATCH(0, COUNTIF(B$4:$B24, TallyBrands3), 0))),"")</f>
        <v>McGuigan Wines</v>
      </c>
      <c r="C25" s="113"/>
      <c r="E25" s="186" t="str" cm="1">
        <f t="array" ref="E25">IFERROR(IFERROR(IFERROR(INDEX(TallyBrands,MATCH(0, _xlfn.IFS("Beer"=TallyDrinkType,COUNTIF($E$4:$E24,TallyBrands),"Cider"=TallyDrinkType,COUNTIF($E$4:$E24,TallyBrands)),0)),INDEX(TallyBrands2,MATCH(0, _xlfn.IFS("Beer"=TallyDrinkType,COUNTIF($E$4:$E24,TallyBrands2),"Cider"=TallyDrinkType,COUNTIF($E$4:$E24,TallyBrands2)),0))),INDEX(TallyBrands3,MATCH(0, _xlfn.IFS("Beer"=TallyDrinkType,COUNTIF($E$4:$E24,TallyBrands3),"Cider"=TallyDrinkType,COUNTIF($E$4:$E24,TallyBrands3)),0))),"")</f>
        <v>Siren</v>
      </c>
      <c r="F25" s="228">
        <f t="shared" si="0"/>
        <v>13</v>
      </c>
      <c r="G25" s="195">
        <f t="shared" si="1"/>
        <v>0</v>
      </c>
      <c r="H25" s="230">
        <f t="shared" si="2"/>
        <v>5.5769230769230766</v>
      </c>
      <c r="I25" s="220"/>
      <c r="J25" s="29" t="str" cm="1">
        <f t="array" ref="J25">IFERROR(INDEX(Brands_Brand_Name,SMALL(IF(Brands_Number_Of_Drinks&gt;=10,ROW(Brands_Brand_Name)),ROW(21:21))-4,1),"")</f>
        <v/>
      </c>
    </row>
    <row r="26" spans="2:10" ht="15" x14ac:dyDescent="0.15">
      <c r="B26" s="226" t="str" cm="1">
        <f t="array" ref="B26">IFERROR(IFERROR(IFERROR(INDEX(TallyBrands, MATCH(0, COUNTIF(B$4:$B25, TallyBrands), 0)), INDEX(TallyBrands2, MATCH(0, COUNTIF(B$4:$B25, TallyBrands2), 0))), INDEX(TallyBrands3, MATCH(0, COUNTIF(B$4:$B25, TallyBrands3), 0))),"")</f>
        <v>Taste The Difference</v>
      </c>
      <c r="C26" s="113"/>
      <c r="E26" s="186" t="str" cm="1">
        <f t="array" ref="E26">IFERROR(IFERROR(IFERROR(INDEX(TallyBrands,MATCH(0, _xlfn.IFS("Beer"=TallyDrinkType,COUNTIF($E$4:$E25,TallyBrands),"Cider"=TallyDrinkType,COUNTIF($E$4:$E25,TallyBrands)),0)),INDEX(TallyBrands2,MATCH(0, _xlfn.IFS("Beer"=TallyDrinkType,COUNTIF($E$4:$E25,TallyBrands2),"Cider"=TallyDrinkType,COUNTIF($E$4:$E25,TallyBrands2)),0))),INDEX(TallyBrands3,MATCH(0, _xlfn.IFS("Beer"=TallyDrinkType,COUNTIF($E$4:$E25,TallyBrands3),"Cider"=TallyDrinkType,COUNTIF($E$4:$E25,TallyBrands3)),0))),"")</f>
        <v>Electric Bear Brewing Co.</v>
      </c>
      <c r="F26" s="228">
        <f t="shared" si="0"/>
        <v>2</v>
      </c>
      <c r="G26" s="195">
        <f t="shared" si="1"/>
        <v>0</v>
      </c>
      <c r="H26" s="230">
        <f t="shared" si="2"/>
        <v>6.75</v>
      </c>
      <c r="I26" s="220"/>
      <c r="J26" s="29" t="str" cm="1">
        <f t="array" ref="J26">IFERROR(INDEX(Brands_Brand_Name,SMALL(IF(Brands_Number_Of_Drinks&gt;=10,ROW(Brands_Brand_Name)),ROW(22:22))-4,1),"")</f>
        <v/>
      </c>
    </row>
    <row r="27" spans="2:10" ht="15" x14ac:dyDescent="0.15">
      <c r="B27" s="226" t="str" cm="1">
        <f t="array" ref="B27">IFERROR(IFERROR(IFERROR(INDEX(TallyBrands, MATCH(0, COUNTIF(B$4:$B26, TallyBrands), 0)), INDEX(TallyBrands2, MATCH(0, COUNTIF(B$4:$B26, TallyBrands2), 0))), INDEX(TallyBrands3, MATCH(0, COUNTIF(B$4:$B26, TallyBrands3), 0))),"")</f>
        <v>Grand Marnier</v>
      </c>
      <c r="C27" s="113"/>
      <c r="E27" s="186" t="str" cm="1">
        <f t="array" ref="E27">IFERROR(IFERROR(IFERROR(INDEX(TallyBrands,MATCH(0, _xlfn.IFS("Beer"=TallyDrinkType,COUNTIF($E$4:$E26,TallyBrands),"Cider"=TallyDrinkType,COUNTIF($E$4:$E26,TallyBrands)),0)),INDEX(TallyBrands2,MATCH(0, _xlfn.IFS("Beer"=TallyDrinkType,COUNTIF($E$4:$E26,TallyBrands2),"Cider"=TallyDrinkType,COUNTIF($E$4:$E26,TallyBrands2)),0))),INDEX(TallyBrands3,MATCH(0, _xlfn.IFS("Beer"=TallyDrinkType,COUNTIF($E$4:$E26,TallyBrands3),"Cider"=TallyDrinkType,COUNTIF($E$4:$E26,TallyBrands3)),0))),"")</f>
        <v>Fourpure Brewing Company</v>
      </c>
      <c r="F27" s="228">
        <f t="shared" si="0"/>
        <v>22</v>
      </c>
      <c r="G27" s="195">
        <f t="shared" si="1"/>
        <v>4</v>
      </c>
      <c r="H27" s="230">
        <f t="shared" si="2"/>
        <v>6.2954545454545459</v>
      </c>
      <c r="I27" s="220"/>
      <c r="J27" s="29" t="str" cm="1">
        <f t="array" ref="J27">IFERROR(INDEX(Brands_Brand_Name,SMALL(IF(Brands_Number_Of_Drinks&gt;=10,ROW(Brands_Brand_Name)),ROW(23:23))-4,1),"")</f>
        <v/>
      </c>
    </row>
    <row r="28" spans="2:10" ht="15" x14ac:dyDescent="0.15">
      <c r="B28" s="226" t="str" cm="1">
        <f t="array" ref="B28">IFERROR(IFERROR(IFERROR(INDEX(TallyBrands, MATCH(0, COUNTIF(B$4:$B27, TallyBrands), 0)), INDEX(TallyBrands2, MATCH(0, COUNTIF(B$4:$B27, TallyBrands2), 0))), INDEX(TallyBrands3, MATCH(0, COUNTIF(B$4:$B27, TallyBrands3), 0))),"")</f>
        <v>Sierra Tequila</v>
      </c>
      <c r="C28" s="113"/>
      <c r="E28" s="186" t="str" cm="1">
        <f t="array" ref="E28">IFERROR(IFERROR(IFERROR(INDEX(TallyBrands,MATCH(0, _xlfn.IFS("Beer"=TallyDrinkType,COUNTIF($E$4:$E27,TallyBrands),"Cider"=TallyDrinkType,COUNTIF($E$4:$E27,TallyBrands)),0)),INDEX(TallyBrands2,MATCH(0, _xlfn.IFS("Beer"=TallyDrinkType,COUNTIF($E$4:$E27,TallyBrands2),"Cider"=TallyDrinkType,COUNTIF($E$4:$E27,TallyBrands2)),0))),INDEX(TallyBrands3,MATCH(0, _xlfn.IFS("Beer"=TallyDrinkType,COUNTIF($E$4:$E27,TallyBrands3),"Cider"=TallyDrinkType,COUNTIF($E$4:$E27,TallyBrands3)),0))),"")</f>
        <v>Magic Rock Brewing</v>
      </c>
      <c r="F28" s="228">
        <f t="shared" si="0"/>
        <v>12</v>
      </c>
      <c r="G28" s="195">
        <f t="shared" si="1"/>
        <v>0</v>
      </c>
      <c r="H28" s="230">
        <f t="shared" si="2"/>
        <v>6.5</v>
      </c>
      <c r="I28" s="220"/>
      <c r="J28" s="29" t="str" cm="1">
        <f t="array" ref="J28">IFERROR(INDEX(Brands_Brand_Name,SMALL(IF(Brands_Number_Of_Drinks&gt;=10,ROW(Brands_Brand_Name)),ROW(24:24))-4,1),"")</f>
        <v/>
      </c>
    </row>
    <row r="29" spans="2:10" ht="15" x14ac:dyDescent="0.15">
      <c r="B29" s="226" t="str" cm="1">
        <f t="array" ref="B29">IFERROR(IFERROR(IFERROR(INDEX(TallyBrands, MATCH(0, COUNTIF(B$4:$B28, TallyBrands), 0)), INDEX(TallyBrands2, MATCH(0, COUNTIF(B$4:$B28, TallyBrands2), 0))), INDEX(TallyBrands3, MATCH(0, COUNTIF(B$4:$B28, TallyBrands3), 0))),"")</f>
        <v>Galliano</v>
      </c>
      <c r="C29" s="113"/>
      <c r="E29" s="186" t="str" cm="1">
        <f t="array" ref="E29">IFERROR(IFERROR(IFERROR(INDEX(TallyBrands,MATCH(0, _xlfn.IFS("Beer"=TallyDrinkType,COUNTIF($E$4:$E28,TallyBrands),"Cider"=TallyDrinkType,COUNTIF($E$4:$E28,TallyBrands)),0)),INDEX(TallyBrands2,MATCH(0, _xlfn.IFS("Beer"=TallyDrinkType,COUNTIF($E$4:$E28,TallyBrands2),"Cider"=TallyDrinkType,COUNTIF($E$4:$E28,TallyBrands2)),0))),INDEX(TallyBrands3,MATCH(0, _xlfn.IFS("Beer"=TallyDrinkType,COUNTIF($E$4:$E28,TallyBrands3),"Cider"=TallyDrinkType,COUNTIF($E$4:$E28,TallyBrands3)),0))),"")</f>
        <v>Hopback Brewery</v>
      </c>
      <c r="F29" s="228">
        <f t="shared" si="0"/>
        <v>2</v>
      </c>
      <c r="G29" s="195">
        <f t="shared" si="1"/>
        <v>0</v>
      </c>
      <c r="H29" s="230">
        <f t="shared" si="2"/>
        <v>5.5</v>
      </c>
      <c r="I29" s="220"/>
    </row>
    <row r="30" spans="2:10" ht="15" x14ac:dyDescent="0.15">
      <c r="B30" s="226" t="str" cm="1">
        <f t="array" ref="B30">IFERROR(IFERROR(IFERROR(INDEX(TallyBrands, MATCH(0, COUNTIF(B$4:$B29, TallyBrands), 0)), INDEX(TallyBrands2, MATCH(0, COUNTIF(B$4:$B29, TallyBrands2), 0))), INDEX(TallyBrands3, MATCH(0, COUNTIF(B$4:$B29, TallyBrands3), 0))),"")</f>
        <v>Angioletti</v>
      </c>
      <c r="C30" s="113"/>
      <c r="E30" s="186" t="str" cm="1">
        <f t="array" ref="E30">IFERROR(IFERROR(IFERROR(INDEX(TallyBrands,MATCH(0, _xlfn.IFS("Beer"=TallyDrinkType,COUNTIF($E$4:$E29,TallyBrands),"Cider"=TallyDrinkType,COUNTIF($E$4:$E29,TallyBrands)),0)),INDEX(TallyBrands2,MATCH(0, _xlfn.IFS("Beer"=TallyDrinkType,COUNTIF($E$4:$E29,TallyBrands2),"Cider"=TallyDrinkType,COUNTIF($E$4:$E29,TallyBrands2)),0))),INDEX(TallyBrands3,MATCH(0, _xlfn.IFS("Beer"=TallyDrinkType,COUNTIF($E$4:$E29,TallyBrands3),"Cider"=TallyDrinkType,COUNTIF($E$4:$E29,TallyBrands3)),0))),"")</f>
        <v>Estrella Damm</v>
      </c>
      <c r="F30" s="228">
        <f t="shared" si="0"/>
        <v>2</v>
      </c>
      <c r="G30" s="195">
        <f t="shared" si="1"/>
        <v>0</v>
      </c>
      <c r="H30" s="230">
        <f t="shared" si="2"/>
        <v>5.75</v>
      </c>
      <c r="I30" s="220"/>
    </row>
    <row r="31" spans="2:10" ht="15" x14ac:dyDescent="0.15">
      <c r="B31" s="226" t="str" cm="1">
        <f t="array" ref="B31">IFERROR(IFERROR(IFERROR(INDEX(TallyBrands, MATCH(0, COUNTIF(B$4:$B30, TallyBrands), 0)), INDEX(TallyBrands2, MATCH(0, COUNTIF(B$4:$B30, TallyBrands2), 0))), INDEX(TallyBrands3, MATCH(0, COUNTIF(B$4:$B30, TallyBrands3), 0))),"")</f>
        <v>Sxollie</v>
      </c>
      <c r="C31" s="113"/>
      <c r="E31" s="186" t="str" cm="1">
        <f t="array" ref="E31">IFERROR(IFERROR(IFERROR(INDEX(TallyBrands,MATCH(0, _xlfn.IFS("Beer"=TallyDrinkType,COUNTIF($E$4:$E30,TallyBrands),"Cider"=TallyDrinkType,COUNTIF($E$4:$E30,TallyBrands)),0)),INDEX(TallyBrands2,MATCH(0, _xlfn.IFS("Beer"=TallyDrinkType,COUNTIF($E$4:$E30,TallyBrands2),"Cider"=TallyDrinkType,COUNTIF($E$4:$E30,TallyBrands2)),0))),INDEX(TallyBrands3,MATCH(0, _xlfn.IFS("Beer"=TallyDrinkType,COUNTIF($E$4:$E30,TallyBrands3),"Cider"=TallyDrinkType,COUNTIF($E$4:$E30,TallyBrands3)),0))),"")</f>
        <v>Breckenridge Brewery</v>
      </c>
      <c r="F31" s="228">
        <f t="shared" si="0"/>
        <v>1</v>
      </c>
      <c r="G31" s="195">
        <f t="shared" si="1"/>
        <v>0</v>
      </c>
      <c r="H31" s="230">
        <f t="shared" si="2"/>
        <v>7.5</v>
      </c>
      <c r="I31" s="220"/>
    </row>
    <row r="32" spans="2:10" ht="15" x14ac:dyDescent="0.15">
      <c r="B32" s="226" t="str" cm="1">
        <f t="array" ref="B32">IFERROR(IFERROR(IFERROR(INDEX(TallyBrands, MATCH(0, COUNTIF(B$4:$B31, TallyBrands), 0)), INDEX(TallyBrands2, MATCH(0, COUNTIF(B$4:$B31, TallyBrands2), 0))), INDEX(TallyBrands3, MATCH(0, COUNTIF(B$4:$B31, TallyBrands3), 0))),"")</f>
        <v>Rattler Cyder</v>
      </c>
      <c r="C32" s="113"/>
      <c r="E32" s="186" t="str" cm="1">
        <f t="array" ref="E32">IFERROR(IFERROR(IFERROR(INDEX(TallyBrands,MATCH(0, _xlfn.IFS("Beer"=TallyDrinkType,COUNTIF($E$4:$E31,TallyBrands),"Cider"=TallyDrinkType,COUNTIF($E$4:$E31,TallyBrands)),0)),INDEX(TallyBrands2,MATCH(0, _xlfn.IFS("Beer"=TallyDrinkType,COUNTIF($E$4:$E31,TallyBrands2),"Cider"=TallyDrinkType,COUNTIF($E$4:$E31,TallyBrands2)),0))),INDEX(TallyBrands3,MATCH(0, _xlfn.IFS("Beer"=TallyDrinkType,COUNTIF($E$4:$E31,TallyBrands3),"Cider"=TallyDrinkType,COUNTIF($E$4:$E31,TallyBrands3)),0))),"")</f>
        <v>Budweiser</v>
      </c>
      <c r="F32" s="228">
        <f t="shared" si="0"/>
        <v>6</v>
      </c>
      <c r="G32" s="195">
        <f t="shared" si="1"/>
        <v>0</v>
      </c>
      <c r="H32" s="230">
        <f t="shared" si="2"/>
        <v>6</v>
      </c>
      <c r="I32" s="220"/>
    </row>
    <row r="33" spans="2:9" ht="15" x14ac:dyDescent="0.15">
      <c r="B33" s="226" t="str" cm="1">
        <f t="array" ref="B33">IFERROR(IFERROR(IFERROR(INDEX(TallyBrands, MATCH(0, COUNTIF(B$4:$B32, TallyBrands), 0)), INDEX(TallyBrands2, MATCH(0, COUNTIF(B$4:$B32, TallyBrands2), 0))), INDEX(TallyBrands3, MATCH(0, COUNTIF(B$4:$B32, TallyBrands3), 0))),"")</f>
        <v>Thatchers</v>
      </c>
      <c r="C33" s="113"/>
      <c r="E33" s="186" t="str" cm="1">
        <f t="array" ref="E33">IFERROR(IFERROR(IFERROR(INDEX(TallyBrands,MATCH(0, _xlfn.IFS("Beer"=TallyDrinkType,COUNTIF($E$4:$E32,TallyBrands),"Cider"=TallyDrinkType,COUNTIF($E$4:$E32,TallyBrands)),0)),INDEX(TallyBrands2,MATCH(0, _xlfn.IFS("Beer"=TallyDrinkType,COUNTIF($E$4:$E32,TallyBrands2),"Cider"=TallyDrinkType,COUNTIF($E$4:$E32,TallyBrands2)),0))),INDEX(TallyBrands3,MATCH(0, _xlfn.IFS("Beer"=TallyDrinkType,COUNTIF($E$4:$E32,TallyBrands3),"Cider"=TallyDrinkType,COUNTIF($E$4:$E32,TallyBrands3)),0))),"")</f>
        <v>Northern Monk</v>
      </c>
      <c r="F33" s="228">
        <f t="shared" si="0"/>
        <v>28</v>
      </c>
      <c r="G33" s="195">
        <f t="shared" si="1"/>
        <v>0</v>
      </c>
      <c r="H33" s="230">
        <f t="shared" si="2"/>
        <v>6.9642857142857144</v>
      </c>
      <c r="I33" s="220"/>
    </row>
    <row r="34" spans="2:9" ht="15" x14ac:dyDescent="0.15">
      <c r="B34" s="226" t="str" cm="1">
        <f t="array" ref="B34">IFERROR(IFERROR(IFERROR(INDEX(TallyBrands, MATCH(0, COUNTIF(B$4:$B33, TallyBrands), 0)), INDEX(TallyBrands2, MATCH(0, COUNTIF(B$4:$B33, TallyBrands2), 0))), INDEX(TallyBrands3, MATCH(0, COUNTIF(B$4:$B33, TallyBrands3), 0))),"")</f>
        <v>Stewart Brewing</v>
      </c>
      <c r="C34" s="113"/>
      <c r="E34" s="186" t="str" cm="1">
        <f t="array" ref="E34">IFERROR(IFERROR(IFERROR(INDEX(TallyBrands,MATCH(0, _xlfn.IFS("Beer"=TallyDrinkType,COUNTIF($E$4:$E33,TallyBrands),"Cider"=TallyDrinkType,COUNTIF($E$4:$E33,TallyBrands)),0)),INDEX(TallyBrands2,MATCH(0, _xlfn.IFS("Beer"=TallyDrinkType,COUNTIF($E$4:$E33,TallyBrands2),"Cider"=TallyDrinkType,COUNTIF($E$4:$E33,TallyBrands2)),0))),INDEX(TallyBrands3,MATCH(0, _xlfn.IFS("Beer"=TallyDrinkType,COUNTIF($E$4:$E33,TallyBrands3),"Cider"=TallyDrinkType,COUNTIF($E$4:$E33,TallyBrands3)),0))),"")</f>
        <v>Corona</v>
      </c>
      <c r="F34" s="228">
        <f t="shared" si="0"/>
        <v>4</v>
      </c>
      <c r="G34" s="195">
        <f t="shared" si="1"/>
        <v>0</v>
      </c>
      <c r="H34" s="230">
        <f t="shared" si="2"/>
        <v>5.5</v>
      </c>
      <c r="I34" s="220"/>
    </row>
    <row r="35" spans="2:9" ht="15" x14ac:dyDescent="0.15">
      <c r="B35" s="226" t="str" cm="1">
        <f t="array" ref="B35">IFERROR(IFERROR(IFERROR(INDEX(TallyBrands, MATCH(0, COUNTIF(B$4:$B34, TallyBrands), 0)), INDEX(TallyBrands2, MATCH(0, COUNTIF(B$4:$B34, TallyBrands2), 0))), INDEX(TallyBrands3, MATCH(0, COUNTIF(B$4:$B34, TallyBrands3), 0))),"")</f>
        <v>The Libertines</v>
      </c>
      <c r="C35" s="113"/>
      <c r="E35" s="186" t="str" cm="1">
        <f t="array" ref="E35">IFERROR(IFERROR(IFERROR(INDEX(TallyBrands,MATCH(0, _xlfn.IFS("Beer"=TallyDrinkType,COUNTIF($E$4:$E34,TallyBrands),"Cider"=TallyDrinkType,COUNTIF($E$4:$E34,TallyBrands)),0)),INDEX(TallyBrands2,MATCH(0, _xlfn.IFS("Beer"=TallyDrinkType,COUNTIF($E$4:$E34,TallyBrands2),"Cider"=TallyDrinkType,COUNTIF($E$4:$E34,TallyBrands2)),0))),INDEX(TallyBrands3,MATCH(0, _xlfn.IFS("Beer"=TallyDrinkType,COUNTIF($E$4:$E34,TallyBrands3),"Cider"=TallyDrinkType,COUNTIF($E$4:$E34,TallyBrands3)),0))),"")</f>
        <v>Old Mout Cider</v>
      </c>
      <c r="F35" s="228">
        <f t="shared" si="0"/>
        <v>9</v>
      </c>
      <c r="G35" s="195">
        <f t="shared" si="1"/>
        <v>0</v>
      </c>
      <c r="H35" s="230">
        <f t="shared" si="2"/>
        <v>7.166666666666667</v>
      </c>
      <c r="I35" s="220"/>
    </row>
    <row r="36" spans="2:9" ht="15" x14ac:dyDescent="0.15">
      <c r="B36" s="226" t="str" cm="1">
        <f t="array" ref="B36">IFERROR(IFERROR(IFERROR(INDEX(TallyBrands, MATCH(0, COUNTIF(B$4:$B35, TallyBrands), 0)), INDEX(TallyBrands2, MATCH(0, COUNTIF(B$4:$B35, TallyBrands2), 0))), INDEX(TallyBrands3, MATCH(0, COUNTIF(B$4:$B35, TallyBrands3), 0))),"")</f>
        <v>Monkey Shoulder</v>
      </c>
      <c r="C36" s="113"/>
      <c r="E36" s="186" t="str" cm="1">
        <f t="array" ref="E36">IFERROR(IFERROR(IFERROR(INDEX(TallyBrands,MATCH(0, _xlfn.IFS("Beer"=TallyDrinkType,COUNTIF($E$4:$E35,TallyBrands),"Cider"=TallyDrinkType,COUNTIF($E$4:$E35,TallyBrands)),0)),INDEX(TallyBrands2,MATCH(0, _xlfn.IFS("Beer"=TallyDrinkType,COUNTIF($E$4:$E35,TallyBrands2),"Cider"=TallyDrinkType,COUNTIF($E$4:$E35,TallyBrands2)),0))),INDEX(TallyBrands3,MATCH(0, _xlfn.IFS("Beer"=TallyDrinkType,COUNTIF($E$4:$E35,TallyBrands3),"Cider"=TallyDrinkType,COUNTIF($E$4:$E35,TallyBrands3)),0))),"")</f>
        <v>Diebels</v>
      </c>
      <c r="F36" s="228">
        <f t="shared" si="0"/>
        <v>1</v>
      </c>
      <c r="G36" s="195">
        <f t="shared" si="1"/>
        <v>0</v>
      </c>
      <c r="H36" s="230">
        <f t="shared" si="2"/>
        <v>6.5</v>
      </c>
      <c r="I36" s="220"/>
    </row>
    <row r="37" spans="2:9" ht="15" x14ac:dyDescent="0.15">
      <c r="B37" s="226" t="str" cm="1">
        <f t="array" ref="B37">IFERROR(IFERROR(IFERROR(INDEX(TallyBrands, MATCH(0, COUNTIF(B$4:$B36, TallyBrands), 0)), INDEX(TallyBrands2, MATCH(0, COUNTIF(B$4:$B36, TallyBrands2), 0))), INDEX(TallyBrands3, MATCH(0, COUNTIF(B$4:$B36, TallyBrands3), 0))),"")</f>
        <v>Hills</v>
      </c>
      <c r="C37" s="113"/>
      <c r="E37" s="186" t="str" cm="1">
        <f t="array" ref="E37">IFERROR(IFERROR(IFERROR(INDEX(TallyBrands,MATCH(0, _xlfn.IFS("Beer"=TallyDrinkType,COUNTIF($E$4:$E36,TallyBrands),"Cider"=TallyDrinkType,COUNTIF($E$4:$E36,TallyBrands)),0)),INDEX(TallyBrands2,MATCH(0, _xlfn.IFS("Beer"=TallyDrinkType,COUNTIF($E$4:$E36,TallyBrands2),"Cider"=TallyDrinkType,COUNTIF($E$4:$E36,TallyBrands2)),0))),INDEX(TallyBrands3,MATCH(0, _xlfn.IFS("Beer"=TallyDrinkType,COUNTIF($E$4:$E36,TallyBrands3),"Cider"=TallyDrinkType,COUNTIF($E$4:$E36,TallyBrands3)),0))),"")</f>
        <v>Desperados</v>
      </c>
      <c r="F37" s="228">
        <f t="shared" ref="F37:F68" si="5">COUNTIFS(TallyBrands, $E37,TallyDrinkType, "Beer") + COUNTIFS(TallyBrands,$E37,TallyDrinkType, "Cider")+COUNTIFS(TallyBrands2, $E37,TallyDrinkType, "Beer") + COUNTIFS(TallyBrands2,$E37,TallyDrinkType, "Cider")+COUNTIFS(TallyBrands3, $E37,TallyDrinkType, "Beer") + COUNTIFS(TallyBrands3,$E37,TallyDrinkType, "Cider")</f>
        <v>5</v>
      </c>
      <c r="G37" s="195">
        <f t="shared" si="1"/>
        <v>0</v>
      </c>
      <c r="H37" s="230">
        <f t="shared" si="2"/>
        <v>6.9</v>
      </c>
      <c r="I37" s="220"/>
    </row>
    <row r="38" spans="2:9" ht="15" x14ac:dyDescent="0.15">
      <c r="B38" s="226" t="str" cm="1">
        <f t="array" ref="B38">IFERROR(IFERROR(IFERROR(INDEX(TallyBrands, MATCH(0, COUNTIF(B$4:$B37, TallyBrands), 0)), INDEX(TallyBrands2, MATCH(0, COUNTIF(B$4:$B37, TallyBrands2), 0))), INDEX(TallyBrands3, MATCH(0, COUNTIF(B$4:$B37, TallyBrands3), 0))),"")</f>
        <v>Queen Margot</v>
      </c>
      <c r="C38" s="113"/>
      <c r="E38" s="186" t="str" cm="1">
        <f t="array" ref="E38">IFERROR(IFERROR(IFERROR(INDEX(TallyBrands,MATCH(0, _xlfn.IFS("Beer"=TallyDrinkType,COUNTIF($E$4:$E37,TallyBrands),"Cider"=TallyDrinkType,COUNTIF($E$4:$E37,TallyBrands)),0)),INDEX(TallyBrands2,MATCH(0, _xlfn.IFS("Beer"=TallyDrinkType,COUNTIF($E$4:$E37,TallyBrands2),"Cider"=TallyDrinkType,COUNTIF($E$4:$E37,TallyBrands2)),0))),INDEX(TallyBrands3,MATCH(0, _xlfn.IFS("Beer"=TallyDrinkType,COUNTIF($E$4:$E37,TallyBrands3),"Cider"=TallyDrinkType,COUNTIF($E$4:$E37,TallyBrands3)),0))),"")</f>
        <v>Camden Town Brewery</v>
      </c>
      <c r="F38" s="228">
        <f t="shared" si="5"/>
        <v>5</v>
      </c>
      <c r="G38" s="195">
        <f t="shared" si="1"/>
        <v>0</v>
      </c>
      <c r="H38" s="230">
        <f t="shared" si="2"/>
        <v>7</v>
      </c>
      <c r="I38" s="220"/>
    </row>
    <row r="39" spans="2:9" ht="15" x14ac:dyDescent="0.15">
      <c r="B39" s="226" t="str" cm="1">
        <f t="array" ref="B39">IFERROR(IFERROR(IFERROR(INDEX(TallyBrands, MATCH(0, COUNTIF(B$4:$B38, TallyBrands), 0)), INDEX(TallyBrands2, MATCH(0, COUNTIF(B$4:$B38, TallyBrands2), 0))), INDEX(TallyBrands3, MATCH(0, COUNTIF(B$4:$B38, TallyBrands3), 0))),"")</f>
        <v>Melini</v>
      </c>
      <c r="C39" s="113"/>
      <c r="E39" s="186" t="str" cm="1">
        <f t="array" ref="E39">IFERROR(IFERROR(IFERROR(INDEX(TallyBrands,MATCH(0, _xlfn.IFS("Beer"=TallyDrinkType,COUNTIF($E$4:$E38,TallyBrands),"Cider"=TallyDrinkType,COUNTIF($E$4:$E38,TallyBrands)),0)),INDEX(TallyBrands2,MATCH(0, _xlfn.IFS("Beer"=TallyDrinkType,COUNTIF($E$4:$E38,TallyBrands2),"Cider"=TallyDrinkType,COUNTIF($E$4:$E38,TallyBrands2)),0))),INDEX(TallyBrands3,MATCH(0, _xlfn.IFS("Beer"=TallyDrinkType,COUNTIF($E$4:$E38,TallyBrands3),"Cider"=TallyDrinkType,COUNTIF($E$4:$E38,TallyBrands3)),0))),"")</f>
        <v>Blue Moon</v>
      </c>
      <c r="F39" s="228">
        <f t="shared" si="5"/>
        <v>3</v>
      </c>
      <c r="G39" s="195">
        <f t="shared" si="1"/>
        <v>0</v>
      </c>
      <c r="H39" s="230">
        <f t="shared" si="2"/>
        <v>8</v>
      </c>
      <c r="I39" s="220"/>
    </row>
    <row r="40" spans="2:9" ht="15" x14ac:dyDescent="0.15">
      <c r="B40" s="226" t="str" cm="1">
        <f t="array" ref="B40">IFERROR(IFERROR(IFERROR(INDEX(TallyBrands, MATCH(0, COUNTIF(B$4:$B39, TallyBrands), 0)), INDEX(TallyBrands2, MATCH(0, COUNTIF(B$4:$B39, TallyBrands2), 0))), INDEX(TallyBrands3, MATCH(0, COUNTIF(B$4:$B39, TallyBrands3), 0))),"")</f>
        <v>Giardini di Ravello</v>
      </c>
      <c r="C40" s="113"/>
      <c r="E40" s="186" t="str" cm="1">
        <f t="array" ref="E40">IFERROR(IFERROR(IFERROR(INDEX(TallyBrands,MATCH(0, _xlfn.IFS("Beer"=TallyDrinkType,COUNTIF($E$4:$E39,TallyBrands),"Cider"=TallyDrinkType,COUNTIF($E$4:$E39,TallyBrands)),0)),INDEX(TallyBrands2,MATCH(0, _xlfn.IFS("Beer"=TallyDrinkType,COUNTIF($E$4:$E39,TallyBrands2),"Cider"=TallyDrinkType,COUNTIF($E$4:$E39,TallyBrands2)),0))),INDEX(TallyBrands3,MATCH(0, _xlfn.IFS("Beer"=TallyDrinkType,COUNTIF($E$4:$E39,TallyBrands3),"Cider"=TallyDrinkType,COUNTIF($E$4:$E39,TallyBrands3)),0))),"")</f>
        <v>Guinness</v>
      </c>
      <c r="F40" s="228">
        <f t="shared" si="5"/>
        <v>2</v>
      </c>
      <c r="G40" s="195">
        <f t="shared" si="1"/>
        <v>0</v>
      </c>
      <c r="H40" s="230">
        <f t="shared" si="2"/>
        <v>6</v>
      </c>
      <c r="I40" s="220"/>
    </row>
    <row r="41" spans="2:9" ht="15" x14ac:dyDescent="0.15">
      <c r="B41" s="226" t="str" cm="1">
        <f t="array" ref="B41">IFERROR(IFERROR(IFERROR(INDEX(TallyBrands, MATCH(0, COUNTIF(B$4:$B40, TallyBrands), 0)), INDEX(TallyBrands2, MATCH(0, COUNTIF(B$4:$B40, TallyBrands2), 0))), INDEX(TallyBrands3, MATCH(0, COUNTIF(B$4:$B40, TallyBrands3), 0))),"")</f>
        <v>Soplica</v>
      </c>
      <c r="C41" s="113"/>
      <c r="E41" s="186" t="str" cm="1">
        <f t="array" ref="E41">IFERROR(IFERROR(IFERROR(INDEX(TallyBrands,MATCH(0, _xlfn.IFS("Beer"=TallyDrinkType,COUNTIF($E$4:$E40,TallyBrands),"Cider"=TallyDrinkType,COUNTIF($E$4:$E40,TallyBrands)),0)),INDEX(TallyBrands2,MATCH(0, _xlfn.IFS("Beer"=TallyDrinkType,COUNTIF($E$4:$E40,TallyBrands2),"Cider"=TallyDrinkType,COUNTIF($E$4:$E40,TallyBrands2)),0))),INDEX(TallyBrands3,MATCH(0, _xlfn.IFS("Beer"=TallyDrinkType,COUNTIF($E$4:$E40,TallyBrands3),"Cider"=TallyDrinkType,COUNTIF($E$4:$E40,TallyBrands3)),0))),"")</f>
        <v>St Peter's</v>
      </c>
      <c r="F41" s="228">
        <f t="shared" si="5"/>
        <v>2</v>
      </c>
      <c r="G41" s="195">
        <f t="shared" si="1"/>
        <v>0</v>
      </c>
      <c r="H41" s="230">
        <f t="shared" si="2"/>
        <v>5.25</v>
      </c>
      <c r="I41" s="220"/>
    </row>
    <row r="42" spans="2:9" ht="15" x14ac:dyDescent="0.15">
      <c r="B42" s="226" t="str" cm="1">
        <f t="array" ref="B42">IFERROR(IFERROR(IFERROR(INDEX(TallyBrands, MATCH(0, COUNTIF(B$4:$B41, TallyBrands), 0)), INDEX(TallyBrands2, MATCH(0, COUNTIF(B$4:$B41, TallyBrands2), 0))), INDEX(TallyBrands3, MATCH(0, COUNTIF(B$4:$B41, TallyBrands3), 0))),"")</f>
        <v>Aberlour</v>
      </c>
      <c r="C42" s="113"/>
      <c r="E42" s="186" t="str" cm="1">
        <f t="array" ref="E42">IFERROR(IFERROR(IFERROR(INDEX(TallyBrands,MATCH(0, _xlfn.IFS("Beer"=TallyDrinkType,COUNTIF($E$4:$E41,TallyBrands),"Cider"=TallyDrinkType,COUNTIF($E$4:$E41,TallyBrands)),0)),INDEX(TallyBrands2,MATCH(0, _xlfn.IFS("Beer"=TallyDrinkType,COUNTIF($E$4:$E41,TallyBrands2),"Cider"=TallyDrinkType,COUNTIF($E$4:$E41,TallyBrands2)),0))),INDEX(TallyBrands3,MATCH(0, _xlfn.IFS("Beer"=TallyDrinkType,COUNTIF($E$4:$E41,TallyBrands3),"Cider"=TallyDrinkType,COUNTIF($E$4:$E41,TallyBrands3)),0))),"")</f>
        <v>Buxton Brewery</v>
      </c>
      <c r="F42" s="228">
        <f t="shared" si="5"/>
        <v>3</v>
      </c>
      <c r="G42" s="195">
        <f t="shared" si="1"/>
        <v>0</v>
      </c>
      <c r="H42" s="230">
        <f t="shared" si="2"/>
        <v>7.833333333333333</v>
      </c>
      <c r="I42" s="220"/>
    </row>
    <row r="43" spans="2:9" ht="15" x14ac:dyDescent="0.15">
      <c r="B43" s="226" t="str" cm="1">
        <f t="array" ref="B43">IFERROR(IFERROR(IFERROR(INDEX(TallyBrands, MATCH(0, COUNTIF(B$4:$B42, TallyBrands), 0)), INDEX(TallyBrands2, MATCH(0, COUNTIF(B$4:$B42, TallyBrands2), 0))), INDEX(TallyBrands3, MATCH(0, COUNTIF(B$4:$B42, TallyBrands3), 0))),"")</f>
        <v>Zubrowka</v>
      </c>
      <c r="C43" s="113"/>
      <c r="E43" s="186" t="str" cm="1">
        <f t="array" ref="E43">IFERROR(IFERROR(IFERROR(INDEX(TallyBrands,MATCH(0, _xlfn.IFS("Beer"=TallyDrinkType,COUNTIF($E$4:$E42,TallyBrands),"Cider"=TallyDrinkType,COUNTIF($E$4:$E42,TallyBrands)),0)),INDEX(TallyBrands2,MATCH(0, _xlfn.IFS("Beer"=TallyDrinkType,COUNTIF($E$4:$E42,TallyBrands2),"Cider"=TallyDrinkType,COUNTIF($E$4:$E42,TallyBrands2)),0))),INDEX(TallyBrands3,MATCH(0, _xlfn.IFS("Beer"=TallyDrinkType,COUNTIF($E$4:$E42,TallyBrands3),"Cider"=TallyDrinkType,COUNTIF($E$4:$E42,TallyBrands3)),0))),"")</f>
        <v>Two Tribes</v>
      </c>
      <c r="F43" s="228">
        <f t="shared" si="5"/>
        <v>5</v>
      </c>
      <c r="G43" s="195">
        <f t="shared" si="1"/>
        <v>0</v>
      </c>
      <c r="H43" s="230">
        <f t="shared" si="2"/>
        <v>6.5</v>
      </c>
      <c r="I43" s="220"/>
    </row>
    <row r="44" spans="2:9" ht="15" x14ac:dyDescent="0.15">
      <c r="B44" s="226" t="str" cm="1">
        <f t="array" ref="B44">IFERROR(IFERROR(IFERROR(INDEX(TallyBrands, MATCH(0, COUNTIF(B$4:$B43, TallyBrands), 0)), INDEX(TallyBrands2, MATCH(0, COUNTIF(B$4:$B43, TallyBrands2), 0))), INDEX(TallyBrands3, MATCH(0, COUNTIF(B$4:$B43, TallyBrands3), 0))),"")</f>
        <v>Holsten</v>
      </c>
      <c r="C44" s="113"/>
      <c r="E44" s="186" t="str" cm="1">
        <f t="array" ref="E44">IFERROR(IFERROR(IFERROR(INDEX(TallyBrands,MATCH(0, _xlfn.IFS("Beer"=TallyDrinkType,COUNTIF($E$4:$E43,TallyBrands),"Cider"=TallyDrinkType,COUNTIF($E$4:$E43,TallyBrands)),0)),INDEX(TallyBrands2,MATCH(0, _xlfn.IFS("Beer"=TallyDrinkType,COUNTIF($E$4:$E43,TallyBrands2),"Cider"=TallyDrinkType,COUNTIF($E$4:$E43,TallyBrands2)),0))),INDEX(TallyBrands3,MATCH(0, _xlfn.IFS("Beer"=TallyDrinkType,COUNTIF($E$4:$E43,TallyBrands3),"Cider"=TallyDrinkType,COUNTIF($E$4:$E43,TallyBrands3)),0))),"")</f>
        <v>Prost Brewing Co.</v>
      </c>
      <c r="F44" s="228">
        <f t="shared" si="5"/>
        <v>1</v>
      </c>
      <c r="G44" s="195">
        <f t="shared" si="1"/>
        <v>0</v>
      </c>
      <c r="H44" s="230">
        <f t="shared" si="2"/>
        <v>6</v>
      </c>
      <c r="I44" s="220"/>
    </row>
    <row r="45" spans="2:9" ht="15" x14ac:dyDescent="0.15">
      <c r="B45" s="226" t="str" cm="1">
        <f t="array" ref="B45">IFERROR(IFERROR(IFERROR(INDEX(TallyBrands, MATCH(0, COUNTIF(B$4:$B44, TallyBrands), 0)), INDEX(TallyBrands2, MATCH(0, COUNTIF(B$4:$B44, TallyBrands2), 0))), INDEX(TallyBrands3, MATCH(0, COUNTIF(B$4:$B44, TallyBrands3), 0))),"")</f>
        <v>Gabriel Boudier</v>
      </c>
      <c r="C45" s="113"/>
      <c r="E45" s="186" t="str" cm="1">
        <f t="array" ref="E45">IFERROR(IFERROR(IFERROR(INDEX(TallyBrands,MATCH(0, _xlfn.IFS("Beer"=TallyDrinkType,COUNTIF($E$4:$E44,TallyBrands),"Cider"=TallyDrinkType,COUNTIF($E$4:$E44,TallyBrands)),0)),INDEX(TallyBrands2,MATCH(0, _xlfn.IFS("Beer"=TallyDrinkType,COUNTIF($E$4:$E44,TallyBrands2),"Cider"=TallyDrinkType,COUNTIF($E$4:$E44,TallyBrands2)),0))),INDEX(TallyBrands3,MATCH(0, _xlfn.IFS("Beer"=TallyDrinkType,COUNTIF($E$4:$E44,TallyBrands3),"Cider"=TallyDrinkType,COUNTIF($E$4:$E44,TallyBrands3)),0))),"")</f>
        <v>The White Hag Irish Brewing Company</v>
      </c>
      <c r="F45" s="228">
        <f t="shared" si="5"/>
        <v>4</v>
      </c>
      <c r="G45" s="195">
        <f t="shared" si="1"/>
        <v>2</v>
      </c>
      <c r="H45" s="230">
        <f t="shared" si="2"/>
        <v>4</v>
      </c>
      <c r="I45" s="220"/>
    </row>
    <row r="46" spans="2:9" ht="15" x14ac:dyDescent="0.15">
      <c r="B46" s="226" t="str" cm="1">
        <f t="array" ref="B46">IFERROR(IFERROR(IFERROR(INDEX(TallyBrands, MATCH(0, COUNTIF(B$4:$B45, TallyBrands), 0)), INDEX(TallyBrands2, MATCH(0, COUNTIF(B$4:$B45, TallyBrands2), 0))), INDEX(TallyBrands3, MATCH(0, COUNTIF(B$4:$B45, TallyBrands3), 0))),"")</f>
        <v>Bombay Sapphire</v>
      </c>
      <c r="C46" s="113"/>
      <c r="E46" s="186" t="str" cm="1">
        <f t="array" ref="E46">IFERROR(IFERROR(IFERROR(INDEX(TallyBrands,MATCH(0, _xlfn.IFS("Beer"=TallyDrinkType,COUNTIF($E$4:$E45,TallyBrands),"Cider"=TallyDrinkType,COUNTIF($E$4:$E45,TallyBrands)),0)),INDEX(TallyBrands2,MATCH(0, _xlfn.IFS("Beer"=TallyDrinkType,COUNTIF($E$4:$E45,TallyBrands2),"Cider"=TallyDrinkType,COUNTIF($E$4:$E45,TallyBrands2)),0))),INDEX(TallyBrands3,MATCH(0, _xlfn.IFS("Beer"=TallyDrinkType,COUNTIF($E$4:$E45,TallyBrands3),"Cider"=TallyDrinkType,COUNTIF($E$4:$E45,TallyBrands3)),0))),"")</f>
        <v>Innis &amp; Gunn</v>
      </c>
      <c r="F46" s="228">
        <f t="shared" si="5"/>
        <v>2</v>
      </c>
      <c r="G46" s="195">
        <f t="shared" si="1"/>
        <v>0</v>
      </c>
      <c r="H46" s="230">
        <f t="shared" si="2"/>
        <v>7.25</v>
      </c>
      <c r="I46" s="220"/>
    </row>
    <row r="47" spans="2:9" ht="15" x14ac:dyDescent="0.15">
      <c r="B47" s="226" t="str" cm="1">
        <f t="array" ref="B47">IFERROR(IFERROR(IFERROR(INDEX(TallyBrands, MATCH(0, COUNTIF(B$4:$B46, TallyBrands), 0)), INDEX(TallyBrands2, MATCH(0, COUNTIF(B$4:$B46, TallyBrands2), 0))), INDEX(TallyBrands3, MATCH(0, COUNTIF(B$4:$B46, TallyBrands3), 0))),"")</f>
        <v>Yeastie Boys</v>
      </c>
      <c r="C47" s="113"/>
      <c r="E47" s="186" t="str" cm="1">
        <f t="array" ref="E47">IFERROR(IFERROR(IFERROR(INDEX(TallyBrands,MATCH(0, _xlfn.IFS("Beer"=TallyDrinkType,COUNTIF($E$4:$E46,TallyBrands),"Cider"=TallyDrinkType,COUNTIF($E$4:$E46,TallyBrands)),0)),INDEX(TallyBrands2,MATCH(0, _xlfn.IFS("Beer"=TallyDrinkType,COUNTIF($E$4:$E46,TallyBrands2),"Cider"=TallyDrinkType,COUNTIF($E$4:$E46,TallyBrands2)),0))),INDEX(TallyBrands3,MATCH(0, _xlfn.IFS("Beer"=TallyDrinkType,COUNTIF($E$4:$E46,TallyBrands3),"Cider"=TallyDrinkType,COUNTIF($E$4:$E46,TallyBrands3)),0))),"")</f>
        <v>Westons</v>
      </c>
      <c r="F47" s="228">
        <f t="shared" si="5"/>
        <v>6</v>
      </c>
      <c r="G47" s="195">
        <f t="shared" si="1"/>
        <v>0</v>
      </c>
      <c r="H47" s="230">
        <f t="shared" si="2"/>
        <v>5.916666666666667</v>
      </c>
      <c r="I47" s="220"/>
    </row>
    <row r="48" spans="2:9" ht="15" x14ac:dyDescent="0.15">
      <c r="B48" s="226" t="str" cm="1">
        <f t="array" ref="B48">IFERROR(IFERROR(IFERROR(INDEX(TallyBrands, MATCH(0, COUNTIF(B$4:$B47, TallyBrands), 0)), INDEX(TallyBrands2, MATCH(0, COUNTIF(B$4:$B47, TallyBrands2), 0))), INDEX(TallyBrands3, MATCH(0, COUNTIF(B$4:$B47, TallyBrands3), 0))),"")</f>
        <v>North Brewing Company</v>
      </c>
      <c r="C48" s="113"/>
      <c r="E48" s="186" t="str" cm="1">
        <f t="array" ref="E48">IFERROR(IFERROR(IFERROR(INDEX(TallyBrands,MATCH(0, _xlfn.IFS("Beer"=TallyDrinkType,COUNTIF($E$4:$E47,TallyBrands),"Cider"=TallyDrinkType,COUNTIF($E$4:$E47,TallyBrands)),0)),INDEX(TallyBrands2,MATCH(0, _xlfn.IFS("Beer"=TallyDrinkType,COUNTIF($E$4:$E47,TallyBrands2),"Cider"=TallyDrinkType,COUNTIF($E$4:$E47,TallyBrands2)),0))),INDEX(TallyBrands3,MATCH(0, _xlfn.IFS("Beer"=TallyDrinkType,COUNTIF($E$4:$E47,TallyBrands3),"Cider"=TallyDrinkType,COUNTIF($E$4:$E47,TallyBrands3)),0))),"")</f>
        <v>Hogans</v>
      </c>
      <c r="F48" s="228">
        <f t="shared" si="5"/>
        <v>5</v>
      </c>
      <c r="G48" s="195">
        <f t="shared" si="1"/>
        <v>0</v>
      </c>
      <c r="H48" s="230">
        <f t="shared" si="2"/>
        <v>6.1</v>
      </c>
      <c r="I48" s="220"/>
    </row>
    <row r="49" spans="2:9" ht="15" x14ac:dyDescent="0.15">
      <c r="B49" s="226" t="str" cm="1">
        <f t="array" ref="B49">IFERROR(IFERROR(IFERROR(INDEX(TallyBrands, MATCH(0, COUNTIF(B$4:$B48, TallyBrands), 0)), INDEX(TallyBrands2, MATCH(0, COUNTIF(B$4:$B48, TallyBrands2), 0))), INDEX(TallyBrands3, MATCH(0, COUNTIF(B$4:$B48, TallyBrands3), 0))),"")</f>
        <v>Wild Beer</v>
      </c>
      <c r="C49" s="113"/>
      <c r="E49" s="186" t="str" cm="1">
        <f t="array" ref="E49">IFERROR(IFERROR(IFERROR(INDEX(TallyBrands,MATCH(0, _xlfn.IFS("Beer"=TallyDrinkType,COUNTIF($E$4:$E48,TallyBrands),"Cider"=TallyDrinkType,COUNTIF($E$4:$E48,TallyBrands)),0)),INDEX(TallyBrands2,MATCH(0, _xlfn.IFS("Beer"=TallyDrinkType,COUNTIF($E$4:$E48,TallyBrands2),"Cider"=TallyDrinkType,COUNTIF($E$4:$E48,TallyBrands2)),0))),INDEX(TallyBrands3,MATCH(0, _xlfn.IFS("Beer"=TallyDrinkType,COUNTIF($E$4:$E48,TallyBrands3),"Cider"=TallyDrinkType,COUNTIF($E$4:$E48,TallyBrands3)),0))),"")</f>
        <v>Aspall</v>
      </c>
      <c r="F49" s="228">
        <f t="shared" si="5"/>
        <v>6</v>
      </c>
      <c r="G49" s="195">
        <f t="shared" si="1"/>
        <v>0</v>
      </c>
      <c r="H49" s="230">
        <f t="shared" si="2"/>
        <v>7.666666666666667</v>
      </c>
      <c r="I49" s="220"/>
    </row>
    <row r="50" spans="2:9" ht="15" x14ac:dyDescent="0.15">
      <c r="B50" s="226" t="str" cm="1">
        <f t="array" ref="B50">IFERROR(IFERROR(IFERROR(INDEX(TallyBrands, MATCH(0, COUNTIF(B$4:$B49, TallyBrands), 0)), INDEX(TallyBrands2, MATCH(0, COUNTIF(B$4:$B49, TallyBrands2), 0))), INDEX(TallyBrands3, MATCH(0, COUNTIF(B$4:$B49, TallyBrands3), 0))),"")</f>
        <v>Beavertown</v>
      </c>
      <c r="C50" s="113"/>
      <c r="E50" s="186" t="str" cm="1">
        <f t="array" ref="E50">IFERROR(IFERROR(IFERROR(INDEX(TallyBrands,MATCH(0, _xlfn.IFS("Beer"=TallyDrinkType,COUNTIF($E$4:$E49,TallyBrands),"Cider"=TallyDrinkType,COUNTIF($E$4:$E49,TallyBrands)),0)),INDEX(TallyBrands2,MATCH(0, _xlfn.IFS("Beer"=TallyDrinkType,COUNTIF($E$4:$E49,TallyBrands2),"Cider"=TallyDrinkType,COUNTIF($E$4:$E49,TallyBrands2)),0))),INDEX(TallyBrands3,MATCH(0, _xlfn.IFS("Beer"=TallyDrinkType,COUNTIF($E$4:$E49,TallyBrands3),"Cider"=TallyDrinkType,COUNTIF($E$4:$E49,TallyBrands3)),0))),"")</f>
        <v>Portobello</v>
      </c>
      <c r="F50" s="228">
        <f t="shared" si="5"/>
        <v>2</v>
      </c>
      <c r="G50" s="195">
        <f t="shared" si="1"/>
        <v>0</v>
      </c>
      <c r="H50" s="230">
        <f t="shared" si="2"/>
        <v>4.5</v>
      </c>
      <c r="I50" s="220"/>
    </row>
    <row r="51" spans="2:9" ht="15" x14ac:dyDescent="0.15">
      <c r="B51" s="226" t="str" cm="1">
        <f t="array" ref="B51">IFERROR(IFERROR(IFERROR(INDEX(TallyBrands, MATCH(0, COUNTIF(B$4:$B50, TallyBrands), 0)), INDEX(TallyBrands2, MATCH(0, COUNTIF(B$4:$B50, TallyBrands2), 0))), INDEX(TallyBrands3, MATCH(0, COUNTIF(B$4:$B50, TallyBrands3), 0))),"")</f>
        <v>Aigaion Distillery</v>
      </c>
      <c r="C51" s="113"/>
      <c r="E51" s="186" t="str" cm="1">
        <f t="array" ref="E51">IFERROR(IFERROR(IFERROR(INDEX(TallyBrands,MATCH(0, _xlfn.IFS("Beer"=TallyDrinkType,COUNTIF($E$4:$E50,TallyBrands),"Cider"=TallyDrinkType,COUNTIF($E$4:$E50,TallyBrands)),0)),INDEX(TallyBrands2,MATCH(0, _xlfn.IFS("Beer"=TallyDrinkType,COUNTIF($E$4:$E50,TallyBrands2),"Cider"=TallyDrinkType,COUNTIF($E$4:$E50,TallyBrands2)),0))),INDEX(TallyBrands3,MATCH(0, _xlfn.IFS("Beer"=TallyDrinkType,COUNTIF($E$4:$E50,TallyBrands3),"Cider"=TallyDrinkType,COUNTIF($E$4:$E50,TallyBrands3)),0))),"")</f>
        <v>Red Stripe</v>
      </c>
      <c r="F51" s="228">
        <f t="shared" si="5"/>
        <v>2</v>
      </c>
      <c r="G51" s="195">
        <f t="shared" si="1"/>
        <v>0</v>
      </c>
      <c r="H51" s="230">
        <f t="shared" si="2"/>
        <v>6.5</v>
      </c>
      <c r="I51" s="220"/>
    </row>
    <row r="52" spans="2:9" ht="15" x14ac:dyDescent="0.15">
      <c r="B52" s="226" t="str" cm="1">
        <f t="array" ref="B52">IFERROR(IFERROR(IFERROR(INDEX(TallyBrands, MATCH(0, COUNTIF(B$4:$B51, TallyBrands), 0)), INDEX(TallyBrands2, MATCH(0, COUNTIF(B$4:$B51, TallyBrands2), 0))), INDEX(TallyBrands3, MATCH(0, COUNTIF(B$4:$B51, TallyBrands3), 0))),"")</f>
        <v>Boundary Road Brewery</v>
      </c>
      <c r="C52" s="113"/>
      <c r="E52" s="186" t="str" cm="1">
        <f t="array" ref="E52">IFERROR(IFERROR(IFERROR(INDEX(TallyBrands,MATCH(0, _xlfn.IFS("Beer"=TallyDrinkType,COUNTIF($E$4:$E51,TallyBrands),"Cider"=TallyDrinkType,COUNTIF($E$4:$E51,TallyBrands)),0)),INDEX(TallyBrands2,MATCH(0, _xlfn.IFS("Beer"=TallyDrinkType,COUNTIF($E$4:$E51,TallyBrands2),"Cider"=TallyDrinkType,COUNTIF($E$4:$E51,TallyBrands2)),0))),INDEX(TallyBrands3,MATCH(0, _xlfn.IFS("Beer"=TallyDrinkType,COUNTIF($E$4:$E51,TallyBrands3),"Cider"=TallyDrinkType,COUNTIF($E$4:$E51,TallyBrands3)),0))),"")</f>
        <v>Crabbie's</v>
      </c>
      <c r="F52" s="228">
        <f t="shared" si="5"/>
        <v>4</v>
      </c>
      <c r="G52" s="195">
        <f t="shared" si="1"/>
        <v>0</v>
      </c>
      <c r="H52" s="230">
        <f t="shared" si="2"/>
        <v>6.375</v>
      </c>
      <c r="I52" s="220"/>
    </row>
    <row r="53" spans="2:9" ht="15" x14ac:dyDescent="0.15">
      <c r="B53" s="226" t="str" cm="1">
        <f t="array" ref="B53">IFERROR(IFERROR(IFERROR(INDEX(TallyBrands, MATCH(0, COUNTIF(B$4:$B52, TallyBrands), 0)), INDEX(TallyBrands2, MATCH(0, COUNTIF(B$4:$B52, TallyBrands2), 0))), INDEX(TallyBrands3, MATCH(0, COUNTIF(B$4:$B52, TallyBrands3), 0))),"")</f>
        <v>Sainsburys</v>
      </c>
      <c r="C53" s="113"/>
      <c r="E53" s="186" t="str" cm="1">
        <f t="array" ref="E53">IFERROR(IFERROR(IFERROR(INDEX(TallyBrands,MATCH(0, _xlfn.IFS("Beer"=TallyDrinkType,COUNTIF($E$4:$E52,TallyBrands),"Cider"=TallyDrinkType,COUNTIF($E$4:$E52,TallyBrands)),0)),INDEX(TallyBrands2,MATCH(0, _xlfn.IFS("Beer"=TallyDrinkType,COUNTIF($E$4:$E52,TallyBrands2),"Cider"=TallyDrinkType,COUNTIF($E$4:$E52,TallyBrands2)),0))),INDEX(TallyBrands3,MATCH(0, _xlfn.IFS("Beer"=TallyDrinkType,COUNTIF($E$4:$E52,TallyBrands3),"Cider"=TallyDrinkType,COUNTIF($E$4:$E52,TallyBrands3)),0))),"")</f>
        <v>Sierra Nevada</v>
      </c>
      <c r="F53" s="228">
        <f t="shared" si="5"/>
        <v>1</v>
      </c>
      <c r="G53" s="195">
        <f t="shared" si="1"/>
        <v>0</v>
      </c>
      <c r="H53" s="230">
        <f t="shared" si="2"/>
        <v>6.5</v>
      </c>
      <c r="I53" s="220"/>
    </row>
    <row r="54" spans="2:9" ht="15" x14ac:dyDescent="0.15">
      <c r="B54" s="226" t="str" cm="1">
        <f t="array" ref="B54">IFERROR(IFERROR(IFERROR(INDEX(TallyBrands, MATCH(0, COUNTIF(B$4:$B53, TallyBrands), 0)), INDEX(TallyBrands2, MATCH(0, COUNTIF(B$4:$B53, TallyBrands2), 0))), INDEX(TallyBrands3, MATCH(0, COUNTIF(B$4:$B53, TallyBrands3), 0))),"")</f>
        <v>Schladerer</v>
      </c>
      <c r="C54" s="113"/>
      <c r="E54" s="186" t="str" cm="1">
        <f t="array" ref="E54">IFERROR(IFERROR(IFERROR(INDEX(TallyBrands,MATCH(0, _xlfn.IFS("Beer"=TallyDrinkType,COUNTIF($E$4:$E53,TallyBrands),"Cider"=TallyDrinkType,COUNTIF($E$4:$E53,TallyBrands)),0)),INDEX(TallyBrands2,MATCH(0, _xlfn.IFS("Beer"=TallyDrinkType,COUNTIF($E$4:$E53,TallyBrands2),"Cider"=TallyDrinkType,COUNTIF($E$4:$E53,TallyBrands2)),0))),INDEX(TallyBrands3,MATCH(0, _xlfn.IFS("Beer"=TallyDrinkType,COUNTIF($E$4:$E53,TallyBrands3),"Cider"=TallyDrinkType,COUNTIF($E$4:$E53,TallyBrands3)),0))),"")</f>
        <v>Dunkertons</v>
      </c>
      <c r="F54" s="228">
        <f t="shared" si="5"/>
        <v>5</v>
      </c>
      <c r="G54" s="195">
        <f t="shared" si="1"/>
        <v>0</v>
      </c>
      <c r="H54" s="230">
        <f t="shared" si="2"/>
        <v>8</v>
      </c>
      <c r="I54" s="220"/>
    </row>
    <row r="55" spans="2:9" ht="15" x14ac:dyDescent="0.15">
      <c r="B55" s="226" t="str" cm="1">
        <f t="array" ref="B55">IFERROR(IFERROR(IFERROR(INDEX(TallyBrands, MATCH(0, COUNTIF(B$4:$B54, TallyBrands), 0)), INDEX(TallyBrands2, MATCH(0, COUNTIF(B$4:$B54, TallyBrands2), 0))), INDEX(TallyBrands3, MATCH(0, COUNTIF(B$4:$B54, TallyBrands3), 0))),"")</f>
        <v>Vecchia</v>
      </c>
      <c r="C55" s="113"/>
      <c r="E55" s="186" t="str" cm="1">
        <f t="array" ref="E55">IFERROR(IFERROR(IFERROR(INDEX(TallyBrands,MATCH(0, _xlfn.IFS("Beer"=TallyDrinkType,COUNTIF($E$4:$E54,TallyBrands),"Cider"=TallyDrinkType,COUNTIF($E$4:$E54,TallyBrands)),0)),INDEX(TallyBrands2,MATCH(0, _xlfn.IFS("Beer"=TallyDrinkType,COUNTIF($E$4:$E54,TallyBrands2),"Cider"=TallyDrinkType,COUNTIF($E$4:$E54,TallyBrands2)),0))),INDEX(TallyBrands3,MATCH(0, _xlfn.IFS("Beer"=TallyDrinkType,COUNTIF($E$4:$E54,TallyBrands3),"Cider"=TallyDrinkType,COUNTIF($E$4:$E54,TallyBrands3)),0))),"")</f>
        <v>Brew By Numbers</v>
      </c>
      <c r="F55" s="228">
        <f t="shared" si="5"/>
        <v>2</v>
      </c>
      <c r="G55" s="195">
        <f t="shared" si="1"/>
        <v>0</v>
      </c>
      <c r="H55" s="230">
        <f t="shared" si="2"/>
        <v>6.75</v>
      </c>
      <c r="I55" s="220"/>
    </row>
    <row r="56" spans="2:9" ht="15" x14ac:dyDescent="0.15">
      <c r="B56" s="226" t="str" cm="1">
        <f t="array" ref="B56">IFERROR(IFERROR(IFERROR(INDEX(TallyBrands, MATCH(0, COUNTIF(B$4:$B55, TallyBrands), 0)), INDEX(TallyBrands2, MATCH(0, COUNTIF(B$4:$B55, TallyBrands2), 0))), INDEX(TallyBrands3, MATCH(0, COUNTIF(B$4:$B55, TallyBrands3), 0))),"")</f>
        <v>Jack Daniel</v>
      </c>
      <c r="C56" s="113"/>
      <c r="E56" s="186" t="str" cm="1">
        <f t="array" ref="E56">IFERROR(IFERROR(IFERROR(INDEX(TallyBrands,MATCH(0, _xlfn.IFS("Beer"=TallyDrinkType,COUNTIF($E$4:$E55,TallyBrands),"Cider"=TallyDrinkType,COUNTIF($E$4:$E55,TallyBrands)),0)),INDEX(TallyBrands2,MATCH(0, _xlfn.IFS("Beer"=TallyDrinkType,COUNTIF($E$4:$E55,TallyBrands2),"Cider"=TallyDrinkType,COUNTIF($E$4:$E55,TallyBrands2)),0))),INDEX(TallyBrands3,MATCH(0, _xlfn.IFS("Beer"=TallyDrinkType,COUNTIF($E$4:$E55,TallyBrands3),"Cider"=TallyDrinkType,COUNTIF($E$4:$E55,TallyBrands3)),0))),"")</f>
        <v>Cornish Gold</v>
      </c>
      <c r="F56" s="228">
        <f t="shared" si="5"/>
        <v>1</v>
      </c>
      <c r="G56" s="195">
        <f t="shared" si="1"/>
        <v>0</v>
      </c>
      <c r="H56" s="230">
        <f t="shared" si="2"/>
        <v>7.5</v>
      </c>
      <c r="I56" s="220"/>
    </row>
    <row r="57" spans="2:9" ht="15" x14ac:dyDescent="0.15">
      <c r="B57" s="226" t="str" cm="1">
        <f t="array" ref="B57">IFERROR(IFERROR(IFERROR(INDEX(TallyBrands, MATCH(0, COUNTIF(B$4:$B56, TallyBrands), 0)), INDEX(TallyBrands2, MATCH(0, COUNTIF(B$4:$B56, TallyBrands2), 0))), INDEX(TallyBrands3, MATCH(0, COUNTIF(B$4:$B56, TallyBrands3), 0))),"")</f>
        <v>Sunset Reef</v>
      </c>
      <c r="C57" s="113"/>
      <c r="E57" s="186" t="str" cm="1">
        <f t="array" ref="E57">IFERROR(IFERROR(IFERROR(INDEX(TallyBrands,MATCH(0, _xlfn.IFS("Beer"=TallyDrinkType,COUNTIF($E$4:$E56,TallyBrands),"Cider"=TallyDrinkType,COUNTIF($E$4:$E56,TallyBrands)),0)),INDEX(TallyBrands2,MATCH(0, _xlfn.IFS("Beer"=TallyDrinkType,COUNTIF($E$4:$E56,TallyBrands2),"Cider"=TallyDrinkType,COUNTIF($E$4:$E56,TallyBrands2)),0))),INDEX(TallyBrands3,MATCH(0, _xlfn.IFS("Beer"=TallyDrinkType,COUNTIF($E$4:$E56,TallyBrands3),"Cider"=TallyDrinkType,COUNTIF($E$4:$E56,TallyBrands3)),0))),"")</f>
        <v>Bombardier</v>
      </c>
      <c r="F57" s="228">
        <f t="shared" si="5"/>
        <v>1</v>
      </c>
      <c r="G57" s="195">
        <f t="shared" si="1"/>
        <v>0</v>
      </c>
      <c r="H57" s="230">
        <f t="shared" si="2"/>
        <v>7.5</v>
      </c>
      <c r="I57" s="220"/>
    </row>
    <row r="58" spans="2:9" ht="15" x14ac:dyDescent="0.15">
      <c r="B58" s="226" t="str" cm="1">
        <f t="array" ref="B58">IFERROR(IFERROR(IFERROR(INDEX(TallyBrands, MATCH(0, COUNTIF(B$4:$B57, TallyBrands), 0)), INDEX(TallyBrands2, MATCH(0, COUNTIF(B$4:$B57, TallyBrands2), 0))), INDEX(TallyBrands3, MATCH(0, COUNTIF(B$4:$B57, TallyBrands3), 0))),"")</f>
        <v>Jagermeister</v>
      </c>
      <c r="C58" s="113"/>
      <c r="E58" s="186" t="str" cm="1">
        <f t="array" ref="E58">IFERROR(IFERROR(IFERROR(INDEX(TallyBrands,MATCH(0, _xlfn.IFS("Beer"=TallyDrinkType,COUNTIF($E$4:$E57,TallyBrands),"Cider"=TallyDrinkType,COUNTIF($E$4:$E57,TallyBrands)),0)),INDEX(TallyBrands2,MATCH(0, _xlfn.IFS("Beer"=TallyDrinkType,COUNTIF($E$4:$E57,TallyBrands2),"Cider"=TallyDrinkType,COUNTIF($E$4:$E57,TallyBrands2)),0))),INDEX(TallyBrands3,MATCH(0, _xlfn.IFS("Beer"=TallyDrinkType,COUNTIF($E$4:$E57,TallyBrands3),"Cider"=TallyDrinkType,COUNTIF($E$4:$E57,TallyBrands3)),0))),"")</f>
        <v>Blueshack Beers - Chelmsford Brewing Co</v>
      </c>
      <c r="F58" s="228">
        <f t="shared" si="5"/>
        <v>1</v>
      </c>
      <c r="G58" s="195">
        <f t="shared" si="1"/>
        <v>0</v>
      </c>
      <c r="H58" s="230">
        <f t="shared" si="2"/>
        <v>4</v>
      </c>
      <c r="I58" s="220"/>
    </row>
    <row r="59" spans="2:9" ht="15" x14ac:dyDescent="0.15">
      <c r="B59" s="226" t="str" cm="1">
        <f t="array" ref="B59">IFERROR(IFERROR(IFERROR(INDEX(TallyBrands, MATCH(0, COUNTIF(B$4:$B58, TallyBrands), 0)), INDEX(TallyBrands2, MATCH(0, COUNTIF(B$4:$B58, TallyBrands2), 0))), INDEX(TallyBrands3, MATCH(0, COUNTIF(B$4:$B58, TallyBrands3), 0))),"")</f>
        <v>Heineken</v>
      </c>
      <c r="C59" s="113"/>
      <c r="E59" s="186" t="str" cm="1">
        <f t="array" ref="E59">IFERROR(IFERROR(IFERROR(INDEX(TallyBrands,MATCH(0, _xlfn.IFS("Beer"=TallyDrinkType,COUNTIF($E$4:$E58,TallyBrands),"Cider"=TallyDrinkType,COUNTIF($E$4:$E58,TallyBrands)),0)),INDEX(TallyBrands2,MATCH(0, _xlfn.IFS("Beer"=TallyDrinkType,COUNTIF($E$4:$E58,TallyBrands2),"Cider"=TallyDrinkType,COUNTIF($E$4:$E58,TallyBrands2)),0))),INDEX(TallyBrands3,MATCH(0, _xlfn.IFS("Beer"=TallyDrinkType,COUNTIF($E$4:$E58,TallyBrands3),"Cider"=TallyDrinkType,COUNTIF($E$4:$E58,TallyBrands3)),0))),"")</f>
        <v>ASDA Extra Special</v>
      </c>
      <c r="F59" s="228">
        <f t="shared" si="5"/>
        <v>4</v>
      </c>
      <c r="G59" s="195">
        <f t="shared" si="1"/>
        <v>0</v>
      </c>
      <c r="H59" s="230">
        <f t="shared" si="2"/>
        <v>6</v>
      </c>
      <c r="I59" s="220"/>
    </row>
    <row r="60" spans="2:9" ht="15" x14ac:dyDescent="0.15">
      <c r="B60" s="226" t="str" cm="1">
        <f t="array" ref="B60">IFERROR(IFERROR(IFERROR(INDEX(TallyBrands, MATCH(0, COUNTIF(B$4:$B59, TallyBrands), 0)), INDEX(TallyBrands2, MATCH(0, COUNTIF(B$4:$B59, TallyBrands2), 0))), INDEX(TallyBrands3, MATCH(0, COUNTIF(B$4:$B59, TallyBrands3), 0))),"")</f>
        <v>Oscar's</v>
      </c>
      <c r="C60" s="113"/>
      <c r="E60" s="186" t="str" cm="1">
        <f t="array" ref="E60">IFERROR(IFERROR(IFERROR(INDEX(TallyBrands,MATCH(0, _xlfn.IFS("Beer"=TallyDrinkType,COUNTIF($E$4:$E59,TallyBrands),"Cider"=TallyDrinkType,COUNTIF($E$4:$E59,TallyBrands)),0)),INDEX(TallyBrands2,MATCH(0, _xlfn.IFS("Beer"=TallyDrinkType,COUNTIF($E$4:$E59,TallyBrands2),"Cider"=TallyDrinkType,COUNTIF($E$4:$E59,TallyBrands2)),0))),INDEX(TallyBrands3,MATCH(0, _xlfn.IFS("Beer"=TallyDrinkType,COUNTIF($E$4:$E59,TallyBrands3),"Cider"=TallyDrinkType,COUNTIF($E$4:$E59,TallyBrands3)),0))),"")</f>
        <v>Calvors</v>
      </c>
      <c r="F60" s="228">
        <f t="shared" si="5"/>
        <v>1</v>
      </c>
      <c r="G60" s="195">
        <f t="shared" si="1"/>
        <v>0</v>
      </c>
      <c r="H60" s="230">
        <f t="shared" si="2"/>
        <v>4</v>
      </c>
      <c r="I60" s="220"/>
    </row>
    <row r="61" spans="2:9" ht="15" x14ac:dyDescent="0.15">
      <c r="B61" s="226" t="str" cm="1">
        <f t="array" ref="B61">IFERROR(IFERROR(IFERROR(INDEX(TallyBrands, MATCH(0, COUNTIF(B$4:$B60, TallyBrands), 0)), INDEX(TallyBrands2, MATCH(0, COUNTIF(B$4:$B60, TallyBrands2), 0))), INDEX(TallyBrands3, MATCH(0, COUNTIF(B$4:$B60, TallyBrands3), 0))),"")</f>
        <v>Loch Lomond Brewery</v>
      </c>
      <c r="C61" s="113"/>
      <c r="E61" s="186" t="str" cm="1">
        <f t="array" ref="E61">IFERROR(IFERROR(IFERROR(INDEX(TallyBrands,MATCH(0, _xlfn.IFS("Beer"=TallyDrinkType,COUNTIF($E$4:$E60,TallyBrands),"Cider"=TallyDrinkType,COUNTIF($E$4:$E60,TallyBrands)),0)),INDEX(TallyBrands2,MATCH(0, _xlfn.IFS("Beer"=TallyDrinkType,COUNTIF($E$4:$E60,TallyBrands2),"Cider"=TallyDrinkType,COUNTIF($E$4:$E60,TallyBrands2)),0))),INDEX(TallyBrands3,MATCH(0, _xlfn.IFS("Beer"=TallyDrinkType,COUNTIF($E$4:$E60,TallyBrands3),"Cider"=TallyDrinkType,COUNTIF($E$4:$E60,TallyBrands3)),0))),"")</f>
        <v>Pedigree</v>
      </c>
      <c r="F61" s="228">
        <f t="shared" si="5"/>
        <v>1</v>
      </c>
      <c r="G61" s="195">
        <f t="shared" si="1"/>
        <v>0</v>
      </c>
      <c r="H61" s="230">
        <f t="shared" si="2"/>
        <v>6.5</v>
      </c>
      <c r="I61" s="220"/>
    </row>
    <row r="62" spans="2:9" ht="15" x14ac:dyDescent="0.15">
      <c r="B62" s="226" t="str" cm="1">
        <f t="array" ref="B62">IFERROR(IFERROR(IFERROR(INDEX(TallyBrands, MATCH(0, COUNTIF(B$4:$B61, TallyBrands), 0)), INDEX(TallyBrands2, MATCH(0, COUNTIF(B$4:$B61, TallyBrands2), 0))), INDEX(TallyBrands3, MATCH(0, COUNTIF(B$4:$B61, TallyBrands3), 0))),"")</f>
        <v>First Chop Brewing Arm</v>
      </c>
      <c r="C62" s="113"/>
      <c r="E62" s="186" t="str" cm="1">
        <f t="array" ref="E62">IFERROR(IFERROR(IFERROR(INDEX(TallyBrands,MATCH(0, _xlfn.IFS("Beer"=TallyDrinkType,COUNTIF($E$4:$E61,TallyBrands),"Cider"=TallyDrinkType,COUNTIF($E$4:$E61,TallyBrands)),0)),INDEX(TallyBrands2,MATCH(0, _xlfn.IFS("Beer"=TallyDrinkType,COUNTIF($E$4:$E61,TallyBrands2),"Cider"=TallyDrinkType,COUNTIF($E$4:$E61,TallyBrands2)),0))),INDEX(TallyBrands3,MATCH(0, _xlfn.IFS("Beer"=TallyDrinkType,COUNTIF($E$4:$E61,TallyBrands3),"Cider"=TallyDrinkType,COUNTIF($E$4:$E61,TallyBrands3)),0))),"")</f>
        <v>Hackney</v>
      </c>
      <c r="F62" s="228">
        <f t="shared" si="5"/>
        <v>1</v>
      </c>
      <c r="G62" s="195">
        <f t="shared" si="1"/>
        <v>0</v>
      </c>
      <c r="H62" s="230">
        <f t="shared" si="2"/>
        <v>7</v>
      </c>
      <c r="I62" s="220"/>
    </row>
    <row r="63" spans="2:9" ht="15" x14ac:dyDescent="0.15">
      <c r="B63" s="226" t="str" cm="1">
        <f t="array" ref="B63">IFERROR(IFERROR(IFERROR(INDEX(TallyBrands, MATCH(0, COUNTIF(B$4:$B62, TallyBrands), 0)), INDEX(TallyBrands2, MATCH(0, COUNTIF(B$4:$B62, TallyBrands2), 0))), INDEX(TallyBrands3, MATCH(0, COUNTIF(B$4:$B62, TallyBrands3), 0))),"")</f>
        <v>Waitrose</v>
      </c>
      <c r="C63" s="113"/>
      <c r="E63" s="186" t="str" cm="1">
        <f t="array" ref="E63">IFERROR(IFERROR(IFERROR(INDEX(TallyBrands,MATCH(0, _xlfn.IFS("Beer"=TallyDrinkType,COUNTIF($E$4:$E62,TallyBrands),"Cider"=TallyDrinkType,COUNTIF($E$4:$E62,TallyBrands)),0)),INDEX(TallyBrands2,MATCH(0, _xlfn.IFS("Beer"=TallyDrinkType,COUNTIF($E$4:$E62,TallyBrands2),"Cider"=TallyDrinkType,COUNTIF($E$4:$E62,TallyBrands2)),0))),INDEX(TallyBrands3,MATCH(0, _xlfn.IFS("Beer"=TallyDrinkType,COUNTIF($E$4:$E62,TallyBrands3),"Cider"=TallyDrinkType,COUNTIF($E$4:$E62,TallyBrands3)),0))),"")</f>
        <v>Bulmers</v>
      </c>
      <c r="F63" s="228">
        <f t="shared" si="5"/>
        <v>3</v>
      </c>
      <c r="G63" s="195">
        <f t="shared" si="1"/>
        <v>0</v>
      </c>
      <c r="H63" s="230">
        <f t="shared" si="2"/>
        <v>4.666666666666667</v>
      </c>
      <c r="I63" s="220"/>
    </row>
    <row r="64" spans="2:9" ht="15" x14ac:dyDescent="0.15">
      <c r="B64" s="226" t="str" cm="1">
        <f t="array" ref="B64">IFERROR(IFERROR(IFERROR(INDEX(TallyBrands, MATCH(0, COUNTIF(B$4:$B63, TallyBrands), 0)), INDEX(TallyBrands2, MATCH(0, COUNTIF(B$4:$B63, TallyBrands2), 0))), INDEX(TallyBrands3, MATCH(0, COUNTIF(B$4:$B63, TallyBrands3), 0))),"")</f>
        <v>Sortilège</v>
      </c>
      <c r="C64" s="113"/>
      <c r="E64" s="186" t="str" cm="1">
        <f t="array" ref="E64">IFERROR(IFERROR(IFERROR(INDEX(TallyBrands,MATCH(0, _xlfn.IFS("Beer"=TallyDrinkType,COUNTIF($E$4:$E63,TallyBrands),"Cider"=TallyDrinkType,COUNTIF($E$4:$E63,TallyBrands)),0)),INDEX(TallyBrands2,MATCH(0, _xlfn.IFS("Beer"=TallyDrinkType,COUNTIF($E$4:$E63,TallyBrands2),"Cider"=TallyDrinkType,COUNTIF($E$4:$E63,TallyBrands2)),0))),INDEX(TallyBrands3,MATCH(0, _xlfn.IFS("Beer"=TallyDrinkType,COUNTIF($E$4:$E63,TallyBrands3),"Cider"=TallyDrinkType,COUNTIF($E$4:$E63,TallyBrands3)),0))),"")</f>
        <v>Ringwood Brewery</v>
      </c>
      <c r="F64" s="228">
        <f t="shared" si="5"/>
        <v>2</v>
      </c>
      <c r="G64" s="195">
        <f t="shared" si="1"/>
        <v>0</v>
      </c>
      <c r="H64" s="230">
        <f t="shared" si="2"/>
        <v>6.25</v>
      </c>
      <c r="I64" s="220"/>
    </row>
    <row r="65" spans="2:9" ht="15" x14ac:dyDescent="0.15">
      <c r="B65" s="226" t="str" cm="1">
        <f t="array" ref="B65">IFERROR(IFERROR(IFERROR(INDEX(TallyBrands, MATCH(0, COUNTIF(B$4:$B64, TallyBrands), 0)), INDEX(TallyBrands2, MATCH(0, COUNTIF(B$4:$B64, TallyBrands2), 0))), INDEX(TallyBrands3, MATCH(0, COUNTIF(B$4:$B64, TallyBrands3), 0))),"")</f>
        <v>Strongbow</v>
      </c>
      <c r="C65" s="113"/>
      <c r="E65" s="186" t="str" cm="1">
        <f t="array" ref="E65">IFERROR(IFERROR(IFERROR(INDEX(TallyBrands,MATCH(0, _xlfn.IFS("Beer"=TallyDrinkType,COUNTIF($E$4:$E64,TallyBrands),"Cider"=TallyDrinkType,COUNTIF($E$4:$E64,TallyBrands)),0)),INDEX(TallyBrands2,MATCH(0, _xlfn.IFS("Beer"=TallyDrinkType,COUNTIF($E$4:$E64,TallyBrands2),"Cider"=TallyDrinkType,COUNTIF($E$4:$E64,TallyBrands2)),0))),INDEX(TallyBrands3,MATCH(0, _xlfn.IFS("Beer"=TallyDrinkType,COUNTIF($E$4:$E64,TallyBrands3),"Cider"=TallyDrinkType,COUNTIF($E$4:$E64,TallyBrands3)),0))),"")</f>
        <v>Lervig</v>
      </c>
      <c r="F65" s="228">
        <f t="shared" si="5"/>
        <v>3</v>
      </c>
      <c r="G65" s="195">
        <f t="shared" si="1"/>
        <v>0</v>
      </c>
      <c r="H65" s="230">
        <f t="shared" si="2"/>
        <v>5.333333333333333</v>
      </c>
      <c r="I65" s="220"/>
    </row>
    <row r="66" spans="2:9" ht="15" x14ac:dyDescent="0.15">
      <c r="B66" s="226" t="str" cm="1">
        <f t="array" ref="B66">IFERROR(IFERROR(IFERROR(INDEX(TallyBrands, MATCH(0, COUNTIF(B$4:$B65, TallyBrands), 0)), INDEX(TallyBrands2, MATCH(0, COUNTIF(B$4:$B65, TallyBrands2), 0))), INDEX(TallyBrands3, MATCH(0, COUNTIF(B$4:$B65, TallyBrands3), 0))),"")</f>
        <v>Big Boy Bowen's Brews</v>
      </c>
      <c r="C66" s="113"/>
      <c r="E66" s="186" t="str" cm="1">
        <f t="array" ref="E66">IFERROR(IFERROR(IFERROR(INDEX(TallyBrands,MATCH(0, _xlfn.IFS("Beer"=TallyDrinkType,COUNTIF($E$4:$E65,TallyBrands),"Cider"=TallyDrinkType,COUNTIF($E$4:$E65,TallyBrands)),0)),INDEX(TallyBrands2,MATCH(0, _xlfn.IFS("Beer"=TallyDrinkType,COUNTIF($E$4:$E65,TallyBrands2),"Cider"=TallyDrinkType,COUNTIF($E$4:$E65,TallyBrands2)),0))),INDEX(TallyBrands3,MATCH(0, _xlfn.IFS("Beer"=TallyDrinkType,COUNTIF($E$4:$E65,TallyBrands3),"Cider"=TallyDrinkType,COUNTIF($E$4:$E65,TallyBrands3)),0))),"")</f>
        <v>Drygate Brewing Co.</v>
      </c>
      <c r="F66" s="228">
        <f t="shared" si="5"/>
        <v>9</v>
      </c>
      <c r="G66" s="195">
        <f t="shared" si="1"/>
        <v>0</v>
      </c>
      <c r="H66" s="230">
        <f t="shared" si="2"/>
        <v>6.8888888888888893</v>
      </c>
      <c r="I66" s="220"/>
    </row>
    <row r="67" spans="2:9" ht="15" x14ac:dyDescent="0.15">
      <c r="B67" s="226" t="str" cm="1">
        <f t="array" ref="B67">IFERROR(IFERROR(IFERROR(INDEX(TallyBrands, MATCH(0, COUNTIF(B$4:$B66, TallyBrands), 0)), INDEX(TallyBrands2, MATCH(0, COUNTIF(B$4:$B66, TallyBrands2), 0))), INDEX(TallyBrands3, MATCH(0, COUNTIF(B$4:$B66, TallyBrands3), 0))),"")</f>
        <v>Brewdog</v>
      </c>
      <c r="C67" s="113"/>
      <c r="E67" s="186" t="str" cm="1">
        <f t="array" ref="E67">IFERROR(IFERROR(IFERROR(INDEX(TallyBrands,MATCH(0, _xlfn.IFS("Beer"=TallyDrinkType,COUNTIF($E$4:$E66,TallyBrands),"Cider"=TallyDrinkType,COUNTIF($E$4:$E66,TallyBrands)),0)),INDEX(TallyBrands2,MATCH(0, _xlfn.IFS("Beer"=TallyDrinkType,COUNTIF($E$4:$E66,TallyBrands2),"Cider"=TallyDrinkType,COUNTIF($E$4:$E66,TallyBrands2)),0))),INDEX(TallyBrands3,MATCH(0, _xlfn.IFS("Beer"=TallyDrinkType,COUNTIF($E$4:$E66,TallyBrands3),"Cider"=TallyDrinkType,COUNTIF($E$4:$E66,TallyBrands3)),0))),"")</f>
        <v>Vibrant Forest</v>
      </c>
      <c r="F67" s="228">
        <f t="shared" si="5"/>
        <v>2</v>
      </c>
      <c r="G67" s="195">
        <f t="shared" si="1"/>
        <v>0</v>
      </c>
      <c r="H67" s="230">
        <f t="shared" si="2"/>
        <v>6.75</v>
      </c>
      <c r="I67" s="220"/>
    </row>
    <row r="68" spans="2:9" ht="15" x14ac:dyDescent="0.15">
      <c r="B68" s="226" t="str" cm="1">
        <f t="array" ref="B68">IFERROR(IFERROR(IFERROR(INDEX(TallyBrands, MATCH(0, COUNTIF(B$4:$B67, TallyBrands), 0)), INDEX(TallyBrands2, MATCH(0, COUNTIF(B$4:$B67, TallyBrands2), 0))), INDEX(TallyBrands3, MATCH(0, COUNTIF(B$4:$B67, TallyBrands3), 0))),"")</f>
        <v>Dead Man's Fingers</v>
      </c>
      <c r="C68" s="113"/>
      <c r="E68" s="186" t="str" cm="1">
        <f t="array" ref="E68">IFERROR(IFERROR(IFERROR(INDEX(TallyBrands,MATCH(0, _xlfn.IFS("Beer"=TallyDrinkType,COUNTIF($E$4:$E67,TallyBrands),"Cider"=TallyDrinkType,COUNTIF($E$4:$E67,TallyBrands)),0)),INDEX(TallyBrands2,MATCH(0, _xlfn.IFS("Beer"=TallyDrinkType,COUNTIF($E$4:$E67,TallyBrands2),"Cider"=TallyDrinkType,COUNTIF($E$4:$E67,TallyBrands2)),0))),INDEX(TallyBrands3,MATCH(0, _xlfn.IFS("Beer"=TallyDrinkType,COUNTIF($E$4:$E67,TallyBrands3),"Cider"=TallyDrinkType,COUNTIF($E$4:$E67,TallyBrands3)),0))),"")</f>
        <v>New Belgium Brewing Company</v>
      </c>
      <c r="F68" s="228">
        <f t="shared" si="5"/>
        <v>1</v>
      </c>
      <c r="G68" s="195">
        <f t="shared" si="1"/>
        <v>0</v>
      </c>
      <c r="H68" s="230">
        <f t="shared" si="2"/>
        <v>6</v>
      </c>
      <c r="I68" s="220"/>
    </row>
    <row r="69" spans="2:9" ht="15" x14ac:dyDescent="0.15">
      <c r="B69" s="226" t="str" cm="1">
        <f t="array" ref="B69">IFERROR(IFERROR(IFERROR(INDEX(TallyBrands, MATCH(0, COUNTIF(B$4:$B68, TallyBrands), 0)), INDEX(TallyBrands2, MATCH(0, COUNTIF(B$4:$B68, TallyBrands2), 0))), INDEX(TallyBrands3, MATCH(0, COUNTIF(B$4:$B68, TallyBrands3), 0))),"")</f>
        <v>Siren</v>
      </c>
      <c r="C69" s="113"/>
      <c r="E69" s="186" t="str" cm="1">
        <f t="array" ref="E69">IFERROR(IFERROR(IFERROR(INDEX(TallyBrands,MATCH(0, _xlfn.IFS("Beer"=TallyDrinkType,COUNTIF($E$4:$E68,TallyBrands),"Cider"=TallyDrinkType,COUNTIF($E$4:$E68,TallyBrands)),0)),INDEX(TallyBrands2,MATCH(0, _xlfn.IFS("Beer"=TallyDrinkType,COUNTIF($E$4:$E68,TallyBrands2),"Cider"=TallyDrinkType,COUNTIF($E$4:$E68,TallyBrands2)),0))),INDEX(TallyBrands3,MATCH(0, _xlfn.IFS("Beer"=TallyDrinkType,COUNTIF($E$4:$E68,TallyBrands3),"Cider"=TallyDrinkType,COUNTIF($E$4:$E68,TallyBrands3)),0))),"")</f>
        <v>Gwynt y Ddraig</v>
      </c>
      <c r="F69" s="228">
        <f t="shared" ref="F69:F100" si="6">COUNTIFS(TallyBrands, $E69,TallyDrinkType, "Beer") + COUNTIFS(TallyBrands,$E69,TallyDrinkType, "Cider")+COUNTIFS(TallyBrands2, $E69,TallyDrinkType, "Beer") + COUNTIFS(TallyBrands2,$E69,TallyDrinkType, "Cider")+COUNTIFS(TallyBrands3, $E69,TallyDrinkType, "Beer") + COUNTIFS(TallyBrands3,$E69,TallyDrinkType, "Cider")</f>
        <v>2</v>
      </c>
      <c r="G69" s="195">
        <f t="shared" ref="G69:G132" si="7">COUNTIFS(TallyBrands,$E69,TallyBrands2,"&lt;&gt;")+COUNTIFS(TallyBrands2,$E69,TallyBrands,"&lt;&gt;")+COUNTIFS(TallyBrands3,$E69,TallyBrands2,"&lt;&gt;",TallyBrands,"&lt;&gt;")</f>
        <v>0</v>
      </c>
      <c r="H69" s="230">
        <f t="shared" ref="H69:H132" si="8">(SUMIFS(TallyScore,TallyBrands,$E69,TallyDrinkType,"Beer")+SUMIFS(TallyScore,TallyBrands,$E69,TallyDrinkType,"Cider")+SUMIFS(TallyScore,TallyBrands2,$E69,TallyDrinkType,"Beer")+SUMIFS(TallyScore,TallyBrands2,$E69,TallyDrinkType,"Cider")+SUMIFS(TallyScore,TallyBrands3,$E69,TallyDrinkType,"Beer")+SUMIFS(TallyScore,TallyBrands3,$E69,TallyDrinkType,"Cider"))/$F69</f>
        <v>6.75</v>
      </c>
      <c r="I69" s="220"/>
    </row>
    <row r="70" spans="2:9" ht="15" x14ac:dyDescent="0.15">
      <c r="B70" s="226" t="str" cm="1">
        <f t="array" ref="B70">IFERROR(IFERROR(IFERROR(INDEX(TallyBrands, MATCH(0, COUNTIF(B$4:$B69, TallyBrands), 0)), INDEX(TallyBrands2, MATCH(0, COUNTIF(B$4:$B69, TallyBrands2), 0))), INDEX(TallyBrands3, MATCH(0, COUNTIF(B$4:$B69, TallyBrands3), 0))),"")</f>
        <v>Electric Bear Brewing Co.</v>
      </c>
      <c r="C70" s="113"/>
      <c r="E70" s="186" t="str" cm="1">
        <f t="array" ref="E70">IFERROR(IFERROR(IFERROR(INDEX(TallyBrands,MATCH(0, _xlfn.IFS("Beer"=TallyDrinkType,COUNTIF($E$4:$E69,TallyBrands),"Cider"=TallyDrinkType,COUNTIF($E$4:$E69,TallyBrands)),0)),INDEX(TallyBrands2,MATCH(0, _xlfn.IFS("Beer"=TallyDrinkType,COUNTIF($E$4:$E69,TallyBrands2),"Cider"=TallyDrinkType,COUNTIF($E$4:$E69,TallyBrands2)),0))),INDEX(TallyBrands3,MATCH(0, _xlfn.IFS("Beer"=TallyDrinkType,COUNTIF($E$4:$E69,TallyBrands3),"Cider"=TallyDrinkType,COUNTIF($E$4:$E69,TallyBrands3)),0))),"")</f>
        <v>Wychwood</v>
      </c>
      <c r="F70" s="228">
        <f t="shared" si="6"/>
        <v>3</v>
      </c>
      <c r="G70" s="195">
        <f t="shared" si="7"/>
        <v>0</v>
      </c>
      <c r="H70" s="230">
        <f t="shared" si="8"/>
        <v>7.333333333333333</v>
      </c>
      <c r="I70" s="220"/>
    </row>
    <row r="71" spans="2:9" ht="15" x14ac:dyDescent="0.15">
      <c r="B71" s="226" t="str" cm="1">
        <f t="array" ref="B71">IFERROR(IFERROR(IFERROR(INDEX(TallyBrands, MATCH(0, COUNTIF(B$4:$B70, TallyBrands), 0)), INDEX(TallyBrands2, MATCH(0, COUNTIF(B$4:$B70, TallyBrands2), 0))), INDEX(TallyBrands3, MATCH(0, COUNTIF(B$4:$B70, TallyBrands3), 0))),"")</f>
        <v>Fourpure Brewing Company</v>
      </c>
      <c r="C71" s="113"/>
      <c r="E71" s="186" t="str" cm="1">
        <f t="array" ref="E71">IFERROR(IFERROR(IFERROR(INDEX(TallyBrands,MATCH(0, _xlfn.IFS("Beer"=TallyDrinkType,COUNTIF($E$4:$E70,TallyBrands),"Cider"=TallyDrinkType,COUNTIF($E$4:$E70,TallyBrands)),0)),INDEX(TallyBrands2,MATCH(0, _xlfn.IFS("Beer"=TallyDrinkType,COUNTIF($E$4:$E70,TallyBrands2),"Cider"=TallyDrinkType,COUNTIF($E$4:$E70,TallyBrands2)),0))),INDEX(TallyBrands3,MATCH(0, _xlfn.IFS("Beer"=TallyDrinkType,COUNTIF($E$4:$E70,TallyBrands3),"Cider"=TallyDrinkType,COUNTIF($E$4:$E70,TallyBrands3)),0))),"")</f>
        <v>Duration</v>
      </c>
      <c r="F71" s="228">
        <f t="shared" si="6"/>
        <v>1</v>
      </c>
      <c r="G71" s="195">
        <f t="shared" si="7"/>
        <v>0</v>
      </c>
      <c r="H71" s="230">
        <f t="shared" si="8"/>
        <v>7</v>
      </c>
      <c r="I71" s="220"/>
    </row>
    <row r="72" spans="2:9" ht="15" x14ac:dyDescent="0.15">
      <c r="B72" s="226" t="str" cm="1">
        <f t="array" ref="B72">IFERROR(IFERROR(IFERROR(INDEX(TallyBrands, MATCH(0, COUNTIF(B$4:$B71, TallyBrands), 0)), INDEX(TallyBrands2, MATCH(0, COUNTIF(B$4:$B71, TallyBrands2), 0))), INDEX(TallyBrands3, MATCH(0, COUNTIF(B$4:$B71, TallyBrands3), 0))),"")</f>
        <v>Magic Rock Brewing</v>
      </c>
      <c r="C72" s="113"/>
      <c r="E72" s="186" t="str" cm="1">
        <f t="array" ref="E72">IFERROR(IFERROR(IFERROR(INDEX(TallyBrands,MATCH(0, _xlfn.IFS("Beer"=TallyDrinkType,COUNTIF($E$4:$E71,TallyBrands),"Cider"=TallyDrinkType,COUNTIF($E$4:$E71,TallyBrands)),0)),INDEX(TallyBrands2,MATCH(0, _xlfn.IFS("Beer"=TallyDrinkType,COUNTIF($E$4:$E71,TallyBrands2),"Cider"=TallyDrinkType,COUNTIF($E$4:$E71,TallyBrands2)),0))),INDEX(TallyBrands3,MATCH(0, _xlfn.IFS("Beer"=TallyDrinkType,COUNTIF($E$4:$E71,TallyBrands3),"Cider"=TallyDrinkType,COUNTIF($E$4:$E71,TallyBrands3)),0))),"")</f>
        <v>Coors</v>
      </c>
      <c r="F72" s="228">
        <f t="shared" si="6"/>
        <v>1</v>
      </c>
      <c r="G72" s="195">
        <f t="shared" si="7"/>
        <v>0</v>
      </c>
      <c r="H72" s="230">
        <f t="shared" si="8"/>
        <v>4</v>
      </c>
      <c r="I72" s="220"/>
    </row>
    <row r="73" spans="2:9" ht="15" x14ac:dyDescent="0.15">
      <c r="B73" s="226" t="str" cm="1">
        <f t="array" ref="B73">IFERROR(IFERROR(IFERROR(INDEX(TallyBrands, MATCH(0, COUNTIF(B$4:$B72, TallyBrands), 0)), INDEX(TallyBrands2, MATCH(0, COUNTIF(B$4:$B72, TallyBrands2), 0))), INDEX(TallyBrands3, MATCH(0, COUNTIF(B$4:$B72, TallyBrands3), 0))),"")</f>
        <v>That Boutique-y Rum Company</v>
      </c>
      <c r="C73" s="113"/>
      <c r="E73" s="186" t="str" cm="1">
        <f t="array" ref="E73">IFERROR(IFERROR(IFERROR(INDEX(TallyBrands,MATCH(0, _xlfn.IFS("Beer"=TallyDrinkType,COUNTIF($E$4:$E72,TallyBrands),"Cider"=TallyDrinkType,COUNTIF($E$4:$E72,TallyBrands)),0)),INDEX(TallyBrands2,MATCH(0, _xlfn.IFS("Beer"=TallyDrinkType,COUNTIF($E$4:$E72,TallyBrands2),"Cider"=TallyDrinkType,COUNTIF($E$4:$E72,TallyBrands2)),0))),INDEX(TallyBrands3,MATCH(0, _xlfn.IFS("Beer"=TallyDrinkType,COUNTIF($E$4:$E72,TallyBrands3),"Cider"=TallyDrinkType,COUNTIF($E$4:$E72,TallyBrands3)),0))),"")</f>
        <v>Sheppy's</v>
      </c>
      <c r="F73" s="228">
        <f t="shared" si="6"/>
        <v>3</v>
      </c>
      <c r="G73" s="195">
        <f t="shared" si="7"/>
        <v>0</v>
      </c>
      <c r="H73" s="230">
        <f t="shared" si="8"/>
        <v>5.166666666666667</v>
      </c>
      <c r="I73" s="220"/>
    </row>
    <row r="74" spans="2:9" ht="15" x14ac:dyDescent="0.15">
      <c r="B74" s="226" t="str" cm="1">
        <f t="array" ref="B74">IFERROR(IFERROR(IFERROR(INDEX(TallyBrands, MATCH(0, COUNTIF(B$4:$B73, TallyBrands), 0)), INDEX(TallyBrands2, MATCH(0, COUNTIF(B$4:$B73, TallyBrands2), 0))), INDEX(TallyBrands3, MATCH(0, COUNTIF(B$4:$B73, TallyBrands3), 0))),"")</f>
        <v>Absolut</v>
      </c>
      <c r="C74" s="113"/>
      <c r="E74" s="186" t="str" cm="1">
        <f t="array" ref="E74">IFERROR(IFERROR(IFERROR(INDEX(TallyBrands,MATCH(0, _xlfn.IFS("Beer"=TallyDrinkType,COUNTIF($E$4:$E73,TallyBrands),"Cider"=TallyDrinkType,COUNTIF($E$4:$E73,TallyBrands)),0)),INDEX(TallyBrands2,MATCH(0, _xlfn.IFS("Beer"=TallyDrinkType,COUNTIF($E$4:$E73,TallyBrands2),"Cider"=TallyDrinkType,COUNTIF($E$4:$E73,TallyBrands2)),0))),INDEX(TallyBrands3,MATCH(0, _xlfn.IFS("Beer"=TallyDrinkType,COUNTIF($E$4:$E73,TallyBrands3),"Cider"=TallyDrinkType,COUNTIF($E$4:$E73,TallyBrands3)),0))),"")</f>
        <v>Modelo</v>
      </c>
      <c r="F74" s="228">
        <f t="shared" si="6"/>
        <v>1</v>
      </c>
      <c r="G74" s="195">
        <f t="shared" si="7"/>
        <v>0</v>
      </c>
      <c r="H74" s="230">
        <f t="shared" si="8"/>
        <v>7.5</v>
      </c>
      <c r="I74" s="220"/>
    </row>
    <row r="75" spans="2:9" ht="15" x14ac:dyDescent="0.15">
      <c r="B75" s="226" t="str" cm="1">
        <f t="array" ref="B75">IFERROR(IFERROR(IFERROR(INDEX(TallyBrands, MATCH(0, COUNTIF(B$4:$B74, TallyBrands), 0)), INDEX(TallyBrands2, MATCH(0, COUNTIF(B$4:$B74, TallyBrands2), 0))), INDEX(TallyBrands3, MATCH(0, COUNTIF(B$4:$B74, TallyBrands3), 0))),"")</f>
        <v>Gordon's</v>
      </c>
      <c r="C75" s="113"/>
      <c r="E75" s="186" t="str" cm="1">
        <f t="array" ref="E75">IFERROR(IFERROR(IFERROR(INDEX(TallyBrands,MATCH(0, _xlfn.IFS("Beer"=TallyDrinkType,COUNTIF($E$4:$E74,TallyBrands),"Cider"=TallyDrinkType,COUNTIF($E$4:$E74,TallyBrands)),0)),INDEX(TallyBrands2,MATCH(0, _xlfn.IFS("Beer"=TallyDrinkType,COUNTIF($E$4:$E74,TallyBrands2),"Cider"=TallyDrinkType,COUNTIF($E$4:$E74,TallyBrands2)),0))),INDEX(TallyBrands3,MATCH(0, _xlfn.IFS("Beer"=TallyDrinkType,COUNTIF($E$4:$E74,TallyBrands3),"Cider"=TallyDrinkType,COUNTIF($E$4:$E74,TallyBrands3)),0))),"")</f>
        <v>The Garden Brewery</v>
      </c>
      <c r="F75" s="228">
        <f t="shared" si="6"/>
        <v>7</v>
      </c>
      <c r="G75" s="195">
        <f t="shared" si="7"/>
        <v>0</v>
      </c>
      <c r="H75" s="230">
        <f t="shared" si="8"/>
        <v>6.6428571428571432</v>
      </c>
      <c r="I75" s="220"/>
    </row>
    <row r="76" spans="2:9" ht="15" x14ac:dyDescent="0.15">
      <c r="B76" s="226" t="str" cm="1">
        <f t="array" ref="B76">IFERROR(IFERROR(IFERROR(INDEX(TallyBrands, MATCH(0, COUNTIF(B$4:$B75, TallyBrands), 0)), INDEX(TallyBrands2, MATCH(0, COUNTIF(B$4:$B75, TallyBrands2), 0))), INDEX(TallyBrands3, MATCH(0, COUNTIF(B$4:$B75, TallyBrands3), 0))),"")</f>
        <v>Barefoot</v>
      </c>
      <c r="C76" s="113"/>
      <c r="E76" s="186" t="str" cm="1">
        <f t="array" ref="E76">IFERROR(IFERROR(IFERROR(INDEX(TallyBrands,MATCH(0, _xlfn.IFS("Beer"=TallyDrinkType,COUNTIF($E$4:$E75,TallyBrands),"Cider"=TallyDrinkType,COUNTIF($E$4:$E75,TallyBrands)),0)),INDEX(TallyBrands2,MATCH(0, _xlfn.IFS("Beer"=TallyDrinkType,COUNTIF($E$4:$E75,TallyBrands2),"Cider"=TallyDrinkType,COUNTIF($E$4:$E75,TallyBrands2)),0))),INDEX(TallyBrands3,MATCH(0, _xlfn.IFS("Beer"=TallyDrinkType,COUNTIF($E$4:$E75,TallyBrands3),"Cider"=TallyDrinkType,COUNTIF($E$4:$E75,TallyBrands3)),0))),"")</f>
        <v>Little Creatures</v>
      </c>
      <c r="F76" s="228">
        <f t="shared" si="6"/>
        <v>1</v>
      </c>
      <c r="G76" s="195">
        <f t="shared" si="7"/>
        <v>0</v>
      </c>
      <c r="H76" s="230">
        <f t="shared" si="8"/>
        <v>6</v>
      </c>
      <c r="I76" s="220"/>
    </row>
    <row r="77" spans="2:9" ht="15" x14ac:dyDescent="0.15">
      <c r="B77" s="226" t="str" cm="1">
        <f t="array" ref="B77">IFERROR(IFERROR(IFERROR(INDEX(TallyBrands, MATCH(0, COUNTIF(B$4:$B76, TallyBrands), 0)), INDEX(TallyBrands2, MATCH(0, COUNTIF(B$4:$B76, TallyBrands2), 0))), INDEX(TallyBrands3, MATCH(0, COUNTIF(B$4:$B76, TallyBrands3), 0))),"")</f>
        <v>Dawn Star</v>
      </c>
      <c r="C77" s="113"/>
      <c r="E77" s="186" t="str" cm="1">
        <f t="array" ref="E77">IFERROR(IFERROR(IFERROR(INDEX(TallyBrands,MATCH(0, _xlfn.IFS("Beer"=TallyDrinkType,COUNTIF($E$4:$E76,TallyBrands),"Cider"=TallyDrinkType,COUNTIF($E$4:$E76,TallyBrands)),0)),INDEX(TallyBrands2,MATCH(0, _xlfn.IFS("Beer"=TallyDrinkType,COUNTIF($E$4:$E76,TallyBrands2),"Cider"=TallyDrinkType,COUNTIF($E$4:$E76,TallyBrands2)),0))),INDEX(TallyBrands3,MATCH(0, _xlfn.IFS("Beer"=TallyDrinkType,COUNTIF($E$4:$E76,TallyBrands3),"Cider"=TallyDrinkType,COUNTIF($E$4:$E76,TallyBrands3)),0))),"")</f>
        <v>Robinsons</v>
      </c>
      <c r="F77" s="228">
        <f t="shared" si="6"/>
        <v>3</v>
      </c>
      <c r="G77" s="195">
        <f t="shared" si="7"/>
        <v>0</v>
      </c>
      <c r="H77" s="230">
        <f t="shared" si="8"/>
        <v>5</v>
      </c>
      <c r="I77" s="220"/>
    </row>
    <row r="78" spans="2:9" ht="15" x14ac:dyDescent="0.15">
      <c r="B78" s="226" t="str" cm="1">
        <f t="array" ref="B78">IFERROR(IFERROR(IFERROR(INDEX(TallyBrands, MATCH(0, COUNTIF(B$4:$B77, TallyBrands), 0)), INDEX(TallyBrands2, MATCH(0, COUNTIF(B$4:$B77, TallyBrands2), 0))), INDEX(TallyBrands3, MATCH(0, COUNTIF(B$4:$B77, TallyBrands3), 0))),"")</f>
        <v>Prospero</v>
      </c>
      <c r="C78" s="113"/>
      <c r="E78" s="186" t="str" cm="1">
        <f t="array" ref="E78">IFERROR(IFERROR(IFERROR(INDEX(TallyBrands,MATCH(0, _xlfn.IFS("Beer"=TallyDrinkType,COUNTIF($E$4:$E77,TallyBrands),"Cider"=TallyDrinkType,COUNTIF($E$4:$E77,TallyBrands)),0)),INDEX(TallyBrands2,MATCH(0, _xlfn.IFS("Beer"=TallyDrinkType,COUNTIF($E$4:$E77,TallyBrands2),"Cider"=TallyDrinkType,COUNTIF($E$4:$E77,TallyBrands2)),0))),INDEX(TallyBrands3,MATCH(0, _xlfn.IFS("Beer"=TallyDrinkType,COUNTIF($E$4:$E77,TallyBrands3),"Cider"=TallyDrinkType,COUNTIF($E$4:$E77,TallyBrands3)),0))),"")</f>
        <v>Taste The Difference</v>
      </c>
      <c r="F78" s="228">
        <f t="shared" si="6"/>
        <v>5</v>
      </c>
      <c r="G78" s="195">
        <f t="shared" si="7"/>
        <v>0</v>
      </c>
      <c r="H78" s="230">
        <f t="shared" si="8"/>
        <v>5.6</v>
      </c>
      <c r="I78" s="220"/>
    </row>
    <row r="79" spans="2:9" ht="15" x14ac:dyDescent="0.15">
      <c r="B79" s="226" t="str" cm="1">
        <f t="array" ref="B79">IFERROR(IFERROR(IFERROR(INDEX(TallyBrands, MATCH(0, COUNTIF(B$4:$B78, TallyBrands), 0)), INDEX(TallyBrands2, MATCH(0, COUNTIF(B$4:$B78, TallyBrands2), 0))), INDEX(TallyBrands3, MATCH(0, COUNTIF(B$4:$B78, TallyBrands3), 0))),"")</f>
        <v>Hopback Brewery</v>
      </c>
      <c r="C79" s="113"/>
      <c r="E79" s="186" t="str" cm="1">
        <f t="array" ref="E79">IFERROR(IFERROR(IFERROR(INDEX(TallyBrands,MATCH(0, _xlfn.IFS("Beer"=TallyDrinkType,COUNTIF($E$4:$E78,TallyBrands),"Cider"=TallyDrinkType,COUNTIF($E$4:$E78,TallyBrands)),0)),INDEX(TallyBrands2,MATCH(0, _xlfn.IFS("Beer"=TallyDrinkType,COUNTIF($E$4:$E78,TallyBrands2),"Cider"=TallyDrinkType,COUNTIF($E$4:$E78,TallyBrands2)),0))),INDEX(TallyBrands3,MATCH(0, _xlfn.IFS("Beer"=TallyDrinkType,COUNTIF($E$4:$E78,TallyBrands3),"Cider"=TallyDrinkType,COUNTIF($E$4:$E78,TallyBrands3)),0))),"")</f>
        <v>St Austell</v>
      </c>
      <c r="F79" s="228">
        <f t="shared" si="6"/>
        <v>1</v>
      </c>
      <c r="G79" s="195">
        <f t="shared" si="7"/>
        <v>0</v>
      </c>
      <c r="H79" s="230">
        <f t="shared" si="8"/>
        <v>7</v>
      </c>
      <c r="I79" s="220"/>
    </row>
    <row r="80" spans="2:9" ht="15" x14ac:dyDescent="0.15">
      <c r="B80" s="226" t="str" cm="1">
        <f t="array" ref="B80">IFERROR(IFERROR(IFERROR(INDEX(TallyBrands, MATCH(0, COUNTIF(B$4:$B79, TallyBrands), 0)), INDEX(TallyBrands2, MATCH(0, COUNTIF(B$4:$B79, TallyBrands2), 0))), INDEX(TallyBrands3, MATCH(0, COUNTIF(B$4:$B79, TallyBrands3), 0))),"")</f>
        <v>Estrella Damm</v>
      </c>
      <c r="C80" s="113"/>
      <c r="E80" s="186" t="str" cm="1">
        <f t="array" ref="E80">IFERROR(IFERROR(IFERROR(INDEX(TallyBrands,MATCH(0, _xlfn.IFS("Beer"=TallyDrinkType,COUNTIF($E$4:$E79,TallyBrands),"Cider"=TallyDrinkType,COUNTIF($E$4:$E79,TallyBrands)),0)),INDEX(TallyBrands2,MATCH(0, _xlfn.IFS("Beer"=TallyDrinkType,COUNTIF($E$4:$E79,TallyBrands2),"Cider"=TallyDrinkType,COUNTIF($E$4:$E79,TallyBrands2)),0))),INDEX(TallyBrands3,MATCH(0, _xlfn.IFS("Beer"=TallyDrinkType,COUNTIF($E$4:$E79,TallyBrands3),"Cider"=TallyDrinkType,COUNTIF($E$4:$E79,TallyBrands3)),0))),"")</f>
        <v>Theakston</v>
      </c>
      <c r="F80" s="228">
        <f t="shared" si="6"/>
        <v>1</v>
      </c>
      <c r="G80" s="195">
        <f t="shared" si="7"/>
        <v>0</v>
      </c>
      <c r="H80" s="230">
        <f t="shared" si="8"/>
        <v>7.5</v>
      </c>
      <c r="I80" s="220"/>
    </row>
    <row r="81" spans="2:9" ht="15" x14ac:dyDescent="0.15">
      <c r="B81" s="226" t="str" cm="1">
        <f t="array" ref="B81">IFERROR(IFERROR(IFERROR(INDEX(TallyBrands, MATCH(0, COUNTIF(B$4:$B80, TallyBrands), 0)), INDEX(TallyBrands2, MATCH(0, COUNTIF(B$4:$B80, TallyBrands2), 0))), INDEX(TallyBrands3, MATCH(0, COUNTIF(B$4:$B80, TallyBrands3), 0))),"")</f>
        <v>Old Hopking</v>
      </c>
      <c r="C81" s="113"/>
      <c r="E81" s="186" t="str" cm="1">
        <f t="array" ref="E81">IFERROR(IFERROR(IFERROR(INDEX(TallyBrands,MATCH(0, _xlfn.IFS("Beer"=TallyDrinkType,COUNTIF($E$4:$E80,TallyBrands),"Cider"=TallyDrinkType,COUNTIF($E$4:$E80,TallyBrands)),0)),INDEX(TallyBrands2,MATCH(0, _xlfn.IFS("Beer"=TallyDrinkType,COUNTIF($E$4:$E80,TallyBrands2),"Cider"=TallyDrinkType,COUNTIF($E$4:$E80,TallyBrands2)),0))),INDEX(TallyBrands3,MATCH(0, _xlfn.IFS("Beer"=TallyDrinkType,COUNTIF($E$4:$E80,TallyBrands3),"Cider"=TallyDrinkType,COUNTIF($E$4:$E80,TallyBrands3)),0))),"")</f>
        <v>Purity Brewing</v>
      </c>
      <c r="F81" s="228">
        <f t="shared" si="6"/>
        <v>1</v>
      </c>
      <c r="G81" s="195">
        <f t="shared" si="7"/>
        <v>0</v>
      </c>
      <c r="H81" s="230">
        <f t="shared" si="8"/>
        <v>6</v>
      </c>
      <c r="I81" s="220"/>
    </row>
    <row r="82" spans="2:9" ht="15" x14ac:dyDescent="0.15">
      <c r="B82" s="226" t="str" cm="1">
        <f t="array" ref="B82">IFERROR(IFERROR(IFERROR(INDEX(TallyBrands, MATCH(0, COUNTIF(B$4:$B81, TallyBrands), 0)), INDEX(TallyBrands2, MATCH(0, COUNTIF(B$4:$B81, TallyBrands2), 0))), INDEX(TallyBrands3, MATCH(0, COUNTIF(B$4:$B81, TallyBrands3), 0))),"")</f>
        <v>Metaxa</v>
      </c>
      <c r="C82" s="113"/>
      <c r="E82" s="186" t="str" cm="1">
        <f t="array" ref="E82">IFERROR(IFERROR(IFERROR(INDEX(TallyBrands,MATCH(0, _xlfn.IFS("Beer"=TallyDrinkType,COUNTIF($E$4:$E81,TallyBrands),"Cider"=TallyDrinkType,COUNTIF($E$4:$E81,TallyBrands)),0)),INDEX(TallyBrands2,MATCH(0, _xlfn.IFS("Beer"=TallyDrinkType,COUNTIF($E$4:$E81,TallyBrands2),"Cider"=TallyDrinkType,COUNTIF($E$4:$E81,TallyBrands2)),0))),INDEX(TallyBrands3,MATCH(0, _xlfn.IFS("Beer"=TallyDrinkType,COUNTIF($E$4:$E81,TallyBrands3),"Cider"=TallyDrinkType,COUNTIF($E$4:$E81,TallyBrands3)),0))),"")</f>
        <v>Cornish Orchards</v>
      </c>
      <c r="F82" s="228">
        <f t="shared" si="6"/>
        <v>2</v>
      </c>
      <c r="G82" s="195">
        <f t="shared" si="7"/>
        <v>0</v>
      </c>
      <c r="H82" s="230">
        <f t="shared" si="8"/>
        <v>7.25</v>
      </c>
      <c r="I82" s="220"/>
    </row>
    <row r="83" spans="2:9" ht="15" x14ac:dyDescent="0.15">
      <c r="B83" s="226" t="str" cm="1">
        <f t="array" ref="B83">IFERROR(IFERROR(IFERROR(INDEX(TallyBrands, MATCH(0, COUNTIF(B$4:$B82, TallyBrands), 0)), INDEX(TallyBrands2, MATCH(0, COUNTIF(B$4:$B82, TallyBrands2), 0))), INDEX(TallyBrands3, MATCH(0, COUNTIF(B$4:$B82, TallyBrands3), 0))),"")</f>
        <v>Hortus</v>
      </c>
      <c r="C83" s="113"/>
      <c r="E83" s="186" t="str" cm="1">
        <f t="array" ref="E83">IFERROR(IFERROR(IFERROR(INDEX(TallyBrands,MATCH(0, _xlfn.IFS("Beer"=TallyDrinkType,COUNTIF($E$4:$E82,TallyBrands),"Cider"=TallyDrinkType,COUNTIF($E$4:$E82,TallyBrands)),0)),INDEX(TallyBrands2,MATCH(0, _xlfn.IFS("Beer"=TallyDrinkType,COUNTIF($E$4:$E82,TallyBrands2),"Cider"=TallyDrinkType,COUNTIF($E$4:$E82,TallyBrands2)),0))),INDEX(TallyBrands3,MATCH(0, _xlfn.IFS("Beer"=TallyDrinkType,COUNTIF($E$4:$E82,TallyBrands3),"Cider"=TallyDrinkType,COUNTIF($E$4:$E82,TallyBrands3)),0))),"")</f>
        <v>Cranes</v>
      </c>
      <c r="F83" s="228">
        <f t="shared" si="6"/>
        <v>6</v>
      </c>
      <c r="G83" s="195">
        <f t="shared" si="7"/>
        <v>0</v>
      </c>
      <c r="H83" s="230">
        <f t="shared" si="8"/>
        <v>6.5</v>
      </c>
      <c r="I83" s="220"/>
    </row>
    <row r="84" spans="2:9" ht="15" x14ac:dyDescent="0.15">
      <c r="B84" s="226" t="str" cm="1">
        <f t="array" ref="B84">IFERROR(IFERROR(IFERROR(INDEX(TallyBrands, MATCH(0, COUNTIF(B$4:$B83, TallyBrands), 0)), INDEX(TallyBrands2, MATCH(0, COUNTIF(B$4:$B83, TallyBrands2), 0))), INDEX(TallyBrands3, MATCH(0, COUNTIF(B$4:$B83, TallyBrands3), 0))),"")</f>
        <v>None</v>
      </c>
      <c r="C84" s="113"/>
      <c r="E84" s="186" t="str" cm="1">
        <f t="array" ref="E84">IFERROR(IFERROR(IFERROR(INDEX(TallyBrands,MATCH(0, _xlfn.IFS("Beer"=TallyDrinkType,COUNTIF($E$4:$E83,TallyBrands),"Cider"=TallyDrinkType,COUNTIF($E$4:$E83,TallyBrands)),0)),INDEX(TallyBrands2,MATCH(0, _xlfn.IFS("Beer"=TallyDrinkType,COUNTIF($E$4:$E83,TallyBrands2),"Cider"=TallyDrinkType,COUNTIF($E$4:$E83,TallyBrands2)),0))),INDEX(TallyBrands3,MATCH(0, _xlfn.IFS("Beer"=TallyDrinkType,COUNTIF($E$4:$E83,TallyBrands3),"Cider"=TallyDrinkType,COUNTIF($E$4:$E83,TallyBrands3)),0))),"")</f>
        <v>Shipyard</v>
      </c>
      <c r="F84" s="228">
        <f t="shared" si="6"/>
        <v>3</v>
      </c>
      <c r="G84" s="195">
        <f t="shared" si="7"/>
        <v>0</v>
      </c>
      <c r="H84" s="230">
        <f t="shared" si="8"/>
        <v>6.5</v>
      </c>
      <c r="I84" s="220"/>
    </row>
    <row r="85" spans="2:9" ht="15" x14ac:dyDescent="0.15">
      <c r="B85" s="226" t="str" cm="1">
        <f t="array" ref="B85">IFERROR(IFERROR(IFERROR(INDEX(TallyBrands, MATCH(0, COUNTIF(B$4:$B84, TallyBrands), 0)), INDEX(TallyBrands2, MATCH(0, COUNTIF(B$4:$B84, TallyBrands2), 0))), INDEX(TallyBrands3, MATCH(0, COUNTIF(B$4:$B84, TallyBrands3), 0))),"")</f>
        <v>Four Roses</v>
      </c>
      <c r="C85" s="113"/>
      <c r="E85" s="186" t="str" cm="1">
        <f t="array" ref="E85">IFERROR(IFERROR(IFERROR(INDEX(TallyBrands,MATCH(0, _xlfn.IFS("Beer"=TallyDrinkType,COUNTIF($E$4:$E84,TallyBrands),"Cider"=TallyDrinkType,COUNTIF($E$4:$E84,TallyBrands)),0)),INDEX(TallyBrands2,MATCH(0, _xlfn.IFS("Beer"=TallyDrinkType,COUNTIF($E$4:$E84,TallyBrands2),"Cider"=TallyDrinkType,COUNTIF($E$4:$E84,TallyBrands2)),0))),INDEX(TallyBrands3,MATCH(0, _xlfn.IFS("Beer"=TallyDrinkType,COUNTIF($E$4:$E84,TallyBrands3),"Cider"=TallyDrinkType,COUNTIF($E$4:$E84,TallyBrands3)),0))),"")</f>
        <v>Bath Ales</v>
      </c>
      <c r="F85" s="228">
        <f t="shared" si="6"/>
        <v>2</v>
      </c>
      <c r="G85" s="195">
        <f t="shared" si="7"/>
        <v>0</v>
      </c>
      <c r="H85" s="230">
        <f t="shared" si="8"/>
        <v>6.25</v>
      </c>
      <c r="I85" s="220"/>
    </row>
    <row r="86" spans="2:9" ht="15" x14ac:dyDescent="0.15">
      <c r="B86" s="226" t="str" cm="1">
        <f t="array" ref="B86">IFERROR(IFERROR(IFERROR(INDEX(TallyBrands, MATCH(0, COUNTIF(B$4:$B85, TallyBrands), 0)), INDEX(TallyBrands2, MATCH(0, COUNTIF(B$4:$B85, TallyBrands2), 0))), INDEX(TallyBrands3, MATCH(0, COUNTIF(B$4:$B85, TallyBrands3), 0))),"")</f>
        <v>Breckenridge Brewery</v>
      </c>
      <c r="C86" s="113"/>
      <c r="E86" s="186" t="str" cm="1">
        <f t="array" ref="E86">IFERROR(IFERROR(IFERROR(INDEX(TallyBrands,MATCH(0, _xlfn.IFS("Beer"=TallyDrinkType,COUNTIF($E$4:$E85,TallyBrands),"Cider"=TallyDrinkType,COUNTIF($E$4:$E85,TallyBrands)),0)),INDEX(TallyBrands2,MATCH(0, _xlfn.IFS("Beer"=TallyDrinkType,COUNTIF($E$4:$E85,TallyBrands2),"Cider"=TallyDrinkType,COUNTIF($E$4:$E85,TallyBrands2)),0))),INDEX(TallyBrands3,MATCH(0, _xlfn.IFS("Beer"=TallyDrinkType,COUNTIF($E$4:$E85,TallyBrands3),"Cider"=TallyDrinkType,COUNTIF($E$4:$E85,TallyBrands3)),0))),"")</f>
        <v>ASDA</v>
      </c>
      <c r="F86" s="228">
        <f t="shared" si="6"/>
        <v>2</v>
      </c>
      <c r="G86" s="195">
        <f t="shared" si="7"/>
        <v>0</v>
      </c>
      <c r="H86" s="230">
        <f t="shared" si="8"/>
        <v>6.75</v>
      </c>
      <c r="I86" s="220"/>
    </row>
    <row r="87" spans="2:9" ht="15" x14ac:dyDescent="0.15">
      <c r="B87" s="226" t="str" cm="1">
        <f t="array" ref="B87">IFERROR(IFERROR(IFERROR(INDEX(TallyBrands, MATCH(0, COUNTIF(B$4:$B86, TallyBrands), 0)), INDEX(TallyBrands2, MATCH(0, COUNTIF(B$4:$B86, TallyBrands2), 0))), INDEX(TallyBrands3, MATCH(0, COUNTIF(B$4:$B86, TallyBrands3), 0))),"")</f>
        <v>Budweiser</v>
      </c>
      <c r="C87" s="113"/>
      <c r="E87" s="186" t="str" cm="1">
        <f t="array" ref="E87">IFERROR(IFERROR(IFERROR(INDEX(TallyBrands,MATCH(0, _xlfn.IFS("Beer"=TallyDrinkType,COUNTIF($E$4:$E86,TallyBrands),"Cider"=TallyDrinkType,COUNTIF($E$4:$E86,TallyBrands)),0)),INDEX(TallyBrands2,MATCH(0, _xlfn.IFS("Beer"=TallyDrinkType,COUNTIF($E$4:$E86,TallyBrands2),"Cider"=TallyDrinkType,COUNTIF($E$4:$E86,TallyBrands2)),0))),INDEX(TallyBrands3,MATCH(0, _xlfn.IFS("Beer"=TallyDrinkType,COUNTIF($E$4:$E86,TallyBrands3),"Cider"=TallyDrinkType,COUNTIF($E$4:$E86,TallyBrands3)),0))),"")</f>
        <v>Hawkshead Brewery</v>
      </c>
      <c r="F87" s="228">
        <f t="shared" si="6"/>
        <v>2</v>
      </c>
      <c r="G87" s="195">
        <f t="shared" si="7"/>
        <v>0</v>
      </c>
      <c r="H87" s="230">
        <f t="shared" si="8"/>
        <v>7.75</v>
      </c>
      <c r="I87" s="220"/>
    </row>
    <row r="88" spans="2:9" ht="15" x14ac:dyDescent="0.15">
      <c r="B88" s="226" t="str" cm="1">
        <f t="array" ref="B88">IFERROR(IFERROR(IFERROR(INDEX(TallyBrands, MATCH(0, COUNTIF(B$4:$B87, TallyBrands), 0)), INDEX(TallyBrands2, MATCH(0, COUNTIF(B$4:$B87, TallyBrands2), 0))), INDEX(TallyBrands3, MATCH(0, COUNTIF(B$4:$B87, TallyBrands3), 0))),"")</f>
        <v>Northern Monk</v>
      </c>
      <c r="C88" s="113"/>
      <c r="E88" s="186" t="str" cm="1">
        <f t="array" ref="E88">IFERROR(IFERROR(IFERROR(INDEX(TallyBrands,MATCH(0, _xlfn.IFS("Beer"=TallyDrinkType,COUNTIF($E$4:$E87,TallyBrands),"Cider"=TallyDrinkType,COUNTIF($E$4:$E87,TallyBrands)),0)),INDEX(TallyBrands2,MATCH(0, _xlfn.IFS("Beer"=TallyDrinkType,COUNTIF($E$4:$E87,TallyBrands2),"Cider"=TallyDrinkType,COUNTIF($E$4:$E87,TallyBrands2)),0))),INDEX(TallyBrands3,MATCH(0, _xlfn.IFS("Beer"=TallyDrinkType,COUNTIF($E$4:$E87,TallyBrands3),"Cider"=TallyDrinkType,COUNTIF($E$4:$E87,TallyBrands3)),0))),"")</f>
        <v>Alphabet Brewing Company</v>
      </c>
      <c r="F88" s="228">
        <f t="shared" si="6"/>
        <v>14</v>
      </c>
      <c r="G88" s="195">
        <f t="shared" si="7"/>
        <v>0</v>
      </c>
      <c r="H88" s="230">
        <f t="shared" si="8"/>
        <v>6.7857142857142856</v>
      </c>
      <c r="I88" s="220"/>
    </row>
    <row r="89" spans="2:9" ht="15" x14ac:dyDescent="0.15">
      <c r="B89" s="226" t="str" cm="1">
        <f t="array" ref="B89">IFERROR(IFERROR(IFERROR(INDEX(TallyBrands, MATCH(0, COUNTIF(B$4:$B88, TallyBrands), 0)), INDEX(TallyBrands2, MATCH(0, COUNTIF(B$4:$B88, TallyBrands2), 0))), INDEX(TallyBrands3, MATCH(0, COUNTIF(B$4:$B88, TallyBrands3), 0))),"")</f>
        <v>Corona</v>
      </c>
      <c r="C89" s="113"/>
      <c r="E89" s="186" t="str" cm="1">
        <f t="array" ref="E89">IFERROR(IFERROR(IFERROR(INDEX(TallyBrands,MATCH(0, _xlfn.IFS("Beer"=TallyDrinkType,COUNTIF($E$4:$E88,TallyBrands),"Cider"=TallyDrinkType,COUNTIF($E$4:$E88,TallyBrands)),0)),INDEX(TallyBrands2,MATCH(0, _xlfn.IFS("Beer"=TallyDrinkType,COUNTIF($E$4:$E88,TallyBrands2),"Cider"=TallyDrinkType,COUNTIF($E$4:$E88,TallyBrands2)),0))),INDEX(TallyBrands3,MATCH(0, _xlfn.IFS("Beer"=TallyDrinkType,COUNTIF($E$4:$E88,TallyBrands3),"Cider"=TallyDrinkType,COUNTIF($E$4:$E88,TallyBrands3)),0))),"")</f>
        <v>Goose Island</v>
      </c>
      <c r="F89" s="228">
        <f t="shared" si="6"/>
        <v>1</v>
      </c>
      <c r="G89" s="195">
        <f t="shared" si="7"/>
        <v>0</v>
      </c>
      <c r="H89" s="230">
        <f t="shared" si="8"/>
        <v>6.5</v>
      </c>
      <c r="I89" s="220"/>
    </row>
    <row r="90" spans="2:9" ht="15" x14ac:dyDescent="0.15">
      <c r="B90" s="226" t="str" cm="1">
        <f t="array" ref="B90">IFERROR(IFERROR(IFERROR(INDEX(TallyBrands, MATCH(0, COUNTIF(B$4:$B89, TallyBrands), 0)), INDEX(TallyBrands2, MATCH(0, COUNTIF(B$4:$B89, TallyBrands2), 0))), INDEX(TallyBrands3, MATCH(0, COUNTIF(B$4:$B89, TallyBrands3), 0))),"")</f>
        <v>Edinburgh Gin</v>
      </c>
      <c r="C90" s="113"/>
      <c r="E90" s="186" t="str" cm="1">
        <f t="array" ref="E90">IFERROR(IFERROR(IFERROR(INDEX(TallyBrands,MATCH(0, _xlfn.IFS("Beer"=TallyDrinkType,COUNTIF($E$4:$E89,TallyBrands),"Cider"=TallyDrinkType,COUNTIF($E$4:$E89,TallyBrands)),0)),INDEX(TallyBrands2,MATCH(0, _xlfn.IFS("Beer"=TallyDrinkType,COUNTIF($E$4:$E89,TallyBrands2),"Cider"=TallyDrinkType,COUNTIF($E$4:$E89,TallyBrands2)),0))),INDEX(TallyBrands3,MATCH(0, _xlfn.IFS("Beer"=TallyDrinkType,COUNTIF($E$4:$E89,TallyBrands3),"Cider"=TallyDrinkType,COUNTIF($E$4:$E89,TallyBrands3)),0))),"")</f>
        <v>Black Isle Brewing</v>
      </c>
      <c r="F90" s="228">
        <f t="shared" si="6"/>
        <v>6</v>
      </c>
      <c r="G90" s="195">
        <f t="shared" si="7"/>
        <v>0</v>
      </c>
      <c r="H90" s="230">
        <f t="shared" si="8"/>
        <v>7.083333333333333</v>
      </c>
      <c r="I90" s="220"/>
    </row>
    <row r="91" spans="2:9" ht="15" x14ac:dyDescent="0.15">
      <c r="B91" s="226" t="str" cm="1">
        <f t="array" ref="B91">IFERROR(IFERROR(IFERROR(INDEX(TallyBrands, MATCH(0, COUNTIF(B$4:$B90, TallyBrands), 0)), INDEX(TallyBrands2, MATCH(0, COUNTIF(B$4:$B90, TallyBrands2), 0))), INDEX(TallyBrands3, MATCH(0, COUNTIF(B$4:$B90, TallyBrands3), 0))),"")</f>
        <v>Old Mout Cider</v>
      </c>
      <c r="C91" s="113"/>
      <c r="E91" s="186" t="str" cm="1">
        <f t="array" ref="E91">IFERROR(IFERROR(IFERROR(INDEX(TallyBrands,MATCH(0, _xlfn.IFS("Beer"=TallyDrinkType,COUNTIF($E$4:$E90,TallyBrands),"Cider"=TallyDrinkType,COUNTIF($E$4:$E90,TallyBrands)),0)),INDEX(TallyBrands2,MATCH(0, _xlfn.IFS("Beer"=TallyDrinkType,COUNTIF($E$4:$E90,TallyBrands2),"Cider"=TallyDrinkType,COUNTIF($E$4:$E90,TallyBrands2)),0))),INDEX(TallyBrands3,MATCH(0, _xlfn.IFS("Beer"=TallyDrinkType,COUNTIF($E$4:$E90,TallyBrands3),"Cider"=TallyDrinkType,COUNTIF($E$4:$E90,TallyBrands3)),0))),"")</f>
        <v>Brew York</v>
      </c>
      <c r="F91" s="228">
        <f t="shared" si="6"/>
        <v>9</v>
      </c>
      <c r="G91" s="195">
        <f t="shared" si="7"/>
        <v>0</v>
      </c>
      <c r="H91" s="230">
        <f t="shared" si="8"/>
        <v>6.5555555555555554</v>
      </c>
      <c r="I91" s="220"/>
    </row>
    <row r="92" spans="2:9" ht="15" x14ac:dyDescent="0.15">
      <c r="B92" s="226" t="str" cm="1">
        <f t="array" ref="B92">IFERROR(IFERROR(IFERROR(INDEX(TallyBrands, MATCH(0, COUNTIF(B$4:$B91, TallyBrands), 0)), INDEX(TallyBrands2, MATCH(0, COUNTIF(B$4:$B91, TallyBrands2), 0))), INDEX(TallyBrands3, MATCH(0, COUNTIF(B$4:$B91, TallyBrands3), 0))),"")</f>
        <v>Scalini</v>
      </c>
      <c r="C92" s="113"/>
      <c r="E92" s="186" t="str" cm="1">
        <f t="array" ref="E92">IFERROR(IFERROR(IFERROR(INDEX(TallyBrands,MATCH(0, _xlfn.IFS("Beer"=TallyDrinkType,COUNTIF($E$4:$E91,TallyBrands),"Cider"=TallyDrinkType,COUNTIF($E$4:$E91,TallyBrands)),0)),INDEX(TallyBrands2,MATCH(0, _xlfn.IFS("Beer"=TallyDrinkType,COUNTIF($E$4:$E91,TallyBrands2),"Cider"=TallyDrinkType,COUNTIF($E$4:$E91,TallyBrands2)),0))),INDEX(TallyBrands3,MATCH(0, _xlfn.IFS("Beer"=TallyDrinkType,COUNTIF($E$4:$E91,TallyBrands3),"Cider"=TallyDrinkType,COUNTIF($E$4:$E91,TallyBrands3)),0))),"")</f>
        <v>Verdant Brewing Co</v>
      </c>
      <c r="F92" s="228">
        <f t="shared" si="6"/>
        <v>2</v>
      </c>
      <c r="G92" s="195">
        <f t="shared" si="7"/>
        <v>0</v>
      </c>
      <c r="H92" s="230">
        <f t="shared" si="8"/>
        <v>7.5</v>
      </c>
      <c r="I92" s="220"/>
    </row>
    <row r="93" spans="2:9" ht="15" x14ac:dyDescent="0.15">
      <c r="B93" s="226" t="str" cm="1">
        <f t="array" ref="B93">IFERROR(IFERROR(IFERROR(INDEX(TallyBrands, MATCH(0, COUNTIF(B$4:$B92, TallyBrands), 0)), INDEX(TallyBrands2, MATCH(0, COUNTIF(B$4:$B92, TallyBrands2), 0))), INDEX(TallyBrands3, MATCH(0, COUNTIF(B$4:$B92, TallyBrands3), 0))),"")</f>
        <v>Diebels</v>
      </c>
      <c r="C93" s="113"/>
      <c r="E93" s="186" t="str" cm="1">
        <f t="array" ref="E93">IFERROR(IFERROR(IFERROR(INDEX(TallyBrands,MATCH(0, _xlfn.IFS("Beer"=TallyDrinkType,COUNTIF($E$4:$E92,TallyBrands),"Cider"=TallyDrinkType,COUNTIF($E$4:$E92,TallyBrands)),0)),INDEX(TallyBrands2,MATCH(0, _xlfn.IFS("Beer"=TallyDrinkType,COUNTIF($E$4:$E92,TallyBrands2),"Cider"=TallyDrinkType,COUNTIF($E$4:$E92,TallyBrands2)),0))),INDEX(TallyBrands3,MATCH(0, _xlfn.IFS("Beer"=TallyDrinkType,COUNTIF($E$4:$E92,TallyBrands3),"Cider"=TallyDrinkType,COUNTIF($E$4:$E92,TallyBrands3)),0))),"")</f>
        <v>71 Brewing Co</v>
      </c>
      <c r="F93" s="228">
        <f t="shared" si="6"/>
        <v>5</v>
      </c>
      <c r="G93" s="195">
        <f t="shared" si="7"/>
        <v>0</v>
      </c>
      <c r="H93" s="230">
        <f t="shared" si="8"/>
        <v>6.6</v>
      </c>
      <c r="I93" s="220"/>
    </row>
    <row r="94" spans="2:9" ht="15" x14ac:dyDescent="0.15">
      <c r="B94" s="226" t="str" cm="1">
        <f t="array" ref="B94">IFERROR(IFERROR(IFERROR(INDEX(TallyBrands, MATCH(0, COUNTIF(B$4:$B93, TallyBrands), 0)), INDEX(TallyBrands2, MATCH(0, COUNTIF(B$4:$B93, TallyBrands2), 0))), INDEX(TallyBrands3, MATCH(0, COUNTIF(B$4:$B93, TallyBrands3), 0))),"")</f>
        <v>Desperados</v>
      </c>
      <c r="C94" s="113"/>
      <c r="E94" s="186" t="str" cm="1">
        <f t="array" ref="E94">IFERROR(IFERROR(IFERROR(INDEX(TallyBrands,MATCH(0, _xlfn.IFS("Beer"=TallyDrinkType,COUNTIF($E$4:$E93,TallyBrands),"Cider"=TallyDrinkType,COUNTIF($E$4:$E93,TallyBrands)),0)),INDEX(TallyBrands2,MATCH(0, _xlfn.IFS("Beer"=TallyDrinkType,COUNTIF($E$4:$E93,TallyBrands2),"Cider"=TallyDrinkType,COUNTIF($E$4:$E93,TallyBrands2)),0))),INDEX(TallyBrands3,MATCH(0, _xlfn.IFS("Beer"=TallyDrinkType,COUNTIF($E$4:$E93,TallyBrands3),"Cider"=TallyDrinkType,COUNTIF($E$4:$E93,TallyBrands3)),0))),"")</f>
        <v>Savanna</v>
      </c>
      <c r="F94" s="228">
        <f t="shared" si="6"/>
        <v>2</v>
      </c>
      <c r="G94" s="195">
        <f t="shared" si="7"/>
        <v>0</v>
      </c>
      <c r="H94" s="230">
        <f t="shared" si="8"/>
        <v>7.75</v>
      </c>
      <c r="I94" s="220"/>
    </row>
    <row r="95" spans="2:9" ht="15" x14ac:dyDescent="0.15">
      <c r="B95" s="226" t="str" cm="1">
        <f t="array" ref="B95">IFERROR(IFERROR(IFERROR(INDEX(TallyBrands, MATCH(0, COUNTIF(B$4:$B94, TallyBrands), 0)), INDEX(TallyBrands2, MATCH(0, COUNTIF(B$4:$B94, TallyBrands2), 0))), INDEX(TallyBrands3, MATCH(0, COUNTIF(B$4:$B94, TallyBrands3), 0))),"")</f>
        <v>Camden Town Brewery</v>
      </c>
      <c r="C95" s="113"/>
      <c r="E95" s="186" t="str" cm="1">
        <f t="array" ref="E95">IFERROR(IFERROR(IFERROR(INDEX(TallyBrands,MATCH(0, _xlfn.IFS("Beer"=TallyDrinkType,COUNTIF($E$4:$E94,TallyBrands),"Cider"=TallyDrinkType,COUNTIF($E$4:$E94,TallyBrands)),0)),INDEX(TallyBrands2,MATCH(0, _xlfn.IFS("Beer"=TallyDrinkType,COUNTIF($E$4:$E94,TallyBrands2),"Cider"=TallyDrinkType,COUNTIF($E$4:$E94,TallyBrands2)),0))),INDEX(TallyBrands3,MATCH(0, _xlfn.IFS("Beer"=TallyDrinkType,COUNTIF($E$4:$E94,TallyBrands3),"Cider"=TallyDrinkType,COUNTIF($E$4:$E94,TallyBrands3)),0))),"")</f>
        <v>Howling Hops</v>
      </c>
      <c r="F95" s="228">
        <f t="shared" si="6"/>
        <v>2</v>
      </c>
      <c r="G95" s="195">
        <f t="shared" si="7"/>
        <v>0</v>
      </c>
      <c r="H95" s="230">
        <f t="shared" si="8"/>
        <v>8</v>
      </c>
      <c r="I95" s="220"/>
    </row>
    <row r="96" spans="2:9" ht="15" x14ac:dyDescent="0.15">
      <c r="B96" s="226" t="str" cm="1">
        <f t="array" ref="B96">IFERROR(IFERROR(IFERROR(INDEX(TallyBrands, MATCH(0, COUNTIF(B$4:$B95, TallyBrands), 0)), INDEX(TallyBrands2, MATCH(0, COUNTIF(B$4:$B95, TallyBrands2), 0))), INDEX(TallyBrands3, MATCH(0, COUNTIF(B$4:$B95, TallyBrands3), 0))),"")</f>
        <v>Whitley Neill</v>
      </c>
      <c r="C96" s="113"/>
      <c r="E96" s="186" t="str" cm="1">
        <f t="array" ref="E96">IFERROR(IFERROR(IFERROR(INDEX(TallyBrands,MATCH(0, _xlfn.IFS("Beer"=TallyDrinkType,COUNTIF($E$4:$E95,TallyBrands),"Cider"=TallyDrinkType,COUNTIF($E$4:$E95,TallyBrands)),0)),INDEX(TallyBrands2,MATCH(0, _xlfn.IFS("Beer"=TallyDrinkType,COUNTIF($E$4:$E95,TallyBrands2),"Cider"=TallyDrinkType,COUNTIF($E$4:$E95,TallyBrands2)),0))),INDEX(TallyBrands3,MATCH(0, _xlfn.IFS("Beer"=TallyDrinkType,COUNTIF($E$4:$E95,TallyBrands3),"Cider"=TallyDrinkType,COUNTIF($E$4:$E95,TallyBrands3)),0))),"")</f>
        <v>Duvel</v>
      </c>
      <c r="F96" s="228">
        <f t="shared" si="6"/>
        <v>2</v>
      </c>
      <c r="G96" s="195">
        <f t="shared" si="7"/>
        <v>0</v>
      </c>
      <c r="H96" s="230">
        <f t="shared" si="8"/>
        <v>8.25</v>
      </c>
      <c r="I96" s="220"/>
    </row>
    <row r="97" spans="2:9" ht="15" x14ac:dyDescent="0.15">
      <c r="B97" s="226" t="str" cm="1">
        <f t="array" ref="B97">IFERROR(IFERROR(IFERROR(INDEX(TallyBrands, MATCH(0, COUNTIF(B$4:$B96, TallyBrands), 0)), INDEX(TallyBrands2, MATCH(0, COUNTIF(B$4:$B96, TallyBrands2), 0))), INDEX(TallyBrands3, MATCH(0, COUNTIF(B$4:$B96, TallyBrands3), 0))),"")</f>
        <v>Hot Wood Distillery</v>
      </c>
      <c r="C97" s="113"/>
      <c r="E97" s="186" t="str" cm="1">
        <f t="array" ref="E97">IFERROR(IFERROR(IFERROR(INDEX(TallyBrands,MATCH(0, _xlfn.IFS("Beer"=TallyDrinkType,COUNTIF($E$4:$E96,TallyBrands),"Cider"=TallyDrinkType,COUNTIF($E$4:$E96,TallyBrands)),0)),INDEX(TallyBrands2,MATCH(0, _xlfn.IFS("Beer"=TallyDrinkType,COUNTIF($E$4:$E96,TallyBrands2),"Cider"=TallyDrinkType,COUNTIF($E$4:$E96,TallyBrands2)),0))),INDEX(TallyBrands3,MATCH(0, _xlfn.IFS("Beer"=TallyDrinkType,COUNTIF($E$4:$E96,TallyBrands3),"Cider"=TallyDrinkType,COUNTIF($E$4:$E96,TallyBrands3)),0))),"")</f>
        <v>Williams Bros. Brewing Co</v>
      </c>
      <c r="F97" s="228">
        <f t="shared" si="6"/>
        <v>7</v>
      </c>
      <c r="G97" s="195">
        <f t="shared" si="7"/>
        <v>0</v>
      </c>
      <c r="H97" s="230">
        <f t="shared" si="8"/>
        <v>5.3571428571428568</v>
      </c>
      <c r="I97" s="220"/>
    </row>
    <row r="98" spans="2:9" ht="15" x14ac:dyDescent="0.15">
      <c r="B98" s="226" t="str" cm="1">
        <f t="array" ref="B98">IFERROR(IFERROR(IFERROR(INDEX(TallyBrands, MATCH(0, COUNTIF(B$4:$B97, TallyBrands), 0)), INDEX(TallyBrands2, MATCH(0, COUNTIF(B$4:$B97, TallyBrands2), 0))), INDEX(TallyBrands3, MATCH(0, COUNTIF(B$4:$B97, TallyBrands3), 0))),"")</f>
        <v>Shake Baby Shake</v>
      </c>
      <c r="C98" s="113"/>
      <c r="E98" s="186" t="str" cm="1">
        <f t="array" ref="E98">IFERROR(IFERROR(IFERROR(INDEX(TallyBrands,MATCH(0, _xlfn.IFS("Beer"=TallyDrinkType,COUNTIF($E$4:$E97,TallyBrands),"Cider"=TallyDrinkType,COUNTIF($E$4:$E97,TallyBrands)),0)),INDEX(TallyBrands2,MATCH(0, _xlfn.IFS("Beer"=TallyDrinkType,COUNTIF($E$4:$E97,TallyBrands2),"Cider"=TallyDrinkType,COUNTIF($E$4:$E97,TallyBrands2)),0))),INDEX(TallyBrands3,MATCH(0, _xlfn.IFS("Beer"=TallyDrinkType,COUNTIF($E$4:$E97,TallyBrands3),"Cider"=TallyDrinkType,COUNTIF($E$4:$E97,TallyBrands3)),0))),"")</f>
        <v>Moor Beer Company</v>
      </c>
      <c r="F98" s="228">
        <f t="shared" si="6"/>
        <v>5</v>
      </c>
      <c r="G98" s="195">
        <f t="shared" si="7"/>
        <v>0</v>
      </c>
      <c r="H98" s="230">
        <f t="shared" si="8"/>
        <v>7</v>
      </c>
      <c r="I98" s="220"/>
    </row>
    <row r="99" spans="2:9" ht="15" x14ac:dyDescent="0.15">
      <c r="B99" s="226" t="str" cm="1">
        <f t="array" ref="B99">IFERROR(IFERROR(IFERROR(INDEX(TallyBrands, MATCH(0, COUNTIF(B$4:$B98, TallyBrands), 0)), INDEX(TallyBrands2, MATCH(0, COUNTIF(B$4:$B98, TallyBrands2), 0))), INDEX(TallyBrands3, MATCH(0, COUNTIF(B$4:$B98, TallyBrands3), 0))),"")</f>
        <v>Blue Moon</v>
      </c>
      <c r="C99" s="113"/>
      <c r="E99" s="186" t="str" cm="1">
        <f t="array" ref="E99">IFERROR(IFERROR(IFERROR(INDEX(TallyBrands,MATCH(0, _xlfn.IFS("Beer"=TallyDrinkType,COUNTIF($E$4:$E98,TallyBrands),"Cider"=TallyDrinkType,COUNTIF($E$4:$E98,TallyBrands)),0)),INDEX(TallyBrands2,MATCH(0, _xlfn.IFS("Beer"=TallyDrinkType,COUNTIF($E$4:$E98,TallyBrands2),"Cider"=TallyDrinkType,COUNTIF($E$4:$E98,TallyBrands2)),0))),INDEX(TallyBrands3,MATCH(0, _xlfn.IFS("Beer"=TallyDrinkType,COUNTIF($E$4:$E98,TallyBrands3),"Cider"=TallyDrinkType,COUNTIF($E$4:$E98,TallyBrands3)),0))),"")</f>
        <v>Anspach &amp; Hobday</v>
      </c>
      <c r="F99" s="228">
        <f t="shared" si="6"/>
        <v>2</v>
      </c>
      <c r="G99" s="195">
        <f t="shared" si="7"/>
        <v>0</v>
      </c>
      <c r="H99" s="230">
        <f t="shared" si="8"/>
        <v>5.75</v>
      </c>
      <c r="I99" s="220"/>
    </row>
    <row r="100" spans="2:9" ht="15" x14ac:dyDescent="0.15">
      <c r="B100" s="226" t="str" cm="1">
        <f t="array" ref="B100">IFERROR(IFERROR(IFERROR(INDEX(TallyBrands, MATCH(0, COUNTIF(B$4:$B99, TallyBrands), 0)), INDEX(TallyBrands2, MATCH(0, COUNTIF(B$4:$B99, TallyBrands2), 0))), INDEX(TallyBrands3, MATCH(0, COUNTIF(B$4:$B99, TallyBrands3), 0))),"")</f>
        <v>Guinness</v>
      </c>
      <c r="C100" s="113"/>
      <c r="E100" s="186" t="str" cm="1">
        <f t="array" ref="E100">IFERROR(IFERROR(IFERROR(INDEX(TallyBrands,MATCH(0, _xlfn.IFS("Beer"=TallyDrinkType,COUNTIF($E$4:$E99,TallyBrands),"Cider"=TallyDrinkType,COUNTIF($E$4:$E99,TallyBrands)),0)),INDEX(TallyBrands2,MATCH(0, _xlfn.IFS("Beer"=TallyDrinkType,COUNTIF($E$4:$E99,TallyBrands2),"Cider"=TallyDrinkType,COUNTIF($E$4:$E99,TallyBrands2)),0))),INDEX(TallyBrands3,MATCH(0, _xlfn.IFS("Beer"=TallyDrinkType,COUNTIF($E$4:$E99,TallyBrands3),"Cider"=TallyDrinkType,COUNTIF($E$4:$E99,TallyBrands3)),0))),"")</f>
        <v>Brooklyn</v>
      </c>
      <c r="F100" s="228">
        <f t="shared" si="6"/>
        <v>2</v>
      </c>
      <c r="G100" s="195">
        <f t="shared" si="7"/>
        <v>0</v>
      </c>
      <c r="H100" s="230">
        <f t="shared" si="8"/>
        <v>6.75</v>
      </c>
      <c r="I100" s="220"/>
    </row>
    <row r="101" spans="2:9" ht="15" x14ac:dyDescent="0.15">
      <c r="B101" s="226" t="str" cm="1">
        <f t="array" ref="B101">IFERROR(IFERROR(IFERROR(INDEX(TallyBrands, MATCH(0, COUNTIF(B$4:$B100, TallyBrands), 0)), INDEX(TallyBrands2, MATCH(0, COUNTIF(B$4:$B100, TallyBrands2), 0))), INDEX(TallyBrands3, MATCH(0, COUNTIF(B$4:$B100, TallyBrands3), 0))),"")</f>
        <v>Captain Morgan</v>
      </c>
      <c r="C101" s="113"/>
      <c r="E101" s="186" t="str" cm="1">
        <f t="array" ref="E101">IFERROR(IFERROR(IFERROR(INDEX(TallyBrands,MATCH(0, _xlfn.IFS("Beer"=TallyDrinkType,COUNTIF($E$4:$E100,TallyBrands),"Cider"=TallyDrinkType,COUNTIF($E$4:$E100,TallyBrands)),0)),INDEX(TallyBrands2,MATCH(0, _xlfn.IFS("Beer"=TallyDrinkType,COUNTIF($E$4:$E100,TallyBrands2),"Cider"=TallyDrinkType,COUNTIF($E$4:$E100,TallyBrands2)),0))),INDEX(TallyBrands3,MATCH(0, _xlfn.IFS("Beer"=TallyDrinkType,COUNTIF($E$4:$E100,TallyBrands3),"Cider"=TallyDrinkType,COUNTIF($E$4:$E100,TallyBrands3)),0))),"")</f>
        <v>Brouwerij Frontaal</v>
      </c>
      <c r="F101" s="228">
        <f t="shared" ref="F101:F109" si="9">COUNTIFS(TallyBrands, $E101,TallyDrinkType, "Beer") + COUNTIFS(TallyBrands,$E101,TallyDrinkType, "Cider")+COUNTIFS(TallyBrands2, $E101,TallyDrinkType, "Beer") + COUNTIFS(TallyBrands2,$E101,TallyDrinkType, "Cider")+COUNTIFS(TallyBrands3, $E101,TallyDrinkType, "Beer") + COUNTIFS(TallyBrands3,$E101,TallyDrinkType, "Cider")</f>
        <v>1</v>
      </c>
      <c r="G101" s="195">
        <f t="shared" si="7"/>
        <v>1</v>
      </c>
      <c r="H101" s="230">
        <f t="shared" si="8"/>
        <v>8.5</v>
      </c>
      <c r="I101" s="220"/>
    </row>
    <row r="102" spans="2:9" ht="15" x14ac:dyDescent="0.15">
      <c r="B102" s="226" t="str" cm="1">
        <f t="array" ref="B102">IFERROR(IFERROR(IFERROR(INDEX(TallyBrands, MATCH(0, COUNTIF(B$4:$B101, TallyBrands), 0)), INDEX(TallyBrands2, MATCH(0, COUNTIF(B$4:$B101, TallyBrands2), 0))), INDEX(TallyBrands3, MATCH(0, COUNTIF(B$4:$B101, TallyBrands3), 0))),"")</f>
        <v>ASDA</v>
      </c>
      <c r="C102" s="113"/>
      <c r="E102" s="186" t="str" cm="1">
        <f t="array" ref="E102">IFERROR(IFERROR(IFERROR(INDEX(TallyBrands,MATCH(0, _xlfn.IFS("Beer"=TallyDrinkType,COUNTIF($E$4:$E101,TallyBrands),"Cider"=TallyDrinkType,COUNTIF($E$4:$E101,TallyBrands)),0)),INDEX(TallyBrands2,MATCH(0, _xlfn.IFS("Beer"=TallyDrinkType,COUNTIF($E$4:$E101,TallyBrands2),"Cider"=TallyDrinkType,COUNTIF($E$4:$E101,TallyBrands2)),0))),INDEX(TallyBrands3,MATCH(0, _xlfn.IFS("Beer"=TallyDrinkType,COUNTIF($E$4:$E101,TallyBrands3),"Cider"=TallyDrinkType,COUNTIF($E$4:$E101,TallyBrands3)),0))),"")</f>
        <v>Black Sheep Brewery</v>
      </c>
      <c r="F102" s="228">
        <f t="shared" si="9"/>
        <v>3</v>
      </c>
      <c r="G102" s="195">
        <f t="shared" si="7"/>
        <v>0</v>
      </c>
      <c r="H102" s="230">
        <f t="shared" si="8"/>
        <v>7.333333333333333</v>
      </c>
      <c r="I102" s="220"/>
    </row>
    <row r="103" spans="2:9" ht="15" x14ac:dyDescent="0.15">
      <c r="B103" s="226" t="str" cm="1">
        <f t="array" ref="B103">IFERROR(IFERROR(IFERROR(INDEX(TallyBrands, MATCH(0, COUNTIF(B$4:$B102, TallyBrands), 0)), INDEX(TallyBrands2, MATCH(0, COUNTIF(B$4:$B102, TallyBrands2), 0))), INDEX(TallyBrands3, MATCH(0, COUNTIF(B$4:$B102, TallyBrands3), 0))),"")</f>
        <v>St Peter's</v>
      </c>
      <c r="C103" s="113"/>
      <c r="E103" s="186" t="str" cm="1">
        <f t="array" ref="E103">IFERROR(IFERROR(IFERROR(INDEX(TallyBrands,MATCH(0, _xlfn.IFS("Beer"=TallyDrinkType,COUNTIF($E$4:$E102,TallyBrands),"Cider"=TallyDrinkType,COUNTIF($E$4:$E102,TallyBrands)),0)),INDEX(TallyBrands2,MATCH(0, _xlfn.IFS("Beer"=TallyDrinkType,COUNTIF($E$4:$E102,TallyBrands2),"Cider"=TallyDrinkType,COUNTIF($E$4:$E102,TallyBrands2)),0))),INDEX(TallyBrands3,MATCH(0, _xlfn.IFS("Beer"=TallyDrinkType,COUNTIF($E$4:$E102,TallyBrands3),"Cider"=TallyDrinkType,COUNTIF($E$4:$E102,TallyBrands3)),0))),"")</f>
        <v>Bad Co.</v>
      </c>
      <c r="F103" s="228">
        <f t="shared" si="9"/>
        <v>4</v>
      </c>
      <c r="G103" s="195">
        <f t="shared" si="7"/>
        <v>2</v>
      </c>
      <c r="H103" s="230">
        <f t="shared" si="8"/>
        <v>6.375</v>
      </c>
      <c r="I103" s="220"/>
    </row>
    <row r="104" spans="2:9" ht="15" x14ac:dyDescent="0.15">
      <c r="B104" s="226" t="str" cm="1">
        <f t="array" ref="B104">IFERROR(IFERROR(IFERROR(INDEX(TallyBrands, MATCH(0, COUNTIF(B$4:$B103, TallyBrands), 0)), INDEX(TallyBrands2, MATCH(0, COUNTIF(B$4:$B103, TallyBrands2), 0))), INDEX(TallyBrands3, MATCH(0, COUNTIF(B$4:$B103, TallyBrands3), 0))),"")</f>
        <v>Homemade in Chinese Residence</v>
      </c>
      <c r="C104" s="113"/>
      <c r="E104" s="186" t="str" cm="1">
        <f t="array" ref="E104">IFERROR(IFERROR(IFERROR(INDEX(TallyBrands,MATCH(0, _xlfn.IFS("Beer"=TallyDrinkType,COUNTIF($E$4:$E103,TallyBrands),"Cider"=TallyDrinkType,COUNTIF($E$4:$E103,TallyBrands)),0)),INDEX(TallyBrands2,MATCH(0, _xlfn.IFS("Beer"=TallyDrinkType,COUNTIF($E$4:$E103,TallyBrands2),"Cider"=TallyDrinkType,COUNTIF($E$4:$E103,TallyBrands2)),0))),INDEX(TallyBrands3,MATCH(0, _xlfn.IFS("Beer"=TallyDrinkType,COUNTIF($E$4:$E103,TallyBrands3),"Cider"=TallyDrinkType,COUNTIF($E$4:$E103,TallyBrands3)),0))),"")</f>
        <v>Spitfire</v>
      </c>
      <c r="F104" s="228">
        <f t="shared" si="9"/>
        <v>2</v>
      </c>
      <c r="G104" s="195">
        <f t="shared" si="7"/>
        <v>0</v>
      </c>
      <c r="H104" s="230">
        <f t="shared" si="8"/>
        <v>6.5</v>
      </c>
      <c r="I104" s="220"/>
    </row>
    <row r="105" spans="2:9" ht="15" x14ac:dyDescent="0.15">
      <c r="B105" s="226" t="str" cm="1">
        <f t="array" ref="B105">IFERROR(IFERROR(IFERROR(INDEX(TallyBrands, MATCH(0, COUNTIF(B$4:$B104, TallyBrands), 0)), INDEX(TallyBrands2, MATCH(0, COUNTIF(B$4:$B104, TallyBrands2), 0))), INDEX(TallyBrands3, MATCH(0, COUNTIF(B$4:$B104, TallyBrands3), 0))),"")</f>
        <v>Bols</v>
      </c>
      <c r="C105" s="113"/>
      <c r="E105" s="186" t="str" cm="1">
        <f t="array" ref="E105">IFERROR(IFERROR(IFERROR(INDEX(TallyBrands,MATCH(0, _xlfn.IFS("Beer"=TallyDrinkType,COUNTIF($E$4:$E104,TallyBrands),"Cider"=TallyDrinkType,COUNTIF($E$4:$E104,TallyBrands)),0)),INDEX(TallyBrands2,MATCH(0, _xlfn.IFS("Beer"=TallyDrinkType,COUNTIF($E$4:$E104,TallyBrands2),"Cider"=TallyDrinkType,COUNTIF($E$4:$E104,TallyBrands2)),0))),INDEX(TallyBrands3,MATCH(0, _xlfn.IFS("Beer"=TallyDrinkType,COUNTIF($E$4:$E104,TallyBrands3),"Cider"=TallyDrinkType,COUNTIF($E$4:$E104,TallyBrands3)),0))),"")</f>
        <v>Squawk Brewing Company</v>
      </c>
      <c r="F105" s="228">
        <f t="shared" si="9"/>
        <v>1</v>
      </c>
      <c r="G105" s="195">
        <f t="shared" si="7"/>
        <v>0</v>
      </c>
      <c r="H105" s="230">
        <f t="shared" si="8"/>
        <v>8</v>
      </c>
      <c r="I105" s="220"/>
    </row>
    <row r="106" spans="2:9" ht="15" x14ac:dyDescent="0.15">
      <c r="B106" s="226" t="str" cm="1">
        <f t="array" ref="B106">IFERROR(IFERROR(IFERROR(INDEX(TallyBrands, MATCH(0, COUNTIF(B$4:$B105, TallyBrands), 0)), INDEX(TallyBrands2, MATCH(0, COUNTIF(B$4:$B105, TallyBrands2), 0))), INDEX(TallyBrands3, MATCH(0, COUNTIF(B$4:$B105, TallyBrands3), 0))),"")</f>
        <v>Buxton Brewery</v>
      </c>
      <c r="C106" s="113"/>
      <c r="E106" s="186" t="str" cm="1">
        <f t="array" ref="E106">IFERROR(IFERROR(IFERROR(INDEX(TallyBrands,MATCH(0, _xlfn.IFS("Beer"=TallyDrinkType,COUNTIF($E$4:$E105,TallyBrands),"Cider"=TallyDrinkType,COUNTIF($E$4:$E105,TallyBrands)),0)),INDEX(TallyBrands2,MATCH(0, _xlfn.IFS("Beer"=TallyDrinkType,COUNTIF($E$4:$E105,TallyBrands2),"Cider"=TallyDrinkType,COUNTIF($E$4:$E105,TallyBrands2)),0))),INDEX(TallyBrands3,MATCH(0, _xlfn.IFS("Beer"=TallyDrinkType,COUNTIF($E$4:$E105,TallyBrands3),"Cider"=TallyDrinkType,COUNTIF($E$4:$E105,TallyBrands3)),0))),"")</f>
        <v>Wilde Child Brewing Co.</v>
      </c>
      <c r="F106" s="228">
        <f t="shared" si="9"/>
        <v>2</v>
      </c>
      <c r="G106" s="195">
        <f t="shared" si="7"/>
        <v>0</v>
      </c>
      <c r="H106" s="230">
        <f t="shared" si="8"/>
        <v>6</v>
      </c>
      <c r="I106" s="220"/>
    </row>
    <row r="107" spans="2:9" ht="15" x14ac:dyDescent="0.15">
      <c r="B107" s="226" t="str" cm="1">
        <f t="array" ref="B107">IFERROR(IFERROR(IFERROR(INDEX(TallyBrands, MATCH(0, COUNTIF(B$4:$B106, TallyBrands), 0)), INDEX(TallyBrands2, MATCH(0, COUNTIF(B$4:$B106, TallyBrands2), 0))), INDEX(TallyBrands3, MATCH(0, COUNTIF(B$4:$B106, TallyBrands3), 0))),"")</f>
        <v>Two Tribes</v>
      </c>
      <c r="C107" s="113"/>
      <c r="E107" s="186" t="str" cm="1">
        <f t="array" ref="E107">IFERROR(IFERROR(IFERROR(INDEX(TallyBrands,MATCH(0, _xlfn.IFS("Beer"=TallyDrinkType,COUNTIF($E$4:$E106,TallyBrands),"Cider"=TallyDrinkType,COUNTIF($E$4:$E106,TallyBrands)),0)),INDEX(TallyBrands2,MATCH(0, _xlfn.IFS("Beer"=TallyDrinkType,COUNTIF($E$4:$E106,TallyBrands2),"Cider"=TallyDrinkType,COUNTIF($E$4:$E106,TallyBrands2)),0))),INDEX(TallyBrands3,MATCH(0, _xlfn.IFS("Beer"=TallyDrinkType,COUNTIF($E$4:$E106,TallyBrands3),"Cider"=TallyDrinkType,COUNTIF($E$4:$E106,TallyBrands3)),0))),"")</f>
        <v>Camerons</v>
      </c>
      <c r="F107" s="228">
        <f t="shared" si="9"/>
        <v>1</v>
      </c>
      <c r="G107" s="195">
        <f t="shared" si="7"/>
        <v>0</v>
      </c>
      <c r="H107" s="230">
        <f t="shared" si="8"/>
        <v>4</v>
      </c>
      <c r="I107" s="220"/>
    </row>
    <row r="108" spans="2:9" ht="15" x14ac:dyDescent="0.15">
      <c r="B108" s="226" t="str" cm="1">
        <f t="array" ref="B108">IFERROR(IFERROR(IFERROR(INDEX(TallyBrands, MATCH(0, COUNTIF(B$4:$B107, TallyBrands), 0)), INDEX(TallyBrands2, MATCH(0, COUNTIF(B$4:$B107, TallyBrands2), 0))), INDEX(TallyBrands3, MATCH(0, COUNTIF(B$4:$B107, TallyBrands3), 0))),"")</f>
        <v>Chivas Regal</v>
      </c>
      <c r="C108" s="113"/>
      <c r="E108" s="186" t="str" cm="1">
        <f t="array" ref="E108">IFERROR(IFERROR(IFERROR(INDEX(TallyBrands,MATCH(0, _xlfn.IFS("Beer"=TallyDrinkType,COUNTIF($E$4:$E107,TallyBrands),"Cider"=TallyDrinkType,COUNTIF($E$4:$E107,TallyBrands)),0)),INDEX(TallyBrands2,MATCH(0, _xlfn.IFS("Beer"=TallyDrinkType,COUNTIF($E$4:$E107,TallyBrands2),"Cider"=TallyDrinkType,COUNTIF($E$4:$E107,TallyBrands2)),0))),INDEX(TallyBrands3,MATCH(0, _xlfn.IFS("Beer"=TallyDrinkType,COUNTIF($E$4:$E107,TallyBrands3),"Cider"=TallyDrinkType,COUNTIF($E$4:$E107,TallyBrands3)),0))),"")</f>
        <v>Wainwright</v>
      </c>
      <c r="F108" s="228">
        <f t="shared" si="9"/>
        <v>1</v>
      </c>
      <c r="G108" s="195">
        <f t="shared" si="7"/>
        <v>0</v>
      </c>
      <c r="H108" s="230">
        <f t="shared" si="8"/>
        <v>6.5</v>
      </c>
      <c r="I108" s="220"/>
    </row>
    <row r="109" spans="2:9" ht="15" x14ac:dyDescent="0.15">
      <c r="B109" s="226" t="str" cm="1">
        <f t="array" ref="B109">IFERROR(IFERROR(IFERROR(INDEX(TallyBrands, MATCH(0, COUNTIF(B$4:$B108, TallyBrands), 0)), INDEX(TallyBrands2, MATCH(0, COUNTIF(B$4:$B108, TallyBrands2), 0))), INDEX(TallyBrands3, MATCH(0, COUNTIF(B$4:$B108, TallyBrands3), 0))),"")</f>
        <v>Prost Brewing Co.</v>
      </c>
      <c r="C109" s="113"/>
      <c r="E109" s="186" t="str" cm="1">
        <f t="array" ref="E109">IFERROR(IFERROR(IFERROR(INDEX(TallyBrands,MATCH(0, _xlfn.IFS("Beer"=TallyDrinkType,COUNTIF($E$4:$E108,TallyBrands),"Cider"=TallyDrinkType,COUNTIF($E$4:$E108,TallyBrands)),0)),INDEX(TallyBrands2,MATCH(0, _xlfn.IFS("Beer"=TallyDrinkType,COUNTIF($E$4:$E108,TallyBrands2),"Cider"=TallyDrinkType,COUNTIF($E$4:$E108,TallyBrands2)),0))),INDEX(TallyBrands3,MATCH(0, _xlfn.IFS("Beer"=TallyDrinkType,COUNTIF($E$4:$E108,TallyBrands3),"Cider"=TallyDrinkType,COUNTIF($E$4:$E108,TallyBrands3)),0))),"")</f>
        <v>Otter</v>
      </c>
      <c r="F109" s="228">
        <f t="shared" si="9"/>
        <v>2</v>
      </c>
      <c r="G109" s="195">
        <f t="shared" si="7"/>
        <v>0</v>
      </c>
      <c r="H109" s="230">
        <f t="shared" si="8"/>
        <v>10</v>
      </c>
      <c r="I109" s="220"/>
    </row>
    <row r="110" spans="2:9" ht="15" x14ac:dyDescent="0.15">
      <c r="B110" s="226" t="str" cm="1">
        <f t="array" ref="B110">IFERROR(IFERROR(IFERROR(INDEX(TallyBrands, MATCH(0, COUNTIF(B$4:$B109, TallyBrands), 0)), INDEX(TallyBrands2, MATCH(0, COUNTIF(B$4:$B109, TallyBrands2), 0))), INDEX(TallyBrands3, MATCH(0, COUNTIF(B$4:$B109, TallyBrands3), 0))),"")</f>
        <v>Whole Foods</v>
      </c>
      <c r="C110" s="113"/>
      <c r="E110" s="186" t="str" cm="1">
        <f t="array" ref="E110">IFERROR(IFERROR(IFERROR(INDEX(TallyBrands,MATCH(0, _xlfn.IFS("Beer"=TallyDrinkType,COUNTIF($E$4:$E109,TallyBrands),"Cider"=TallyDrinkType,COUNTIF($E$4:$E109,TallyBrands)),0)),INDEX(TallyBrands2,MATCH(0, _xlfn.IFS("Beer"=TallyDrinkType,COUNTIF($E$4:$E109,TallyBrands2),"Cider"=TallyDrinkType,COUNTIF($E$4:$E109,TallyBrands2)),0))),INDEX(TallyBrands3,MATCH(0, _xlfn.IFS("Beer"=TallyDrinkType,COUNTIF($E$4:$E109,TallyBrands3),"Cider"=TallyDrinkType,COUNTIF($E$4:$E109,TallyBrands3)),0))),"")</f>
        <v>Henney's</v>
      </c>
      <c r="F110" s="228">
        <f>IFERROR(COUNTIFS(TallyBrands, $E110,TallyDrinkType, "Beer") + COUNTIFS(TallyBrands,$E110,TallyDrinkType, "Cider")+COUNTIFS(TallyBrands2, $E110,TallyDrinkType, "Beer") + COUNTIFS(TallyBrands2,$E110,TallyDrinkType, "Cider")+COUNTIFS(TallyBrands3, $E110,TallyDrinkType, "Beer") + COUNTIFS(TallyBrands3,$E110,TallyDrinkType, "Cider"),"")</f>
        <v>2</v>
      </c>
      <c r="G110" s="195">
        <f t="shared" si="7"/>
        <v>0</v>
      </c>
      <c r="H110" s="230">
        <f t="shared" si="8"/>
        <v>6.25</v>
      </c>
      <c r="I110" s="220"/>
    </row>
    <row r="111" spans="2:9" ht="15" x14ac:dyDescent="0.15">
      <c r="B111" s="226" t="str" cm="1">
        <f t="array" ref="B111">IFERROR(IFERROR(IFERROR(INDEX(TallyBrands, MATCH(0, COUNTIF(B$4:$B110, TallyBrands), 0)), INDEX(TallyBrands2, MATCH(0, COUNTIF(B$4:$B110, TallyBrands2), 0))), INDEX(TallyBrands3, MATCH(0, COUNTIF(B$4:$B110, TallyBrands3), 0))),"")</f>
        <v>The White Hag Irish Brewing Company</v>
      </c>
      <c r="C111" s="113"/>
      <c r="E111" s="186" t="str" cm="1">
        <f t="array" ref="E111">IFERROR(IFERROR(IFERROR(INDEX(TallyBrands,MATCH(0, _xlfn.IFS("Beer"=TallyDrinkType,COUNTIF($E$4:$E110,TallyBrands),"Cider"=TallyDrinkType,COUNTIF($E$4:$E110,TallyBrands)),0)),INDEX(TallyBrands2,MATCH(0, _xlfn.IFS("Beer"=TallyDrinkType,COUNTIF($E$4:$E110,TallyBrands2),"Cider"=TallyDrinkType,COUNTIF($E$4:$E110,TallyBrands2)),0))),INDEX(TallyBrands3,MATCH(0, _xlfn.IFS("Beer"=TallyDrinkType,COUNTIF($E$4:$E110,TallyBrands3),"Cider"=TallyDrinkType,COUNTIF($E$4:$E110,TallyBrands3)),0))),"")</f>
        <v>Brewhive</v>
      </c>
      <c r="F111" s="228">
        <f t="shared" ref="F111:F142" si="10">COUNTIFS(TallyBrands, $E111,TallyDrinkType, "Beer") + COUNTIFS(TallyBrands,$E111,TallyDrinkType, "Cider")+COUNTIFS(TallyBrands2, $E111,TallyDrinkType, "Beer") + COUNTIFS(TallyBrands2,$E111,TallyDrinkType, "Cider")+COUNTIFS(TallyBrands3, $E111,TallyDrinkType, "Beer") + COUNTIFS(TallyBrands3,$E111,TallyDrinkType, "Cider")</f>
        <v>4</v>
      </c>
      <c r="G111" s="195">
        <f t="shared" si="7"/>
        <v>4</v>
      </c>
      <c r="H111" s="230">
        <f t="shared" si="8"/>
        <v>7.5</v>
      </c>
      <c r="I111" s="220"/>
    </row>
    <row r="112" spans="2:9" ht="15" x14ac:dyDescent="0.15">
      <c r="B112" s="226" t="str" cm="1">
        <f t="array" ref="B112">IFERROR(IFERROR(IFERROR(INDEX(TallyBrands, MATCH(0, COUNTIF(B$4:$B111, TallyBrands), 0)), INDEX(TallyBrands2, MATCH(0, COUNTIF(B$4:$B111, TallyBrands2), 0))), INDEX(TallyBrands3, MATCH(0, COUNTIF(B$4:$B111, TallyBrands3), 0))),"")</f>
        <v>Cointreau</v>
      </c>
      <c r="C112" s="113"/>
      <c r="E112" s="186" t="str" cm="1">
        <f t="array" ref="E112">IFERROR(IFERROR(IFERROR(INDEX(TallyBrands,MATCH(0, _xlfn.IFS("Beer"=TallyDrinkType,COUNTIF($E$4:$E111,TallyBrands),"Cider"=TallyDrinkType,COUNTIF($E$4:$E111,TallyBrands)),0)),INDEX(TallyBrands2,MATCH(0, _xlfn.IFS("Beer"=TallyDrinkType,COUNTIF($E$4:$E111,TallyBrands2),"Cider"=TallyDrinkType,COUNTIF($E$4:$E111,TallyBrands2)),0))),INDEX(TallyBrands3,MATCH(0, _xlfn.IFS("Beer"=TallyDrinkType,COUNTIF($E$4:$E111,TallyBrands3),"Cider"=TallyDrinkType,COUNTIF($E$4:$E111,TallyBrands3)),0))),"")</f>
        <v>Tyskie</v>
      </c>
      <c r="F112" s="228">
        <f t="shared" si="10"/>
        <v>2</v>
      </c>
      <c r="G112" s="195">
        <f t="shared" si="7"/>
        <v>0</v>
      </c>
      <c r="H112" s="230">
        <f t="shared" si="8"/>
        <v>7</v>
      </c>
      <c r="I112" s="220"/>
    </row>
    <row r="113" spans="2:9" ht="15" x14ac:dyDescent="0.15">
      <c r="B113" s="226" t="str" cm="1">
        <f t="array" ref="B113">IFERROR(IFERROR(IFERROR(INDEX(TallyBrands, MATCH(0, COUNTIF(B$4:$B112, TallyBrands), 0)), INDEX(TallyBrands2, MATCH(0, COUNTIF(B$4:$B112, TallyBrands2), 0))), INDEX(TallyBrands3, MATCH(0, COUNTIF(B$4:$B112, TallyBrands3), 0))),"")</f>
        <v>Innis &amp; Gunn</v>
      </c>
      <c r="C113" s="113"/>
      <c r="E113" s="186" t="str" cm="1">
        <f t="array" ref="E113">IFERROR(IFERROR(IFERROR(INDEX(TallyBrands,MATCH(0, _xlfn.IFS("Beer"=TallyDrinkType,COUNTIF($E$4:$E112,TallyBrands),"Cider"=TallyDrinkType,COUNTIF($E$4:$E112,TallyBrands)),0)),INDEX(TallyBrands2,MATCH(0, _xlfn.IFS("Beer"=TallyDrinkType,COUNTIF($E$4:$E112,TallyBrands2),"Cider"=TallyDrinkType,COUNTIF($E$4:$E112,TallyBrands2)),0))),INDEX(TallyBrands3,MATCH(0, _xlfn.IFS("Beer"=TallyDrinkType,COUNTIF($E$4:$E112,TallyBrands3),"Cider"=TallyDrinkType,COUNTIF($E$4:$E112,TallyBrands3)),0))),"")</f>
        <v>Pipeline Brewing Co.</v>
      </c>
      <c r="F113" s="228">
        <f t="shared" si="10"/>
        <v>1</v>
      </c>
      <c r="G113" s="195">
        <f t="shared" si="7"/>
        <v>0</v>
      </c>
      <c r="H113" s="230">
        <f t="shared" si="8"/>
        <v>8.5</v>
      </c>
      <c r="I113" s="220"/>
    </row>
    <row r="114" spans="2:9" ht="15" x14ac:dyDescent="0.15">
      <c r="B114" s="226" t="str" cm="1">
        <f t="array" ref="B114">IFERROR(IFERROR(IFERROR(INDEX(TallyBrands, MATCH(0, COUNTIF(B$4:$B113, TallyBrands), 0)), INDEX(TallyBrands2, MATCH(0, COUNTIF(B$4:$B113, TallyBrands2), 0))), INDEX(TallyBrands3, MATCH(0, COUNTIF(B$4:$B113, TallyBrands3), 0))),"")</f>
        <v>Balans</v>
      </c>
      <c r="C114" s="113"/>
      <c r="E114" s="186" t="str" cm="1">
        <f t="array" ref="E114">IFERROR(IFERROR(IFERROR(INDEX(TallyBrands,MATCH(0, _xlfn.IFS("Beer"=TallyDrinkType,COUNTIF($E$4:$E113,TallyBrands),"Cider"=TallyDrinkType,COUNTIF($E$4:$E113,TallyBrands)),0)),INDEX(TallyBrands2,MATCH(0, _xlfn.IFS("Beer"=TallyDrinkType,COUNTIF($E$4:$E113,TallyBrands2),"Cider"=TallyDrinkType,COUNTIF($E$4:$E113,TallyBrands2)),0))),INDEX(TallyBrands3,MATCH(0, _xlfn.IFS("Beer"=TallyDrinkType,COUNTIF($E$4:$E113,TallyBrands3),"Cider"=TallyDrinkType,COUNTIF($E$4:$E113,TallyBrands3)),0))),"")</f>
        <v>Fuller's</v>
      </c>
      <c r="F114" s="228">
        <f t="shared" si="10"/>
        <v>1</v>
      </c>
      <c r="G114" s="195">
        <f t="shared" si="7"/>
        <v>0</v>
      </c>
      <c r="H114" s="230">
        <f t="shared" si="8"/>
        <v>7</v>
      </c>
      <c r="I114" s="220"/>
    </row>
    <row r="115" spans="2:9" ht="15" x14ac:dyDescent="0.15">
      <c r="B115" s="226" t="str" cm="1">
        <f t="array" ref="B115">IFERROR(IFERROR(IFERROR(INDEX(TallyBrands, MATCH(0, COUNTIF(B$4:$B114, TallyBrands), 0)), INDEX(TallyBrands2, MATCH(0, COUNTIF(B$4:$B114, TallyBrands2), 0))), INDEX(TallyBrands3, MATCH(0, COUNTIF(B$4:$B114, TallyBrands3), 0))),"")</f>
        <v>Château Minuty</v>
      </c>
      <c r="C115" s="113"/>
      <c r="E115" s="186" t="str" cm="1">
        <f t="array" ref="E115">IFERROR(IFERROR(IFERROR(INDEX(TallyBrands,MATCH(0, _xlfn.IFS("Beer"=TallyDrinkType,COUNTIF($E$4:$E114,TallyBrands),"Cider"=TallyDrinkType,COUNTIF($E$4:$E114,TallyBrands)),0)),INDEX(TallyBrands2,MATCH(0, _xlfn.IFS("Beer"=TallyDrinkType,COUNTIF($E$4:$E114,TallyBrands2),"Cider"=TallyDrinkType,COUNTIF($E$4:$E114,TallyBrands2)),0))),INDEX(TallyBrands3,MATCH(0, _xlfn.IFS("Beer"=TallyDrinkType,COUNTIF($E$4:$E114,TallyBrands3),"Cider"=TallyDrinkType,COUNTIF($E$4:$E114,TallyBrands3)),0))),"")</f>
        <v>Dudda's Tun</v>
      </c>
      <c r="F115" s="228">
        <f t="shared" si="10"/>
        <v>1</v>
      </c>
      <c r="G115" s="195">
        <f t="shared" si="7"/>
        <v>0</v>
      </c>
      <c r="H115" s="230">
        <f t="shared" si="8"/>
        <v>7.5</v>
      </c>
      <c r="I115" s="220"/>
    </row>
    <row r="116" spans="2:9" ht="15" x14ac:dyDescent="0.15">
      <c r="B116" s="226" t="str" cm="1">
        <f t="array" ref="B116">IFERROR(IFERROR(IFERROR(INDEX(TallyBrands, MATCH(0, COUNTIF(B$4:$B115, TallyBrands), 0)), INDEX(TallyBrands2, MATCH(0, COUNTIF(B$4:$B115, TallyBrands2), 0))), INDEX(TallyBrands3, MATCH(0, COUNTIF(B$4:$B115, TallyBrands3), 0))),"")</f>
        <v>Portugal Vinyards</v>
      </c>
      <c r="C116" s="113"/>
      <c r="E116" s="186" t="str" cm="1">
        <f t="array" ref="E116">IFERROR(IFERROR(IFERROR(INDEX(TallyBrands,MATCH(0, _xlfn.IFS("Beer"=TallyDrinkType,COUNTIF($E$4:$E115,TallyBrands),"Cider"=TallyDrinkType,COUNTIF($E$4:$E115,TallyBrands)),0)),INDEX(TallyBrands2,MATCH(0, _xlfn.IFS("Beer"=TallyDrinkType,COUNTIF($E$4:$E115,TallyBrands2),"Cider"=TallyDrinkType,COUNTIF($E$4:$E115,TallyBrands2)),0))),INDEX(TallyBrands3,MATCH(0, _xlfn.IFS("Beer"=TallyDrinkType,COUNTIF($E$4:$E115,TallyBrands3),"Cider"=TallyDrinkType,COUNTIF($E$4:$E115,TallyBrands3)),0))),"")</f>
        <v>Wiper And True</v>
      </c>
      <c r="F116" s="228">
        <f t="shared" si="10"/>
        <v>3</v>
      </c>
      <c r="G116" s="195">
        <f t="shared" si="7"/>
        <v>0</v>
      </c>
      <c r="H116" s="230">
        <f t="shared" si="8"/>
        <v>4.5</v>
      </c>
      <c r="I116" s="220"/>
    </row>
    <row r="117" spans="2:9" ht="15" x14ac:dyDescent="0.15">
      <c r="B117" s="226" t="str" cm="1">
        <f t="array" ref="B117">IFERROR(IFERROR(IFERROR(INDEX(TallyBrands, MATCH(0, COUNTIF(B$4:$B116, TallyBrands), 0)), INDEX(TallyBrands2, MATCH(0, COUNTIF(B$4:$B116, TallyBrands2), 0))), INDEX(TallyBrands3, MATCH(0, COUNTIF(B$4:$B116, TallyBrands3), 0))),"")</f>
        <v>Westons</v>
      </c>
      <c r="C117" s="113"/>
      <c r="E117" s="186" t="str" cm="1">
        <f t="array" ref="E117">IFERROR(IFERROR(IFERROR(INDEX(TallyBrands,MATCH(0, _xlfn.IFS("Beer"=TallyDrinkType,COUNTIF($E$4:$E116,TallyBrands),"Cider"=TallyDrinkType,COUNTIF($E$4:$E116,TallyBrands)),0)),INDEX(TallyBrands2,MATCH(0, _xlfn.IFS("Beer"=TallyDrinkType,COUNTIF($E$4:$E116,TallyBrands2),"Cider"=TallyDrinkType,COUNTIF($E$4:$E116,TallyBrands2)),0))),INDEX(TallyBrands3,MATCH(0, _xlfn.IFS("Beer"=TallyDrinkType,COUNTIF($E$4:$E116,TallyBrands3),"Cider"=TallyDrinkType,COUNTIF($E$4:$E116,TallyBrands3)),0))),"")</f>
        <v>SALT</v>
      </c>
      <c r="F117" s="228">
        <f t="shared" si="10"/>
        <v>5</v>
      </c>
      <c r="G117" s="195">
        <f t="shared" si="7"/>
        <v>1</v>
      </c>
      <c r="H117" s="230">
        <f t="shared" si="8"/>
        <v>7.5</v>
      </c>
      <c r="I117" s="220"/>
    </row>
    <row r="118" spans="2:9" ht="15" x14ac:dyDescent="0.15">
      <c r="B118" s="226" t="str" cm="1">
        <f t="array" ref="B118">IFERROR(IFERROR(IFERROR(INDEX(TallyBrands, MATCH(0, COUNTIF(B$4:$B117, TallyBrands), 0)), INDEX(TallyBrands2, MATCH(0, COUNTIF(B$4:$B117, TallyBrands2), 0))), INDEX(TallyBrands3, MATCH(0, COUNTIF(B$4:$B117, TallyBrands3), 0))),"")</f>
        <v>Jameson</v>
      </c>
      <c r="C118" s="113"/>
      <c r="E118" s="186" t="str" cm="1">
        <f t="array" ref="E118">IFERROR(IFERROR(IFERROR(INDEX(TallyBrands,MATCH(0, _xlfn.IFS("Beer"=TallyDrinkType,COUNTIF($E$4:$E117,TallyBrands),"Cider"=TallyDrinkType,COUNTIF($E$4:$E117,TallyBrands)),0)),INDEX(TallyBrands2,MATCH(0, _xlfn.IFS("Beer"=TallyDrinkType,COUNTIF($E$4:$E117,TallyBrands2),"Cider"=TallyDrinkType,COUNTIF($E$4:$E117,TallyBrands2)),0))),INDEX(TallyBrands3,MATCH(0, _xlfn.IFS("Beer"=TallyDrinkType,COUNTIF($E$4:$E117,TallyBrands3),"Cider"=TallyDrinkType,COUNTIF($E$4:$E117,TallyBrands3)),0))),"")</f>
        <v>Thornbridge</v>
      </c>
      <c r="F118" s="228">
        <f t="shared" si="10"/>
        <v>5</v>
      </c>
      <c r="G118" s="195">
        <f t="shared" si="7"/>
        <v>1</v>
      </c>
      <c r="H118" s="230">
        <f t="shared" si="8"/>
        <v>6.5</v>
      </c>
      <c r="I118" s="220"/>
    </row>
    <row r="119" spans="2:9" ht="15" x14ac:dyDescent="0.15">
      <c r="B119" s="226" t="str" cm="1">
        <f t="array" ref="B119">IFERROR(IFERROR(IFERROR(INDEX(TallyBrands, MATCH(0, COUNTIF(B$4:$B118, TallyBrands), 0)), INDEX(TallyBrands2, MATCH(0, COUNTIF(B$4:$B118, TallyBrands2), 0))), INDEX(TallyBrands3, MATCH(0, COUNTIF(B$4:$B118, TallyBrands3), 0))),"")</f>
        <v>Corte Molino</v>
      </c>
      <c r="C119" s="113"/>
      <c r="E119" s="186" t="str" cm="1">
        <f t="array" ref="E119">IFERROR(IFERROR(IFERROR(INDEX(TallyBrands,MATCH(0, _xlfn.IFS("Beer"=TallyDrinkType,COUNTIF($E$4:$E118,TallyBrands),"Cider"=TallyDrinkType,COUNTIF($E$4:$E118,TallyBrands)),0)),INDEX(TallyBrands2,MATCH(0, _xlfn.IFS("Beer"=TallyDrinkType,COUNTIF($E$4:$E118,TallyBrands2),"Cider"=TallyDrinkType,COUNTIF($E$4:$E118,TallyBrands2)),0))),INDEX(TallyBrands3,MATCH(0, _xlfn.IFS("Beer"=TallyDrinkType,COUNTIF($E$4:$E118,TallyBrands3),"Cider"=TallyDrinkType,COUNTIF($E$4:$E118,TallyBrands3)),0))),"")</f>
        <v>Oakham</v>
      </c>
      <c r="F119" s="228">
        <f t="shared" si="10"/>
        <v>2</v>
      </c>
      <c r="G119" s="195">
        <f t="shared" si="7"/>
        <v>0</v>
      </c>
      <c r="H119" s="230">
        <f t="shared" si="8"/>
        <v>8</v>
      </c>
      <c r="I119" s="220"/>
    </row>
    <row r="120" spans="2:9" ht="15" x14ac:dyDescent="0.15">
      <c r="B120" s="226" t="str" cm="1">
        <f t="array" ref="B120">IFERROR(IFERROR(IFERROR(INDEX(TallyBrands, MATCH(0, COUNTIF(B$4:$B119, TallyBrands), 0)), INDEX(TallyBrands2, MATCH(0, COUNTIF(B$4:$B119, TallyBrands2), 0))), INDEX(TallyBrands3, MATCH(0, COUNTIF(B$4:$B119, TallyBrands3), 0))),"")</f>
        <v>Hogans</v>
      </c>
      <c r="C120" s="113"/>
      <c r="E120" s="186" t="str" cm="1">
        <f t="array" ref="E120">IFERROR(IFERROR(IFERROR(INDEX(TallyBrands,MATCH(0, _xlfn.IFS("Beer"=TallyDrinkType,COUNTIF($E$4:$E119,TallyBrands),"Cider"=TallyDrinkType,COUNTIF($E$4:$E119,TallyBrands)),0)),INDEX(TallyBrands2,MATCH(0, _xlfn.IFS("Beer"=TallyDrinkType,COUNTIF($E$4:$E119,TallyBrands2),"Cider"=TallyDrinkType,COUNTIF($E$4:$E119,TallyBrands2)),0))),INDEX(TallyBrands3,MATCH(0, _xlfn.IFS("Beer"=TallyDrinkType,COUNTIF($E$4:$E119,TallyBrands3),"Cider"=TallyDrinkType,COUNTIF($E$4:$E119,TallyBrands3)),0))),"")</f>
        <v>Tempest Brewing Co</v>
      </c>
      <c r="F120" s="228">
        <f t="shared" si="10"/>
        <v>1</v>
      </c>
      <c r="G120" s="195">
        <f t="shared" si="7"/>
        <v>0</v>
      </c>
      <c r="H120" s="230">
        <f t="shared" si="8"/>
        <v>5.5</v>
      </c>
      <c r="I120" s="220"/>
    </row>
    <row r="121" spans="2:9" ht="15" x14ac:dyDescent="0.15">
      <c r="B121" s="226" t="str" cm="1">
        <f t="array" ref="B121">IFERROR(IFERROR(IFERROR(INDEX(TallyBrands, MATCH(0, COUNTIF(B$4:$B120, TallyBrands), 0)), INDEX(TallyBrands2, MATCH(0, COUNTIF(B$4:$B120, TallyBrands2), 0))), INDEX(TallyBrands3, MATCH(0, COUNTIF(B$4:$B120, TallyBrands3), 0))),"")</f>
        <v>Aspall</v>
      </c>
      <c r="C121" s="113"/>
      <c r="E121" s="186" t="str" cm="1">
        <f t="array" ref="E121">IFERROR(IFERROR(IFERROR(INDEX(TallyBrands,MATCH(0, _xlfn.IFS("Beer"=TallyDrinkType,COUNTIF($E$4:$E120,TallyBrands),"Cider"=TallyDrinkType,COUNTIF($E$4:$E120,TallyBrands)),0)),INDEX(TallyBrands2,MATCH(0, _xlfn.IFS("Beer"=TallyDrinkType,COUNTIF($E$4:$E120,TallyBrands2),"Cider"=TallyDrinkType,COUNTIF($E$4:$E120,TallyBrands2)),0))),INDEX(TallyBrands3,MATCH(0, _xlfn.IFS("Beer"=TallyDrinkType,COUNTIF($E$4:$E120,TallyBrands3),"Cider"=TallyDrinkType,COUNTIF($E$4:$E120,TallyBrands3)),0))),"")</f>
        <v>Crate Brewery</v>
      </c>
      <c r="F121" s="228">
        <f t="shared" si="10"/>
        <v>2</v>
      </c>
      <c r="G121" s="195">
        <f t="shared" si="7"/>
        <v>0</v>
      </c>
      <c r="H121" s="230">
        <f t="shared" si="8"/>
        <v>5.75</v>
      </c>
      <c r="I121" s="220"/>
    </row>
    <row r="122" spans="2:9" ht="15" x14ac:dyDescent="0.15">
      <c r="B122" s="226" t="str" cm="1">
        <f t="array" ref="B122">IFERROR(IFERROR(IFERROR(INDEX(TallyBrands, MATCH(0, COUNTIF(B$4:$B121, TallyBrands), 0)), INDEX(TallyBrands2, MATCH(0, COUNTIF(B$4:$B121, TallyBrands2), 0))), INDEX(TallyBrands3, MATCH(0, COUNTIF(B$4:$B121, TallyBrands3), 0))),"")</f>
        <v>Portobello</v>
      </c>
      <c r="C122" s="113"/>
      <c r="E122" s="186" t="str" cm="1">
        <f t="array" ref="E122">IFERROR(IFERROR(IFERROR(INDEX(TallyBrands,MATCH(0, _xlfn.IFS("Beer"=TallyDrinkType,COUNTIF($E$4:$E121,TallyBrands),"Cider"=TallyDrinkType,COUNTIF($E$4:$E121,TallyBrands)),0)),INDEX(TallyBrands2,MATCH(0, _xlfn.IFS("Beer"=TallyDrinkType,COUNTIF($E$4:$E121,TallyBrands2),"Cider"=TallyDrinkType,COUNTIF($E$4:$E121,TallyBrands2)),0))),INDEX(TallyBrands3,MATCH(0, _xlfn.IFS("Beer"=TallyDrinkType,COUNTIF($E$4:$E121,TallyBrands3),"Cider"=TallyDrinkType,COUNTIF($E$4:$E121,TallyBrands3)),0))),"")</f>
        <v>Aldi</v>
      </c>
      <c r="F122" s="228">
        <f t="shared" si="10"/>
        <v>6</v>
      </c>
      <c r="G122" s="195">
        <f t="shared" si="7"/>
        <v>2</v>
      </c>
      <c r="H122" s="230">
        <f t="shared" si="8"/>
        <v>6.333333333333333</v>
      </c>
      <c r="I122" s="220"/>
    </row>
    <row r="123" spans="2:9" ht="15" x14ac:dyDescent="0.15">
      <c r="B123" s="226" t="str" cm="1">
        <f t="array" ref="B123">IFERROR(IFERROR(IFERROR(INDEX(TallyBrands, MATCH(0, COUNTIF(B$4:$B122, TallyBrands), 0)), INDEX(TallyBrands2, MATCH(0, COUNTIF(B$4:$B122, TallyBrands2), 0))), INDEX(TallyBrands3, MATCH(0, COUNTIF(B$4:$B122, TallyBrands3), 0))),"")</f>
        <v>Red Stripe</v>
      </c>
      <c r="C123" s="113"/>
      <c r="E123" s="186" t="str" cm="1">
        <f t="array" ref="E123">IFERROR(IFERROR(IFERROR(INDEX(TallyBrands,MATCH(0, _xlfn.IFS("Beer"=TallyDrinkType,COUNTIF($E$4:$E122,TallyBrands),"Cider"=TallyDrinkType,COUNTIF($E$4:$E122,TallyBrands)),0)),INDEX(TallyBrands2,MATCH(0, _xlfn.IFS("Beer"=TallyDrinkType,COUNTIF($E$4:$E122,TallyBrands2),"Cider"=TallyDrinkType,COUNTIF($E$4:$E122,TallyBrands2)),0))),INDEX(TallyBrands3,MATCH(0, _xlfn.IFS("Beer"=TallyDrinkType,COUNTIF($E$4:$E122,TallyBrands3),"Cider"=TallyDrinkType,COUNTIF($E$4:$E122,TallyBrands3)),0))),"")</f>
        <v>Atlas Brewing Company</v>
      </c>
      <c r="F123" s="228">
        <f t="shared" si="10"/>
        <v>4</v>
      </c>
      <c r="G123" s="195">
        <f t="shared" si="7"/>
        <v>0</v>
      </c>
      <c r="H123" s="230">
        <f t="shared" si="8"/>
        <v>6.5</v>
      </c>
      <c r="I123" s="220"/>
    </row>
    <row r="124" spans="2:9" ht="15" x14ac:dyDescent="0.15">
      <c r="B124" s="226" t="str" cm="1">
        <f t="array" ref="B124">IFERROR(IFERROR(IFERROR(INDEX(TallyBrands, MATCH(0, COUNTIF(B$4:$B123, TallyBrands), 0)), INDEX(TallyBrands2, MATCH(0, COUNTIF(B$4:$B123, TallyBrands2), 0))), INDEX(TallyBrands3, MATCH(0, COUNTIF(B$4:$B123, TallyBrands3), 0))),"")</f>
        <v>Crabbie's</v>
      </c>
      <c r="C124" s="113"/>
      <c r="E124" s="186" t="str" cm="1">
        <f t="array" ref="E124">IFERROR(IFERROR(IFERROR(INDEX(TallyBrands,MATCH(0, _xlfn.IFS("Beer"=TallyDrinkType,COUNTIF($E$4:$E123,TallyBrands),"Cider"=TallyDrinkType,COUNTIF($E$4:$E123,TallyBrands)),0)),INDEX(TallyBrands2,MATCH(0, _xlfn.IFS("Beer"=TallyDrinkType,COUNTIF($E$4:$E123,TallyBrands2),"Cider"=TallyDrinkType,COUNTIF($E$4:$E123,TallyBrands2)),0))),INDEX(TallyBrands3,MATCH(0, _xlfn.IFS("Beer"=TallyDrinkType,COUNTIF($E$4:$E123,TallyBrands3),"Cider"=TallyDrinkType,COUNTIF($E$4:$E123,TallyBrands3)),0))),"")</f>
        <v>Kentish</v>
      </c>
      <c r="F124" s="228">
        <f t="shared" si="10"/>
        <v>2</v>
      </c>
      <c r="G124" s="195">
        <f t="shared" si="7"/>
        <v>0</v>
      </c>
      <c r="H124" s="230">
        <f t="shared" si="8"/>
        <v>4.25</v>
      </c>
      <c r="I124" s="220"/>
    </row>
    <row r="125" spans="2:9" ht="15" x14ac:dyDescent="0.15">
      <c r="B125" s="226" t="str" cm="1">
        <f t="array" ref="B125">IFERROR(IFERROR(IFERROR(INDEX(TallyBrands, MATCH(0, COUNTIF(B$4:$B124, TallyBrands), 0)), INDEX(TallyBrands2, MATCH(0, COUNTIF(B$4:$B124, TallyBrands2), 0))), INDEX(TallyBrands3, MATCH(0, COUNTIF(B$4:$B124, TallyBrands3), 0))),"")</f>
        <v>Sierra Nevada</v>
      </c>
      <c r="C125" s="113"/>
      <c r="E125" s="186" t="str" cm="1">
        <f t="array" ref="E125">IFERROR(IFERROR(IFERROR(INDEX(TallyBrands,MATCH(0, _xlfn.IFS("Beer"=TallyDrinkType,COUNTIF($E$4:$E124,TallyBrands),"Cider"=TallyDrinkType,COUNTIF($E$4:$E124,TallyBrands)),0)),INDEX(TallyBrands2,MATCH(0, _xlfn.IFS("Beer"=TallyDrinkType,COUNTIF($E$4:$E124,TallyBrands2),"Cider"=TallyDrinkType,COUNTIF($E$4:$E124,TallyBrands2)),0))),INDEX(TallyBrands3,MATCH(0, _xlfn.IFS("Beer"=TallyDrinkType,COUNTIF($E$4:$E124,TallyBrands3),"Cider"=TallyDrinkType,COUNTIF($E$4:$E124,TallyBrands3)),0))),"")</f>
        <v>Queer Brewing Project</v>
      </c>
      <c r="F125" s="228">
        <f t="shared" si="10"/>
        <v>2</v>
      </c>
      <c r="G125" s="195">
        <f t="shared" si="7"/>
        <v>2</v>
      </c>
      <c r="H125" s="230">
        <f t="shared" si="8"/>
        <v>3.25</v>
      </c>
      <c r="I125" s="220"/>
    </row>
    <row r="126" spans="2:9" ht="15" x14ac:dyDescent="0.15">
      <c r="B126" s="226" t="str" cm="1">
        <f t="array" ref="B126">IFERROR(IFERROR(IFERROR(INDEX(TallyBrands, MATCH(0, COUNTIF(B$4:$B125, TallyBrands), 0)), INDEX(TallyBrands2, MATCH(0, COUNTIF(B$4:$B125, TallyBrands2), 0))), INDEX(TallyBrands3, MATCH(0, COUNTIF(B$4:$B125, TallyBrands3), 0))),"")</f>
        <v>J.J. Whitley</v>
      </c>
      <c r="C126" s="113"/>
      <c r="E126" s="186" t="str" cm="1">
        <f t="array" ref="E126">IFERROR(IFERROR(IFERROR(INDEX(TallyBrands,MATCH(0, _xlfn.IFS("Beer"=TallyDrinkType,COUNTIF($E$4:$E125,TallyBrands),"Cider"=TallyDrinkType,COUNTIF($E$4:$E125,TallyBrands)),0)),INDEX(TallyBrands2,MATCH(0, _xlfn.IFS("Beer"=TallyDrinkType,COUNTIF($E$4:$E125,TallyBrands2),"Cider"=TallyDrinkType,COUNTIF($E$4:$E125,TallyBrands2)),0))),INDEX(TallyBrands3,MATCH(0, _xlfn.IFS("Beer"=TallyDrinkType,COUNTIF($E$4:$E125,TallyBrands3),"Cider"=TallyDrinkType,COUNTIF($E$4:$E125,TallyBrands3)),0))),"")</f>
        <v>Urbanaut</v>
      </c>
      <c r="F126" s="228">
        <f t="shared" si="10"/>
        <v>8</v>
      </c>
      <c r="G126" s="195">
        <f t="shared" si="7"/>
        <v>0</v>
      </c>
      <c r="H126" s="230">
        <f t="shared" si="8"/>
        <v>5.25</v>
      </c>
      <c r="I126" s="220"/>
    </row>
    <row r="127" spans="2:9" ht="15" x14ac:dyDescent="0.15">
      <c r="B127" s="226" t="str" cm="1">
        <f t="array" ref="B127">IFERROR(IFERROR(IFERROR(INDEX(TallyBrands, MATCH(0, COUNTIF(B$4:$B126, TallyBrands), 0)), INDEX(TallyBrands2, MATCH(0, COUNTIF(B$4:$B126, TallyBrands2), 0))), INDEX(TallyBrands3, MATCH(0, COUNTIF(B$4:$B126, TallyBrands3), 0))),"")</f>
        <v>Dunkertons</v>
      </c>
      <c r="C127" s="113"/>
      <c r="E127" s="186" t="str" cm="1">
        <f t="array" ref="E127">IFERROR(IFERROR(IFERROR(INDEX(TallyBrands,MATCH(0, _xlfn.IFS("Beer"=TallyDrinkType,COUNTIF($E$4:$E126,TallyBrands),"Cider"=TallyDrinkType,COUNTIF($E$4:$E126,TallyBrands)),0)),INDEX(TallyBrands2,MATCH(0, _xlfn.IFS("Beer"=TallyDrinkType,COUNTIF($E$4:$E126,TallyBrands2),"Cider"=TallyDrinkType,COUNTIF($E$4:$E126,TallyBrands2)),0))),INDEX(TallyBrands3,MATCH(0, _xlfn.IFS("Beer"=TallyDrinkType,COUNTIF($E$4:$E126,TallyBrands3),"Cider"=TallyDrinkType,COUNTIF($E$4:$E126,TallyBrands3)),0))),"")</f>
        <v>Amundsen Bryggeri</v>
      </c>
      <c r="F127" s="228">
        <f t="shared" si="10"/>
        <v>10</v>
      </c>
      <c r="G127" s="195">
        <f t="shared" si="7"/>
        <v>0</v>
      </c>
      <c r="H127" s="230">
        <f t="shared" si="8"/>
        <v>7.25</v>
      </c>
      <c r="I127" s="220"/>
    </row>
    <row r="128" spans="2:9" ht="15" x14ac:dyDescent="0.15">
      <c r="B128" s="226" t="str" cm="1">
        <f t="array" ref="B128">IFERROR(IFERROR(IFERROR(INDEX(TallyBrands, MATCH(0, COUNTIF(B$4:$B127, TallyBrands), 0)), INDEX(TallyBrands2, MATCH(0, COUNTIF(B$4:$B127, TallyBrands2), 0))), INDEX(TallyBrands3, MATCH(0, COUNTIF(B$4:$B127, TallyBrands3), 0))),"")</f>
        <v>Brew By Numbers</v>
      </c>
      <c r="C128" s="113"/>
      <c r="E128" s="186" t="str" cm="1">
        <f t="array" ref="E128">IFERROR(IFERROR(IFERROR(INDEX(TallyBrands,MATCH(0, _xlfn.IFS("Beer"=TallyDrinkType,COUNTIF($E$4:$E127,TallyBrands),"Cider"=TallyDrinkType,COUNTIF($E$4:$E127,TallyBrands)),0)),INDEX(TallyBrands2,MATCH(0, _xlfn.IFS("Beer"=TallyDrinkType,COUNTIF($E$4:$E127,TallyBrands2),"Cider"=TallyDrinkType,COUNTIF($E$4:$E127,TallyBrands2)),0))),INDEX(TallyBrands3,MATCH(0, _xlfn.IFS("Beer"=TallyDrinkType,COUNTIF($E$4:$E127,TallyBrands3),"Cider"=TallyDrinkType,COUNTIF($E$4:$E127,TallyBrands3)),0))),"")</f>
        <v>The Kernal</v>
      </c>
      <c r="F128" s="228">
        <f t="shared" si="10"/>
        <v>2</v>
      </c>
      <c r="G128" s="195">
        <f t="shared" si="7"/>
        <v>0</v>
      </c>
      <c r="H128" s="230">
        <f t="shared" si="8"/>
        <v>8.5</v>
      </c>
      <c r="I128" s="220"/>
    </row>
    <row r="129" spans="2:9" ht="15" x14ac:dyDescent="0.15">
      <c r="B129" s="226" t="str" cm="1">
        <f t="array" ref="B129">IFERROR(IFERROR(IFERROR(INDEX(TallyBrands, MATCH(0, COUNTIF(B$4:$B128, TallyBrands), 0)), INDEX(TallyBrands2, MATCH(0, COUNTIF(B$4:$B128, TallyBrands2), 0))), INDEX(TallyBrands3, MATCH(0, COUNTIF(B$4:$B128, TallyBrands3), 0))),"")</f>
        <v>Cornish Gold</v>
      </c>
      <c r="C129" s="113"/>
      <c r="E129" s="186" t="str" cm="1">
        <f t="array" ref="E129">IFERROR(IFERROR(IFERROR(INDEX(TallyBrands,MATCH(0, _xlfn.IFS("Beer"=TallyDrinkType,COUNTIF($E$4:$E128,TallyBrands),"Cider"=TallyDrinkType,COUNTIF($E$4:$E128,TallyBrands)),0)),INDEX(TallyBrands2,MATCH(0, _xlfn.IFS("Beer"=TallyDrinkType,COUNTIF($E$4:$E128,TallyBrands2),"Cider"=TallyDrinkType,COUNTIF($E$4:$E128,TallyBrands2)),0))),INDEX(TallyBrands3,MATCH(0, _xlfn.IFS("Beer"=TallyDrinkType,COUNTIF($E$4:$E128,TallyBrands3),"Cider"=TallyDrinkType,COUNTIF($E$4:$E128,TallyBrands3)),0))),"")</f>
        <v>Shepherd Neame</v>
      </c>
      <c r="F129" s="228">
        <f t="shared" si="10"/>
        <v>3</v>
      </c>
      <c r="G129" s="195">
        <f t="shared" si="7"/>
        <v>0</v>
      </c>
      <c r="H129" s="230">
        <f t="shared" si="8"/>
        <v>5.333333333333333</v>
      </c>
      <c r="I129" s="220"/>
    </row>
    <row r="130" spans="2:9" ht="15" x14ac:dyDescent="0.15">
      <c r="B130" s="226" t="str" cm="1">
        <f t="array" ref="B130">IFERROR(IFERROR(IFERROR(INDEX(TallyBrands, MATCH(0, COUNTIF(B$4:$B129, TallyBrands), 0)), INDEX(TallyBrands2, MATCH(0, COUNTIF(B$4:$B129, TallyBrands2), 0))), INDEX(TallyBrands3, MATCH(0, COUNTIF(B$4:$B129, TallyBrands3), 0))),"")</f>
        <v>Bombardier</v>
      </c>
      <c r="C130" s="113"/>
      <c r="E130" s="186" t="str" cm="1">
        <f t="array" ref="E130">IFERROR(IFERROR(IFERROR(INDEX(TallyBrands,MATCH(0, _xlfn.IFS("Beer"=TallyDrinkType,COUNTIF($E$4:$E129,TallyBrands),"Cider"=TallyDrinkType,COUNTIF($E$4:$E129,TallyBrands)),0)),INDEX(TallyBrands2,MATCH(0, _xlfn.IFS("Beer"=TallyDrinkType,COUNTIF($E$4:$E129,TallyBrands2),"Cider"=TallyDrinkType,COUNTIF($E$4:$E129,TallyBrands2)),0))),INDEX(TallyBrands3,MATCH(0, _xlfn.IFS("Beer"=TallyDrinkType,COUNTIF($E$4:$E129,TallyBrands3),"Cider"=TallyDrinkType,COUNTIF($E$4:$E129,TallyBrands3)),0))),"")</f>
        <v>Rooster Brewing Co.</v>
      </c>
      <c r="F130" s="228">
        <f t="shared" si="10"/>
        <v>1</v>
      </c>
      <c r="G130" s="195">
        <f t="shared" si="7"/>
        <v>0</v>
      </c>
      <c r="H130" s="230">
        <f t="shared" si="8"/>
        <v>4.5</v>
      </c>
      <c r="I130" s="220"/>
    </row>
    <row r="131" spans="2:9" ht="15" x14ac:dyDescent="0.15">
      <c r="B131" s="226" t="str" cm="1">
        <f t="array" ref="B131">IFERROR(IFERROR(IFERROR(INDEX(TallyBrands, MATCH(0, COUNTIF(B$4:$B130, TallyBrands), 0)), INDEX(TallyBrands2, MATCH(0, COUNTIF(B$4:$B130, TallyBrands2), 0))), INDEX(TallyBrands3, MATCH(0, COUNTIF(B$4:$B130, TallyBrands3), 0))),"")</f>
        <v>Blueshack Beers - Chelmsford Brewing Co</v>
      </c>
      <c r="C131" s="113"/>
      <c r="E131" s="186" t="str" cm="1">
        <f t="array" ref="E131">IFERROR(IFERROR(IFERROR(INDEX(TallyBrands,MATCH(0, _xlfn.IFS("Beer"=TallyDrinkType,COUNTIF($E$4:$E130,TallyBrands),"Cider"=TallyDrinkType,COUNTIF($E$4:$E130,TallyBrands)),0)),INDEX(TallyBrands2,MATCH(0, _xlfn.IFS("Beer"=TallyDrinkType,COUNTIF($E$4:$E130,TallyBrands2),"Cider"=TallyDrinkType,COUNTIF($E$4:$E130,TallyBrands2)),0))),INDEX(TallyBrands3,MATCH(0, _xlfn.IFS("Beer"=TallyDrinkType,COUNTIF($E$4:$E130,TallyBrands3),"Cider"=TallyDrinkType,COUNTIF($E$4:$E130,TallyBrands3)),0))),"")</f>
        <v>Marks &amp; Spencer</v>
      </c>
      <c r="F131" s="228">
        <f t="shared" si="10"/>
        <v>3</v>
      </c>
      <c r="G131" s="195">
        <f t="shared" si="7"/>
        <v>2</v>
      </c>
      <c r="H131" s="230">
        <f t="shared" si="8"/>
        <v>5.666666666666667</v>
      </c>
      <c r="I131" s="220"/>
    </row>
    <row r="132" spans="2:9" ht="15" x14ac:dyDescent="0.15">
      <c r="B132" s="226" t="str" cm="1">
        <f t="array" ref="B132">IFERROR(IFERROR(IFERROR(INDEX(TallyBrands, MATCH(0, COUNTIF(B$4:$B131, TallyBrands), 0)), INDEX(TallyBrands2, MATCH(0, COUNTIF(B$4:$B131, TallyBrands2), 0))), INDEX(TallyBrands3, MATCH(0, COUNTIF(B$4:$B131, TallyBrands3), 0))),"")</f>
        <v>ASDA Extra Special</v>
      </c>
      <c r="C132" s="113"/>
      <c r="E132" s="186" t="str" cm="1">
        <f t="array" ref="E132">IFERROR(IFERROR(IFERROR(INDEX(TallyBrands,MATCH(0, _xlfn.IFS("Beer"=TallyDrinkType,COUNTIF($E$4:$E131,TallyBrands),"Cider"=TallyDrinkType,COUNTIF($E$4:$E131,TallyBrands)),0)),INDEX(TallyBrands2,MATCH(0, _xlfn.IFS("Beer"=TallyDrinkType,COUNTIF($E$4:$E131,TallyBrands2),"Cider"=TallyDrinkType,COUNTIF($E$4:$E131,TallyBrands2)),0))),INDEX(TallyBrands3,MATCH(0, _xlfn.IFS("Beer"=TallyDrinkType,COUNTIF($E$4:$E131,TallyBrands3),"Cider"=TallyDrinkType,COUNTIF($E$4:$E131,TallyBrands3)),0))),"")</f>
        <v>Tsingtao</v>
      </c>
      <c r="F132" s="228">
        <f t="shared" si="10"/>
        <v>1</v>
      </c>
      <c r="G132" s="195">
        <f t="shared" si="7"/>
        <v>0</v>
      </c>
      <c r="H132" s="230">
        <f t="shared" si="8"/>
        <v>8</v>
      </c>
      <c r="I132" s="220"/>
    </row>
    <row r="133" spans="2:9" ht="15" x14ac:dyDescent="0.15">
      <c r="B133" s="226" t="str" cm="1">
        <f t="array" ref="B133">IFERROR(IFERROR(IFERROR(INDEX(TallyBrands, MATCH(0, COUNTIF(B$4:$B132, TallyBrands), 0)), INDEX(TallyBrands2, MATCH(0, COUNTIF(B$4:$B132, TallyBrands2), 0))), INDEX(TallyBrands3, MATCH(0, COUNTIF(B$4:$B132, TallyBrands3), 0))),"")</f>
        <v>Jose Cuervo</v>
      </c>
      <c r="C133" s="113"/>
      <c r="E133" s="186" t="str" cm="1">
        <f t="array" ref="E133">IFERROR(IFERROR(IFERROR(INDEX(TallyBrands,MATCH(0, _xlfn.IFS("Beer"=TallyDrinkType,COUNTIF($E$4:$E132,TallyBrands),"Cider"=TallyDrinkType,COUNTIF($E$4:$E132,TallyBrands)),0)),INDEX(TallyBrands2,MATCH(0, _xlfn.IFS("Beer"=TallyDrinkType,COUNTIF($E$4:$E132,TallyBrands2),"Cider"=TallyDrinkType,COUNTIF($E$4:$E132,TallyBrands2)),0))),INDEX(TallyBrands3,MATCH(0, _xlfn.IFS("Beer"=TallyDrinkType,COUNTIF($E$4:$E132,TallyBrands3),"Cider"=TallyDrinkType,COUNTIF($E$4:$E132,TallyBrands3)),0))),"")</f>
        <v>Peroni</v>
      </c>
      <c r="F133" s="228">
        <f t="shared" si="10"/>
        <v>2</v>
      </c>
      <c r="G133" s="195">
        <f t="shared" ref="G133:G196" si="11">COUNTIFS(TallyBrands,$E133,TallyBrands2,"&lt;&gt;")+COUNTIFS(TallyBrands2,$E133,TallyBrands,"&lt;&gt;")+COUNTIFS(TallyBrands3,$E133,TallyBrands2,"&lt;&gt;",TallyBrands,"&lt;&gt;")</f>
        <v>0</v>
      </c>
      <c r="H133" s="230">
        <f t="shared" ref="H133:H196" si="12">(SUMIFS(TallyScore,TallyBrands,$E133,TallyDrinkType,"Beer")+SUMIFS(TallyScore,TallyBrands,$E133,TallyDrinkType,"Cider")+SUMIFS(TallyScore,TallyBrands2,$E133,TallyDrinkType,"Beer")+SUMIFS(TallyScore,TallyBrands2,$E133,TallyDrinkType,"Cider")+SUMIFS(TallyScore,TallyBrands3,$E133,TallyDrinkType,"Beer")+SUMIFS(TallyScore,TallyBrands3,$E133,TallyDrinkType,"Cider"))/$F133</f>
        <v>6.25</v>
      </c>
      <c r="I133" s="220"/>
    </row>
    <row r="134" spans="2:9" ht="15" x14ac:dyDescent="0.15">
      <c r="B134" s="226" t="str" cm="1">
        <f t="array" ref="B134">IFERROR(IFERROR(IFERROR(INDEX(TallyBrands, MATCH(0, COUNTIF(B$4:$B133, TallyBrands), 0)), INDEX(TallyBrands2, MATCH(0, COUNTIF(B$4:$B133, TallyBrands2), 0))), INDEX(TallyBrands3, MATCH(0, COUNTIF(B$4:$B133, TallyBrands3), 0))),"")</f>
        <v>Calvors</v>
      </c>
      <c r="C134" s="113"/>
      <c r="E134" s="186" t="str" cm="1">
        <f t="array" ref="E134">IFERROR(IFERROR(IFERROR(INDEX(TallyBrands,MATCH(0, _xlfn.IFS("Beer"=TallyDrinkType,COUNTIF($E$4:$E133,TallyBrands),"Cider"=TallyDrinkType,COUNTIF($E$4:$E133,TallyBrands)),0)),INDEX(TallyBrands2,MATCH(0, _xlfn.IFS("Beer"=TallyDrinkType,COUNTIF($E$4:$E133,TallyBrands2),"Cider"=TallyDrinkType,COUNTIF($E$4:$E133,TallyBrands2)),0))),INDEX(TallyBrands3,MATCH(0, _xlfn.IFS("Beer"=TallyDrinkType,COUNTIF($E$4:$E133,TallyBrands3),"Cider"=TallyDrinkType,COUNTIF($E$4:$E133,TallyBrands3)),0))),"")</f>
        <v>Radeberger</v>
      </c>
      <c r="F134" s="228">
        <f t="shared" si="10"/>
        <v>3</v>
      </c>
      <c r="G134" s="195">
        <f t="shared" si="11"/>
        <v>0</v>
      </c>
      <c r="H134" s="230">
        <f t="shared" si="12"/>
        <v>4.166666666666667</v>
      </c>
      <c r="I134" s="220"/>
    </row>
    <row r="135" spans="2:9" ht="15" x14ac:dyDescent="0.15">
      <c r="B135" s="226" t="str" cm="1">
        <f t="array" ref="B135">IFERROR(IFERROR(IFERROR(INDEX(TallyBrands, MATCH(0, COUNTIF(B$4:$B134, TallyBrands), 0)), INDEX(TallyBrands2, MATCH(0, COUNTIF(B$4:$B134, TallyBrands2), 0))), INDEX(TallyBrands3, MATCH(0, COUNTIF(B$4:$B134, TallyBrands3), 0))),"")</f>
        <v>Pedigree</v>
      </c>
      <c r="C135" s="113"/>
      <c r="E135" s="186" t="str" cm="1">
        <f t="array" ref="E135">IFERROR(IFERROR(IFERROR(INDEX(TallyBrands,MATCH(0, _xlfn.IFS("Beer"=TallyDrinkType,COUNTIF($E$4:$E134,TallyBrands),"Cider"=TallyDrinkType,COUNTIF($E$4:$E134,TallyBrands)),0)),INDEX(TallyBrands2,MATCH(0, _xlfn.IFS("Beer"=TallyDrinkType,COUNTIF($E$4:$E134,TallyBrands2),"Cider"=TallyDrinkType,COUNTIF($E$4:$E134,TallyBrands2)),0))),INDEX(TallyBrands3,MATCH(0, _xlfn.IFS("Beer"=TallyDrinkType,COUNTIF($E$4:$E134,TallyBrands3),"Cider"=TallyDrinkType,COUNTIF($E$4:$E134,TallyBrands3)),0))),"")</f>
        <v>Weird Beard</v>
      </c>
      <c r="F135" s="228">
        <f t="shared" si="10"/>
        <v>1</v>
      </c>
      <c r="G135" s="195">
        <f t="shared" si="11"/>
        <v>0</v>
      </c>
      <c r="H135" s="230">
        <f t="shared" si="12"/>
        <v>7</v>
      </c>
      <c r="I135" s="220"/>
    </row>
    <row r="136" spans="2:9" ht="15" x14ac:dyDescent="0.15">
      <c r="B136" s="226" t="str" cm="1">
        <f t="array" ref="B136">IFERROR(IFERROR(IFERROR(INDEX(TallyBrands, MATCH(0, COUNTIF(B$4:$B135, TallyBrands), 0)), INDEX(TallyBrands2, MATCH(0, COUNTIF(B$4:$B135, TallyBrands2), 0))), INDEX(TallyBrands3, MATCH(0, COUNTIF(B$4:$B135, TallyBrands3), 0))),"")</f>
        <v>Hackney</v>
      </c>
      <c r="C136" s="113"/>
      <c r="E136" s="186" t="str" cm="1">
        <f t="array" ref="E136">IFERROR(IFERROR(IFERROR(INDEX(TallyBrands,MATCH(0, _xlfn.IFS("Beer"=TallyDrinkType,COUNTIF($E$4:$E135,TallyBrands),"Cider"=TallyDrinkType,COUNTIF($E$4:$E135,TallyBrands)),0)),INDEX(TallyBrands2,MATCH(0, _xlfn.IFS("Beer"=TallyDrinkType,COUNTIF($E$4:$E135,TallyBrands2),"Cider"=TallyDrinkType,COUNTIF($E$4:$E135,TallyBrands2)),0))),INDEX(TallyBrands3,MATCH(0, _xlfn.IFS("Beer"=TallyDrinkType,COUNTIF($E$4:$E135,TallyBrands3),"Cider"=TallyDrinkType,COUNTIF($E$4:$E135,TallyBrands3)),0))),"")</f>
        <v>Gipsy Hill</v>
      </c>
      <c r="F136" s="228">
        <f t="shared" si="10"/>
        <v>4</v>
      </c>
      <c r="G136" s="195">
        <f t="shared" si="11"/>
        <v>2</v>
      </c>
      <c r="H136" s="230">
        <f t="shared" si="12"/>
        <v>5.625</v>
      </c>
      <c r="I136" s="220"/>
    </row>
    <row r="137" spans="2:9" ht="15" x14ac:dyDescent="0.15">
      <c r="B137" s="226" t="str" cm="1">
        <f t="array" ref="B137">IFERROR(IFERROR(IFERROR(INDEX(TallyBrands, MATCH(0, COUNTIF(B$4:$B136, TallyBrands), 0)), INDEX(TallyBrands2, MATCH(0, COUNTIF(B$4:$B136, TallyBrands2), 0))), INDEX(TallyBrands3, MATCH(0, COUNTIF(B$4:$B136, TallyBrands3), 0))),"")</f>
        <v>Mount Gay</v>
      </c>
      <c r="C137" s="113"/>
      <c r="E137" s="186" t="str" cm="1">
        <f t="array" ref="E137">IFERROR(IFERROR(IFERROR(INDEX(TallyBrands,MATCH(0, _xlfn.IFS("Beer"=TallyDrinkType,COUNTIF($E$4:$E136,TallyBrands),"Cider"=TallyDrinkType,COUNTIF($E$4:$E136,TallyBrands)),0)),INDEX(TallyBrands2,MATCH(0, _xlfn.IFS("Beer"=TallyDrinkType,COUNTIF($E$4:$E136,TallyBrands2),"Cider"=TallyDrinkType,COUNTIF($E$4:$E136,TallyBrands2)),0))),INDEX(TallyBrands3,MATCH(0, _xlfn.IFS("Beer"=TallyDrinkType,COUNTIF($E$4:$E136,TallyBrands3),"Cider"=TallyDrinkType,COUNTIF($E$4:$E136,TallyBrands3)),0))),"")</f>
        <v>Sainsburys</v>
      </c>
      <c r="F137" s="228">
        <f t="shared" si="10"/>
        <v>1</v>
      </c>
      <c r="G137" s="195">
        <f t="shared" si="11"/>
        <v>0</v>
      </c>
      <c r="H137" s="230">
        <f t="shared" si="12"/>
        <v>7.5</v>
      </c>
      <c r="I137" s="220"/>
    </row>
    <row r="138" spans="2:9" ht="15" x14ac:dyDescent="0.15">
      <c r="B138" s="226" t="str" cm="1">
        <f t="array" ref="B138">IFERROR(IFERROR(IFERROR(INDEX(TallyBrands, MATCH(0, COUNTIF(B$4:$B137, TallyBrands), 0)), INDEX(TallyBrands2, MATCH(0, COUNTIF(B$4:$B137, TallyBrands2), 0))), INDEX(TallyBrands3, MATCH(0, COUNTIF(B$4:$B137, TallyBrands3), 0))),"")</f>
        <v>Chateau Ste. Michelle</v>
      </c>
      <c r="C138" s="113"/>
      <c r="E138" s="186" t="str" cm="1">
        <f t="array" ref="E138">IFERROR(IFERROR(IFERROR(INDEX(TallyBrands,MATCH(0, _xlfn.IFS("Beer"=TallyDrinkType,COUNTIF($E$4:$E137,TallyBrands),"Cider"=TallyDrinkType,COUNTIF($E$4:$E137,TallyBrands)),0)),INDEX(TallyBrands2,MATCH(0, _xlfn.IFS("Beer"=TallyDrinkType,COUNTIF($E$4:$E137,TallyBrands2),"Cider"=TallyDrinkType,COUNTIF($E$4:$E137,TallyBrands2)),0))),INDEX(TallyBrands3,MATCH(0, _xlfn.IFS("Beer"=TallyDrinkType,COUNTIF($E$4:$E137,TallyBrands3),"Cider"=TallyDrinkType,COUNTIF($E$4:$E137,TallyBrands3)),0))),"")</f>
        <v>Atom</v>
      </c>
      <c r="F138" s="228">
        <f t="shared" si="10"/>
        <v>2</v>
      </c>
      <c r="G138" s="195">
        <f t="shared" si="11"/>
        <v>0</v>
      </c>
      <c r="H138" s="230">
        <f t="shared" si="12"/>
        <v>4.5</v>
      </c>
      <c r="I138" s="220"/>
    </row>
    <row r="139" spans="2:9" ht="15" x14ac:dyDescent="0.15">
      <c r="B139" s="226" t="str" cm="1">
        <f t="array" ref="B139">IFERROR(IFERROR(IFERROR(INDEX(TallyBrands, MATCH(0, COUNTIF(B$4:$B138, TallyBrands), 0)), INDEX(TallyBrands2, MATCH(0, COUNTIF(B$4:$B138, TallyBrands2), 0))), INDEX(TallyBrands3, MATCH(0, COUNTIF(B$4:$B138, TallyBrands3), 0))),"")</f>
        <v>Bulmers</v>
      </c>
      <c r="C139" s="113"/>
      <c r="E139" s="186" t="str" cm="1">
        <f t="array" ref="E139">IFERROR(IFERROR(IFERROR(INDEX(TallyBrands,MATCH(0, _xlfn.IFS("Beer"=TallyDrinkType,COUNTIF($E$4:$E138,TallyBrands),"Cider"=TallyDrinkType,COUNTIF($E$4:$E138,TallyBrands)),0)),INDEX(TallyBrands2,MATCH(0, _xlfn.IFS("Beer"=TallyDrinkType,COUNTIF($E$4:$E138,TallyBrands2),"Cider"=TallyDrinkType,COUNTIF($E$4:$E138,TallyBrands2)),0))),INDEX(TallyBrands3,MATCH(0, _xlfn.IFS("Beer"=TallyDrinkType,COUNTIF($E$4:$E138,TallyBrands3),"Cider"=TallyDrinkType,COUNTIF($E$4:$E138,TallyBrands3)),0))),"")</f>
        <v>Harviestoun Brewery</v>
      </c>
      <c r="F139" s="228">
        <f t="shared" si="10"/>
        <v>3</v>
      </c>
      <c r="G139" s="195">
        <f t="shared" si="11"/>
        <v>0</v>
      </c>
      <c r="H139" s="230">
        <f t="shared" si="12"/>
        <v>6.5</v>
      </c>
      <c r="I139" s="220"/>
    </row>
    <row r="140" spans="2:9" ht="15" x14ac:dyDescent="0.15">
      <c r="B140" s="226" t="str" cm="1">
        <f t="array" ref="B140">IFERROR(IFERROR(IFERROR(INDEX(TallyBrands, MATCH(0, COUNTIF(B$4:$B139, TallyBrands), 0)), INDEX(TallyBrands2, MATCH(0, COUNTIF(B$4:$B139, TallyBrands2), 0))), INDEX(TallyBrands3, MATCH(0, COUNTIF(B$4:$B139, TallyBrands3), 0))),"")</f>
        <v>Ringwood Brewery</v>
      </c>
      <c r="C140" s="113"/>
      <c r="E140" s="186" t="str" cm="1">
        <f t="array" ref="E140">IFERROR(IFERROR(IFERROR(INDEX(TallyBrands,MATCH(0, _xlfn.IFS("Beer"=TallyDrinkType,COUNTIF($E$4:$E139,TallyBrands),"Cider"=TallyDrinkType,COUNTIF($E$4:$E139,TallyBrands)),0)),INDEX(TallyBrands2,MATCH(0, _xlfn.IFS("Beer"=TallyDrinkType,COUNTIF($E$4:$E139,TallyBrands2),"Cider"=TallyDrinkType,COUNTIF($E$4:$E139,TallyBrands2)),0))),INDEX(TallyBrands3,MATCH(0, _xlfn.IFS("Beer"=TallyDrinkType,COUNTIF($E$4:$E139,TallyBrands3),"Cider"=TallyDrinkType,COUNTIF($E$4:$E139,TallyBrands3)),0))),"")</f>
        <v>Harbour Brewing Company</v>
      </c>
      <c r="F140" s="228">
        <f t="shared" si="10"/>
        <v>1</v>
      </c>
      <c r="G140" s="195">
        <f t="shared" si="11"/>
        <v>0</v>
      </c>
      <c r="H140" s="230">
        <f t="shared" si="12"/>
        <v>4</v>
      </c>
      <c r="I140" s="220"/>
    </row>
    <row r="141" spans="2:9" ht="15" x14ac:dyDescent="0.15">
      <c r="B141" s="226" t="str" cm="1">
        <f t="array" ref="B141">IFERROR(IFERROR(IFERROR(INDEX(TallyBrands, MATCH(0, COUNTIF(B$4:$B140, TallyBrands), 0)), INDEX(TallyBrands2, MATCH(0, COUNTIF(B$4:$B140, TallyBrands2), 0))), INDEX(TallyBrands3, MATCH(0, COUNTIF(B$4:$B140, TallyBrands3), 0))),"")</f>
        <v>Lervig</v>
      </c>
      <c r="C141" s="113"/>
      <c r="E141" s="186" t="str" cm="1">
        <f t="array" ref="E141">IFERROR(IFERROR(IFERROR(INDEX(TallyBrands,MATCH(0, _xlfn.IFS("Beer"=TallyDrinkType,COUNTIF($E$4:$E140,TallyBrands),"Cider"=TallyDrinkType,COUNTIF($E$4:$E140,TallyBrands)),0)),INDEX(TallyBrands2,MATCH(0, _xlfn.IFS("Beer"=TallyDrinkType,COUNTIF($E$4:$E140,TallyBrands2),"Cider"=TallyDrinkType,COUNTIF($E$4:$E140,TallyBrands2)),0))),INDEX(TallyBrands3,MATCH(0, _xlfn.IFS("Beer"=TallyDrinkType,COUNTIF($E$4:$E140,TallyBrands3),"Cider"=TallyDrinkType,COUNTIF($E$4:$E140,TallyBrands3)),0))),"")</f>
        <v>Coop</v>
      </c>
      <c r="F141" s="228">
        <f t="shared" si="10"/>
        <v>1</v>
      </c>
      <c r="G141" s="195">
        <f t="shared" si="11"/>
        <v>0</v>
      </c>
      <c r="H141" s="230">
        <f t="shared" si="12"/>
        <v>6</v>
      </c>
      <c r="I141" s="220"/>
    </row>
    <row r="142" spans="2:9" ht="15" x14ac:dyDescent="0.15">
      <c r="B142" s="226" t="str" cm="1">
        <f t="array" ref="B142">IFERROR(IFERROR(IFERROR(INDEX(TallyBrands, MATCH(0, COUNTIF(B$4:$B141, TallyBrands), 0)), INDEX(TallyBrands2, MATCH(0, COUNTIF(B$4:$B141, TallyBrands2), 0))), INDEX(TallyBrands3, MATCH(0, COUNTIF(B$4:$B141, TallyBrands3), 0))),"")</f>
        <v>Drygate Brewing Co.</v>
      </c>
      <c r="C142" s="113"/>
      <c r="E142" s="186" t="str" cm="1">
        <f t="array" ref="E142">IFERROR(IFERROR(IFERROR(INDEX(TallyBrands,MATCH(0, _xlfn.IFS("Beer"=TallyDrinkType,COUNTIF($E$4:$E141,TallyBrands),"Cider"=TallyDrinkType,COUNTIF($E$4:$E141,TallyBrands)),0)),INDEX(TallyBrands2,MATCH(0, _xlfn.IFS("Beer"=TallyDrinkType,COUNTIF($E$4:$E141,TallyBrands2),"Cider"=TallyDrinkType,COUNTIF($E$4:$E141,TallyBrands2)),0))),INDEX(TallyBrands3,MATCH(0, _xlfn.IFS("Beer"=TallyDrinkType,COUNTIF($E$4:$E141,TallyBrands3),"Cider"=TallyDrinkType,COUNTIF($E$4:$E141,TallyBrands3)),0))),"")</f>
        <v>Wimbledon</v>
      </c>
      <c r="F142" s="228">
        <f t="shared" si="10"/>
        <v>3</v>
      </c>
      <c r="G142" s="195">
        <f t="shared" si="11"/>
        <v>0</v>
      </c>
      <c r="H142" s="230">
        <f t="shared" si="12"/>
        <v>6.666666666666667</v>
      </c>
      <c r="I142" s="220"/>
    </row>
    <row r="143" spans="2:9" ht="15" x14ac:dyDescent="0.15">
      <c r="B143" s="226" t="str" cm="1">
        <f t="array" ref="B143">IFERROR(IFERROR(IFERROR(INDEX(TallyBrands, MATCH(0, COUNTIF(B$4:$B142, TallyBrands), 0)), INDEX(TallyBrands2, MATCH(0, COUNTIF(B$4:$B142, TallyBrands2), 0))), INDEX(TallyBrands3, MATCH(0, COUNTIF(B$4:$B142, TallyBrands3), 0))),"")</f>
        <v>Red Leg</v>
      </c>
      <c r="C143" s="113"/>
      <c r="E143" s="186" t="str" cm="1">
        <f t="array" ref="E143">IFERROR(IFERROR(IFERROR(INDEX(TallyBrands,MATCH(0, _xlfn.IFS("Beer"=TallyDrinkType,COUNTIF($E$4:$E142,TallyBrands),"Cider"=TallyDrinkType,COUNTIF($E$4:$E142,TallyBrands)),0)),INDEX(TallyBrands2,MATCH(0, _xlfn.IFS("Beer"=TallyDrinkType,COUNTIF($E$4:$E142,TallyBrands2),"Cider"=TallyDrinkType,COUNTIF($E$4:$E142,TallyBrands2)),0))),INDEX(TallyBrands3,MATCH(0, _xlfn.IFS("Beer"=TallyDrinkType,COUNTIF($E$4:$E142,TallyBrands3),"Cider"=TallyDrinkType,COUNTIF($E$4:$E142,TallyBrands3)),0))),"")</f>
        <v>Rekorderlig</v>
      </c>
      <c r="F143" s="228">
        <f t="shared" ref="F143:F174" si="13">COUNTIFS(TallyBrands, $E143,TallyDrinkType, "Beer") + COUNTIFS(TallyBrands,$E143,TallyDrinkType, "Cider")+COUNTIFS(TallyBrands2, $E143,TallyDrinkType, "Beer") + COUNTIFS(TallyBrands2,$E143,TallyDrinkType, "Cider")+COUNTIFS(TallyBrands3, $E143,TallyDrinkType, "Beer") + COUNTIFS(TallyBrands3,$E143,TallyDrinkType, "Cider")</f>
        <v>4</v>
      </c>
      <c r="G143" s="195">
        <f t="shared" si="11"/>
        <v>0</v>
      </c>
      <c r="H143" s="230">
        <f t="shared" si="12"/>
        <v>7.375</v>
      </c>
      <c r="I143" s="220"/>
    </row>
    <row r="144" spans="2:9" ht="15" x14ac:dyDescent="0.15">
      <c r="B144" s="226" t="str" cm="1">
        <f t="array" ref="B144">IFERROR(IFERROR(IFERROR(INDEX(TallyBrands, MATCH(0, COUNTIF(B$4:$B143, TallyBrands), 0)), INDEX(TallyBrands2, MATCH(0, COUNTIF(B$4:$B143, TallyBrands2), 0))), INDEX(TallyBrands3, MATCH(0, COUNTIF(B$4:$B143, TallyBrands3), 0))),"")</f>
        <v>Vibrant Forest</v>
      </c>
      <c r="C144" s="113"/>
      <c r="E144" s="186" t="str" cm="1">
        <f t="array" ref="E144">IFERROR(IFERROR(IFERROR(INDEX(TallyBrands,MATCH(0, _xlfn.IFS("Beer"=TallyDrinkType,COUNTIF($E$4:$E143,TallyBrands),"Cider"=TallyDrinkType,COUNTIF($E$4:$E143,TallyBrands)),0)),INDEX(TallyBrands2,MATCH(0, _xlfn.IFS("Beer"=TallyDrinkType,COUNTIF($E$4:$E143,TallyBrands2),"Cider"=TallyDrinkType,COUNTIF($E$4:$E143,TallyBrands2)),0))),INDEX(TallyBrands3,MATCH(0, _xlfn.IFS("Beer"=TallyDrinkType,COUNTIF($E$4:$E143,TallyBrands3),"Cider"=TallyDrinkType,COUNTIF($E$4:$E143,TallyBrands3)),0))),"")</f>
        <v>Vocation</v>
      </c>
      <c r="F144" s="228">
        <f t="shared" si="13"/>
        <v>5</v>
      </c>
      <c r="G144" s="195">
        <f t="shared" si="11"/>
        <v>0</v>
      </c>
      <c r="H144" s="230">
        <f t="shared" si="12"/>
        <v>6.6</v>
      </c>
      <c r="I144" s="220"/>
    </row>
    <row r="145" spans="2:9" ht="15" x14ac:dyDescent="0.15">
      <c r="B145" s="226" t="str" cm="1">
        <f t="array" ref="B145">IFERROR(IFERROR(IFERROR(INDEX(TallyBrands, MATCH(0, COUNTIF(B$4:$B144, TallyBrands), 0)), INDEX(TallyBrands2, MATCH(0, COUNTIF(B$4:$B144, TallyBrands2), 0))), INDEX(TallyBrands3, MATCH(0, COUNTIF(B$4:$B144, TallyBrands3), 0))),"")</f>
        <v>New Belgium Brewing Company</v>
      </c>
      <c r="C145" s="113"/>
      <c r="E145" s="186" t="str" cm="1">
        <f t="array" ref="E145">IFERROR(IFERROR(IFERROR(INDEX(TallyBrands,MATCH(0, _xlfn.IFS("Beer"=TallyDrinkType,COUNTIF($E$4:$E144,TallyBrands),"Cider"=TallyDrinkType,COUNTIF($E$4:$E144,TallyBrands)),0)),INDEX(TallyBrands2,MATCH(0, _xlfn.IFS("Beer"=TallyDrinkType,COUNTIF($E$4:$E144,TallyBrands2),"Cider"=TallyDrinkType,COUNTIF($E$4:$E144,TallyBrands2)),0))),INDEX(TallyBrands3,MATCH(0, _xlfn.IFS("Beer"=TallyDrinkType,COUNTIF($E$4:$E144,TallyBrands3),"Cider"=TallyDrinkType,COUNTIF($E$4:$E144,TallyBrands3)),0))),"")</f>
        <v>Amstel</v>
      </c>
      <c r="F145" s="228">
        <f t="shared" si="13"/>
        <v>1</v>
      </c>
      <c r="G145" s="195">
        <f t="shared" si="11"/>
        <v>0</v>
      </c>
      <c r="H145" s="230">
        <f t="shared" si="12"/>
        <v>4</v>
      </c>
      <c r="I145" s="220"/>
    </row>
    <row r="146" spans="2:9" ht="15" x14ac:dyDescent="0.15">
      <c r="B146" s="226" t="str" cm="1">
        <f t="array" ref="B146">IFERROR(IFERROR(IFERROR(INDEX(TallyBrands, MATCH(0, COUNTIF(B$4:$B145, TallyBrands), 0)), INDEX(TallyBrands2, MATCH(0, COUNTIF(B$4:$B145, TallyBrands2), 0))), INDEX(TallyBrands3, MATCH(0, COUNTIF(B$4:$B145, TallyBrands3), 0))),"")</f>
        <v>Gwynt y Ddraig</v>
      </c>
      <c r="C146" s="113"/>
      <c r="E146" s="186" t="str" cm="1">
        <f t="array" ref="E146">IFERROR(IFERROR(IFERROR(INDEX(TallyBrands,MATCH(0, _xlfn.IFS("Beer"=TallyDrinkType,COUNTIF($E$4:$E145,TallyBrands),"Cider"=TallyDrinkType,COUNTIF($E$4:$E145,TallyBrands)),0)),INDEX(TallyBrands2,MATCH(0, _xlfn.IFS("Beer"=TallyDrinkType,COUNTIF($E$4:$E145,TallyBrands2),"Cider"=TallyDrinkType,COUNTIF($E$4:$E145,TallyBrands2)),0))),INDEX(TallyBrands3,MATCH(0, _xlfn.IFS("Beer"=TallyDrinkType,COUNTIF($E$4:$E145,TallyBrands3),"Cider"=TallyDrinkType,COUNTIF($E$4:$E145,TallyBrands3)),0))),"")</f>
        <v>Earth Station</v>
      </c>
      <c r="F146" s="228">
        <f t="shared" si="13"/>
        <v>1</v>
      </c>
      <c r="G146" s="195">
        <f t="shared" si="11"/>
        <v>0</v>
      </c>
      <c r="H146" s="230">
        <f t="shared" si="12"/>
        <v>5.5</v>
      </c>
      <c r="I146" s="220"/>
    </row>
    <row r="147" spans="2:9" ht="15" x14ac:dyDescent="0.15">
      <c r="B147" s="226" t="str" cm="1">
        <f t="array" ref="B147">IFERROR(IFERROR(IFERROR(INDEX(TallyBrands, MATCH(0, COUNTIF(B$4:$B146, TallyBrands), 0)), INDEX(TallyBrands2, MATCH(0, COUNTIF(B$4:$B146, TallyBrands2), 0))), INDEX(TallyBrands3, MATCH(0, COUNTIF(B$4:$B146, TallyBrands3), 0))),"")</f>
        <v>Wychwood</v>
      </c>
      <c r="C147" s="113"/>
      <c r="E147" s="186" t="str" cm="1">
        <f t="array" ref="E147">IFERROR(IFERROR(IFERROR(INDEX(TallyBrands,MATCH(0, _xlfn.IFS("Beer"=TallyDrinkType,COUNTIF($E$4:$E146,TallyBrands),"Cider"=TallyDrinkType,COUNTIF($E$4:$E146,TallyBrands)),0)),INDEX(TallyBrands2,MATCH(0, _xlfn.IFS("Beer"=TallyDrinkType,COUNTIF($E$4:$E146,TallyBrands2),"Cider"=TallyDrinkType,COUNTIF($E$4:$E146,TallyBrands2)),0))),INDEX(TallyBrands3,MATCH(0, _xlfn.IFS("Beer"=TallyDrinkType,COUNTIF($E$4:$E146,TallyBrands3),"Cider"=TallyDrinkType,COUNTIF($E$4:$E146,TallyBrands3)),0))),"")</f>
        <v>People Like Us</v>
      </c>
      <c r="F147" s="228">
        <f t="shared" si="13"/>
        <v>1</v>
      </c>
      <c r="G147" s="195">
        <f t="shared" si="11"/>
        <v>0</v>
      </c>
      <c r="H147" s="230">
        <f t="shared" si="12"/>
        <v>3</v>
      </c>
      <c r="I147" s="220"/>
    </row>
    <row r="148" spans="2:9" ht="15" x14ac:dyDescent="0.15">
      <c r="B148" s="226" t="str" cm="1">
        <f t="array" ref="B148">IFERROR(IFERROR(IFERROR(INDEX(TallyBrands, MATCH(0, COUNTIF(B$4:$B147, TallyBrands), 0)), INDEX(TallyBrands2, MATCH(0, COUNTIF(B$4:$B147, TallyBrands2), 0))), INDEX(TallyBrands3, MATCH(0, COUNTIF(B$4:$B147, TallyBrands3), 0))),"")</f>
        <v>Duration</v>
      </c>
      <c r="C148" s="113"/>
      <c r="E148" s="186" t="str" cm="1">
        <f t="array" ref="E148">IFERROR(IFERROR(IFERROR(INDEX(TallyBrands,MATCH(0, _xlfn.IFS("Beer"=TallyDrinkType,COUNTIF($E$4:$E147,TallyBrands),"Cider"=TallyDrinkType,COUNTIF($E$4:$E147,TallyBrands)),0)),INDEX(TallyBrands2,MATCH(0, _xlfn.IFS("Beer"=TallyDrinkType,COUNTIF($E$4:$E147,TallyBrands2),"Cider"=TallyDrinkType,COUNTIF($E$4:$E147,TallyBrands2)),0))),INDEX(TallyBrands3,MATCH(0, _xlfn.IFS("Beer"=TallyDrinkType,COUNTIF($E$4:$E147,TallyBrands3),"Cider"=TallyDrinkType,COUNTIF($E$4:$E147,TallyBrands3)),0))),"")</f>
        <v>Franziskaner</v>
      </c>
      <c r="F148" s="228">
        <f t="shared" si="13"/>
        <v>2</v>
      </c>
      <c r="G148" s="195">
        <f t="shared" si="11"/>
        <v>0</v>
      </c>
      <c r="H148" s="230">
        <f t="shared" si="12"/>
        <v>5.75</v>
      </c>
      <c r="I148" s="220"/>
    </row>
    <row r="149" spans="2:9" ht="15" x14ac:dyDescent="0.15">
      <c r="B149" s="226" t="str" cm="1">
        <f t="array" ref="B149">IFERROR(IFERROR(IFERROR(INDEX(TallyBrands, MATCH(0, COUNTIF(B$4:$B148, TallyBrands), 0)), INDEX(TallyBrands2, MATCH(0, COUNTIF(B$4:$B148, TallyBrands2), 0))), INDEX(TallyBrands3, MATCH(0, COUNTIF(B$4:$B148, TallyBrands3), 0))),"")</f>
        <v>Coors</v>
      </c>
      <c r="C149" s="113"/>
      <c r="E149" s="186" t="str" cm="1">
        <f t="array" ref="E149">IFERROR(IFERROR(IFERROR(INDEX(TallyBrands,MATCH(0, _xlfn.IFS("Beer"=TallyDrinkType,COUNTIF($E$4:$E148,TallyBrands),"Cider"=TallyDrinkType,COUNTIF($E$4:$E148,TallyBrands)),0)),INDEX(TallyBrands2,MATCH(0, _xlfn.IFS("Beer"=TallyDrinkType,COUNTIF($E$4:$E148,TallyBrands2),"Cider"=TallyDrinkType,COUNTIF($E$4:$E148,TallyBrands2)),0))),INDEX(TallyBrands3,MATCH(0, _xlfn.IFS("Beer"=TallyDrinkType,COUNTIF($E$4:$E148,TallyBrands3),"Cider"=TallyDrinkType,COUNTIF($E$4:$E148,TallyBrands3)),0))),"")</f>
        <v>TrimTab Brewing</v>
      </c>
      <c r="F149" s="228">
        <f t="shared" si="13"/>
        <v>1</v>
      </c>
      <c r="G149" s="195">
        <f t="shared" si="11"/>
        <v>0</v>
      </c>
      <c r="H149" s="230">
        <f t="shared" si="12"/>
        <v>5</v>
      </c>
      <c r="I149" s="220"/>
    </row>
    <row r="150" spans="2:9" ht="15" x14ac:dyDescent="0.15">
      <c r="B150" s="226" t="str" cm="1">
        <f t="array" ref="B150">IFERROR(IFERROR(IFERROR(INDEX(TallyBrands, MATCH(0, COUNTIF(B$4:$B149, TallyBrands), 0)), INDEX(TallyBrands2, MATCH(0, COUNTIF(B$4:$B149, TallyBrands2), 0))), INDEX(TallyBrands3, MATCH(0, COUNTIF(B$4:$B149, TallyBrands3), 0))),"")</f>
        <v>Kirk and Sweeney</v>
      </c>
      <c r="C150" s="113"/>
      <c r="E150" s="186" t="str" cm="1">
        <f t="array" ref="E150">IFERROR(IFERROR(IFERROR(INDEX(TallyBrands,MATCH(0, _xlfn.IFS("Beer"=TallyDrinkType,COUNTIF($E$4:$E149,TallyBrands),"Cider"=TallyDrinkType,COUNTIF($E$4:$E149,TallyBrands)),0)),INDEX(TallyBrands2,MATCH(0, _xlfn.IFS("Beer"=TallyDrinkType,COUNTIF($E$4:$E149,TallyBrands2),"Cider"=TallyDrinkType,COUNTIF($E$4:$E149,TallyBrands2)),0))),INDEX(TallyBrands3,MATCH(0, _xlfn.IFS("Beer"=TallyDrinkType,COUNTIF($E$4:$E149,TallyBrands3),"Cider"=TallyDrinkType,COUNTIF($E$4:$E149,TallyBrands3)),0))),"")</f>
        <v>BRLO</v>
      </c>
      <c r="F150" s="228">
        <f t="shared" si="13"/>
        <v>2</v>
      </c>
      <c r="G150" s="195">
        <f t="shared" si="11"/>
        <v>0</v>
      </c>
      <c r="H150" s="230">
        <f t="shared" si="12"/>
        <v>2.25</v>
      </c>
      <c r="I150" s="220"/>
    </row>
    <row r="151" spans="2:9" ht="15" x14ac:dyDescent="0.15">
      <c r="B151" s="226" t="str" cm="1">
        <f t="array" ref="B151">IFERROR(IFERROR(IFERROR(INDEX(TallyBrands, MATCH(0, COUNTIF(B$4:$B150, TallyBrands), 0)), INDEX(TallyBrands2, MATCH(0, COUNTIF(B$4:$B150, TallyBrands2), 0))), INDEX(TallyBrands3, MATCH(0, COUNTIF(B$4:$B150, TallyBrands3), 0))),"")</f>
        <v>Malibu</v>
      </c>
      <c r="C151" s="113"/>
      <c r="E151" s="186" t="str" cm="1">
        <f t="array" ref="E151">IFERROR(IFERROR(IFERROR(INDEX(TallyBrands,MATCH(0, _xlfn.IFS("Beer"=TallyDrinkType,COUNTIF($E$4:$E150,TallyBrands),"Cider"=TallyDrinkType,COUNTIF($E$4:$E150,TallyBrands)),0)),INDEX(TallyBrands2,MATCH(0, _xlfn.IFS("Beer"=TallyDrinkType,COUNTIF($E$4:$E150,TallyBrands2),"Cider"=TallyDrinkType,COUNTIF($E$4:$E150,TallyBrands2)),0))),INDEX(TallyBrands3,MATCH(0, _xlfn.IFS("Beer"=TallyDrinkType,COUNTIF($E$4:$E150,TallyBrands3),"Cider"=TallyDrinkType,COUNTIF($E$4:$E150,TallyBrands3)),0))),"")</f>
        <v>Belhaven</v>
      </c>
      <c r="F151" s="228">
        <f t="shared" si="13"/>
        <v>2</v>
      </c>
      <c r="G151" s="195">
        <f t="shared" si="11"/>
        <v>0</v>
      </c>
      <c r="H151" s="230">
        <f t="shared" si="12"/>
        <v>5</v>
      </c>
      <c r="I151" s="220"/>
    </row>
    <row r="152" spans="2:9" ht="15" x14ac:dyDescent="0.15">
      <c r="B152" s="226" t="str" cm="1">
        <f t="array" ref="B152">IFERROR(IFERROR(IFERROR(INDEX(TallyBrands, MATCH(0, COUNTIF(B$4:$B151, TallyBrands), 0)), INDEX(TallyBrands2, MATCH(0, COUNTIF(B$4:$B151, TallyBrands2), 0))), INDEX(TallyBrands3, MATCH(0, COUNTIF(B$4:$B151, TallyBrands3), 0))),"")</f>
        <v>Sheppy's</v>
      </c>
      <c r="C152" s="113"/>
      <c r="E152" s="186" t="str" cm="1">
        <f t="array" ref="E152">IFERROR(IFERROR(IFERROR(INDEX(TallyBrands,MATCH(0, _xlfn.IFS("Beer"=TallyDrinkType,COUNTIF($E$4:$E151,TallyBrands),"Cider"=TallyDrinkType,COUNTIF($E$4:$E151,TallyBrands)),0)),INDEX(TallyBrands2,MATCH(0, _xlfn.IFS("Beer"=TallyDrinkType,COUNTIF($E$4:$E151,TallyBrands2),"Cider"=TallyDrinkType,COUNTIF($E$4:$E151,TallyBrands2)),0))),INDEX(TallyBrands3,MATCH(0, _xlfn.IFS("Beer"=TallyDrinkType,COUNTIF($E$4:$E151,TallyBrands3),"Cider"=TallyDrinkType,COUNTIF($E$4:$E151,TallyBrands3)),0))),"")</f>
        <v>Mortimer's Orchard</v>
      </c>
      <c r="F152" s="228">
        <f t="shared" si="13"/>
        <v>4</v>
      </c>
      <c r="G152" s="195">
        <f t="shared" si="11"/>
        <v>0</v>
      </c>
      <c r="H152" s="230">
        <f t="shared" si="12"/>
        <v>6.625</v>
      </c>
      <c r="I152" s="220"/>
    </row>
    <row r="153" spans="2:9" ht="15" x14ac:dyDescent="0.15">
      <c r="B153" s="226" t="str" cm="1">
        <f t="array" ref="B153">IFERROR(IFERROR(IFERROR(INDEX(TallyBrands, MATCH(0, COUNTIF(B$4:$B152, TallyBrands), 0)), INDEX(TallyBrands2, MATCH(0, COUNTIF(B$4:$B152, TallyBrands2), 0))), INDEX(TallyBrands3, MATCH(0, COUNTIF(B$4:$B152, TallyBrands3), 0))),"")</f>
        <v>Modelo</v>
      </c>
      <c r="C153" s="113"/>
      <c r="E153" s="186" t="str" cm="1">
        <f t="array" ref="E153">IFERROR(IFERROR(IFERROR(INDEX(TallyBrands,MATCH(0, _xlfn.IFS("Beer"=TallyDrinkType,COUNTIF($E$4:$E152,TallyBrands),"Cider"=TallyDrinkType,COUNTIF($E$4:$E152,TallyBrands)),0)),INDEX(TallyBrands2,MATCH(0, _xlfn.IFS("Beer"=TallyDrinkType,COUNTIF($E$4:$E152,TallyBrands2),"Cider"=TallyDrinkType,COUNTIF($E$4:$E152,TallyBrands2)),0))),INDEX(TallyBrands3,MATCH(0, _xlfn.IFS("Beer"=TallyDrinkType,COUNTIF($E$4:$E152,TallyBrands3),"Cider"=TallyDrinkType,COUNTIF($E$4:$E152,TallyBrands3)),0))),"")</f>
        <v>By The Horns Brewing Co.</v>
      </c>
      <c r="F153" s="228">
        <f t="shared" si="13"/>
        <v>14</v>
      </c>
      <c r="G153" s="195">
        <f t="shared" si="11"/>
        <v>3</v>
      </c>
      <c r="H153" s="230">
        <f t="shared" si="12"/>
        <v>5.8928571428571432</v>
      </c>
      <c r="I153" s="220"/>
    </row>
    <row r="154" spans="2:9" ht="15" x14ac:dyDescent="0.15">
      <c r="B154" s="226" t="str" cm="1">
        <f t="array" ref="B154">IFERROR(IFERROR(IFERROR(INDEX(TallyBrands, MATCH(0, COUNTIF(B$4:$B153, TallyBrands), 0)), INDEX(TallyBrands2, MATCH(0, COUNTIF(B$4:$B153, TallyBrands2), 0))), INDEX(TallyBrands3, MATCH(0, COUNTIF(B$4:$B153, TallyBrands3), 0))),"")</f>
        <v>The Garden Brewery</v>
      </c>
      <c r="C154" s="113"/>
      <c r="E154" s="186" t="str" cm="1">
        <f t="array" ref="E154">IFERROR(IFERROR(IFERROR(INDEX(TallyBrands,MATCH(0, _xlfn.IFS("Beer"=TallyDrinkType,COUNTIF($E$4:$E153,TallyBrands),"Cider"=TallyDrinkType,COUNTIF($E$4:$E153,TallyBrands)),0)),INDEX(TallyBrands2,MATCH(0, _xlfn.IFS("Beer"=TallyDrinkType,COUNTIF($E$4:$E153,TallyBrands2),"Cider"=TallyDrinkType,COUNTIF($E$4:$E153,TallyBrands2)),0))),INDEX(TallyBrands3,MATCH(0, _xlfn.IFS("Beer"=TallyDrinkType,COUNTIF($E$4:$E153,TallyBrands3),"Cider"=TallyDrinkType,COUNTIF($E$4:$E153,TallyBrands3)),0))),"")</f>
        <v>Courage</v>
      </c>
      <c r="F154" s="228">
        <f t="shared" si="13"/>
        <v>1</v>
      </c>
      <c r="G154" s="195">
        <f t="shared" si="11"/>
        <v>0</v>
      </c>
      <c r="H154" s="230">
        <f t="shared" si="12"/>
        <v>4</v>
      </c>
      <c r="I154" s="220"/>
    </row>
    <row r="155" spans="2:9" ht="15" x14ac:dyDescent="0.15">
      <c r="B155" s="226" t="str" cm="1">
        <f t="array" ref="B155">IFERROR(IFERROR(IFERROR(INDEX(TallyBrands, MATCH(0, COUNTIF(B$4:$B154, TallyBrands), 0)), INDEX(TallyBrands2, MATCH(0, COUNTIF(B$4:$B154, TallyBrands2), 0))), INDEX(TallyBrands3, MATCH(0, COUNTIF(B$4:$B154, TallyBrands3), 0))),"")</f>
        <v>Little Creatures</v>
      </c>
      <c r="C155" s="113"/>
      <c r="E155" s="186" t="str" cm="1">
        <f t="array" ref="E155">IFERROR(IFERROR(IFERROR(INDEX(TallyBrands,MATCH(0, _xlfn.IFS("Beer"=TallyDrinkType,COUNTIF($E$4:$E154,TallyBrands),"Cider"=TallyDrinkType,COUNTIF($E$4:$E154,TallyBrands)),0)),INDEX(TallyBrands2,MATCH(0, _xlfn.IFS("Beer"=TallyDrinkType,COUNTIF($E$4:$E154,TallyBrands2),"Cider"=TallyDrinkType,COUNTIF($E$4:$E154,TallyBrands2)),0))),INDEX(TallyBrands3,MATCH(0, _xlfn.IFS("Beer"=TallyDrinkType,COUNTIF($E$4:$E154,TallyBrands3),"Cider"=TallyDrinkType,COUNTIF($E$4:$E154,TallyBrands3)),0))),"")</f>
        <v>Wild Card Brewery</v>
      </c>
      <c r="F155" s="228">
        <f t="shared" si="13"/>
        <v>3</v>
      </c>
      <c r="G155" s="195">
        <f t="shared" si="11"/>
        <v>0</v>
      </c>
      <c r="H155" s="230">
        <f t="shared" si="12"/>
        <v>5.5</v>
      </c>
      <c r="I155" s="220"/>
    </row>
    <row r="156" spans="2:9" ht="15" x14ac:dyDescent="0.15">
      <c r="B156" s="226" t="str" cm="1">
        <f t="array" ref="B156">IFERROR(IFERROR(IFERROR(INDEX(TallyBrands, MATCH(0, COUNTIF(B$4:$B155, TallyBrands), 0)), INDEX(TallyBrands2, MATCH(0, COUNTIF(B$4:$B155, TallyBrands2), 0))), INDEX(TallyBrands3, MATCH(0, COUNTIF(B$4:$B155, TallyBrands3), 0))),"")</f>
        <v>Robinsons</v>
      </c>
      <c r="C156" s="113"/>
      <c r="E156" s="186" t="str" cm="1">
        <f t="array" ref="E156">IFERROR(IFERROR(IFERROR(INDEX(TallyBrands,MATCH(0, _xlfn.IFS("Beer"=TallyDrinkType,COUNTIF($E$4:$E155,TallyBrands),"Cider"=TallyDrinkType,COUNTIF($E$4:$E155,TallyBrands)),0)),INDEX(TallyBrands2,MATCH(0, _xlfn.IFS("Beer"=TallyDrinkType,COUNTIF($E$4:$E155,TallyBrands2),"Cider"=TallyDrinkType,COUNTIF($E$4:$E155,TallyBrands2)),0))),INDEX(TallyBrands3,MATCH(0, _xlfn.IFS("Beer"=TallyDrinkType,COUNTIF($E$4:$E155,TallyBrands3),"Cider"=TallyDrinkType,COUNTIF($E$4:$E155,TallyBrands3)),0))),"")</f>
        <v>Kirkstall Brewery</v>
      </c>
      <c r="F156" s="228">
        <f t="shared" si="13"/>
        <v>1</v>
      </c>
      <c r="G156" s="195">
        <f t="shared" si="11"/>
        <v>0</v>
      </c>
      <c r="H156" s="230">
        <f t="shared" si="12"/>
        <v>5.5</v>
      </c>
      <c r="I156" s="220"/>
    </row>
    <row r="157" spans="2:9" ht="15" x14ac:dyDescent="0.15">
      <c r="B157" s="226" t="str" cm="1">
        <f t="array" ref="B157">IFERROR(IFERROR(IFERROR(INDEX(TallyBrands, MATCH(0, COUNTIF(B$4:$B156, TallyBrands), 0)), INDEX(TallyBrands2, MATCH(0, COUNTIF(B$4:$B156, TallyBrands2), 0))), INDEX(TallyBrands3, MATCH(0, COUNTIF(B$4:$B156, TallyBrands3), 0))),"")</f>
        <v>Store Bought</v>
      </c>
      <c r="C157" s="113"/>
      <c r="E157" s="186" t="str" cm="1">
        <f t="array" ref="E157">IFERROR(IFERROR(IFERROR(INDEX(TallyBrands,MATCH(0, _xlfn.IFS("Beer"=TallyDrinkType,COUNTIF($E$4:$E156,TallyBrands),"Cider"=TallyDrinkType,COUNTIF($E$4:$E156,TallyBrands)),0)),INDEX(TallyBrands2,MATCH(0, _xlfn.IFS("Beer"=TallyDrinkType,COUNTIF($E$4:$E156,TallyBrands2),"Cider"=TallyDrinkType,COUNTIF($E$4:$E156,TallyBrands2)),0))),INDEX(TallyBrands3,MATCH(0, _xlfn.IFS("Beer"=TallyDrinkType,COUNTIF($E$4:$E156,TallyBrands3),"Cider"=TallyDrinkType,COUNTIF($E$4:$E156,TallyBrands3)),0))),"")</f>
        <v>Stormtrooper</v>
      </c>
      <c r="F157" s="228">
        <f t="shared" si="13"/>
        <v>1</v>
      </c>
      <c r="G157" s="195">
        <f t="shared" si="11"/>
        <v>0</v>
      </c>
      <c r="H157" s="230">
        <f t="shared" si="12"/>
        <v>5</v>
      </c>
      <c r="I157" s="220"/>
    </row>
    <row r="158" spans="2:9" ht="15" x14ac:dyDescent="0.15">
      <c r="B158" s="226" t="str" cm="1">
        <f t="array" ref="B158">IFERROR(IFERROR(IFERROR(INDEX(TallyBrands, MATCH(0, COUNTIF(B$4:$B157, TallyBrands), 0)), INDEX(TallyBrands2, MATCH(0, COUNTIF(B$4:$B157, TallyBrands2), 0))), INDEX(TallyBrands3, MATCH(0, COUNTIF(B$4:$B157, TallyBrands3), 0))),"")</f>
        <v>The Pogues</v>
      </c>
      <c r="C158" s="113"/>
      <c r="E158" s="186" t="str" cm="1">
        <f t="array" ref="E158">IFERROR(IFERROR(IFERROR(INDEX(TallyBrands,MATCH(0, _xlfn.IFS("Beer"=TallyDrinkType,COUNTIF($E$4:$E157,TallyBrands),"Cider"=TallyDrinkType,COUNTIF($E$4:$E157,TallyBrands)),0)),INDEX(TallyBrands2,MATCH(0, _xlfn.IFS("Beer"=TallyDrinkType,COUNTIF($E$4:$E157,TallyBrands2),"Cider"=TallyDrinkType,COUNTIF($E$4:$E157,TallyBrands2)),0))),INDEX(TallyBrands3,MATCH(0, _xlfn.IFS("Beer"=TallyDrinkType,COUNTIF($E$4:$E157,TallyBrands3),"Cider"=TallyDrinkType,COUNTIF($E$4:$E157,TallyBrands3)),0))),"")</f>
        <v>Pistonhead</v>
      </c>
      <c r="F158" s="228">
        <f t="shared" si="13"/>
        <v>5</v>
      </c>
      <c r="G158" s="195">
        <f t="shared" si="11"/>
        <v>0</v>
      </c>
      <c r="H158" s="230">
        <f t="shared" si="12"/>
        <v>6.9</v>
      </c>
      <c r="I158" s="220"/>
    </row>
    <row r="159" spans="2:9" ht="15" x14ac:dyDescent="0.15">
      <c r="B159" s="226" t="str" cm="1">
        <f t="array" ref="B159">IFERROR(IFERROR(IFERROR(INDEX(TallyBrands, MATCH(0, COUNTIF(B$4:$B158, TallyBrands), 0)), INDEX(TallyBrands2, MATCH(0, COUNTIF(B$4:$B158, TallyBrands2), 0))), INDEX(TallyBrands3, MATCH(0, COUNTIF(B$4:$B158, TallyBrands3), 0))),"")</f>
        <v>Taylor's</v>
      </c>
      <c r="C159" s="113"/>
      <c r="E159" s="186" t="str" cm="1">
        <f t="array" ref="E159">IFERROR(IFERROR(IFERROR(INDEX(TallyBrands,MATCH(0, _xlfn.IFS("Beer"=TallyDrinkType,COUNTIF($E$4:$E158,TallyBrands),"Cider"=TallyDrinkType,COUNTIF($E$4:$E158,TallyBrands)),0)),INDEX(TallyBrands2,MATCH(0, _xlfn.IFS("Beer"=TallyDrinkType,COUNTIF($E$4:$E158,TallyBrands2),"Cider"=TallyDrinkType,COUNTIF($E$4:$E158,TallyBrands2)),0))),INDEX(TallyBrands3,MATCH(0, _xlfn.IFS("Beer"=TallyDrinkType,COUNTIF($E$4:$E158,TallyBrands3),"Cider"=TallyDrinkType,COUNTIF($E$4:$E158,TallyBrands3)),0))),"")</f>
        <v>Hogs Back</v>
      </c>
      <c r="F159" s="228">
        <f t="shared" si="13"/>
        <v>4</v>
      </c>
      <c r="G159" s="195">
        <f t="shared" si="11"/>
        <v>0</v>
      </c>
      <c r="H159" s="230">
        <f t="shared" si="12"/>
        <v>4</v>
      </c>
      <c r="I159" s="220"/>
    </row>
    <row r="160" spans="2:9" ht="15" x14ac:dyDescent="0.15">
      <c r="B160" s="226" t="str" cm="1">
        <f t="array" ref="B160">IFERROR(IFERROR(IFERROR(INDEX(TallyBrands, MATCH(0, COUNTIF(B$4:$B159, TallyBrands), 0)), INDEX(TallyBrands2, MATCH(0, COUNTIF(B$4:$B159, TallyBrands2), 0))), INDEX(TallyBrands3, MATCH(0, COUNTIF(B$4:$B159, TallyBrands3), 0))),"")</f>
        <v>St Austell</v>
      </c>
      <c r="C160" s="113"/>
      <c r="E160" s="186" t="str" cm="1">
        <f t="array" ref="E160">IFERROR(IFERROR(IFERROR(INDEX(TallyBrands,MATCH(0, _xlfn.IFS("Beer"=TallyDrinkType,COUNTIF($E$4:$E159,TallyBrands),"Cider"=TallyDrinkType,COUNTIF($E$4:$E159,TallyBrands)),0)),INDEX(TallyBrands2,MATCH(0, _xlfn.IFS("Beer"=TallyDrinkType,COUNTIF($E$4:$E159,TallyBrands2),"Cider"=TallyDrinkType,COUNTIF($E$4:$E159,TallyBrands2)),0))),INDEX(TallyBrands3,MATCH(0, _xlfn.IFS("Beer"=TallyDrinkType,COUNTIF($E$4:$E159,TallyBrands3),"Cider"=TallyDrinkType,COUNTIF($E$4:$E159,TallyBrands3)),0))),"")</f>
        <v>Adroit Theory</v>
      </c>
      <c r="F160" s="228">
        <f t="shared" si="13"/>
        <v>2</v>
      </c>
      <c r="G160" s="195">
        <f t="shared" si="11"/>
        <v>1</v>
      </c>
      <c r="H160" s="230">
        <f t="shared" si="12"/>
        <v>7</v>
      </c>
      <c r="I160" s="220"/>
    </row>
    <row r="161" spans="2:9" ht="15" x14ac:dyDescent="0.15">
      <c r="B161" s="226" t="str" cm="1">
        <f t="array" ref="B161">IFERROR(IFERROR(IFERROR(INDEX(TallyBrands, MATCH(0, COUNTIF(B$4:$B160, TallyBrands), 0)), INDEX(TallyBrands2, MATCH(0, COUNTIF(B$4:$B160, TallyBrands2), 0))), INDEX(TallyBrands3, MATCH(0, COUNTIF(B$4:$B160, TallyBrands3), 0))),"")</f>
        <v>The Oxford Artisan Distillery</v>
      </c>
      <c r="C161" s="113"/>
      <c r="E161" s="186" t="str" cm="1">
        <f t="array" ref="E161">IFERROR(IFERROR(IFERROR(INDEX(TallyBrands,MATCH(0, _xlfn.IFS("Beer"=TallyDrinkType,COUNTIF($E$4:$E160,TallyBrands),"Cider"=TallyDrinkType,COUNTIF($E$4:$E160,TallyBrands)),0)),INDEX(TallyBrands2,MATCH(0, _xlfn.IFS("Beer"=TallyDrinkType,COUNTIF($E$4:$E160,TallyBrands2),"Cider"=TallyDrinkType,COUNTIF($E$4:$E160,TallyBrands2)),0))),INDEX(TallyBrands3,MATCH(0, _xlfn.IFS("Beer"=TallyDrinkType,COUNTIF($E$4:$E160,TallyBrands3),"Cider"=TallyDrinkType,COUNTIF($E$4:$E160,TallyBrands3)),0))),"")</f>
        <v>Hoegaarden</v>
      </c>
      <c r="F161" s="228">
        <f t="shared" si="13"/>
        <v>4</v>
      </c>
      <c r="G161" s="195">
        <f t="shared" si="11"/>
        <v>0</v>
      </c>
      <c r="H161" s="230">
        <f t="shared" si="12"/>
        <v>7.375</v>
      </c>
      <c r="I161" s="220"/>
    </row>
    <row r="162" spans="2:9" ht="15" x14ac:dyDescent="0.15">
      <c r="B162" s="226" t="str" cm="1">
        <f t="array" ref="B162">IFERROR(IFERROR(IFERROR(INDEX(TallyBrands, MATCH(0, COUNTIF(B$4:$B161, TallyBrands), 0)), INDEX(TallyBrands2, MATCH(0, COUNTIF(B$4:$B161, TallyBrands2), 0))), INDEX(TallyBrands3, MATCH(0, COUNTIF(B$4:$B161, TallyBrands3), 0))),"")</f>
        <v>Eden Mill</v>
      </c>
      <c r="C162" s="113"/>
      <c r="E162" s="186" t="str" cm="1">
        <f t="array" ref="E162">IFERROR(IFERROR(IFERROR(INDEX(TallyBrands,MATCH(0, _xlfn.IFS("Beer"=TallyDrinkType,COUNTIF($E$4:$E161,TallyBrands),"Cider"=TallyDrinkType,COUNTIF($E$4:$E161,TallyBrands)),0)),INDEX(TallyBrands2,MATCH(0, _xlfn.IFS("Beer"=TallyDrinkType,COUNTIF($E$4:$E161,TallyBrands2),"Cider"=TallyDrinkType,COUNTIF($E$4:$E161,TallyBrands2)),0))),INDEX(TallyBrands3,MATCH(0, _xlfn.IFS("Beer"=TallyDrinkType,COUNTIF($E$4:$E161,TallyBrands3),"Cider"=TallyDrinkType,COUNTIF($E$4:$E161,TallyBrands3)),0))),"")</f>
        <v>Singha</v>
      </c>
      <c r="F162" s="228">
        <f t="shared" si="13"/>
        <v>1</v>
      </c>
      <c r="G162" s="195">
        <f t="shared" si="11"/>
        <v>0</v>
      </c>
      <c r="H162" s="230">
        <f t="shared" si="12"/>
        <v>5.5</v>
      </c>
      <c r="I162" s="220"/>
    </row>
    <row r="163" spans="2:9" ht="15" x14ac:dyDescent="0.15">
      <c r="B163" s="226" t="str" cm="1">
        <f t="array" ref="B163">IFERROR(IFERROR(IFERROR(INDEX(TallyBrands, MATCH(0, COUNTIF(B$4:$B162, TallyBrands), 0)), INDEX(TallyBrands2, MATCH(0, COUNTIF(B$4:$B162, TallyBrands2), 0))), INDEX(TallyBrands3, MATCH(0, COUNTIF(B$4:$B162, TallyBrands3), 0))),"")</f>
        <v>Isle of Jura</v>
      </c>
      <c r="C163" s="113"/>
      <c r="E163" s="186" t="str" cm="1">
        <f t="array" ref="E163">IFERROR(IFERROR(IFERROR(INDEX(TallyBrands,MATCH(0, _xlfn.IFS("Beer"=TallyDrinkType,COUNTIF($E$4:$E162,TallyBrands),"Cider"=TallyDrinkType,COUNTIF($E$4:$E162,TallyBrands)),0)),INDEX(TallyBrands2,MATCH(0, _xlfn.IFS("Beer"=TallyDrinkType,COUNTIF($E$4:$E162,TallyBrands2),"Cider"=TallyDrinkType,COUNTIF($E$4:$E162,TallyBrands2)),0))),INDEX(TallyBrands3,MATCH(0, _xlfn.IFS("Beer"=TallyDrinkType,COUNTIF($E$4:$E162,TallyBrands3),"Cider"=TallyDrinkType,COUNTIF($E$4:$E162,TallyBrands3)),0))),"")</f>
        <v>Adnams Southwold</v>
      </c>
      <c r="F163" s="228">
        <f t="shared" si="13"/>
        <v>3</v>
      </c>
      <c r="G163" s="195">
        <f t="shared" si="11"/>
        <v>0</v>
      </c>
      <c r="H163" s="230">
        <f t="shared" si="12"/>
        <v>5.833333333333333</v>
      </c>
      <c r="I163" s="220"/>
    </row>
    <row r="164" spans="2:9" ht="15" x14ac:dyDescent="0.15">
      <c r="B164" s="226" t="str" cm="1">
        <f t="array" ref="B164">IFERROR(IFERROR(IFERROR(INDEX(TallyBrands, MATCH(0, COUNTIF(B$4:$B163, TallyBrands), 0)), INDEX(TallyBrands2, MATCH(0, COUNTIF(B$4:$B163, TallyBrands2), 0))), INDEX(TallyBrands3, MATCH(0, COUNTIF(B$4:$B163, TallyBrands3), 0))),"")</f>
        <v>Theakston</v>
      </c>
      <c r="C164" s="113"/>
      <c r="E164" s="186" t="str" cm="1">
        <f t="array" ref="E164">IFERROR(IFERROR(IFERROR(INDEX(TallyBrands,MATCH(0, _xlfn.IFS("Beer"=TallyDrinkType,COUNTIF($E$4:$E163,TallyBrands),"Cider"=TallyDrinkType,COUNTIF($E$4:$E163,TallyBrands)),0)),INDEX(TallyBrands2,MATCH(0, _xlfn.IFS("Beer"=TallyDrinkType,COUNTIF($E$4:$E163,TallyBrands2),"Cider"=TallyDrinkType,COUNTIF($E$4:$E163,TallyBrands2)),0))),INDEX(TallyBrands3,MATCH(0, _xlfn.IFS("Beer"=TallyDrinkType,COUNTIF($E$4:$E163,TallyBrands3),"Cider"=TallyDrinkType,COUNTIF($E$4:$E163,TallyBrands3)),0))),"")</f>
        <v>Tiger</v>
      </c>
      <c r="F164" s="228">
        <f t="shared" si="13"/>
        <v>2</v>
      </c>
      <c r="G164" s="195">
        <f t="shared" si="11"/>
        <v>0</v>
      </c>
      <c r="H164" s="230">
        <f t="shared" si="12"/>
        <v>6</v>
      </c>
      <c r="I164" s="220"/>
    </row>
    <row r="165" spans="2:9" ht="15" x14ac:dyDescent="0.15">
      <c r="B165" s="226" t="str" cm="1">
        <f t="array" ref="B165">IFERROR(IFERROR(IFERROR(INDEX(TallyBrands, MATCH(0, COUNTIF(B$4:$B164, TallyBrands), 0)), INDEX(TallyBrands2, MATCH(0, COUNTIF(B$4:$B164, TallyBrands2), 0))), INDEX(TallyBrands3, MATCH(0, COUNTIF(B$4:$B164, TallyBrands3), 0))),"")</f>
        <v>Purity Brewing</v>
      </c>
      <c r="C165" s="113"/>
      <c r="E165" s="186" t="str" cm="1">
        <f t="array" ref="E165">IFERROR(IFERROR(IFERROR(INDEX(TallyBrands,MATCH(0, _xlfn.IFS("Beer"=TallyDrinkType,COUNTIF($E$4:$E164,TallyBrands),"Cider"=TallyDrinkType,COUNTIF($E$4:$E164,TallyBrands)),0)),INDEX(TallyBrands2,MATCH(0, _xlfn.IFS("Beer"=TallyDrinkType,COUNTIF($E$4:$E164,TallyBrands2),"Cider"=TallyDrinkType,COUNTIF($E$4:$E164,TallyBrands2)),0))),INDEX(TallyBrands3,MATCH(0, _xlfn.IFS("Beer"=TallyDrinkType,COUNTIF($E$4:$E164,TallyBrands3),"Cider"=TallyDrinkType,COUNTIF($E$4:$E164,TallyBrands3)),0))),"")</f>
        <v>Gun Brewery</v>
      </c>
      <c r="F165" s="228">
        <f t="shared" si="13"/>
        <v>1</v>
      </c>
      <c r="G165" s="195">
        <f t="shared" si="11"/>
        <v>0</v>
      </c>
      <c r="H165" s="230">
        <f t="shared" si="12"/>
        <v>6</v>
      </c>
      <c r="I165" s="220"/>
    </row>
    <row r="166" spans="2:9" ht="15" x14ac:dyDescent="0.15">
      <c r="B166" s="226" t="str" cm="1">
        <f t="array" ref="B166">IFERROR(IFERROR(IFERROR(INDEX(TallyBrands, MATCH(0, COUNTIF(B$4:$B165, TallyBrands), 0)), INDEX(TallyBrands2, MATCH(0, COUNTIF(B$4:$B165, TallyBrands2), 0))), INDEX(TallyBrands3, MATCH(0, COUNTIF(B$4:$B165, TallyBrands3), 0))),"")</f>
        <v>Cornish Orchards</v>
      </c>
      <c r="C166" s="113"/>
      <c r="E166" s="186" t="str" cm="1">
        <f t="array" ref="E166">IFERROR(IFERROR(IFERROR(INDEX(TallyBrands,MATCH(0, _xlfn.IFS("Beer"=TallyDrinkType,COUNTIF($E$4:$E165,TallyBrands),"Cider"=TallyDrinkType,COUNTIF($E$4:$E165,TallyBrands)),0)),INDEX(TallyBrands2,MATCH(0, _xlfn.IFS("Beer"=TallyDrinkType,COUNTIF($E$4:$E165,TallyBrands2),"Cider"=TallyDrinkType,COUNTIF($E$4:$E165,TallyBrands2)),0))),INDEX(TallyBrands3,MATCH(0, _xlfn.IFS("Beer"=TallyDrinkType,COUNTIF($E$4:$E165,TallyBrands3),"Cider"=TallyDrinkType,COUNTIF($E$4:$E165,TallyBrands3)),0))),"")</f>
        <v>Club Colombia</v>
      </c>
      <c r="F166" s="228">
        <f t="shared" si="13"/>
        <v>1</v>
      </c>
      <c r="G166" s="195">
        <f t="shared" si="11"/>
        <v>0</v>
      </c>
      <c r="H166" s="230">
        <f t="shared" si="12"/>
        <v>10</v>
      </c>
      <c r="I166" s="220"/>
    </row>
    <row r="167" spans="2:9" ht="15" x14ac:dyDescent="0.15">
      <c r="B167" s="226" t="str" cm="1">
        <f t="array" ref="B167">IFERROR(IFERROR(IFERROR(INDEX(TallyBrands, MATCH(0, COUNTIF(B$4:$B166, TallyBrands), 0)), INDEX(TallyBrands2, MATCH(0, COUNTIF(B$4:$B166, TallyBrands2), 0))), INDEX(TallyBrands3, MATCH(0, COUNTIF(B$4:$B166, TallyBrands3), 0))),"")</f>
        <v>Plymouth</v>
      </c>
      <c r="C167" s="113"/>
      <c r="E167" s="186" t="str" cm="1">
        <f t="array" ref="E167">IFERROR(IFERROR(IFERROR(INDEX(TallyBrands,MATCH(0, _xlfn.IFS("Beer"=TallyDrinkType,COUNTIF($E$4:$E166,TallyBrands),"Cider"=TallyDrinkType,COUNTIF($E$4:$E166,TallyBrands)),0)),INDEX(TallyBrands2,MATCH(0, _xlfn.IFS("Beer"=TallyDrinkType,COUNTIF($E$4:$E166,TallyBrands2),"Cider"=TallyDrinkType,COUNTIF($E$4:$E166,TallyBrands2)),0))),INDEX(TallyBrands3,MATCH(0, _xlfn.IFS("Beer"=TallyDrinkType,COUNTIF($E$4:$E166,TallyBrands3),"Cider"=TallyDrinkType,COUNTIF($E$4:$E166,TallyBrands3)),0))),"")</f>
        <v>Bevog</v>
      </c>
      <c r="F167" s="228">
        <f t="shared" si="13"/>
        <v>1</v>
      </c>
      <c r="G167" s="195">
        <f t="shared" si="11"/>
        <v>0</v>
      </c>
      <c r="H167" s="230">
        <f t="shared" si="12"/>
        <v>7</v>
      </c>
      <c r="I167" s="220"/>
    </row>
    <row r="168" spans="2:9" ht="15" x14ac:dyDescent="0.15">
      <c r="B168" s="226" t="str" cm="1">
        <f t="array" ref="B168">IFERROR(IFERROR(IFERROR(INDEX(TallyBrands, MATCH(0, COUNTIF(B$4:$B167, TallyBrands), 0)), INDEX(TallyBrands2, MATCH(0, COUNTIF(B$4:$B167, TallyBrands2), 0))), INDEX(TallyBrands3, MATCH(0, COUNTIF(B$4:$B167, TallyBrands3), 0))),"")</f>
        <v>Cranes</v>
      </c>
      <c r="C168" s="113"/>
      <c r="E168" s="186" t="str" cm="1">
        <f t="array" ref="E168">IFERROR(IFERROR(IFERROR(INDEX(TallyBrands,MATCH(0, _xlfn.IFS("Beer"=TallyDrinkType,COUNTIF($E$4:$E167,TallyBrands),"Cider"=TallyDrinkType,COUNTIF($E$4:$E167,TallyBrands)),0)),INDEX(TallyBrands2,MATCH(0, _xlfn.IFS("Beer"=TallyDrinkType,COUNTIF($E$4:$E167,TallyBrands2),"Cider"=TallyDrinkType,COUNTIF($E$4:$E167,TallyBrands2)),0))),INDEX(TallyBrands3,MATCH(0, _xlfn.IFS("Beer"=TallyDrinkType,COUNTIF($E$4:$E167,TallyBrands3),"Cider"=TallyDrinkType,COUNTIF($E$4:$E167,TallyBrands3)),0))),"")</f>
        <v>Põhjala</v>
      </c>
      <c r="F168" s="228">
        <f t="shared" si="13"/>
        <v>2</v>
      </c>
      <c r="G168" s="195">
        <f t="shared" si="11"/>
        <v>0</v>
      </c>
      <c r="H168" s="230">
        <f t="shared" si="12"/>
        <v>7</v>
      </c>
      <c r="I168" s="220"/>
    </row>
    <row r="169" spans="2:9" ht="15" x14ac:dyDescent="0.15">
      <c r="B169" s="226" t="str" cm="1">
        <f t="array" ref="B169">IFERROR(IFERROR(IFERROR(INDEX(TallyBrands, MATCH(0, COUNTIF(B$4:$B168, TallyBrands), 0)), INDEX(TallyBrands2, MATCH(0, COUNTIF(B$4:$B168, TallyBrands2), 0))), INDEX(TallyBrands3, MATCH(0, COUNTIF(B$4:$B168, TallyBrands3), 0))),"")</f>
        <v>Shipyard</v>
      </c>
      <c r="C169" s="113"/>
      <c r="E169" s="186" t="str" cm="1">
        <f t="array" ref="E169">IFERROR(IFERROR(IFERROR(INDEX(TallyBrands,MATCH(0, _xlfn.IFS("Beer"=TallyDrinkType,COUNTIF($E$4:$E168,TallyBrands),"Cider"=TallyDrinkType,COUNTIF($E$4:$E168,TallyBrands)),0)),INDEX(TallyBrands2,MATCH(0, _xlfn.IFS("Beer"=TallyDrinkType,COUNTIF($E$4:$E168,TallyBrands2),"Cider"=TallyDrinkType,COUNTIF($E$4:$E168,TallyBrands2)),0))),INDEX(TallyBrands3,MATCH(0, _xlfn.IFS("Beer"=TallyDrinkType,COUNTIF($E$4:$E168,TallyBrands3),"Cider"=TallyDrinkType,COUNTIF($E$4:$E168,TallyBrands3)),0))),"")</f>
        <v>Woodgate</v>
      </c>
      <c r="F169" s="228">
        <f t="shared" si="13"/>
        <v>2</v>
      </c>
      <c r="G169" s="195">
        <f t="shared" si="11"/>
        <v>0</v>
      </c>
      <c r="H169" s="230">
        <f t="shared" si="12"/>
        <v>5.5</v>
      </c>
      <c r="I169" s="220"/>
    </row>
    <row r="170" spans="2:9" ht="15" x14ac:dyDescent="0.15">
      <c r="B170" s="226" t="str" cm="1">
        <f t="array" ref="B170">IFERROR(IFERROR(IFERROR(INDEX(TallyBrands, MATCH(0, COUNTIF(B$4:$B169, TallyBrands), 0)), INDEX(TallyBrands2, MATCH(0, COUNTIF(B$4:$B169, TallyBrands2), 0))), INDEX(TallyBrands3, MATCH(0, COUNTIF(B$4:$B169, TallyBrands3), 0))),"")</f>
        <v>Southern Comfort</v>
      </c>
      <c r="C170" s="113"/>
      <c r="E170" s="186" t="str" cm="1">
        <f t="array" ref="E170">IFERROR(IFERROR(IFERROR(INDEX(TallyBrands,MATCH(0, _xlfn.IFS("Beer"=TallyDrinkType,COUNTIF($E$4:$E169,TallyBrands),"Cider"=TallyDrinkType,COUNTIF($E$4:$E169,TallyBrands)),0)),INDEX(TallyBrands2,MATCH(0, _xlfn.IFS("Beer"=TallyDrinkType,COUNTIF($E$4:$E169,TallyBrands2),"Cider"=TallyDrinkType,COUNTIF($E$4:$E169,TallyBrands2)),0))),INDEX(TallyBrands3,MATCH(0, _xlfn.IFS("Beer"=TallyDrinkType,COUNTIF($E$4:$E169,TallyBrands3),"Cider"=TallyDrinkType,COUNTIF($E$4:$E169,TallyBrands3)),0))),"")</f>
        <v>Black Iris Brewery</v>
      </c>
      <c r="F170" s="228">
        <f t="shared" si="13"/>
        <v>1</v>
      </c>
      <c r="G170" s="195">
        <f t="shared" si="11"/>
        <v>0</v>
      </c>
      <c r="H170" s="230">
        <f t="shared" si="12"/>
        <v>6.5</v>
      </c>
      <c r="I170" s="220"/>
    </row>
    <row r="171" spans="2:9" ht="15" x14ac:dyDescent="0.15">
      <c r="B171" s="226" t="str" cm="1">
        <f t="array" ref="B171">IFERROR(IFERROR(IFERROR(INDEX(TallyBrands, MATCH(0, COUNTIF(B$4:$B170, TallyBrands), 0)), INDEX(TallyBrands2, MATCH(0, COUNTIF(B$4:$B170, TallyBrands2), 0))), INDEX(TallyBrands3, MATCH(0, COUNTIF(B$4:$B170, TallyBrands3), 0))),"")</f>
        <v>The Ardmore</v>
      </c>
      <c r="C171" s="113"/>
      <c r="E171" s="186" t="str" cm="1">
        <f t="array" ref="E171">IFERROR(IFERROR(IFERROR(INDEX(TallyBrands,MATCH(0, _xlfn.IFS("Beer"=TallyDrinkType,COUNTIF($E$4:$E170,TallyBrands),"Cider"=TallyDrinkType,COUNTIF($E$4:$E170,TallyBrands)),0)),INDEX(TallyBrands2,MATCH(0, _xlfn.IFS("Beer"=TallyDrinkType,COUNTIF($E$4:$E170,TallyBrands2),"Cider"=TallyDrinkType,COUNTIF($E$4:$E170,TallyBrands2)),0))),INDEX(TallyBrands3,MATCH(0, _xlfn.IFS("Beer"=TallyDrinkType,COUNTIF($E$4:$E170,TallyBrands3),"Cider"=TallyDrinkType,COUNTIF($E$4:$E170,TallyBrands3)),0))),"")</f>
        <v>Stella Artois</v>
      </c>
      <c r="F171" s="228">
        <f t="shared" si="13"/>
        <v>5</v>
      </c>
      <c r="G171" s="195">
        <f t="shared" si="11"/>
        <v>0</v>
      </c>
      <c r="H171" s="230">
        <f t="shared" si="12"/>
        <v>6.2</v>
      </c>
      <c r="I171" s="220"/>
    </row>
    <row r="172" spans="2:9" ht="15" x14ac:dyDescent="0.15">
      <c r="B172" s="226" t="str" cm="1">
        <f t="array" ref="B172">IFERROR(IFERROR(IFERROR(INDEX(TallyBrands, MATCH(0, COUNTIF(B$4:$B171, TallyBrands), 0)), INDEX(TallyBrands2, MATCH(0, COUNTIF(B$4:$B171, TallyBrands2), 0))), INDEX(TallyBrands3, MATCH(0, COUNTIF(B$4:$B171, TallyBrands3), 0))),"")</f>
        <v>Bells</v>
      </c>
      <c r="C172" s="113"/>
      <c r="E172" s="186" t="str" cm="1">
        <f t="array" ref="E172">IFERROR(IFERROR(IFERROR(INDEX(TallyBrands,MATCH(0, _xlfn.IFS("Beer"=TallyDrinkType,COUNTIF($E$4:$E171,TallyBrands),"Cider"=TallyDrinkType,COUNTIF($E$4:$E171,TallyBrands)),0)),INDEX(TallyBrands2,MATCH(0, _xlfn.IFS("Beer"=TallyDrinkType,COUNTIF($E$4:$E171,TallyBrands2),"Cider"=TallyDrinkType,COUNTIF($E$4:$E171,TallyBrands2)),0))),INDEX(TallyBrands3,MATCH(0, _xlfn.IFS("Beer"=TallyDrinkType,COUNTIF($E$4:$E171,TallyBrands3),"Cider"=TallyDrinkType,COUNTIF($E$4:$E171,TallyBrands3)),0))),"")</f>
        <v>Twisted Cider</v>
      </c>
      <c r="F172" s="228">
        <f t="shared" si="13"/>
        <v>8</v>
      </c>
      <c r="G172" s="195">
        <f t="shared" si="11"/>
        <v>0</v>
      </c>
      <c r="H172" s="230">
        <f t="shared" si="12"/>
        <v>4.125</v>
      </c>
      <c r="I172" s="220"/>
    </row>
    <row r="173" spans="2:9" ht="15" x14ac:dyDescent="0.15">
      <c r="B173" s="226" t="str" cm="1">
        <f t="array" ref="B173">IFERROR(IFERROR(IFERROR(INDEX(TallyBrands, MATCH(0, COUNTIF(B$4:$B172, TallyBrands), 0)), INDEX(TallyBrands2, MATCH(0, COUNTIF(B$4:$B172, TallyBrands2), 0))), INDEX(TallyBrands3, MATCH(0, COUNTIF(B$4:$B172, TallyBrands3), 0))),"")</f>
        <v>Bath Ales</v>
      </c>
      <c r="C173" s="113"/>
      <c r="E173" s="186" t="str" cm="1">
        <f t="array" ref="E173">IFERROR(IFERROR(IFERROR(INDEX(TallyBrands,MATCH(0, _xlfn.IFS("Beer"=TallyDrinkType,COUNTIF($E$4:$E172,TallyBrands),"Cider"=TallyDrinkType,COUNTIF($E$4:$E172,TallyBrands)),0)),INDEX(TallyBrands2,MATCH(0, _xlfn.IFS("Beer"=TallyDrinkType,COUNTIF($E$4:$E172,TallyBrands2),"Cider"=TallyDrinkType,COUNTIF($E$4:$E172,TallyBrands2)),0))),INDEX(TallyBrands3,MATCH(0, _xlfn.IFS("Beer"=TallyDrinkType,COUNTIF($E$4:$E172,TallyBrands3),"Cider"=TallyDrinkType,COUNTIF($E$4:$E172,TallyBrands3)),0))),"")</f>
        <v>Vault City Brewing</v>
      </c>
      <c r="F173" s="228">
        <f t="shared" si="13"/>
        <v>7</v>
      </c>
      <c r="G173" s="195">
        <f t="shared" si="11"/>
        <v>0</v>
      </c>
      <c r="H173" s="230">
        <f t="shared" si="12"/>
        <v>8.1428571428571423</v>
      </c>
      <c r="I173" s="220"/>
    </row>
    <row r="174" spans="2:9" ht="15" x14ac:dyDescent="0.15">
      <c r="B174" s="226" t="str" cm="1">
        <f t="array" ref="B174">IFERROR(IFERROR(IFERROR(INDEX(TallyBrands, MATCH(0, COUNTIF(B$4:$B173, TallyBrands), 0)), INDEX(TallyBrands2, MATCH(0, COUNTIF(B$4:$B173, TallyBrands2), 0))), INDEX(TallyBrands3, MATCH(0, COUNTIF(B$4:$B173, TallyBrands3), 0))),"")</f>
        <v>Veuve Clicquot</v>
      </c>
      <c r="C174" s="113"/>
      <c r="E174" s="186" t="str" cm="1">
        <f t="array" ref="E174">IFERROR(IFERROR(IFERROR(INDEX(TallyBrands,MATCH(0, _xlfn.IFS("Beer"=TallyDrinkType,COUNTIF($E$4:$E173,TallyBrands),"Cider"=TallyDrinkType,COUNTIF($E$4:$E173,TallyBrands)),0)),INDEX(TallyBrands2,MATCH(0, _xlfn.IFS("Beer"=TallyDrinkType,COUNTIF($E$4:$E173,TallyBrands2),"Cider"=TallyDrinkType,COUNTIF($E$4:$E173,TallyBrands2)),0))),INDEX(TallyBrands3,MATCH(0, _xlfn.IFS("Beer"=TallyDrinkType,COUNTIF($E$4:$E173,TallyBrands3),"Cider"=TallyDrinkType,COUNTIF($E$4:$E173,TallyBrands3)),0))),"")</f>
        <v>Pilsner Urquell</v>
      </c>
      <c r="F174" s="228">
        <f t="shared" si="13"/>
        <v>1</v>
      </c>
      <c r="G174" s="195">
        <f t="shared" si="11"/>
        <v>0</v>
      </c>
      <c r="H174" s="230">
        <f t="shared" si="12"/>
        <v>7.5</v>
      </c>
      <c r="I174" s="220"/>
    </row>
    <row r="175" spans="2:9" ht="15" x14ac:dyDescent="0.15">
      <c r="B175" s="226" t="str" cm="1">
        <f t="array" ref="B175">IFERROR(IFERROR(IFERROR(INDEX(TallyBrands, MATCH(0, COUNTIF(B$4:$B174, TallyBrands), 0)), INDEX(TallyBrands2, MATCH(0, COUNTIF(B$4:$B174, TallyBrands2), 0))), INDEX(TallyBrands3, MATCH(0, COUNTIF(B$4:$B174, TallyBrands3), 0))),"")</f>
        <v>Hawkshead Brewery</v>
      </c>
      <c r="C175" s="113"/>
      <c r="E175" s="186" t="str" cm="1">
        <f t="array" ref="E175">IFERROR(IFERROR(IFERROR(INDEX(TallyBrands,MATCH(0, _xlfn.IFS("Beer"=TallyDrinkType,COUNTIF($E$4:$E174,TallyBrands),"Cider"=TallyDrinkType,COUNTIF($E$4:$E174,TallyBrands)),0)),INDEX(TallyBrands2,MATCH(0, _xlfn.IFS("Beer"=TallyDrinkType,COUNTIF($E$4:$E174,TallyBrands2),"Cider"=TallyDrinkType,COUNTIF($E$4:$E174,TallyBrands2)),0))),INDEX(TallyBrands3,MATCH(0, _xlfn.IFS("Beer"=TallyDrinkType,COUNTIF($E$4:$E174,TallyBrands3),"Cider"=TallyDrinkType,COUNTIF($E$4:$E174,TallyBrands3)),0))),"")</f>
        <v>Pipeworks Brewing Co</v>
      </c>
      <c r="F175" s="228">
        <f t="shared" ref="F175:F207" si="14">COUNTIFS(TallyBrands, $E175,TallyDrinkType, "Beer") + COUNTIFS(TallyBrands,$E175,TallyDrinkType, "Cider")+COUNTIFS(TallyBrands2, $E175,TallyDrinkType, "Beer") + COUNTIFS(TallyBrands2,$E175,TallyDrinkType, "Cider")+COUNTIFS(TallyBrands3, $E175,TallyDrinkType, "Beer") + COUNTIFS(TallyBrands3,$E175,TallyDrinkType, "Cider")</f>
        <v>1</v>
      </c>
      <c r="G175" s="195">
        <f t="shared" si="11"/>
        <v>0</v>
      </c>
      <c r="H175" s="230">
        <f t="shared" si="12"/>
        <v>8.5</v>
      </c>
      <c r="I175" s="220"/>
    </row>
    <row r="176" spans="2:9" ht="15" x14ac:dyDescent="0.15">
      <c r="B176" s="226" t="str" cm="1">
        <f t="array" ref="B176">IFERROR(IFERROR(IFERROR(INDEX(TallyBrands, MATCH(0, COUNTIF(B$4:$B175, TallyBrands), 0)), INDEX(TallyBrands2, MATCH(0, COUNTIF(B$4:$B175, TallyBrands2), 0))), INDEX(TallyBrands3, MATCH(0, COUNTIF(B$4:$B175, TallyBrands3), 0))),"")</f>
        <v>Alphabet Brewing Company</v>
      </c>
      <c r="C176" s="113"/>
      <c r="E176" s="186" t="str" cm="1">
        <f t="array" ref="E176">IFERROR(IFERROR(IFERROR(INDEX(TallyBrands,MATCH(0, _xlfn.IFS("Beer"=TallyDrinkType,COUNTIF($E$4:$E175,TallyBrands),"Cider"=TallyDrinkType,COUNTIF($E$4:$E175,TallyBrands)),0)),INDEX(TallyBrands2,MATCH(0, _xlfn.IFS("Beer"=TallyDrinkType,COUNTIF($E$4:$E175,TallyBrands2),"Cider"=TallyDrinkType,COUNTIF($E$4:$E175,TallyBrands2)),0))),INDEX(TallyBrands3,MATCH(0, _xlfn.IFS("Beer"=TallyDrinkType,COUNTIF($E$4:$E175,TallyBrands3),"Cider"=TallyDrinkType,COUNTIF($E$4:$E175,TallyBrands3)),0))),"")</f>
        <v>Brothers</v>
      </c>
      <c r="F176" s="228">
        <f t="shared" si="14"/>
        <v>3</v>
      </c>
      <c r="G176" s="195">
        <f t="shared" si="11"/>
        <v>0</v>
      </c>
      <c r="H176" s="230">
        <f t="shared" si="12"/>
        <v>4.333333333333333</v>
      </c>
      <c r="I176" s="220"/>
    </row>
    <row r="177" spans="2:9" ht="15" x14ac:dyDescent="0.15">
      <c r="B177" s="226" t="str" cm="1">
        <f t="array" ref="B177">IFERROR(IFERROR(IFERROR(INDEX(TallyBrands, MATCH(0, COUNTIF(B$4:$B176, TallyBrands), 0)), INDEX(TallyBrands2, MATCH(0, COUNTIF(B$4:$B176, TallyBrands2), 0))), INDEX(TallyBrands3, MATCH(0, COUNTIF(B$4:$B176, TallyBrands3), 0))),"")</f>
        <v>Goose Island</v>
      </c>
      <c r="C177" s="113"/>
      <c r="E177" s="186" t="str" cm="1">
        <f t="array" ref="E177">IFERROR(IFERROR(IFERROR(INDEX(TallyBrands,MATCH(0, _xlfn.IFS("Beer"=TallyDrinkType,COUNTIF($E$4:$E176,TallyBrands),"Cider"=TallyDrinkType,COUNTIF($E$4:$E176,TallyBrands)),0)),INDEX(TallyBrands2,MATCH(0, _xlfn.IFS("Beer"=TallyDrinkType,COUNTIF($E$4:$E176,TallyBrands2),"Cider"=TallyDrinkType,COUNTIF($E$4:$E176,TallyBrands2)),0))),INDEX(TallyBrands3,MATCH(0, _xlfn.IFS("Beer"=TallyDrinkType,COUNTIF($E$4:$E176,TallyBrands3),"Cider"=TallyDrinkType,COUNTIF($E$4:$E176,TallyBrands3)),0))),"")</f>
        <v>Magners</v>
      </c>
      <c r="F177" s="228">
        <f t="shared" si="14"/>
        <v>3</v>
      </c>
      <c r="G177" s="195">
        <f t="shared" si="11"/>
        <v>0</v>
      </c>
      <c r="H177" s="230">
        <f t="shared" si="12"/>
        <v>5.5</v>
      </c>
      <c r="I177" s="220"/>
    </row>
    <row r="178" spans="2:9" ht="15" x14ac:dyDescent="0.15">
      <c r="B178" s="226" t="str" cm="1">
        <f t="array" ref="B178">IFERROR(IFERROR(IFERROR(INDEX(TallyBrands, MATCH(0, COUNTIF(B$4:$B177, TallyBrands), 0)), INDEX(TallyBrands2, MATCH(0, COUNTIF(B$4:$B177, TallyBrands2), 0))), INDEX(TallyBrands3, MATCH(0, COUNTIF(B$4:$B177, TallyBrands3), 0))),"")</f>
        <v>Black Isle Brewing</v>
      </c>
      <c r="C178" s="113"/>
      <c r="E178" s="186" t="str" cm="1">
        <f t="array" ref="E178">IFERROR(IFERROR(IFERROR(INDEX(TallyBrands,MATCH(0, _xlfn.IFS("Beer"=TallyDrinkType,COUNTIF($E$4:$E177,TallyBrands),"Cider"=TallyDrinkType,COUNTIF($E$4:$E177,TallyBrands)),0)),INDEX(TallyBrands2,MATCH(0, _xlfn.IFS("Beer"=TallyDrinkType,COUNTIF($E$4:$E177,TallyBrands2),"Cider"=TallyDrinkType,COUNTIF($E$4:$E177,TallyBrands2)),0))),INDEX(TallyBrands3,MATCH(0, _xlfn.IFS("Beer"=TallyDrinkType,COUNTIF($E$4:$E177,TallyBrands3),"Cider"=TallyDrinkType,COUNTIF($E$4:$E177,TallyBrands3)),0))),"")</f>
        <v>Lilley's</v>
      </c>
      <c r="F178" s="228">
        <f t="shared" si="14"/>
        <v>17</v>
      </c>
      <c r="G178" s="195">
        <f t="shared" si="11"/>
        <v>0</v>
      </c>
      <c r="H178" s="230">
        <f t="shared" si="12"/>
        <v>6.7647058823529411</v>
      </c>
      <c r="I178" s="220"/>
    </row>
    <row r="179" spans="2:9" ht="15" x14ac:dyDescent="0.15">
      <c r="B179" s="226" t="str" cm="1">
        <f t="array" ref="B179">IFERROR(IFERROR(IFERROR(INDEX(TallyBrands, MATCH(0, COUNTIF(B$4:$B178, TallyBrands), 0)), INDEX(TallyBrands2, MATCH(0, COUNTIF(B$4:$B178, TallyBrands2), 0))), INDEX(TallyBrands3, MATCH(0, COUNTIF(B$4:$B178, TallyBrands3), 0))),"")</f>
        <v>Brew York</v>
      </c>
      <c r="C179" s="113"/>
      <c r="E179" s="186" t="str" cm="1">
        <f t="array" ref="E179">IFERROR(IFERROR(IFERROR(INDEX(TallyBrands,MATCH(0, _xlfn.IFS("Beer"=TallyDrinkType,COUNTIF($E$4:$E178,TallyBrands),"Cider"=TallyDrinkType,COUNTIF($E$4:$E178,TallyBrands)),0)),INDEX(TallyBrands2,MATCH(0, _xlfn.IFS("Beer"=TallyDrinkType,COUNTIF($E$4:$E178,TallyBrands2),"Cider"=TallyDrinkType,COUNTIF($E$4:$E178,TallyBrands2)),0))),INDEX(TallyBrands3,MATCH(0, _xlfn.IFS("Beer"=TallyDrinkType,COUNTIF($E$4:$E178,TallyBrands3),"Cider"=TallyDrinkType,COUNTIF($E$4:$E178,TallyBrands3)),0))),"")</f>
        <v>Taurus</v>
      </c>
      <c r="F179" s="228">
        <f t="shared" si="14"/>
        <v>1</v>
      </c>
      <c r="G179" s="195">
        <f t="shared" si="11"/>
        <v>0</v>
      </c>
      <c r="H179" s="230">
        <f t="shared" si="12"/>
        <v>6</v>
      </c>
      <c r="I179" s="220"/>
    </row>
    <row r="180" spans="2:9" ht="15" x14ac:dyDescent="0.15">
      <c r="B180" s="226" t="str" cm="1">
        <f t="array" ref="B180">IFERROR(IFERROR(IFERROR(INDEX(TallyBrands, MATCH(0, COUNTIF(B$4:$B179, TallyBrands), 0)), INDEX(TallyBrands2, MATCH(0, COUNTIF(B$4:$B179, TallyBrands2), 0))), INDEX(TallyBrands3, MATCH(0, COUNTIF(B$4:$B179, TallyBrands3), 0))),"")</f>
        <v>Fallen Angel</v>
      </c>
      <c r="C180" s="113"/>
      <c r="E180" s="186" t="str" cm="1">
        <f t="array" ref="E180">IFERROR(IFERROR(IFERROR(INDEX(TallyBrands,MATCH(0, _xlfn.IFS("Beer"=TallyDrinkType,COUNTIF($E$4:$E179,TallyBrands),"Cider"=TallyDrinkType,COUNTIF($E$4:$E179,TallyBrands)),0)),INDEX(TallyBrands2,MATCH(0, _xlfn.IFS("Beer"=TallyDrinkType,COUNTIF($E$4:$E179,TallyBrands2),"Cider"=TallyDrinkType,COUNTIF($E$4:$E179,TallyBrands2)),0))),INDEX(TallyBrands3,MATCH(0, _xlfn.IFS("Beer"=TallyDrinkType,COUNTIF($E$4:$E179,TallyBrands3),"Cider"=TallyDrinkType,COUNTIF($E$4:$E179,TallyBrands3)),0))),"")</f>
        <v>Sharp's</v>
      </c>
      <c r="F180" s="228">
        <f t="shared" si="14"/>
        <v>1</v>
      </c>
      <c r="G180" s="195">
        <f t="shared" si="11"/>
        <v>0</v>
      </c>
      <c r="H180" s="230">
        <f t="shared" si="12"/>
        <v>8</v>
      </c>
      <c r="I180" s="220"/>
    </row>
    <row r="181" spans="2:9" ht="15" x14ac:dyDescent="0.15">
      <c r="B181" s="226" t="str" cm="1">
        <f t="array" ref="B181">IFERROR(IFERROR(IFERROR(INDEX(TallyBrands, MATCH(0, COUNTIF(B$4:$B180, TallyBrands), 0)), INDEX(TallyBrands2, MATCH(0, COUNTIF(B$4:$B180, TallyBrands2), 0))), INDEX(TallyBrands3, MATCH(0, COUNTIF(B$4:$B180, TallyBrands3), 0))),"")</f>
        <v>Orijin</v>
      </c>
      <c r="C181" s="113"/>
      <c r="E181" s="186" t="str" cm="1">
        <f t="array" ref="E181">IFERROR(IFERROR(IFERROR(INDEX(TallyBrands,MATCH(0, _xlfn.IFS("Beer"=TallyDrinkType,COUNTIF($E$4:$E180,TallyBrands),"Cider"=TallyDrinkType,COUNTIF($E$4:$E180,TallyBrands)),0)),INDEX(TallyBrands2,MATCH(0, _xlfn.IFS("Beer"=TallyDrinkType,COUNTIF($E$4:$E180,TallyBrands2),"Cider"=TallyDrinkType,COUNTIF($E$4:$E180,TallyBrands2)),0))),INDEX(TallyBrands3,MATCH(0, _xlfn.IFS("Beer"=TallyDrinkType,COUNTIF($E$4:$E180,TallyBrands3),"Cider"=TallyDrinkType,COUNTIF($E$4:$E180,TallyBrands3)),0))),"")</f>
        <v>Mobberley Brewhouse</v>
      </c>
      <c r="F181" s="228">
        <f t="shared" si="14"/>
        <v>1</v>
      </c>
      <c r="G181" s="195">
        <f t="shared" si="11"/>
        <v>0</v>
      </c>
      <c r="H181" s="230">
        <f t="shared" si="12"/>
        <v>4</v>
      </c>
      <c r="I181" s="220"/>
    </row>
    <row r="182" spans="2:9" ht="15" x14ac:dyDescent="0.15">
      <c r="B182" s="226" t="str" cm="1">
        <f t="array" ref="B182">IFERROR(IFERROR(IFERROR(INDEX(TallyBrands, MATCH(0, COUNTIF(B$4:$B181, TallyBrands), 0)), INDEX(TallyBrands2, MATCH(0, COUNTIF(B$4:$B181, TallyBrands2), 0))), INDEX(TallyBrands3, MATCH(0, COUNTIF(B$4:$B181, TallyBrands3), 0))),"")</f>
        <v>Verdant Brewing Co</v>
      </c>
      <c r="C182" s="113"/>
      <c r="E182" s="186" t="str" cm="1">
        <f t="array" ref="E182">IFERROR(IFERROR(IFERROR(INDEX(TallyBrands,MATCH(0, _xlfn.IFS("Beer"=TallyDrinkType,COUNTIF($E$4:$E181,TallyBrands),"Cider"=TallyDrinkType,COUNTIF($E$4:$E181,TallyBrands)),0)),INDEX(TallyBrands2,MATCH(0, _xlfn.IFS("Beer"=TallyDrinkType,COUNTIF($E$4:$E181,TallyBrands2),"Cider"=TallyDrinkType,COUNTIF($E$4:$E181,TallyBrands2)),0))),INDEX(TallyBrands3,MATCH(0, _xlfn.IFS("Beer"=TallyDrinkType,COUNTIF($E$4:$E181,TallyBrands3),"Cider"=TallyDrinkType,COUNTIF($E$4:$E181,TallyBrands3)),0))),"")</f>
        <v>Super Bock</v>
      </c>
      <c r="F182" s="228">
        <f t="shared" si="14"/>
        <v>1</v>
      </c>
      <c r="G182" s="195">
        <f t="shared" si="11"/>
        <v>0</v>
      </c>
      <c r="H182" s="230">
        <f t="shared" si="12"/>
        <v>5</v>
      </c>
      <c r="I182" s="220"/>
    </row>
    <row r="183" spans="2:9" ht="15" x14ac:dyDescent="0.15">
      <c r="B183" s="226" t="str" cm="1">
        <f t="array" ref="B183">IFERROR(IFERROR(IFERROR(INDEX(TallyBrands, MATCH(0, COUNTIF(B$4:$B182, TallyBrands), 0)), INDEX(TallyBrands2, MATCH(0, COUNTIF(B$4:$B182, TallyBrands2), 0))), INDEX(TallyBrands3, MATCH(0, COUNTIF(B$4:$B182, TallyBrands3), 0))),"")</f>
        <v>71 Brewing Co</v>
      </c>
      <c r="C183" s="113"/>
      <c r="E183" s="186" t="str" cm="1">
        <f t="array" ref="E183">IFERROR(IFERROR(IFERROR(INDEX(TallyBrands,MATCH(0, _xlfn.IFS("Beer"=TallyDrinkType,COUNTIF($E$4:$E182,TallyBrands),"Cider"=TallyDrinkType,COUNTIF($E$4:$E182,TallyBrands)),0)),INDEX(TallyBrands2,MATCH(0, _xlfn.IFS("Beer"=TallyDrinkType,COUNTIF($E$4:$E182,TallyBrands2),"Cider"=TallyDrinkType,COUNTIF($E$4:$E182,TallyBrands2)),0))),INDEX(TallyBrands3,MATCH(0, _xlfn.IFS("Beer"=TallyDrinkType,COUNTIF($E$4:$E182,TallyBrands3),"Cider"=TallyDrinkType,COUNTIF($E$4:$E182,TallyBrands3)),0))),"")</f>
        <v>Perry's Cider</v>
      </c>
      <c r="F183" s="228">
        <f t="shared" si="14"/>
        <v>1</v>
      </c>
      <c r="G183" s="195">
        <f t="shared" si="11"/>
        <v>0</v>
      </c>
      <c r="H183" s="230">
        <f t="shared" si="12"/>
        <v>9</v>
      </c>
      <c r="I183" s="220"/>
    </row>
    <row r="184" spans="2:9" ht="15" x14ac:dyDescent="0.15">
      <c r="B184" s="226" t="str" cm="1">
        <f t="array" ref="B184">IFERROR(IFERROR(IFERROR(INDEX(TallyBrands, MATCH(0, COUNTIF(B$4:$B183, TallyBrands), 0)), INDEX(TallyBrands2, MATCH(0, COUNTIF(B$4:$B183, TallyBrands2), 0))), INDEX(TallyBrands3, MATCH(0, COUNTIF(B$4:$B183, TallyBrands3), 0))),"")</f>
        <v>Savanna</v>
      </c>
      <c r="C184" s="113"/>
      <c r="E184" s="186" t="str" cm="1">
        <f t="array" ref="E184">IFERROR(IFERROR(IFERROR(INDEX(TallyBrands,MATCH(0, _xlfn.IFS("Beer"=TallyDrinkType,COUNTIF($E$4:$E183,TallyBrands),"Cider"=TallyDrinkType,COUNTIF($E$4:$E183,TallyBrands)),0)),INDEX(TallyBrands2,MATCH(0, _xlfn.IFS("Beer"=TallyDrinkType,COUNTIF($E$4:$E183,TallyBrands2),"Cider"=TallyDrinkType,COUNTIF($E$4:$E183,TallyBrands2)),0))),INDEX(TallyBrands3,MATCH(0, _xlfn.IFS("Beer"=TallyDrinkType,COUNTIF($E$4:$E183,TallyBrands3),"Cider"=TallyDrinkType,COUNTIF($E$4:$E183,TallyBrands3)),0))),"")</f>
        <v>Scrumpy Jack</v>
      </c>
      <c r="F184" s="228">
        <f t="shared" si="14"/>
        <v>1</v>
      </c>
      <c r="G184" s="195">
        <f t="shared" si="11"/>
        <v>0</v>
      </c>
      <c r="H184" s="230">
        <f t="shared" si="12"/>
        <v>7.5</v>
      </c>
      <c r="I184" s="220"/>
    </row>
    <row r="185" spans="2:9" ht="15" x14ac:dyDescent="0.15">
      <c r="B185" s="226" t="str" cm="1">
        <f t="array" ref="B185">IFERROR(IFERROR(IFERROR(INDEX(TallyBrands, MATCH(0, COUNTIF(B$4:$B184, TallyBrands), 0)), INDEX(TallyBrands2, MATCH(0, COUNTIF(B$4:$B184, TallyBrands2), 0))), INDEX(TallyBrands3, MATCH(0, COUNTIF(B$4:$B184, TallyBrands3), 0))),"")</f>
        <v>Everyday Value</v>
      </c>
      <c r="C185" s="113"/>
      <c r="E185" s="186" t="str" cm="1">
        <f t="array" ref="E185">IFERROR(IFERROR(IFERROR(INDEX(TallyBrands,MATCH(0, _xlfn.IFS("Beer"=TallyDrinkType,COUNTIF($E$4:$E184,TallyBrands),"Cider"=TallyDrinkType,COUNTIF($E$4:$E184,TallyBrands)),0)),INDEX(TallyBrands2,MATCH(0, _xlfn.IFS("Beer"=TallyDrinkType,COUNTIF($E$4:$E184,TallyBrands2),"Cider"=TallyDrinkType,COUNTIF($E$4:$E184,TallyBrands2)),0))),INDEX(TallyBrands3,MATCH(0, _xlfn.IFS("Beer"=TallyDrinkType,COUNTIF($E$4:$E184,TallyBrands3),"Cider"=TallyDrinkType,COUNTIF($E$4:$E184,TallyBrands3)),0))),"")</f>
        <v>To Øl</v>
      </c>
      <c r="F185" s="228">
        <f t="shared" si="14"/>
        <v>1</v>
      </c>
      <c r="G185" s="195">
        <f t="shared" si="11"/>
        <v>0</v>
      </c>
      <c r="H185" s="230">
        <f t="shared" si="12"/>
        <v>7</v>
      </c>
      <c r="I185" s="220"/>
    </row>
    <row r="186" spans="2:9" ht="15" x14ac:dyDescent="0.15">
      <c r="B186" s="226" t="str" cm="1">
        <f t="array" ref="B186">IFERROR(IFERROR(IFERROR(INDEX(TallyBrands, MATCH(0, COUNTIF(B$4:$B185, TallyBrands), 0)), INDEX(TallyBrands2, MATCH(0, COUNTIF(B$4:$B185, TallyBrands2), 0))), INDEX(TallyBrands3, MATCH(0, COUNTIF(B$4:$B185, TallyBrands3), 0))),"")</f>
        <v>Pernod</v>
      </c>
      <c r="C186" s="113"/>
      <c r="E186" s="186" t="str" cm="1">
        <f t="array" ref="E186">IFERROR(IFERROR(IFERROR(INDEX(TallyBrands,MATCH(0, _xlfn.IFS("Beer"=TallyDrinkType,COUNTIF($E$4:$E185,TallyBrands),"Cider"=TallyDrinkType,COUNTIF($E$4:$E185,TallyBrands)),0)),INDEX(TallyBrands2,MATCH(0, _xlfn.IFS("Beer"=TallyDrinkType,COUNTIF($E$4:$E185,TallyBrands2),"Cider"=TallyDrinkType,COUNTIF($E$4:$E185,TallyBrands2)),0))),INDEX(TallyBrands3,MATCH(0, _xlfn.IFS("Beer"=TallyDrinkType,COUNTIF($E$4:$E185,TallyBrands3),"Cider"=TallyDrinkType,COUNTIF($E$4:$E185,TallyBrands3)),0))),"")</f>
        <v>Meon Valley Cider</v>
      </c>
      <c r="F186" s="228">
        <f t="shared" si="14"/>
        <v>3</v>
      </c>
      <c r="G186" s="195">
        <f t="shared" si="11"/>
        <v>0</v>
      </c>
      <c r="H186" s="230">
        <f t="shared" si="12"/>
        <v>9.1666666666666661</v>
      </c>
      <c r="I186" s="220"/>
    </row>
    <row r="187" spans="2:9" ht="15" x14ac:dyDescent="0.15">
      <c r="B187" s="226" t="str" cm="1">
        <f t="array" ref="B187">IFERROR(IFERROR(IFERROR(INDEX(TallyBrands, MATCH(0, COUNTIF(B$4:$B186, TallyBrands), 0)), INDEX(TallyBrands2, MATCH(0, COUNTIF(B$4:$B186, TallyBrands2), 0))), INDEX(TallyBrands3, MATCH(0, COUNTIF(B$4:$B186, TallyBrands3), 0))),"")</f>
        <v>Oban</v>
      </c>
      <c r="C187" s="113"/>
      <c r="E187" s="186" t="str" cm="1">
        <f t="array" ref="E187">IFERROR(IFERROR(IFERROR(INDEX(TallyBrands,MATCH(0, _xlfn.IFS("Beer"=TallyDrinkType,COUNTIF($E$4:$E186,TallyBrands),"Cider"=TallyDrinkType,COUNTIF($E$4:$E186,TallyBrands)),0)),INDEX(TallyBrands2,MATCH(0, _xlfn.IFS("Beer"=TallyDrinkType,COUNTIF($E$4:$E186,TallyBrands2),"Cider"=TallyDrinkType,COUNTIF($E$4:$E186,TallyBrands2)),0))),INDEX(TallyBrands3,MATCH(0, _xlfn.IFS("Beer"=TallyDrinkType,COUNTIF($E$4:$E186,TallyBrands3),"Cider"=TallyDrinkType,COUNTIF($E$4:$E186,TallyBrands3)),0))),"")</f>
        <v>Alhambra</v>
      </c>
      <c r="F187" s="228">
        <f t="shared" si="14"/>
        <v>1</v>
      </c>
      <c r="G187" s="195">
        <f t="shared" si="11"/>
        <v>0</v>
      </c>
      <c r="H187" s="230">
        <f t="shared" si="12"/>
        <v>7</v>
      </c>
      <c r="I187" s="220"/>
    </row>
    <row r="188" spans="2:9" ht="15" x14ac:dyDescent="0.15">
      <c r="B188" s="226" t="str" cm="1">
        <f t="array" ref="B188">IFERROR(IFERROR(IFERROR(INDEX(TallyBrands, MATCH(0, COUNTIF(B$4:$B187, TallyBrands), 0)), INDEX(TallyBrands2, MATCH(0, COUNTIF(B$4:$B187, TallyBrands2), 0))), INDEX(TallyBrands3, MATCH(0, COUNTIF(B$4:$B187, TallyBrands3), 0))),"")</f>
        <v>Angels</v>
      </c>
      <c r="C188" s="113"/>
      <c r="E188" s="186" t="str" cm="1">
        <f t="array" ref="E188">IFERROR(IFERROR(IFERROR(INDEX(TallyBrands,MATCH(0, _xlfn.IFS("Beer"=TallyDrinkType,COUNTIF($E$4:$E187,TallyBrands),"Cider"=TallyDrinkType,COUNTIF($E$4:$E187,TallyBrands)),0)),INDEX(TallyBrands2,MATCH(0, _xlfn.IFS("Beer"=TallyDrinkType,COUNTIF($E$4:$E187,TallyBrands2),"Cider"=TallyDrinkType,COUNTIF($E$4:$E187,TallyBrands2)),0))),INDEX(TallyBrands3,MATCH(0, _xlfn.IFS("Beer"=TallyDrinkType,COUNTIF($E$4:$E187,TallyBrands3),"Cider"=TallyDrinkType,COUNTIF($E$4:$E187,TallyBrands3)),0))),"")</f>
        <v>WRCLW</v>
      </c>
      <c r="F188" s="228">
        <f t="shared" si="14"/>
        <v>4</v>
      </c>
      <c r="G188" s="195">
        <f t="shared" si="11"/>
        <v>0</v>
      </c>
      <c r="H188" s="230">
        <f t="shared" si="12"/>
        <v>5.625</v>
      </c>
      <c r="I188" s="220"/>
    </row>
    <row r="189" spans="2:9" ht="15" x14ac:dyDescent="0.15">
      <c r="B189" s="226" t="str" cm="1">
        <f t="array" ref="B189">IFERROR(IFERROR(IFERROR(INDEX(TallyBrands, MATCH(0, COUNTIF(B$4:$B188, TallyBrands), 0)), INDEX(TallyBrands2, MATCH(0, COUNTIF(B$4:$B188, TallyBrands2), 0))), INDEX(TallyBrands3, MATCH(0, COUNTIF(B$4:$B188, TallyBrands3), 0))),"")</f>
        <v>Chambord</v>
      </c>
      <c r="C189" s="113"/>
      <c r="E189" s="186" t="str" cm="1">
        <f t="array" ref="E189">IFERROR(IFERROR(IFERROR(INDEX(TallyBrands,MATCH(0, _xlfn.IFS("Beer"=TallyDrinkType,COUNTIF($E$4:$E188,TallyBrands),"Cider"=TallyDrinkType,COUNTIF($E$4:$E188,TallyBrands)),0)),INDEX(TallyBrands2,MATCH(0, _xlfn.IFS("Beer"=TallyDrinkType,COUNTIF($E$4:$E188,TallyBrands2),"Cider"=TallyDrinkType,COUNTIF($E$4:$E188,TallyBrands2)),0))),INDEX(TallyBrands3,MATCH(0, _xlfn.IFS("Beer"=TallyDrinkType,COUNTIF($E$4:$E188,TallyBrands3),"Cider"=TallyDrinkType,COUNTIF($E$4:$E188,TallyBrands3)),0))),"")</f>
        <v>Chaplin &amp; Cork's</v>
      </c>
      <c r="F189" s="228">
        <f t="shared" si="14"/>
        <v>2</v>
      </c>
      <c r="G189" s="195">
        <f t="shared" si="11"/>
        <v>0</v>
      </c>
      <c r="H189" s="230">
        <f t="shared" si="12"/>
        <v>6.25</v>
      </c>
      <c r="I189" s="220"/>
    </row>
    <row r="190" spans="2:9" ht="15" x14ac:dyDescent="0.15">
      <c r="B190" s="226" t="str" cm="1">
        <f t="array" ref="B190">IFERROR(IFERROR(IFERROR(INDEX(TallyBrands, MATCH(0, COUNTIF(B$4:$B189, TallyBrands), 0)), INDEX(TallyBrands2, MATCH(0, COUNTIF(B$4:$B189, TallyBrands2), 0))), INDEX(TallyBrands3, MATCH(0, COUNTIF(B$4:$B189, TallyBrands3), 0))),"")</f>
        <v>Howling Hops</v>
      </c>
      <c r="C190" s="113"/>
      <c r="E190" s="186" t="str" cm="1">
        <f t="array" ref="E190">IFERROR(IFERROR(IFERROR(INDEX(TallyBrands,MATCH(0, _xlfn.IFS("Beer"=TallyDrinkType,COUNTIF($E$4:$E189,TallyBrands),"Cider"=TallyDrinkType,COUNTIF($E$4:$E189,TallyBrands)),0)),INDEX(TallyBrands2,MATCH(0, _xlfn.IFS("Beer"=TallyDrinkType,COUNTIF($E$4:$E189,TallyBrands2),"Cider"=TallyDrinkType,COUNTIF($E$4:$E189,TallyBrands2)),0))),INDEX(TallyBrands3,MATCH(0, _xlfn.IFS("Beer"=TallyDrinkType,COUNTIF($E$4:$E189,TallyBrands3),"Cider"=TallyDrinkType,COUNTIF($E$4:$E189,TallyBrands3)),0))),"")</f>
        <v>Greene King</v>
      </c>
      <c r="F190" s="228">
        <f t="shared" si="14"/>
        <v>2</v>
      </c>
      <c r="G190" s="195">
        <f t="shared" si="11"/>
        <v>0</v>
      </c>
      <c r="H190" s="230">
        <f t="shared" si="12"/>
        <v>6.75</v>
      </c>
      <c r="I190" s="220"/>
    </row>
    <row r="191" spans="2:9" ht="15" x14ac:dyDescent="0.15">
      <c r="B191" s="226" t="str" cm="1">
        <f t="array" ref="B191">IFERROR(IFERROR(IFERROR(INDEX(TallyBrands, MATCH(0, COUNTIF(B$4:$B190, TallyBrands), 0)), INDEX(TallyBrands2, MATCH(0, COUNTIF(B$4:$B190, TallyBrands2), 0))), INDEX(TallyBrands3, MATCH(0, COUNTIF(B$4:$B190, TallyBrands3), 0))),"")</f>
        <v>Three Barrels</v>
      </c>
      <c r="C191" s="113"/>
      <c r="E191" s="186" t="str" cm="1">
        <f t="array" ref="E191">IFERROR(IFERROR(IFERROR(INDEX(TallyBrands,MATCH(0, _xlfn.IFS("Beer"=TallyDrinkType,COUNTIF($E$4:$E190,TallyBrands),"Cider"=TallyDrinkType,COUNTIF($E$4:$E190,TallyBrands)),0)),INDEX(TallyBrands2,MATCH(0, _xlfn.IFS("Beer"=TallyDrinkType,COUNTIF($E$4:$E190,TallyBrands2),"Cider"=TallyDrinkType,COUNTIF($E$4:$E190,TallyBrands2)),0))),INDEX(TallyBrands3,MATCH(0, _xlfn.IFS("Beer"=TallyDrinkType,COUNTIF($E$4:$E190,TallyBrands3),"Cider"=TallyDrinkType,COUNTIF($E$4:$E190,TallyBrands3)),0))),"")</f>
        <v>Fierce</v>
      </c>
      <c r="F191" s="228">
        <f t="shared" si="14"/>
        <v>1</v>
      </c>
      <c r="G191" s="195">
        <f t="shared" si="11"/>
        <v>0</v>
      </c>
      <c r="H191" s="230">
        <f t="shared" si="12"/>
        <v>8</v>
      </c>
      <c r="I191" s="220"/>
    </row>
    <row r="192" spans="2:9" ht="15" x14ac:dyDescent="0.15">
      <c r="B192" s="226" t="str" cm="1">
        <f t="array" ref="B192">IFERROR(IFERROR(IFERROR(INDEX(TallyBrands, MATCH(0, COUNTIF(B$4:$B191, TallyBrands), 0)), INDEX(TallyBrands2, MATCH(0, COUNTIF(B$4:$B191, TallyBrands2), 0))), INDEX(TallyBrands3, MATCH(0, COUNTIF(B$4:$B191, TallyBrands3), 0))),"")</f>
        <v>Duvel</v>
      </c>
      <c r="C192" s="113"/>
      <c r="E192" s="186" t="str" cm="1">
        <f t="array" ref="E192">IFERROR(IFERROR(IFERROR(INDEX(TallyBrands,MATCH(0, _xlfn.IFS("Beer"=TallyDrinkType,COUNTIF($E$4:$E191,TallyBrands),"Cider"=TallyDrinkType,COUNTIF($E$4:$E191,TallyBrands)),0)),INDEX(TallyBrands2,MATCH(0, _xlfn.IFS("Beer"=TallyDrinkType,COUNTIF($E$4:$E191,TallyBrands2),"Cider"=TallyDrinkType,COUNTIF($E$4:$E191,TallyBrands2)),0))),INDEX(TallyBrands3,MATCH(0, _xlfn.IFS("Beer"=TallyDrinkType,COUNTIF($E$4:$E191,TallyBrands3),"Cider"=TallyDrinkType,COUNTIF($E$4:$E191,TallyBrands3)),0))),"")</f>
        <v>Cotswold Brew Co</v>
      </c>
      <c r="F192" s="228">
        <f t="shared" si="14"/>
        <v>1</v>
      </c>
      <c r="G192" s="195">
        <f t="shared" si="11"/>
        <v>0</v>
      </c>
      <c r="H192" s="230">
        <f t="shared" si="12"/>
        <v>7</v>
      </c>
      <c r="I192" s="220"/>
    </row>
    <row r="193" spans="2:9" ht="15" x14ac:dyDescent="0.15">
      <c r="B193" s="226" t="str" cm="1">
        <f t="array" ref="B193">IFERROR(IFERROR(IFERROR(INDEX(TallyBrands, MATCH(0, COUNTIF(B$4:$B192, TallyBrands), 0)), INDEX(TallyBrands2, MATCH(0, COUNTIF(B$4:$B192, TallyBrands2), 0))), INDEX(TallyBrands3, MATCH(0, COUNTIF(B$4:$B192, TallyBrands3), 0))),"")</f>
        <v>Adeletto</v>
      </c>
      <c r="C193" s="113"/>
      <c r="E193" s="186" t="str" cm="1">
        <f t="array" ref="E193">IFERROR(IFERROR(IFERROR(INDEX(TallyBrands,MATCH(0, _xlfn.IFS("Beer"=TallyDrinkType,COUNTIF($E$4:$E192,TallyBrands),"Cider"=TallyDrinkType,COUNTIF($E$4:$E192,TallyBrands)),0)),INDEX(TallyBrands2,MATCH(0, _xlfn.IFS("Beer"=TallyDrinkType,COUNTIF($E$4:$E192,TallyBrands2),"Cider"=TallyDrinkType,COUNTIF($E$4:$E192,TallyBrands2)),0))),INDEX(TallyBrands3,MATCH(0, _xlfn.IFS("Beer"=TallyDrinkType,COUNTIF($E$4:$E192,TallyBrands3),"Cider"=TallyDrinkType,COUNTIF($E$4:$E192,TallyBrands3)),0))),"")</f>
        <v>Sol</v>
      </c>
      <c r="F193" s="228">
        <f t="shared" si="14"/>
        <v>1</v>
      </c>
      <c r="G193" s="195">
        <f t="shared" si="11"/>
        <v>0</v>
      </c>
      <c r="H193" s="230">
        <f t="shared" si="12"/>
        <v>6.5</v>
      </c>
      <c r="I193" s="220"/>
    </row>
    <row r="194" spans="2:9" ht="15" x14ac:dyDescent="0.15">
      <c r="B194" s="226" t="str" cm="1">
        <f t="array" ref="B194">IFERROR(IFERROR(IFERROR(INDEX(TallyBrands, MATCH(0, COUNTIF(B$4:$B193, TallyBrands), 0)), INDEX(TallyBrands2, MATCH(0, COUNTIF(B$4:$B193, TallyBrands2), 0))), INDEX(TallyBrands3, MATCH(0, COUNTIF(B$4:$B193, TallyBrands3), 0))),"")</f>
        <v>Hooch</v>
      </c>
      <c r="C194" s="113"/>
      <c r="E194" s="186" t="str" cm="1">
        <f t="array" ref="E194">IFERROR(IFERROR(IFERROR(INDEX(TallyBrands,MATCH(0, _xlfn.IFS("Beer"=TallyDrinkType,COUNTIF($E$4:$E193,TallyBrands),"Cider"=TallyDrinkType,COUNTIF($E$4:$E193,TallyBrands)),0)),INDEX(TallyBrands2,MATCH(0, _xlfn.IFS("Beer"=TallyDrinkType,COUNTIF($E$4:$E193,TallyBrands2),"Cider"=TallyDrinkType,COUNTIF($E$4:$E193,TallyBrands2)),0))),INDEX(TallyBrands3,MATCH(0, _xlfn.IFS("Beer"=TallyDrinkType,COUNTIF($E$4:$E193,TallyBrands3),"Cider"=TallyDrinkType,COUNTIF($E$4:$E193,TallyBrands3)),0))),"")</f>
        <v>Angry Orchard</v>
      </c>
      <c r="F194" s="228">
        <f t="shared" si="14"/>
        <v>2</v>
      </c>
      <c r="G194" s="195">
        <f t="shared" si="11"/>
        <v>0</v>
      </c>
      <c r="H194" s="230">
        <f t="shared" si="12"/>
        <v>7.75</v>
      </c>
      <c r="I194" s="220"/>
    </row>
    <row r="195" spans="2:9" ht="15" x14ac:dyDescent="0.15">
      <c r="B195" s="226" t="str" cm="1">
        <f t="array" ref="B195">IFERROR(IFERROR(IFERROR(INDEX(TallyBrands, MATCH(0, COUNTIF(B$4:$B194, TallyBrands), 0)), INDEX(TallyBrands2, MATCH(0, COUNTIF(B$4:$B194, TallyBrands2), 0))), INDEX(TallyBrands3, MATCH(0, COUNTIF(B$4:$B194, TallyBrands3), 0))),"")</f>
        <v>Williams Bros. Brewing Co</v>
      </c>
      <c r="C195" s="113"/>
      <c r="E195" s="186" t="str" cm="1">
        <f t="array" ref="E195">IFERROR(IFERROR(IFERROR(INDEX(TallyBrands,MATCH(0, _xlfn.IFS("Beer"=TallyDrinkType,COUNTIF($E$4:$E194,TallyBrands),"Cider"=TallyDrinkType,COUNTIF($E$4:$E194,TallyBrands)),0)),INDEX(TallyBrands2,MATCH(0, _xlfn.IFS("Beer"=TallyDrinkType,COUNTIF($E$4:$E194,TallyBrands2),"Cider"=TallyDrinkType,COUNTIF($E$4:$E194,TallyBrands2)),0))),INDEX(TallyBrands3,MATCH(0, _xlfn.IFS("Beer"=TallyDrinkType,COUNTIF($E$4:$E194,TallyBrands3),"Cider"=TallyDrinkType,COUNTIF($E$4:$E194,TallyBrands3)),0))),"")</f>
        <v>Stone</v>
      </c>
      <c r="F195" s="228">
        <f t="shared" si="14"/>
        <v>1</v>
      </c>
      <c r="G195" s="195">
        <f t="shared" si="11"/>
        <v>0</v>
      </c>
      <c r="H195" s="230">
        <f t="shared" si="12"/>
        <v>7</v>
      </c>
      <c r="I195" s="220"/>
    </row>
    <row r="196" spans="2:9" ht="15" x14ac:dyDescent="0.15">
      <c r="B196" s="226" t="str" cm="1">
        <f t="array" ref="B196">IFERROR(IFERROR(IFERROR(INDEX(TallyBrands, MATCH(0, COUNTIF(B$4:$B195, TallyBrands), 0)), INDEX(TallyBrands2, MATCH(0, COUNTIF(B$4:$B195, TallyBrands2), 0))), INDEX(TallyBrands3, MATCH(0, COUNTIF(B$4:$B195, TallyBrands3), 0))),"")</f>
        <v>Moor Beer Company</v>
      </c>
      <c r="C196" s="113"/>
      <c r="E196" s="186" t="str" cm="1">
        <f t="array" ref="E196">IFERROR(IFERROR(IFERROR(INDEX(TallyBrands,MATCH(0, _xlfn.IFS("Beer"=TallyDrinkType,COUNTIF($E$4:$E195,TallyBrands),"Cider"=TallyDrinkType,COUNTIF($E$4:$E195,TallyBrands)),0)),INDEX(TallyBrands2,MATCH(0, _xlfn.IFS("Beer"=TallyDrinkType,COUNTIF($E$4:$E195,TallyBrands2),"Cider"=TallyDrinkType,COUNTIF($E$4:$E195,TallyBrands2)),0))),INDEX(TallyBrands3,MATCH(0, _xlfn.IFS("Beer"=TallyDrinkType,COUNTIF($E$4:$E195,TallyBrands3),"Cider"=TallyDrinkType,COUNTIF($E$4:$E195,TallyBrands3)),0))),"")</f>
        <v>Against The Grain</v>
      </c>
      <c r="F196" s="228">
        <f t="shared" si="14"/>
        <v>2</v>
      </c>
      <c r="G196" s="195">
        <f t="shared" si="11"/>
        <v>0</v>
      </c>
      <c r="H196" s="230">
        <f t="shared" si="12"/>
        <v>5</v>
      </c>
      <c r="I196" s="220"/>
    </row>
    <row r="197" spans="2:9" ht="15" x14ac:dyDescent="0.15">
      <c r="B197" s="226" t="str" cm="1">
        <f t="array" ref="B197">IFERROR(IFERROR(IFERROR(INDEX(TallyBrands, MATCH(0, COUNTIF(B$4:$B196, TallyBrands), 0)), INDEX(TallyBrands2, MATCH(0, COUNTIF(B$4:$B196, TallyBrands2), 0))), INDEX(TallyBrands3, MATCH(0, COUNTIF(B$4:$B196, TallyBrands3), 0))),"")</f>
        <v>Anspach &amp; Hobday</v>
      </c>
      <c r="C197" s="113"/>
      <c r="E197" s="186" t="str" cm="1">
        <f t="array" ref="E197">IFERROR(IFERROR(IFERROR(INDEX(TallyBrands,MATCH(0, _xlfn.IFS("Beer"=TallyDrinkType,COUNTIF($E$4:$E196,TallyBrands),"Cider"=TallyDrinkType,COUNTIF($E$4:$E196,TallyBrands)),0)),INDEX(TallyBrands2,MATCH(0, _xlfn.IFS("Beer"=TallyDrinkType,COUNTIF($E$4:$E196,TallyBrands2),"Cider"=TallyDrinkType,COUNTIF($E$4:$E196,TallyBrands2)),0))),INDEX(TallyBrands3,MATCH(0, _xlfn.IFS("Beer"=TallyDrinkType,COUNTIF($E$4:$E196,TallyBrands3),"Cider"=TallyDrinkType,COUNTIF($E$4:$E196,TallyBrands3)),0))),"")</f>
        <v>Porterhouse</v>
      </c>
      <c r="F197" s="228">
        <f t="shared" si="14"/>
        <v>1</v>
      </c>
      <c r="G197" s="195">
        <f t="shared" ref="G197:G207" si="15">COUNTIFS(TallyBrands,$E197,TallyBrands2,"&lt;&gt;")+COUNTIFS(TallyBrands2,$E197,TallyBrands,"&lt;&gt;")+COUNTIFS(TallyBrands3,$E197,TallyBrands2,"&lt;&gt;",TallyBrands,"&lt;&gt;")</f>
        <v>0</v>
      </c>
      <c r="H197" s="230">
        <f t="shared" ref="H197:H207" si="16">(SUMIFS(TallyScore,TallyBrands,$E197,TallyDrinkType,"Beer")+SUMIFS(TallyScore,TallyBrands,$E197,TallyDrinkType,"Cider")+SUMIFS(TallyScore,TallyBrands2,$E197,TallyDrinkType,"Beer")+SUMIFS(TallyScore,TallyBrands2,$E197,TallyDrinkType,"Cider")+SUMIFS(TallyScore,TallyBrands3,$E197,TallyDrinkType,"Beer")+SUMIFS(TallyScore,TallyBrands3,$E197,TallyDrinkType,"Cider"))/$F197</f>
        <v>6</v>
      </c>
      <c r="I197" s="220"/>
    </row>
    <row r="198" spans="2:9" ht="15" x14ac:dyDescent="0.15">
      <c r="B198" s="226" t="str" cm="1">
        <f t="array" ref="B198">IFERROR(IFERROR(IFERROR(INDEX(TallyBrands, MATCH(0, COUNTIF(B$4:$B197, TallyBrands), 0)), INDEX(TallyBrands2, MATCH(0, COUNTIF(B$4:$B197, TallyBrands2), 0))), INDEX(TallyBrands3, MATCH(0, COUNTIF(B$4:$B197, TallyBrands3), 0))),"")</f>
        <v>Brooklyn</v>
      </c>
      <c r="C198" s="113"/>
      <c r="E198" s="186" t="str" cm="1">
        <f t="array" ref="E198">IFERROR(IFERROR(IFERROR(INDEX(TallyBrands,MATCH(0, _xlfn.IFS("Beer"=TallyDrinkType,COUNTIF($E$4:$E197,TallyBrands),"Cider"=TallyDrinkType,COUNTIF($E$4:$E197,TallyBrands)),0)),INDEX(TallyBrands2,MATCH(0, _xlfn.IFS("Beer"=TallyDrinkType,COUNTIF($E$4:$E197,TallyBrands2),"Cider"=TallyDrinkType,COUNTIF($E$4:$E197,TallyBrands2)),0))),INDEX(TallyBrands3,MATCH(0, _xlfn.IFS("Beer"=TallyDrinkType,COUNTIF($E$4:$E197,TallyBrands3),"Cider"=TallyDrinkType,COUNTIF($E$4:$E197,TallyBrands3)),0))),"")</f>
        <v>Mayfield</v>
      </c>
      <c r="F198" s="228">
        <f t="shared" si="14"/>
        <v>1</v>
      </c>
      <c r="G198" s="195">
        <f t="shared" si="15"/>
        <v>0</v>
      </c>
      <c r="H198" s="230">
        <f t="shared" si="16"/>
        <v>4</v>
      </c>
      <c r="I198" s="220"/>
    </row>
    <row r="199" spans="2:9" ht="15" x14ac:dyDescent="0.15">
      <c r="B199" s="226" t="str" cm="1">
        <f t="array" ref="B199">IFERROR(IFERROR(IFERROR(INDEX(TallyBrands, MATCH(0, COUNTIF(B$4:$B198, TallyBrands), 0)), INDEX(TallyBrands2, MATCH(0, COUNTIF(B$4:$B198, TallyBrands2), 0))), INDEX(TallyBrands3, MATCH(0, COUNTIF(B$4:$B198, TallyBrands3), 0))),"")</f>
        <v>Brouwerij Frontaal</v>
      </c>
      <c r="C199" s="113"/>
      <c r="E199" s="186" t="str" cm="1">
        <f t="array" ref="E199">IFERROR(IFERROR(IFERROR(INDEX(TallyBrands,MATCH(0, _xlfn.IFS("Beer"=TallyDrinkType,COUNTIF($E$4:$E198,TallyBrands),"Cider"=TallyDrinkType,COUNTIF($E$4:$E198,TallyBrands)),0)),INDEX(TallyBrands2,MATCH(0, _xlfn.IFS("Beer"=TallyDrinkType,COUNTIF($E$4:$E198,TallyBrands2),"Cider"=TallyDrinkType,COUNTIF($E$4:$E198,TallyBrands2)),0))),INDEX(TallyBrands3,MATCH(0, _xlfn.IFS("Beer"=TallyDrinkType,COUNTIF($E$4:$E198,TallyBrands3),"Cider"=TallyDrinkType,COUNTIF($E$4:$E198,TallyBrands3)),0))),"")</f>
        <v>Badger</v>
      </c>
      <c r="F199" s="228">
        <f t="shared" si="14"/>
        <v>1</v>
      </c>
      <c r="G199" s="195">
        <f t="shared" si="15"/>
        <v>0</v>
      </c>
      <c r="H199" s="230">
        <f t="shared" si="16"/>
        <v>7.5</v>
      </c>
      <c r="I199" s="220"/>
    </row>
    <row r="200" spans="2:9" ht="15" x14ac:dyDescent="0.15">
      <c r="B200" s="226" t="str" cm="1">
        <f t="array" ref="B200">IFERROR(IFERROR(IFERROR(INDEX(TallyBrands, MATCH(0, COUNTIF(B$4:$B199, TallyBrands), 0)), INDEX(TallyBrands2, MATCH(0, COUNTIF(B$4:$B199, TallyBrands2), 0))), INDEX(TallyBrands3, MATCH(0, COUNTIF(B$4:$B199, TallyBrands3), 0))),"")</f>
        <v>Black Sheep Brewery</v>
      </c>
      <c r="C200" s="113"/>
      <c r="E200" s="223" t="str" cm="1">
        <f t="array" ref="E200">IFERROR(IFERROR(IFERROR(INDEX(TallyBrands,MATCH(0, _xlfn.IFS("Beer"=TallyDrinkType,COUNTIF($E$4:$E199,TallyBrands),"Cider"=TallyDrinkType,COUNTIF($E$4:$E199,TallyBrands)),0)),INDEX(TallyBrands2,MATCH(0, _xlfn.IFS("Beer"=TallyDrinkType,COUNTIF($E$4:$E199,TallyBrands2),"Cider"=TallyDrinkType,COUNTIF($E$4:$E199,TallyBrands2)),0))),INDEX(TallyBrands3,MATCH(0, _xlfn.IFS("Beer"=TallyDrinkType,COUNTIF($E$4:$E199,TallyBrands3),"Cider"=TallyDrinkType,COUNTIF($E$4:$E199,TallyBrands3)),0))),"")</f>
        <v>Burning Sky</v>
      </c>
      <c r="F200" s="228">
        <f t="shared" si="14"/>
        <v>1</v>
      </c>
      <c r="G200" s="195">
        <f t="shared" si="15"/>
        <v>0</v>
      </c>
      <c r="H200" s="230">
        <f t="shared" si="16"/>
        <v>7</v>
      </c>
      <c r="I200" s="220"/>
    </row>
    <row r="201" spans="2:9" ht="15" x14ac:dyDescent="0.15">
      <c r="B201" s="226" t="str" cm="1">
        <f t="array" ref="B201">IFERROR(IFERROR(IFERROR(INDEX(TallyBrands, MATCH(0, COUNTIF(B$4:$B200, TallyBrands), 0)), INDEX(TallyBrands2, MATCH(0, COUNTIF(B$4:$B200, TallyBrands2), 0))), INDEX(TallyBrands3, MATCH(0, COUNTIF(B$4:$B200, TallyBrands3), 0))),"")</f>
        <v>Bad Co.</v>
      </c>
      <c r="C201" s="113"/>
      <c r="E201" s="223" t="str" cm="1">
        <f t="array" ref="E201">IFERROR(IFERROR(IFERROR(INDEX(TallyBrands,MATCH(0, _xlfn.IFS("Beer"=TallyDrinkType,COUNTIF($E$4:$E200,TallyBrands),"Cider"=TallyDrinkType,COUNTIF($E$4:$E200,TallyBrands)),0)),INDEX(TallyBrands2,MATCH(0, _xlfn.IFS("Beer"=TallyDrinkType,COUNTIF($E$4:$E200,TallyBrands2),"Cider"=TallyDrinkType,COUNTIF($E$4:$E200,TallyBrands2)),0))),INDEX(TallyBrands3,MATCH(0, _xlfn.IFS("Beer"=TallyDrinkType,COUNTIF($E$4:$E200,TallyBrands3),"Cider"=TallyDrinkType,COUNTIF($E$4:$E200,TallyBrands3)),0))),"")</f>
        <v>The Brewing Projekt</v>
      </c>
      <c r="F201" s="228">
        <f t="shared" si="14"/>
        <v>2</v>
      </c>
      <c r="G201" s="195">
        <f t="shared" si="15"/>
        <v>0</v>
      </c>
      <c r="H201" s="230">
        <f t="shared" si="16"/>
        <v>8.5</v>
      </c>
      <c r="I201" s="220"/>
    </row>
    <row r="202" spans="2:9" ht="15" x14ac:dyDescent="0.15">
      <c r="B202" s="226" t="str" cm="1">
        <f t="array" ref="B202">IFERROR(IFERROR(IFERROR(INDEX(TallyBrands, MATCH(0, COUNTIF(B$4:$B201, TallyBrands), 0)), INDEX(TallyBrands2, MATCH(0, COUNTIF(B$4:$B201, TallyBrands2), 0))), INDEX(TallyBrands3, MATCH(0, COUNTIF(B$4:$B201, TallyBrands3), 0))),"")</f>
        <v>English Spirit</v>
      </c>
      <c r="C202" s="113"/>
      <c r="E202" s="223" t="str" cm="1">
        <f t="array" ref="E202">IFERROR(IFERROR(IFERROR(INDEX(TallyBrands,MATCH(0, _xlfn.IFS("Beer"=TallyDrinkType,COUNTIF($E$4:$E201,TallyBrands),"Cider"=TallyDrinkType,COUNTIF($E$4:$E201,TallyBrands)),0)),INDEX(TallyBrands2,MATCH(0, _xlfn.IFS("Beer"=TallyDrinkType,COUNTIF($E$4:$E201,TallyBrands2),"Cider"=TallyDrinkType,COUNTIF($E$4:$E201,TallyBrands2)),0))),INDEX(TallyBrands3,MATCH(0, _xlfn.IFS("Beer"=TallyDrinkType,COUNTIF($E$4:$E201,TallyBrands3),"Cider"=TallyDrinkType,COUNTIF($E$4:$E201,TallyBrands3)),0))),"")</f>
        <v>The Five Point Brewing Co.</v>
      </c>
      <c r="F202" s="228">
        <f t="shared" si="14"/>
        <v>1</v>
      </c>
      <c r="G202" s="195">
        <f t="shared" si="15"/>
        <v>0</v>
      </c>
      <c r="H202" s="230">
        <f t="shared" si="16"/>
        <v>7.5</v>
      </c>
      <c r="I202" s="220"/>
    </row>
    <row r="203" spans="2:9" ht="15" x14ac:dyDescent="0.15">
      <c r="B203" s="226" t="str" cm="1">
        <f t="array" ref="B203">IFERROR(IFERROR(IFERROR(INDEX(TallyBrands, MATCH(0, COUNTIF(B$4:$B202, TallyBrands), 0)), INDEX(TallyBrands2, MATCH(0, COUNTIF(B$4:$B202, TallyBrands2), 0))), INDEX(TallyBrands3, MATCH(0, COUNTIF(B$4:$B202, TallyBrands3), 0))),"")</f>
        <v>Sailor Jerry</v>
      </c>
      <c r="C203" s="113"/>
      <c r="E203" s="223" t="str" cm="1">
        <f t="array" ref="E203">IFERROR(IFERROR(IFERROR(INDEX(TallyBrands,MATCH(0, _xlfn.IFS("Beer"=TallyDrinkType,COUNTIF($E$4:$E202,TallyBrands),"Cider"=TallyDrinkType,COUNTIF($E$4:$E202,TallyBrands)),0)),INDEX(TallyBrands2,MATCH(0, _xlfn.IFS("Beer"=TallyDrinkType,COUNTIF($E$4:$E202,TallyBrands2),"Cider"=TallyDrinkType,COUNTIF($E$4:$E202,TallyBrands2)),0))),INDEX(TallyBrands3,MATCH(0, _xlfn.IFS("Beer"=TallyDrinkType,COUNTIF($E$4:$E202,TallyBrands3),"Cider"=TallyDrinkType,COUNTIF($E$4:$E202,TallyBrands3)),0))),"")</f>
        <v>Merrydown</v>
      </c>
      <c r="F203" s="228">
        <f t="shared" si="14"/>
        <v>1</v>
      </c>
      <c r="G203" s="195">
        <f t="shared" si="15"/>
        <v>0</v>
      </c>
      <c r="H203" s="230">
        <f t="shared" si="16"/>
        <v>6.5</v>
      </c>
      <c r="I203" s="220"/>
    </row>
    <row r="204" spans="2:9" ht="15" x14ac:dyDescent="0.15">
      <c r="B204" s="226" t="str" cm="1">
        <f t="array" ref="B204">IFERROR(IFERROR(IFERROR(INDEX(TallyBrands, MATCH(0, COUNTIF(B$4:$B203, TallyBrands), 0)), INDEX(TallyBrands2, MATCH(0, COUNTIF(B$4:$B203, TallyBrands2), 0))), INDEX(TallyBrands3, MATCH(0, COUNTIF(B$4:$B203, TallyBrands3), 0))),"")</f>
        <v>Malfy</v>
      </c>
      <c r="C204" s="113"/>
      <c r="E204" s="223" t="str" cm="1">
        <f t="array" ref="E204">IFERROR(IFERROR(IFERROR(INDEX(TallyBrands,MATCH(0, _xlfn.IFS("Beer"=TallyDrinkType,COUNTIF($E$4:$E203,TallyBrands),"Cider"=TallyDrinkType,COUNTIF($E$4:$E203,TallyBrands)),0)),INDEX(TallyBrands2,MATCH(0, _xlfn.IFS("Beer"=TallyDrinkType,COUNTIF($E$4:$E203,TallyBrands2),"Cider"=TallyDrinkType,COUNTIF($E$4:$E203,TallyBrands2)),0))),INDEX(TallyBrands3,MATCH(0, _xlfn.IFS("Beer"=TallyDrinkType,COUNTIF($E$4:$E203,TallyBrands3),"Cider"=TallyDrinkType,COUNTIF($E$4:$E203,TallyBrands3)),0))),"")</f>
        <v>Barnstormer</v>
      </c>
      <c r="F204" s="228">
        <f t="shared" si="14"/>
        <v>1</v>
      </c>
      <c r="G204" s="195">
        <f t="shared" si="15"/>
        <v>0</v>
      </c>
      <c r="H204" s="230">
        <f t="shared" si="16"/>
        <v>0</v>
      </c>
      <c r="I204" s="220"/>
    </row>
    <row r="205" spans="2:9" ht="15" x14ac:dyDescent="0.15">
      <c r="B205" s="226" t="str" cm="1">
        <f t="array" ref="B205">IFERROR(IFERROR(IFERROR(INDEX(TallyBrands, MATCH(0, COUNTIF(B$4:$B204, TallyBrands), 0)), INDEX(TallyBrands2, MATCH(0, COUNTIF(B$4:$B204, TallyBrands2), 0))), INDEX(TallyBrands3, MATCH(0, COUNTIF(B$4:$B204, TallyBrands3), 0))),"")</f>
        <v>Spitfire</v>
      </c>
      <c r="C205" s="113"/>
      <c r="E205" s="223" t="str" cm="1">
        <f t="array" ref="E205">IFERROR(IFERROR(IFERROR(INDEX(TallyBrands,MATCH(0, _xlfn.IFS("Beer"=TallyDrinkType,COUNTIF($E$4:$E204,TallyBrands),"Cider"=TallyDrinkType,COUNTIF($E$4:$E204,TallyBrands)),0)),INDEX(TallyBrands2,MATCH(0, _xlfn.IFS("Beer"=TallyDrinkType,COUNTIF($E$4:$E204,TallyBrands2),"Cider"=TallyDrinkType,COUNTIF($E$4:$E204,TallyBrands2)),0))),INDEX(TallyBrands3,MATCH(0, _xlfn.IFS("Beer"=TallyDrinkType,COUNTIF($E$4:$E204,TallyBrands3),"Cider"=TallyDrinkType,COUNTIF($E$4:$E204,TallyBrands3)),0))),"")</f>
        <v>Mason’s</v>
      </c>
      <c r="F205" s="228">
        <f t="shared" si="14"/>
        <v>1</v>
      </c>
      <c r="G205" s="195">
        <f t="shared" si="15"/>
        <v>0</v>
      </c>
      <c r="H205" s="230">
        <f t="shared" si="16"/>
        <v>6.5</v>
      </c>
      <c r="I205" s="220"/>
    </row>
    <row r="206" spans="2:9" ht="15" x14ac:dyDescent="0.15">
      <c r="B206" s="226" t="str" cm="1">
        <f t="array" ref="B206">IFERROR(IFERROR(IFERROR(INDEX(TallyBrands, MATCH(0, COUNTIF(B$4:$B205, TallyBrands), 0)), INDEX(TallyBrands2, MATCH(0, COUNTIF(B$4:$B205, TallyBrands2), 0))), INDEX(TallyBrands3, MATCH(0, COUNTIF(B$4:$B205, TallyBrands3), 0))),"")</f>
        <v>Squawk Brewing Company</v>
      </c>
      <c r="C206" s="113"/>
      <c r="E206" s="223" t="str" cm="1">
        <f t="array" ref="E206">IFERROR(IFERROR(IFERROR(INDEX(TallyBrands,MATCH(0, _xlfn.IFS("Beer"=TallyDrinkType,COUNTIF($E$4:$E205,TallyBrands),"Cider"=TallyDrinkType,COUNTIF($E$4:$E205,TallyBrands)),0)),INDEX(TallyBrands2,MATCH(0, _xlfn.IFS("Beer"=TallyDrinkType,COUNTIF($E$4:$E205,TallyBrands2),"Cider"=TallyDrinkType,COUNTIF($E$4:$E205,TallyBrands2)),0))),INDEX(TallyBrands3,MATCH(0, _xlfn.IFS("Beer"=TallyDrinkType,COUNTIF($E$4:$E205,TallyBrands3),"Cider"=TallyDrinkType,COUNTIF($E$4:$E205,TallyBrands3)),0))),"")</f>
        <v>Hatherwood Craft Beer Company</v>
      </c>
      <c r="F206" s="228">
        <f t="shared" si="14"/>
        <v>1</v>
      </c>
      <c r="G206" s="195">
        <f t="shared" si="15"/>
        <v>0</v>
      </c>
      <c r="H206" s="230">
        <f t="shared" si="16"/>
        <v>7</v>
      </c>
      <c r="I206" s="220"/>
    </row>
    <row r="207" spans="2:9" ht="15" x14ac:dyDescent="0.15">
      <c r="B207" s="226" t="str" cm="1">
        <f t="array" ref="B207">IFERROR(IFERROR(IFERROR(INDEX(TallyBrands, MATCH(0, COUNTIF(B$4:$B206, TallyBrands), 0)), INDEX(TallyBrands2, MATCH(0, COUNTIF(B$4:$B206, TallyBrands2), 0))), INDEX(TallyBrands3, MATCH(0, COUNTIF(B$4:$B206, TallyBrands3), 0))),"")</f>
        <v>Wilde Child Brewing Co.</v>
      </c>
      <c r="C207" s="113"/>
      <c r="E207" s="223" t="str" cm="1">
        <f t="array" ref="E207">IFERROR(IFERROR(IFERROR(INDEX(TallyBrands,MATCH(0, _xlfn.IFS("Beer"=TallyDrinkType,COUNTIF($E$4:$E206,TallyBrands),"Cider"=TallyDrinkType,COUNTIF($E$4:$E206,TallyBrands)),0)),INDEX(TallyBrands2,MATCH(0, _xlfn.IFS("Beer"=TallyDrinkType,COUNTIF($E$4:$E206,TallyBrands2),"Cider"=TallyDrinkType,COUNTIF($E$4:$E206,TallyBrands2)),0))),INDEX(TallyBrands3,MATCH(0, _xlfn.IFS("Beer"=TallyDrinkType,COUNTIF($E$4:$E206,TallyBrands3),"Cider"=TallyDrinkType,COUNTIF($E$4:$E206,TallyBrands3)),0))),"")</f>
        <v>Turning Point Brew Co.</v>
      </c>
      <c r="F207" s="228">
        <f t="shared" si="14"/>
        <v>2</v>
      </c>
      <c r="G207" s="195">
        <f t="shared" si="15"/>
        <v>2</v>
      </c>
      <c r="H207" s="230">
        <f t="shared" si="16"/>
        <v>4.5</v>
      </c>
      <c r="I207" s="220"/>
    </row>
    <row r="208" spans="2:9" ht="16" thickBot="1" x14ac:dyDescent="0.2">
      <c r="B208" s="226" t="str" cm="1">
        <f t="array" ref="B208">IFERROR(IFERROR(IFERROR(INDEX(TallyBrands, MATCH(0, COUNTIF(B$4:$B207, TallyBrands), 0)), INDEX(TallyBrands2, MATCH(0, COUNTIF(B$4:$B207, TallyBrands2), 0))), INDEX(TallyBrands3, MATCH(0, COUNTIF(B$4:$B207, TallyBrands3), 0))),"")</f>
        <v>Camerons</v>
      </c>
      <c r="C208" s="113"/>
      <c r="E208" s="223"/>
      <c r="F208" s="228"/>
      <c r="G208" s="195"/>
      <c r="H208" s="230"/>
      <c r="I208" s="220"/>
    </row>
    <row r="209" spans="2:9" ht="15" x14ac:dyDescent="0.15">
      <c r="B209" s="226" t="str" cm="1">
        <f t="array" ref="B209">IFERROR(IFERROR(IFERROR(INDEX(TallyBrands, MATCH(0, COUNTIF(B$4:$B208, TallyBrands), 0)), INDEX(TallyBrands2, MATCH(0, COUNTIF(B$4:$B208, TallyBrands2), 0))), INDEX(TallyBrands3, MATCH(0, COUNTIF(B$4:$B208, TallyBrands3), 0))),"")</f>
        <v>Kraken</v>
      </c>
      <c r="C209" s="113"/>
      <c r="E209" s="223" t="str" cm="1">
        <f t="array" ref="E209">IFERROR(IFERROR(IFERROR(INDEX(TallyBrands,MATCH(0, _xlfn.IFS("Beer"=TallyDrinkType,COUNTIF($E$4:$E208,TallyBrands),"Cider"=TallyDrinkType,COUNTIF($E$4:$E208,TallyBrands)),0)),INDEX(TallyBrands2,MATCH(0, _xlfn.IFS("Beer"=TallyDrinkType,COUNTIF($E$4:$E208,TallyBrands2),"Cider"=TallyDrinkType,COUNTIF($E$4:$E208,TallyBrands2)),0))),INDEX(TallyBrands3,MATCH(0, _xlfn.IFS("Beer"=TallyDrinkType,COUNTIF($E$4:$E208,TallyBrands3),"Cider"=TallyDrinkType,COUNTIF($E$4:$E208,TallyBrands3)),0))),"")</f>
        <v>älska</v>
      </c>
      <c r="F209" s="199"/>
      <c r="G209" s="194"/>
      <c r="H209" s="218"/>
      <c r="I209" s="220"/>
    </row>
    <row r="210" spans="2:9" ht="15" x14ac:dyDescent="0.15">
      <c r="B210" s="226" t="str" cm="1">
        <f t="array" ref="B210">IFERROR(IFERROR(IFERROR(INDEX(TallyBrands, MATCH(0, COUNTIF(B$4:$B209, TallyBrands), 0)), INDEX(TallyBrands2, MATCH(0, COUNTIF(B$4:$B209, TallyBrands2), 0))), INDEX(TallyBrands3, MATCH(0, COUNTIF(B$4:$B209, TallyBrands3), 0))),"")</f>
        <v>Martini</v>
      </c>
      <c r="C210" s="113"/>
      <c r="E210" s="223" t="str" cm="1">
        <f t="array" ref="E210">IFERROR(IFERROR(IFERROR(INDEX(TallyBrands,MATCH(0, _xlfn.IFS("Beer"=TallyDrinkType,COUNTIF($E$4:$E209,TallyBrands),"Cider"=TallyDrinkType,COUNTIF($E$4:$E209,TallyBrands)),0)),INDEX(TallyBrands2,MATCH(0, _xlfn.IFS("Beer"=TallyDrinkType,COUNTIF($E$4:$E209,TallyBrands2),"Cider"=TallyDrinkType,COUNTIF($E$4:$E209,TallyBrands2)),0))),INDEX(TallyBrands3,MATCH(0, _xlfn.IFS("Beer"=TallyDrinkType,COUNTIF($E$4:$E209,TallyBrands3),"Cider"=TallyDrinkType,COUNTIF($E$4:$E209,TallyBrands3)),0))),"")</f>
        <v>Stiegl</v>
      </c>
      <c r="F210" s="200"/>
      <c r="G210" s="195"/>
      <c r="H210" s="219"/>
      <c r="I210" s="220"/>
    </row>
    <row r="211" spans="2:9" ht="15" x14ac:dyDescent="0.15">
      <c r="B211" s="226" t="str" cm="1">
        <f t="array" ref="B211">IFERROR(IFERROR(IFERROR(INDEX(TallyBrands, MATCH(0, COUNTIF(B$4:$B210, TallyBrands), 0)), INDEX(TallyBrands2, MATCH(0, COUNTIF(B$4:$B210, TallyBrands2), 0))), INDEX(TallyBrands3, MATCH(0, COUNTIF(B$4:$B210, TallyBrands3), 0))),"")</f>
        <v>Grant's</v>
      </c>
      <c r="C211" s="113"/>
      <c r="E211" s="223" t="str" cm="1">
        <f t="array" ref="E211">IFERROR(IFERROR(IFERROR(INDEX(TallyBrands,MATCH(0, _xlfn.IFS("Beer"=TallyDrinkType,COUNTIF($E$4:$E210,TallyBrands),"Cider"=TallyDrinkType,COUNTIF($E$4:$E210,TallyBrands)),0)),INDEX(TallyBrands2,MATCH(0, _xlfn.IFS("Beer"=TallyDrinkType,COUNTIF($E$4:$E210,TallyBrands2),"Cider"=TallyDrinkType,COUNTIF($E$4:$E210,TallyBrands2)),0))),INDEX(TallyBrands3,MATCH(0, _xlfn.IFS("Beer"=TallyDrinkType,COUNTIF($E$4:$E210,TallyBrands3),"Cider"=TallyDrinkType,COUNTIF($E$4:$E210,TallyBrands3)),0))),"")</f>
        <v>Swannay Brewery</v>
      </c>
      <c r="F211" s="200"/>
      <c r="G211" s="195"/>
      <c r="H211" s="219"/>
      <c r="I211" s="220"/>
    </row>
    <row r="212" spans="2:9" ht="15" x14ac:dyDescent="0.15">
      <c r="B212" s="226" t="str" cm="1">
        <f t="array" ref="B212">IFERROR(IFERROR(IFERROR(INDEX(TallyBrands, MATCH(0, COUNTIF(B$4:$B211, TallyBrands), 0)), INDEX(TallyBrands2, MATCH(0, COUNTIF(B$4:$B211, TallyBrands2), 0))), INDEX(TallyBrands3, MATCH(0, COUNTIF(B$4:$B211, TallyBrands3), 0))),"")</f>
        <v>Glenfiddich</v>
      </c>
      <c r="C212" s="113"/>
      <c r="E212" s="223" t="str" cm="1">
        <f t="array" ref="E212">IFERROR(IFERROR(IFERROR(INDEX(TallyBrands,MATCH(0, _xlfn.IFS("Beer"=TallyDrinkType,COUNTIF($E$4:$E211,TallyBrands),"Cider"=TallyDrinkType,COUNTIF($E$4:$E211,TallyBrands)),0)),INDEX(TallyBrands2,MATCH(0, _xlfn.IFS("Beer"=TallyDrinkType,COUNTIF($E$4:$E211,TallyBrands2),"Cider"=TallyDrinkType,COUNTIF($E$4:$E211,TallyBrands2)),0))),INDEX(TallyBrands3,MATCH(0, _xlfn.IFS("Beer"=TallyDrinkType,COUNTIF($E$4:$E211,TallyBrands3),"Cider"=TallyDrinkType,COUNTIF($E$4:$E211,TallyBrands3)),0))),"")</f>
        <v>Oedipus</v>
      </c>
      <c r="F212" s="200"/>
      <c r="G212" s="195"/>
      <c r="H212" s="219"/>
      <c r="I212" s="220"/>
    </row>
    <row r="213" spans="2:9" ht="15" x14ac:dyDescent="0.15">
      <c r="B213" s="226" t="str" cm="1">
        <f t="array" ref="B213">IFERROR(IFERROR(IFERROR(INDEX(TallyBrands, MATCH(0, COUNTIF(B$4:$B212, TallyBrands), 0)), INDEX(TallyBrands2, MATCH(0, COUNTIF(B$4:$B212, TallyBrands2), 0))), INDEX(TallyBrands3, MATCH(0, COUNTIF(B$4:$B212, TallyBrands3), 0))),"")</f>
        <v>Sheep Dip</v>
      </c>
      <c r="C213" s="113"/>
      <c r="E213" s="223" t="str" cm="1">
        <f t="array" ref="E213">IFERROR(IFERROR(IFERROR(INDEX(TallyBrands,MATCH(0, _xlfn.IFS("Beer"=TallyDrinkType,COUNTIF($E$4:$E212,TallyBrands),"Cider"=TallyDrinkType,COUNTIF($E$4:$E212,TallyBrands)),0)),INDEX(TallyBrands2,MATCH(0, _xlfn.IFS("Beer"=TallyDrinkType,COUNTIF($E$4:$E212,TallyBrands2),"Cider"=TallyDrinkType,COUNTIF($E$4:$E212,TallyBrands2)),0))),INDEX(TallyBrands3,MATCH(0, _xlfn.IFS("Beer"=TallyDrinkType,COUNTIF($E$4:$E212,TallyBrands3),"Cider"=TallyDrinkType,COUNTIF($E$4:$E212,TallyBrands3)),0))),"")</f>
        <v>De Moersleutel</v>
      </c>
      <c r="F213" s="200"/>
      <c r="G213" s="195"/>
      <c r="H213" s="219"/>
      <c r="I213" s="220"/>
    </row>
    <row r="214" spans="2:9" ht="15" x14ac:dyDescent="0.15">
      <c r="B214" s="226" t="str" cm="1">
        <f t="array" ref="B214">IFERROR(IFERROR(IFERROR(INDEX(TallyBrands, MATCH(0, COUNTIF(B$4:$B213, TallyBrands), 0)), INDEX(TallyBrands2, MATCH(0, COUNTIF(B$4:$B213, TallyBrands2), 0))), INDEX(TallyBrands3, MATCH(0, COUNTIF(B$4:$B213, TallyBrands3), 0))),"")</f>
        <v>Romanetti</v>
      </c>
      <c r="C214" s="113"/>
      <c r="E214" s="223" t="str" cm="1">
        <f t="array" ref="E214">IFERROR(IFERROR(IFERROR(INDEX(TallyBrands,MATCH(0, _xlfn.IFS("Beer"=TallyDrinkType,COUNTIF($E$4:$E213,TallyBrands),"Cider"=TallyDrinkType,COUNTIF($E$4:$E213,TallyBrands)),0)),INDEX(TallyBrands2,MATCH(0, _xlfn.IFS("Beer"=TallyDrinkType,COUNTIF($E$4:$E213,TallyBrands2),"Cider"=TallyDrinkType,COUNTIF($E$4:$E213,TallyBrands2)),0))),INDEX(TallyBrands3,MATCH(0, _xlfn.IFS("Beer"=TallyDrinkType,COUNTIF($E$4:$E213,TallyBrands3),"Cider"=TallyDrinkType,COUNTIF($E$4:$E213,TallyBrands3)),0))),"")</f>
        <v>Lost+Found</v>
      </c>
      <c r="F214" s="200"/>
      <c r="G214" s="195"/>
      <c r="H214" s="219"/>
      <c r="I214" s="220"/>
    </row>
    <row r="215" spans="2:9" ht="15" x14ac:dyDescent="0.15">
      <c r="B215" s="226" t="str" cm="1">
        <f t="array" ref="B215">IFERROR(IFERROR(IFERROR(INDEX(TallyBrands, MATCH(0, COUNTIF(B$4:$B214, TallyBrands), 0)), INDEX(TallyBrands2, MATCH(0, COUNTIF(B$4:$B214, TallyBrands2), 0))), INDEX(TallyBrands3, MATCH(0, COUNTIF(B$4:$B214, TallyBrands3), 0))),"")</f>
        <v>Wainwright</v>
      </c>
      <c r="C215" s="113"/>
      <c r="E215" s="223" t="str" cm="1">
        <f t="array" ref="E215">IFERROR(IFERROR(IFERROR(INDEX(TallyBrands,MATCH(0, _xlfn.IFS("Beer"=TallyDrinkType,COUNTIF($E$4:$E214,TallyBrands),"Cider"=TallyDrinkType,COUNTIF($E$4:$E214,TallyBrands)),0)),INDEX(TallyBrands2,MATCH(0, _xlfn.IFS("Beer"=TallyDrinkType,COUNTIF($E$4:$E214,TallyBrands2),"Cider"=TallyDrinkType,COUNTIF($E$4:$E214,TallyBrands2)),0))),INDEX(TallyBrands3,MATCH(0, _xlfn.IFS("Beer"=TallyDrinkType,COUNTIF($E$4:$E214,TallyBrands3),"Cider"=TallyDrinkType,COUNTIF($E$4:$E214,TallyBrands3)),0))),"")</f>
        <v>Brouwerij Kees</v>
      </c>
      <c r="F215" s="200"/>
      <c r="G215" s="195"/>
      <c r="H215" s="219"/>
      <c r="I215" s="220"/>
    </row>
    <row r="216" spans="2:9" ht="15" x14ac:dyDescent="0.15">
      <c r="B216" s="226" t="str" cm="1">
        <f t="array" ref="B216">IFERROR(IFERROR(IFERROR(INDEX(TallyBrands, MATCH(0, COUNTIF(B$4:$B215, TallyBrands), 0)), INDEX(TallyBrands2, MATCH(0, COUNTIF(B$4:$B215, TallyBrands2), 0))), INDEX(TallyBrands3, MATCH(0, COUNTIF(B$4:$B215, TallyBrands3), 0))),"")</f>
        <v>Otter</v>
      </c>
      <c r="C216" s="113"/>
      <c r="E216" s="223" t="str" cm="1">
        <f t="array" ref="E216">IFERROR(IFERROR(IFERROR(INDEX(TallyBrands,MATCH(0, _xlfn.IFS("Beer"=TallyDrinkType,COUNTIF($E$4:$E215,TallyBrands),"Cider"=TallyDrinkType,COUNTIF($E$4:$E215,TallyBrands)),0)),INDEX(TallyBrands2,MATCH(0, _xlfn.IFS("Beer"=TallyDrinkType,COUNTIF($E$4:$E215,TallyBrands2),"Cider"=TallyDrinkType,COUNTIF($E$4:$E215,TallyBrands2)),0))),INDEX(TallyBrands3,MATCH(0, _xlfn.IFS("Beer"=TallyDrinkType,COUNTIF($E$4:$E215,TallyBrands3),"Cider"=TallyDrinkType,COUNTIF($E$4:$E215,TallyBrands3)),0))),"")</f>
        <v>Buckhorn Brewery</v>
      </c>
      <c r="F216" s="200"/>
      <c r="G216" s="195"/>
      <c r="H216" s="219"/>
      <c r="I216" s="220"/>
    </row>
    <row r="217" spans="2:9" ht="15" x14ac:dyDescent="0.15">
      <c r="B217" s="226" t="str" cm="1">
        <f t="array" ref="B217">IFERROR(IFERROR(IFERROR(INDEX(TallyBrands, MATCH(0, COUNTIF(B$4:$B216, TallyBrands), 0)), INDEX(TallyBrands2, MATCH(0, COUNTIF(B$4:$B216, TallyBrands2), 0))), INDEX(TallyBrands3, MATCH(0, COUNTIF(B$4:$B216, TallyBrands3), 0))),"")</f>
        <v>Henney's</v>
      </c>
      <c r="C217" s="113"/>
      <c r="E217" s="223" t="str" cm="1">
        <f t="array" ref="E217">IFERROR(IFERROR(IFERROR(INDEX(TallyBrands,MATCH(0, _xlfn.IFS("Beer"=TallyDrinkType,COUNTIF($E$4:$E216,TallyBrands),"Cider"=TallyDrinkType,COUNTIF($E$4:$E216,TallyBrands)),0)),INDEX(TallyBrands2,MATCH(0, _xlfn.IFS("Beer"=TallyDrinkType,COUNTIF($E$4:$E216,TallyBrands2),"Cider"=TallyDrinkType,COUNTIF($E$4:$E216,TallyBrands2)),0))),INDEX(TallyBrands3,MATCH(0, _xlfn.IFS("Beer"=TallyDrinkType,COUNTIF($E$4:$E216,TallyBrands3),"Cider"=TallyDrinkType,COUNTIF($E$4:$E216,TallyBrands3)),0))),"")</f>
        <v>Annings Fruit Cider</v>
      </c>
      <c r="F217" s="200"/>
      <c r="G217" s="195"/>
      <c r="H217" s="219"/>
      <c r="I217" s="220"/>
    </row>
    <row r="218" spans="2:9" ht="15" x14ac:dyDescent="0.15">
      <c r="B218" s="226" t="str" cm="1">
        <f t="array" ref="B218">IFERROR(IFERROR(IFERROR(INDEX(TallyBrands, MATCH(0, COUNTIF(B$4:$B217, TallyBrands), 0)), INDEX(TallyBrands2, MATCH(0, COUNTIF(B$4:$B217, TallyBrands2), 0))), INDEX(TallyBrands3, MATCH(0, COUNTIF(B$4:$B217, TallyBrands3), 0))),"")</f>
        <v>Kahlúa</v>
      </c>
      <c r="C218" s="113"/>
      <c r="E218" s="223" t="str" cm="1">
        <f t="array" ref="E218">IFERROR(IFERROR(IFERROR(INDEX(TallyBrands,MATCH(0, _xlfn.IFS("Beer"=TallyDrinkType,COUNTIF($E$4:$E217,TallyBrands),"Cider"=TallyDrinkType,COUNTIF($E$4:$E217,TallyBrands)),0)),INDEX(TallyBrands2,MATCH(0, _xlfn.IFS("Beer"=TallyDrinkType,COUNTIF($E$4:$E217,TallyBrands2),"Cider"=TallyDrinkType,COUNTIF($E$4:$E217,TallyBrands2)),0))),INDEX(TallyBrands3,MATCH(0, _xlfn.IFS("Beer"=TallyDrinkType,COUNTIF($E$4:$E217,TallyBrands3),"Cider"=TallyDrinkType,COUNTIF($E$4:$E217,TallyBrands3)),0))),"")</f>
        <v>Cornish Scrumpy</v>
      </c>
      <c r="F218" s="200"/>
      <c r="G218" s="195"/>
      <c r="H218" s="219"/>
      <c r="I218" s="220"/>
    </row>
    <row r="219" spans="2:9" ht="15" x14ac:dyDescent="0.15">
      <c r="B219" s="226" t="str" cm="1">
        <f t="array" ref="B219">IFERROR(IFERROR(IFERROR(INDEX(TallyBrands, MATCH(0, COUNTIF(B$4:$B218, TallyBrands), 0)), INDEX(TallyBrands2, MATCH(0, COUNTIF(B$4:$B218, TallyBrands2), 0))), INDEX(TallyBrands3, MATCH(0, COUNTIF(B$4:$B218, TallyBrands3), 0))),"")</f>
        <v>Glenkinchie</v>
      </c>
      <c r="C219" s="113"/>
      <c r="E219" s="223" t="str" cm="1">
        <f t="array" ref="E219">IFERROR(IFERROR(IFERROR(INDEX(TallyBrands,MATCH(0, _xlfn.IFS("Beer"=TallyDrinkType,COUNTIF($E$4:$E218,TallyBrands),"Cider"=TallyDrinkType,COUNTIF($E$4:$E218,TallyBrands)),0)),INDEX(TallyBrands2,MATCH(0, _xlfn.IFS("Beer"=TallyDrinkType,COUNTIF($E$4:$E218,TallyBrands2),"Cider"=TallyDrinkType,COUNTIF($E$4:$E218,TallyBrands2)),0))),INDEX(TallyBrands3,MATCH(0, _xlfn.IFS("Beer"=TallyDrinkType,COUNTIF($E$4:$E218,TallyBrands3),"Cider"=TallyDrinkType,COUNTIF($E$4:$E218,TallyBrands3)),0))),"")</f>
        <v>Courtney's Cider</v>
      </c>
      <c r="F219" s="200"/>
      <c r="G219" s="195"/>
      <c r="H219" s="219"/>
      <c r="I219" s="220"/>
    </row>
    <row r="220" spans="2:9" ht="15" x14ac:dyDescent="0.15">
      <c r="B220" s="226" t="str" cm="1">
        <f t="array" ref="B220">IFERROR(IFERROR(IFERROR(INDEX(TallyBrands, MATCH(0, COUNTIF(B$4:$B219, TallyBrands), 0)), INDEX(TallyBrands2, MATCH(0, COUNTIF(B$4:$B219, TallyBrands2), 0))), INDEX(TallyBrands3, MATCH(0, COUNTIF(B$4:$B219, TallyBrands3), 0))),"")</f>
        <v>Brewhive</v>
      </c>
      <c r="C220" s="113"/>
      <c r="E220" s="223" t="str" cm="1">
        <f t="array" ref="E220">IFERROR(IFERROR(IFERROR(INDEX(TallyBrands,MATCH(0, _xlfn.IFS("Beer"=TallyDrinkType,COUNTIF($E$4:$E219,TallyBrands),"Cider"=TallyDrinkType,COUNTIF($E$4:$E219,TallyBrands)),0)),INDEX(TallyBrands2,MATCH(0, _xlfn.IFS("Beer"=TallyDrinkType,COUNTIF($E$4:$E219,TallyBrands2),"Cider"=TallyDrinkType,COUNTIF($E$4:$E219,TallyBrands2)),0))),INDEX(TallyBrands3,MATCH(0, _xlfn.IFS("Beer"=TallyDrinkType,COUNTIF($E$4:$E219,TallyBrands3),"Cider"=TallyDrinkType,COUNTIF($E$4:$E219,TallyBrands3)),0))),"")</f>
        <v>Dorest Nectar</v>
      </c>
      <c r="F220" s="200"/>
      <c r="G220" s="195"/>
      <c r="H220" s="219"/>
      <c r="I220" s="220"/>
    </row>
    <row r="221" spans="2:9" ht="15" x14ac:dyDescent="0.15">
      <c r="B221" s="226" t="str" cm="1">
        <f t="array" ref="B221">IFERROR(IFERROR(IFERROR(INDEX(TallyBrands, MATCH(0, COUNTIF(B$4:$B220, TallyBrands), 0)), INDEX(TallyBrands2, MATCH(0, COUNTIF(B$4:$B220, TallyBrands2), 0))), INDEX(TallyBrands3, MATCH(0, COUNTIF(B$4:$B220, TallyBrands3), 0))),"")</f>
        <v>Tyskie</v>
      </c>
      <c r="C221" s="113"/>
      <c r="E221" s="223" t="str" cm="1">
        <f t="array" ref="E221">IFERROR(IFERROR(IFERROR(INDEX(TallyBrands,MATCH(0, _xlfn.IFS("Beer"=TallyDrinkType,COUNTIF($E$4:$E220,TallyBrands),"Cider"=TallyDrinkType,COUNTIF($E$4:$E220,TallyBrands)),0)),INDEX(TallyBrands2,MATCH(0, _xlfn.IFS("Beer"=TallyDrinkType,COUNTIF($E$4:$E220,TallyBrands2),"Cider"=TallyDrinkType,COUNTIF($E$4:$E220,TallyBrands2)),0))),INDEX(TallyBrands3,MATCH(0, _xlfn.IFS("Beer"=TallyDrinkType,COUNTIF($E$4:$E220,TallyBrands3),"Cider"=TallyDrinkType,COUNTIF($E$4:$E220,TallyBrands3)),0))),"")</f>
        <v>Wye Valley Brewery</v>
      </c>
      <c r="F221" s="200"/>
      <c r="G221" s="195"/>
      <c r="H221" s="219"/>
      <c r="I221" s="220"/>
    </row>
    <row r="222" spans="2:9" ht="15" x14ac:dyDescent="0.15">
      <c r="B222" s="226" t="str" cm="1">
        <f t="array" ref="B222">IFERROR(IFERROR(IFERROR(INDEX(TallyBrands, MATCH(0, COUNTIF(B$4:$B221, TallyBrands), 0)), INDEX(TallyBrands2, MATCH(0, COUNTIF(B$4:$B221, TallyBrands2), 0))), INDEX(TallyBrands3, MATCH(0, COUNTIF(B$4:$B221, TallyBrands3), 0))),"")</f>
        <v>Shuda</v>
      </c>
      <c r="C222" s="113"/>
      <c r="E222" s="223" t="str" cm="1">
        <f t="array" ref="E222">IFERROR(IFERROR(IFERROR(INDEX(TallyBrands,MATCH(0, _xlfn.IFS("Beer"=TallyDrinkType,COUNTIF($E$4:$E221,TallyBrands),"Cider"=TallyDrinkType,COUNTIF($E$4:$E221,TallyBrands)),0)),INDEX(TallyBrands2,MATCH(0, _xlfn.IFS("Beer"=TallyDrinkType,COUNTIF($E$4:$E221,TallyBrands2),"Cider"=TallyDrinkType,COUNTIF($E$4:$E221,TallyBrands2)),0))),INDEX(TallyBrands3,MATCH(0, _xlfn.IFS("Beer"=TallyDrinkType,COUNTIF($E$4:$E221,TallyBrands3),"Cider"=TallyDrinkType,COUNTIF($E$4:$E221,TallyBrands3)),0))),"")</f>
        <v>Frapple</v>
      </c>
      <c r="F222" s="200"/>
      <c r="G222" s="195"/>
      <c r="H222" s="219"/>
      <c r="I222" s="220"/>
    </row>
    <row r="223" spans="2:9" ht="15" x14ac:dyDescent="0.15">
      <c r="B223" s="226" t="str" cm="1">
        <f t="array" ref="B223">IFERROR(IFERROR(IFERROR(INDEX(TallyBrands, MATCH(0, COUNTIF(B$4:$B222, TallyBrands), 0)), INDEX(TallyBrands2, MATCH(0, COUNTIF(B$4:$B222, TallyBrands2), 0))), INDEX(TallyBrands3, MATCH(0, COUNTIF(B$4:$B222, TallyBrands3), 0))),"")</f>
        <v>Glenmorangie</v>
      </c>
      <c r="C223" s="113"/>
      <c r="E223" s="223" t="str" cm="1">
        <f t="array" ref="E223">IFERROR(IFERROR(IFERROR(INDEX(TallyBrands,MATCH(0, _xlfn.IFS("Beer"=TallyDrinkType,COUNTIF($E$4:$E222,TallyBrands),"Cider"=TallyDrinkType,COUNTIF($E$4:$E222,TallyBrands)),0)),INDEX(TallyBrands2,MATCH(0, _xlfn.IFS("Beer"=TallyDrinkType,COUNTIF($E$4:$E222,TallyBrands2),"Cider"=TallyDrinkType,COUNTIF($E$4:$E222,TallyBrands2)),0))),INDEX(TallyBrands3,MATCH(0, _xlfn.IFS("Beer"=TallyDrinkType,COUNTIF($E$4:$E222,TallyBrands3),"Cider"=TallyDrinkType,COUNTIF($E$4:$E222,TallyBrands3)),0))),"")</f>
        <v>Van Vollenhoven &amp; Co.</v>
      </c>
      <c r="F223" s="200"/>
      <c r="G223" s="195"/>
      <c r="H223" s="219"/>
      <c r="I223" s="220"/>
    </row>
    <row r="224" spans="2:9" ht="15" x14ac:dyDescent="0.15">
      <c r="B224" s="226" t="str" cm="1">
        <f t="array" ref="B224">IFERROR(IFERROR(IFERROR(INDEX(TallyBrands, MATCH(0, COUNTIF(B$4:$B223, TallyBrands), 0)), INDEX(TallyBrands2, MATCH(0, COUNTIF(B$4:$B223, TallyBrands2), 0))), INDEX(TallyBrands3, MATCH(0, COUNTIF(B$4:$B223, TallyBrands3), 0))),"")</f>
        <v>Pipeline Brewing Co.</v>
      </c>
      <c r="C224" s="113"/>
      <c r="E224" s="223" t="str" cm="1">
        <f t="array" ref="E224">IFERROR(IFERROR(IFERROR(INDEX(TallyBrands,MATCH(0, _xlfn.IFS("Beer"=TallyDrinkType,COUNTIF($E$4:$E223,TallyBrands),"Cider"=TallyDrinkType,COUNTIF($E$4:$E223,TallyBrands)),0)),INDEX(TallyBrands2,MATCH(0, _xlfn.IFS("Beer"=TallyDrinkType,COUNTIF($E$4:$E223,TallyBrands2),"Cider"=TallyDrinkType,COUNTIF($E$4:$E223,TallyBrands2)),0))),INDEX(TallyBrands3,MATCH(0, _xlfn.IFS("Beer"=TallyDrinkType,COUNTIF($E$4:$E223,TallyBrands3),"Cider"=TallyDrinkType,COUNTIF($E$4:$E223,TallyBrands3)),0))),"")</f>
        <v>Trooper</v>
      </c>
      <c r="F224" s="200"/>
      <c r="G224" s="195"/>
      <c r="H224" s="219"/>
      <c r="I224" s="220"/>
    </row>
    <row r="225" spans="2:9" ht="15" x14ac:dyDescent="0.15">
      <c r="B225" s="226" t="str" cm="1">
        <f t="array" ref="B225">IFERROR(IFERROR(IFERROR(INDEX(TallyBrands, MATCH(0, COUNTIF(B$4:$B224, TallyBrands), 0)), INDEX(TallyBrands2, MATCH(0, COUNTIF(B$4:$B224, TallyBrands2), 0))), INDEX(TallyBrands3, MATCH(0, COUNTIF(B$4:$B224, TallyBrands3), 0))),"")</f>
        <v>Tia Maria</v>
      </c>
      <c r="C225" s="113"/>
      <c r="E225" s="223" t="str" cm="1">
        <f t="array" ref="E225">IFERROR(IFERROR(IFERROR(INDEX(TallyBrands,MATCH(0, _xlfn.IFS("Beer"=TallyDrinkType,COUNTIF($E$4:$E224,TallyBrands),"Cider"=TallyDrinkType,COUNTIF($E$4:$E224,TallyBrands)),0)),INDEX(TallyBrands2,MATCH(0, _xlfn.IFS("Beer"=TallyDrinkType,COUNTIF($E$4:$E224,TallyBrands2),"Cider"=TallyDrinkType,COUNTIF($E$4:$E224,TallyBrands2)),0))),INDEX(TallyBrands3,MATCH(0, _xlfn.IFS("Beer"=TallyDrinkType,COUNTIF($E$4:$E224,TallyBrands3),"Cider"=TallyDrinkType,COUNTIF($E$4:$E224,TallyBrands3)),0))),"")</f>
        <v>Piddle Brewry Limited</v>
      </c>
      <c r="F225" s="200"/>
      <c r="G225" s="195"/>
      <c r="H225" s="219"/>
      <c r="I225" s="220"/>
    </row>
    <row r="226" spans="2:9" ht="15" x14ac:dyDescent="0.15">
      <c r="B226" s="226" t="str" cm="1">
        <f t="array" ref="B226">IFERROR(IFERROR(IFERROR(INDEX(TallyBrands, MATCH(0, COUNTIF(B$4:$B225, TallyBrands), 0)), INDEX(TallyBrands2, MATCH(0, COUNTIF(B$4:$B225, TallyBrands2), 0))), INDEX(TallyBrands3, MATCH(0, COUNTIF(B$4:$B225, TallyBrands3), 0))),"")</f>
        <v>Opihr</v>
      </c>
      <c r="C226" s="113"/>
      <c r="E226" s="223" t="str" cm="1">
        <f t="array" ref="E226">IFERROR(IFERROR(IFERROR(INDEX(TallyBrands,MATCH(0, _xlfn.IFS("Beer"=TallyDrinkType,COUNTIF($E$4:$E225,TallyBrands),"Cider"=TallyDrinkType,COUNTIF($E$4:$E225,TallyBrands)),0)),INDEX(TallyBrands2,MATCH(0, _xlfn.IFS("Beer"=TallyDrinkType,COUNTIF($E$4:$E225,TallyBrands2),"Cider"=TallyDrinkType,COUNTIF($E$4:$E225,TallyBrands2)),0))),INDEX(TallyBrands3,MATCH(0, _xlfn.IFS("Beer"=TallyDrinkType,COUNTIF($E$4:$E225,TallyBrands3),"Cider"=TallyDrinkType,COUNTIF($E$4:$E225,TallyBrands3)),0))),"")</f>
        <v>Tanker</v>
      </c>
      <c r="F226" s="200"/>
      <c r="G226" s="195"/>
      <c r="H226" s="219"/>
      <c r="I226" s="220"/>
    </row>
    <row r="227" spans="2:9" ht="15" x14ac:dyDescent="0.15">
      <c r="B227" s="226" t="str" cm="1">
        <f t="array" ref="B227">IFERROR(IFERROR(IFERROR(INDEX(TallyBrands, MATCH(0, COUNTIF(B$4:$B226, TallyBrands), 0)), INDEX(TallyBrands2, MATCH(0, COUNTIF(B$4:$B226, TallyBrands2), 0))), INDEX(TallyBrands3, MATCH(0, COUNTIF(B$4:$B226, TallyBrands3), 0))),"")</f>
        <v>Stolichnaya</v>
      </c>
      <c r="C227" s="113"/>
      <c r="E227" s="223" t="str" cm="1">
        <f t="array" ref="E227">IFERROR(IFERROR(IFERROR(INDEX(TallyBrands,MATCH(0, _xlfn.IFS("Beer"=TallyDrinkType,COUNTIF($E$4:$E226,TallyBrands),"Cider"=TallyDrinkType,COUNTIF($E$4:$E226,TallyBrands)),0)),INDEX(TallyBrands2,MATCH(0, _xlfn.IFS("Beer"=TallyDrinkType,COUNTIF($E$4:$E226,TallyBrands2),"Cider"=TallyDrinkType,COUNTIF($E$4:$E226,TallyBrands2)),0))),INDEX(TallyBrands3,MATCH(0, _xlfn.IFS("Beer"=TallyDrinkType,COUNTIF($E$4:$E226,TallyBrands3),"Cider"=TallyDrinkType,COUNTIF($E$4:$E226,TallyBrands3)),0))),"")</f>
        <v>Fierce Beer</v>
      </c>
      <c r="F227" s="200"/>
      <c r="G227" s="195"/>
      <c r="H227" s="219"/>
      <c r="I227" s="220"/>
    </row>
    <row r="228" spans="2:9" ht="15" x14ac:dyDescent="0.15">
      <c r="B228" s="226" t="str" cm="1">
        <f t="array" ref="B228">IFERROR(IFERROR(IFERROR(INDEX(TallyBrands, MATCH(0, COUNTIF(B$4:$B227, TallyBrands), 0)), INDEX(TallyBrands2, MATCH(0, COUNTIF(B$4:$B227, TallyBrands2), 0))), INDEX(TallyBrands3, MATCH(0, COUNTIF(B$4:$B227, TallyBrands3), 0))),"")</f>
        <v>Sherbet Gin</v>
      </c>
      <c r="C228" s="113"/>
      <c r="E228" s="223" t="str" cm="1">
        <f t="array" ref="E228">IFERROR(IFERROR(IFERROR(INDEX(TallyBrands,MATCH(0, _xlfn.IFS("Beer"=TallyDrinkType,COUNTIF($E$4:$E227,TallyBrands),"Cider"=TallyDrinkType,COUNTIF($E$4:$E227,TallyBrands)),0)),INDEX(TallyBrands2,MATCH(0, _xlfn.IFS("Beer"=TallyDrinkType,COUNTIF($E$4:$E227,TallyBrands2),"Cider"=TallyDrinkType,COUNTIF($E$4:$E227,TallyBrands2)),0))),INDEX(TallyBrands3,MATCH(0, _xlfn.IFS("Beer"=TallyDrinkType,COUNTIF($E$4:$E227,TallyBrands3),"Cider"=TallyDrinkType,COUNTIF($E$4:$E227,TallyBrands3)),0))),"")</f>
        <v>Friels</v>
      </c>
      <c r="F228" s="200"/>
      <c r="G228" s="195"/>
      <c r="H228" s="219"/>
      <c r="I228" s="220"/>
    </row>
    <row r="229" spans="2:9" ht="15" x14ac:dyDescent="0.15">
      <c r="B229" s="226" t="str" cm="1">
        <f t="array" ref="B229">IFERROR(IFERROR(IFERROR(INDEX(TallyBrands, MATCH(0, COUNTIF(B$4:$B228, TallyBrands), 0)), INDEX(TallyBrands2, MATCH(0, COUNTIF(B$4:$B228, TallyBrands2), 0))), INDEX(TallyBrands3, MATCH(0, COUNTIF(B$4:$B228, TallyBrands3), 0))),"")</f>
        <v>Ron De Jeremy</v>
      </c>
      <c r="C229" s="113"/>
      <c r="E229" s="223" t="str" cm="1">
        <f t="array" ref="E229">IFERROR(IFERROR(IFERROR(INDEX(TallyBrands,MATCH(0, _xlfn.IFS("Beer"=TallyDrinkType,COUNTIF($E$4:$E228,TallyBrands),"Cider"=TallyDrinkType,COUNTIF($E$4:$E228,TallyBrands)),0)),INDEX(TallyBrands2,MATCH(0, _xlfn.IFS("Beer"=TallyDrinkType,COUNTIF($E$4:$E228,TallyBrands2),"Cider"=TallyDrinkType,COUNTIF($E$4:$E228,TallyBrands2)),0))),INDEX(TallyBrands3,MATCH(0, _xlfn.IFS("Beer"=TallyDrinkType,COUNTIF($E$4:$E228,TallyBrands3),"Cider"=TallyDrinkType,COUNTIF($E$4:$E228,TallyBrands3)),0))),"")</f>
        <v>O'Hara's Brewing</v>
      </c>
      <c r="F229" s="200"/>
      <c r="G229" s="195"/>
      <c r="H229" s="219"/>
      <c r="I229" s="220"/>
    </row>
    <row r="230" spans="2:9" ht="15" x14ac:dyDescent="0.15">
      <c r="B230" s="226" t="str" cm="1">
        <f t="array" ref="B230">IFERROR(IFERROR(IFERROR(INDEX(TallyBrands, MATCH(0, COUNTIF(B$4:$B229, TallyBrands), 0)), INDEX(TallyBrands2, MATCH(0, COUNTIF(B$4:$B229, TallyBrands2), 0))), INDEX(TallyBrands3, MATCH(0, COUNTIF(B$4:$B229, TallyBrands3), 0))),"")</f>
        <v>Fuller's</v>
      </c>
      <c r="C230" s="113"/>
      <c r="E230" s="223" t="str" cm="1">
        <f t="array" ref="E230">IFERROR(IFERROR(IFERROR(INDEX(TallyBrands,MATCH(0, _xlfn.IFS("Beer"=TallyDrinkType,COUNTIF($E$4:$E229,TallyBrands),"Cider"=TallyDrinkType,COUNTIF($E$4:$E229,TallyBrands)),0)),INDEX(TallyBrands2,MATCH(0, _xlfn.IFS("Beer"=TallyDrinkType,COUNTIF($E$4:$E229,TallyBrands2),"Cider"=TallyDrinkType,COUNTIF($E$4:$E229,TallyBrands2)),0))),INDEX(TallyBrands3,MATCH(0, _xlfn.IFS("Beer"=TallyDrinkType,COUNTIF($E$4:$E229,TallyBrands3),"Cider"=TallyDrinkType,COUNTIF($E$4:$E229,TallyBrands3)),0))),"")</f>
        <v>Brewgooder</v>
      </c>
      <c r="F230" s="200"/>
      <c r="G230" s="195"/>
      <c r="H230" s="219"/>
      <c r="I230" s="220"/>
    </row>
    <row r="231" spans="2:9" ht="15" x14ac:dyDescent="0.15">
      <c r="B231" s="226" t="str" cm="1">
        <f t="array" ref="B231">IFERROR(IFERROR(IFERROR(INDEX(TallyBrands, MATCH(0, COUNTIF(B$4:$B230, TallyBrands), 0)), INDEX(TallyBrands2, MATCH(0, COUNTIF(B$4:$B230, TallyBrands2), 0))), INDEX(TallyBrands3, MATCH(0, COUNTIF(B$4:$B230, TallyBrands3), 0))),"")</f>
        <v>Dudda's Tun</v>
      </c>
      <c r="C231" s="113"/>
      <c r="E231" s="223" t="str" cm="1">
        <f t="array" ref="E231">IFERROR(IFERROR(IFERROR(INDEX(TallyBrands,MATCH(0, _xlfn.IFS("Beer"=TallyDrinkType,COUNTIF($E$4:$E230,TallyBrands),"Cider"=TallyDrinkType,COUNTIF($E$4:$E230,TallyBrands)),0)),INDEX(TallyBrands2,MATCH(0, _xlfn.IFS("Beer"=TallyDrinkType,COUNTIF($E$4:$E230,TallyBrands2),"Cider"=TallyDrinkType,COUNTIF($E$4:$E230,TallyBrands2)),0))),INDEX(TallyBrands3,MATCH(0, _xlfn.IFS("Beer"=TallyDrinkType,COUNTIF($E$4:$E230,TallyBrands3),"Cider"=TallyDrinkType,COUNTIF($E$4:$E230,TallyBrands3)),0))),"")</f>
        <v>Silly Moo</v>
      </c>
      <c r="F231" s="200"/>
      <c r="G231" s="195"/>
      <c r="H231" s="219"/>
      <c r="I231" s="220"/>
    </row>
    <row r="232" spans="2:9" ht="15" x14ac:dyDescent="0.15">
      <c r="B232" s="226" t="str" cm="1">
        <f t="array" ref="B232">IFERROR(IFERROR(IFERROR(INDEX(TallyBrands, MATCH(0, COUNTIF(B$4:$B231, TallyBrands), 0)), INDEX(TallyBrands2, MATCH(0, COUNTIF(B$4:$B231, TallyBrands2), 0))), INDEX(TallyBrands3, MATCH(0, COUNTIF(B$4:$B231, TallyBrands3), 0))),"")</f>
        <v>Vasilikon</v>
      </c>
      <c r="C232" s="113"/>
      <c r="E232" s="223" t="str" cm="1">
        <f t="array" ref="E232">IFERROR(IFERROR(IFERROR(INDEX(TallyBrands,MATCH(0, _xlfn.IFS("Beer"=TallyDrinkType,COUNTIF($E$4:$E231,TallyBrands),"Cider"=TallyDrinkType,COUNTIF($E$4:$E231,TallyBrands)),0)),INDEX(TallyBrands2,MATCH(0, _xlfn.IFS("Beer"=TallyDrinkType,COUNTIF($E$4:$E231,TallyBrands2),"Cider"=TallyDrinkType,COUNTIF($E$4:$E231,TallyBrands2)),0))),INDEX(TallyBrands3,MATCH(0, _xlfn.IFS("Beer"=TallyDrinkType,COUNTIF($E$4:$E231,TallyBrands3),"Cider"=TallyDrinkType,COUNTIF($E$4:$E231,TallyBrands3)),0))),"")</f>
        <v>Dark Revolution</v>
      </c>
      <c r="F232" s="200"/>
      <c r="G232" s="195"/>
      <c r="H232" s="219"/>
      <c r="I232" s="220"/>
    </row>
    <row r="233" spans="2:9" ht="15" x14ac:dyDescent="0.15">
      <c r="B233" s="226" t="str" cm="1">
        <f t="array" ref="B233">IFERROR(IFERROR(IFERROR(INDEX(TallyBrands, MATCH(0, COUNTIF(B$4:$B232, TallyBrands), 0)), INDEX(TallyBrands2, MATCH(0, COUNTIF(B$4:$B232, TallyBrands2), 0))), INDEX(TallyBrands3, MATCH(0, COUNTIF(B$4:$B232, TallyBrands3), 0))),"")</f>
        <v>Wiper And True</v>
      </c>
      <c r="C233" s="113"/>
      <c r="E233" s="223" t="str" cm="1">
        <f t="array" ref="E233">IFERROR(IFERROR(IFERROR(INDEX(TallyBrands,MATCH(0, _xlfn.IFS("Beer"=TallyDrinkType,COUNTIF($E$4:$E232,TallyBrands),"Cider"=TallyDrinkType,COUNTIF($E$4:$E232,TallyBrands)),0)),INDEX(TallyBrands2,MATCH(0, _xlfn.IFS("Beer"=TallyDrinkType,COUNTIF($E$4:$E232,TallyBrands2),"Cider"=TallyDrinkType,COUNTIF($E$4:$E232,TallyBrands2)),0))),INDEX(TallyBrands3,MATCH(0, _xlfn.IFS("Beer"=TallyDrinkType,COUNTIF($E$4:$E232,TallyBrands3),"Cider"=TallyDrinkType,COUNTIF($E$4:$E232,TallyBrands3)),0))),"")</f>
        <v>Smirnoff</v>
      </c>
      <c r="F233" s="200"/>
      <c r="G233" s="195"/>
      <c r="H233" s="219"/>
      <c r="I233" s="220"/>
    </row>
    <row r="234" spans="2:9" ht="15" x14ac:dyDescent="0.15">
      <c r="B234" s="226" t="str" cm="1">
        <f t="array" ref="B234">IFERROR(IFERROR(IFERROR(INDEX(TallyBrands, MATCH(0, COUNTIF(B$4:$B233, TallyBrands), 0)), INDEX(TallyBrands2, MATCH(0, COUNTIF(B$4:$B233, TallyBrands2), 0))), INDEX(TallyBrands3, MATCH(0, COUNTIF(B$4:$B233, TallyBrands3), 0))),"")</f>
        <v>SALT</v>
      </c>
      <c r="C234" s="113"/>
      <c r="E234" s="223" t="str" cm="1">
        <f t="array" ref="E234">IFERROR(IFERROR(IFERROR(INDEX(TallyBrands,MATCH(0, _xlfn.IFS("Beer"=TallyDrinkType,COUNTIF($E$4:$E233,TallyBrands),"Cider"=TallyDrinkType,COUNTIF($E$4:$E233,TallyBrands)),0)),INDEX(TallyBrands2,MATCH(0, _xlfn.IFS("Beer"=TallyDrinkType,COUNTIF($E$4:$E233,TallyBrands2),"Cider"=TallyDrinkType,COUNTIF($E$4:$E233,TallyBrands2)),0))),INDEX(TallyBrands3,MATCH(0, _xlfn.IFS("Beer"=TallyDrinkType,COUNTIF($E$4:$E233,TallyBrands3),"Cider"=TallyDrinkType,COUNTIF($E$4:$E233,TallyBrands3)),0))),"")</f>
        <v>Celtic Marches</v>
      </c>
      <c r="F234" s="200"/>
      <c r="G234" s="195"/>
      <c r="H234" s="219"/>
      <c r="I234" s="220"/>
    </row>
    <row r="235" spans="2:9" ht="15" x14ac:dyDescent="0.15">
      <c r="B235" s="226" t="str" cm="1">
        <f t="array" ref="B235">IFERROR(IFERROR(IFERROR(INDEX(TallyBrands, MATCH(0, COUNTIF(B$4:$B234, TallyBrands), 0)), INDEX(TallyBrands2, MATCH(0, COUNTIF(B$4:$B234, TallyBrands2), 0))), INDEX(TallyBrands3, MATCH(0, COUNTIF(B$4:$B234, TallyBrands3), 0))),"")</f>
        <v>Thornbridge</v>
      </c>
      <c r="C235" s="113"/>
      <c r="E235" s="223" t="str" cm="1">
        <f t="array" ref="E235">IFERROR(IFERROR(IFERROR(INDEX(TallyBrands,MATCH(0, _xlfn.IFS("Beer"=TallyDrinkType,COUNTIF($E$4:$E234,TallyBrands),"Cider"=TallyDrinkType,COUNTIF($E$4:$E234,TallyBrands)),0)),INDEX(TallyBrands2,MATCH(0, _xlfn.IFS("Beer"=TallyDrinkType,COUNTIF($E$4:$E234,TallyBrands2),"Cider"=TallyDrinkType,COUNTIF($E$4:$E234,TallyBrands2)),0))),INDEX(TallyBrands3,MATCH(0, _xlfn.IFS("Beer"=TallyDrinkType,COUNTIF($E$4:$E234,TallyBrands3),"Cider"=TallyDrinkType,COUNTIF($E$4:$E234,TallyBrands3)),0))),"")</f>
        <v>Crumpton Oaks</v>
      </c>
      <c r="F235" s="200"/>
      <c r="G235" s="195"/>
      <c r="H235" s="219"/>
      <c r="I235" s="220"/>
    </row>
    <row r="236" spans="2:9" ht="15" x14ac:dyDescent="0.15">
      <c r="B236" s="226" t="str" cm="1">
        <f t="array" ref="B236">IFERROR(IFERROR(IFERROR(INDEX(TallyBrands, MATCH(0, COUNTIF(B$4:$B235, TallyBrands), 0)), INDEX(TallyBrands2, MATCH(0, COUNTIF(B$4:$B235, TallyBrands2), 0))), INDEX(TallyBrands3, MATCH(0, COUNTIF(B$4:$B235, TallyBrands3), 0))),"")</f>
        <v>Oakham</v>
      </c>
      <c r="C236" s="113"/>
      <c r="E236" s="223" t="str" cm="1">
        <f t="array" ref="E236">IFERROR(IFERROR(IFERROR(INDEX(TallyBrands,MATCH(0, _xlfn.IFS("Beer"=TallyDrinkType,COUNTIF($E$4:$E235,TallyBrands),"Cider"=TallyDrinkType,COUNTIF($E$4:$E235,TallyBrands)),0)),INDEX(TallyBrands2,MATCH(0, _xlfn.IFS("Beer"=TallyDrinkType,COUNTIF($E$4:$E235,TallyBrands2),"Cider"=TallyDrinkType,COUNTIF($E$4:$E235,TallyBrands2)),0))),INDEX(TallyBrands3,MATCH(0, _xlfn.IFS("Beer"=TallyDrinkType,COUNTIF($E$4:$E235,TallyBrands3),"Cider"=TallyDrinkType,COUNTIF($E$4:$E235,TallyBrands3)),0))),"")</f>
        <v>Keswick Brewing Co.</v>
      </c>
      <c r="F236" s="200"/>
      <c r="G236" s="195"/>
      <c r="H236" s="219"/>
      <c r="I236" s="220"/>
    </row>
    <row r="237" spans="2:9" ht="15" x14ac:dyDescent="0.15">
      <c r="B237" s="226" t="str" cm="1">
        <f t="array" ref="B237">IFERROR(IFERROR(IFERROR(INDEX(TallyBrands, MATCH(0, COUNTIF(B$4:$B236, TallyBrands), 0)), INDEX(TallyBrands2, MATCH(0, COUNTIF(B$4:$B236, TallyBrands2), 0))), INDEX(TallyBrands3, MATCH(0, COUNTIF(B$4:$B236, TallyBrands3), 0))),"")</f>
        <v>Tempest Brewing Co</v>
      </c>
      <c r="C237" s="113"/>
      <c r="E237" s="223" t="str" cm="1">
        <f t="array" ref="E237">IFERROR(IFERROR(IFERROR(INDEX(TallyBrands,MATCH(0, _xlfn.IFS("Beer"=TallyDrinkType,COUNTIF($E$4:$E236,TallyBrands),"Cider"=TallyDrinkType,COUNTIF($E$4:$E236,TallyBrands)),0)),INDEX(TallyBrands2,MATCH(0, _xlfn.IFS("Beer"=TallyDrinkType,COUNTIF($E$4:$E236,TallyBrands2),"Cider"=TallyDrinkType,COUNTIF($E$4:$E236,TallyBrands2)),0))),INDEX(TallyBrands3,MATCH(0, _xlfn.IFS("Beer"=TallyDrinkType,COUNTIF($E$4:$E236,TallyBrands3),"Cider"=TallyDrinkType,COUNTIF($E$4:$E236,TallyBrands3)),0))),"")</f>
        <v>McEWAN'S</v>
      </c>
      <c r="F237" s="200"/>
      <c r="G237" s="195"/>
      <c r="H237" s="219"/>
      <c r="I237" s="220"/>
    </row>
    <row r="238" spans="2:9" ht="15" x14ac:dyDescent="0.15">
      <c r="B238" s="226" t="str" cm="1">
        <f t="array" ref="B238">IFERROR(IFERROR(IFERROR(INDEX(TallyBrands, MATCH(0, COUNTIF(B$4:$B237, TallyBrands), 0)), INDEX(TallyBrands2, MATCH(0, COUNTIF(B$4:$B237, TallyBrands2), 0))), INDEX(TallyBrands3, MATCH(0, COUNTIF(B$4:$B237, TallyBrands3), 0))),"")</f>
        <v>Crate Brewery</v>
      </c>
      <c r="C238" s="113"/>
      <c r="E238" s="223" t="str" cm="1">
        <f t="array" ref="E238">IFERROR(IFERROR(IFERROR(INDEX(TallyBrands,MATCH(0, _xlfn.IFS("Beer"=TallyDrinkType,COUNTIF($E$4:$E237,TallyBrands),"Cider"=TallyDrinkType,COUNTIF($E$4:$E237,TallyBrands)),0)),INDEX(TallyBrands2,MATCH(0, _xlfn.IFS("Beer"=TallyDrinkType,COUNTIF($E$4:$E237,TallyBrands2),"Cider"=TallyDrinkType,COUNTIF($E$4:$E237,TallyBrands2)),0))),INDEX(TallyBrands3,MATCH(0, _xlfn.IFS("Beer"=TallyDrinkType,COUNTIF($E$4:$E237,TallyBrands3),"Cider"=TallyDrinkType,COUNTIF($E$4:$E237,TallyBrands3)),0))),"")</f>
        <v>Lyme Regis Brewery</v>
      </c>
      <c r="F238" s="200"/>
      <c r="G238" s="195"/>
      <c r="H238" s="219"/>
      <c r="I238" s="220"/>
    </row>
    <row r="239" spans="2:9" ht="15" x14ac:dyDescent="0.15">
      <c r="B239" s="226" t="str" cm="1">
        <f t="array" ref="B239">IFERROR(IFERROR(IFERROR(INDEX(TallyBrands, MATCH(0, COUNTIF(B$4:$B238, TallyBrands), 0)), INDEX(TallyBrands2, MATCH(0, COUNTIF(B$4:$B238, TallyBrands2), 0))), INDEX(TallyBrands3, MATCH(0, COUNTIF(B$4:$B238, TallyBrands3), 0))),"")</f>
        <v>Aldi</v>
      </c>
      <c r="C239" s="113"/>
      <c r="E239" s="223" t="str" cm="1">
        <f t="array" ref="E239">IFERROR(IFERROR(IFERROR(INDEX(TallyBrands,MATCH(0, _xlfn.IFS("Beer"=TallyDrinkType,COUNTIF($E$4:$E238,TallyBrands),"Cider"=TallyDrinkType,COUNTIF($E$4:$E238,TallyBrands)),0)),INDEX(TallyBrands2,MATCH(0, _xlfn.IFS("Beer"=TallyDrinkType,COUNTIF($E$4:$E238,TallyBrands2),"Cider"=TallyDrinkType,COUNTIF($E$4:$E238,TallyBrands2)),0))),INDEX(TallyBrands3,MATCH(0, _xlfn.IFS("Beer"=TallyDrinkType,COUNTIF($E$4:$E238,TallyBrands3),"Cider"=TallyDrinkType,COUNTIF($E$4:$E238,TallyBrands3)),0))),"")</f>
        <v>Orbit</v>
      </c>
      <c r="F239" s="200"/>
      <c r="G239" s="195"/>
      <c r="H239" s="219"/>
      <c r="I239" s="220"/>
    </row>
    <row r="240" spans="2:9" ht="15" x14ac:dyDescent="0.15">
      <c r="B240" s="226" t="str" cm="1">
        <f t="array" ref="B240">IFERROR(IFERROR(IFERROR(INDEX(TallyBrands, MATCH(0, COUNTIF(B$4:$B239, TallyBrands), 0)), INDEX(TallyBrands2, MATCH(0, COUNTIF(B$4:$B239, TallyBrands2), 0))), INDEX(TallyBrands3, MATCH(0, COUNTIF(B$4:$B239, TallyBrands3), 0))),"")</f>
        <v>Atlas Brewing Company</v>
      </c>
      <c r="C240" s="113"/>
      <c r="E240" s="223" t="str" cm="1">
        <f t="array" ref="E240">IFERROR(IFERROR(IFERROR(INDEX(TallyBrands,MATCH(0, _xlfn.IFS("Beer"=TallyDrinkType,COUNTIF($E$4:$E239,TallyBrands),"Cider"=TallyDrinkType,COUNTIF($E$4:$E239,TallyBrands)),0)),INDEX(TallyBrands2,MATCH(0, _xlfn.IFS("Beer"=TallyDrinkType,COUNTIF($E$4:$E239,TallyBrands2),"Cider"=TallyDrinkType,COUNTIF($E$4:$E239,TallyBrands2)),0))),INDEX(TallyBrands3,MATCH(0, _xlfn.IFS("Beer"=TallyDrinkType,COUNTIF($E$4:$E239,TallyBrands3),"Cider"=TallyDrinkType,COUNTIF($E$4:$E239,TallyBrands3)),0))),"")</f>
        <v>Barefaced Brewing</v>
      </c>
      <c r="F240" s="200"/>
      <c r="G240" s="195"/>
      <c r="H240" s="219"/>
      <c r="I240" s="220"/>
    </row>
    <row r="241" spans="2:9" ht="15" x14ac:dyDescent="0.15">
      <c r="B241" s="226" t="str" cm="1">
        <f t="array" ref="B241">IFERROR(IFERROR(IFERROR(INDEX(TallyBrands, MATCH(0, COUNTIF(B$4:$B240, TallyBrands), 0)), INDEX(TallyBrands2, MATCH(0, COUNTIF(B$4:$B240, TallyBrands2), 0))), INDEX(TallyBrands3, MATCH(0, COUNTIF(B$4:$B240, TallyBrands3), 0))),"")</f>
        <v>Vivir</v>
      </c>
      <c r="C241" s="113"/>
      <c r="E241" s="223" t="str" cm="1">
        <f t="array" ref="E241">IFERROR(IFERROR(IFERROR(INDEX(TallyBrands,MATCH(0, _xlfn.IFS("Beer"=TallyDrinkType,COUNTIF($E$4:$E240,TallyBrands),"Cider"=TallyDrinkType,COUNTIF($E$4:$E240,TallyBrands)),0)),INDEX(TallyBrands2,MATCH(0, _xlfn.IFS("Beer"=TallyDrinkType,COUNTIF($E$4:$E240,TallyBrands2),"Cider"=TallyDrinkType,COUNTIF($E$4:$E240,TallyBrands2)),0))),INDEX(TallyBrands3,MATCH(0, _xlfn.IFS("Beer"=TallyDrinkType,COUNTIF($E$4:$E240,TallyBrands3),"Cider"=TallyDrinkType,COUNTIF($E$4:$E240,TallyBrands3)),0))),"")</f>
        <v>Stroud Brewery</v>
      </c>
      <c r="F241" s="200"/>
      <c r="G241" s="195"/>
      <c r="H241" s="219"/>
      <c r="I241" s="220"/>
    </row>
    <row r="242" spans="2:9" ht="15" x14ac:dyDescent="0.15">
      <c r="B242" s="226" t="str" cm="1">
        <f t="array" ref="B242">IFERROR(IFERROR(IFERROR(INDEX(TallyBrands, MATCH(0, COUNTIF(B$4:$B241, TallyBrands), 0)), INDEX(TallyBrands2, MATCH(0, COUNTIF(B$4:$B241, TallyBrands2), 0))), INDEX(TallyBrands3, MATCH(0, COUNTIF(B$4:$B241, TallyBrands3), 0))),"")</f>
        <v>Rockstar Spirits</v>
      </c>
      <c r="C242" s="113"/>
      <c r="E242" s="223" t="str" cm="1">
        <f t="array" ref="E242">IFERROR(IFERROR(IFERROR(INDEX(TallyBrands,MATCH(0, _xlfn.IFS("Beer"=TallyDrinkType,COUNTIF($E$4:$E241,TallyBrands),"Cider"=TallyDrinkType,COUNTIF($E$4:$E241,TallyBrands)),0)),INDEX(TallyBrands2,MATCH(0, _xlfn.IFS("Beer"=TallyDrinkType,COUNTIF($E$4:$E241,TallyBrands2),"Cider"=TallyDrinkType,COUNTIF($E$4:$E241,TallyBrands2)),0))),INDEX(TallyBrands3,MATCH(0, _xlfn.IFS("Beer"=TallyDrinkType,COUNTIF($E$4:$E241,TallyBrands3),"Cider"=TallyDrinkType,COUNTIF($E$4:$E241,TallyBrands3)),0))),"")</f>
        <v xml:space="preserve"> Firebrand Brewing Co.</v>
      </c>
      <c r="F242" s="200"/>
      <c r="G242" s="195"/>
      <c r="H242" s="219"/>
      <c r="I242" s="220"/>
    </row>
    <row r="243" spans="2:9" ht="15" x14ac:dyDescent="0.15">
      <c r="B243" s="226" t="str" cm="1">
        <f t="array" ref="B243">IFERROR(IFERROR(IFERROR(INDEX(TallyBrands, MATCH(0, COUNTIF(B$4:$B242, TallyBrands), 0)), INDEX(TallyBrands2, MATCH(0, COUNTIF(B$4:$B242, TallyBrands2), 0))), INDEX(TallyBrands3, MATCH(0, COUNTIF(B$4:$B242, TallyBrands3), 0))),"")</f>
        <v>Funkin</v>
      </c>
      <c r="C243" s="113"/>
      <c r="E243" s="223" t="str" cm="1">
        <f t="array" ref="E243">IFERROR(IFERROR(IFERROR(INDEX(TallyBrands,MATCH(0, _xlfn.IFS("Beer"=TallyDrinkType,COUNTIF($E$4:$E242,TallyBrands),"Cider"=TallyDrinkType,COUNTIF($E$4:$E242,TallyBrands)),0)),INDEX(TallyBrands2,MATCH(0, _xlfn.IFS("Beer"=TallyDrinkType,COUNTIF($E$4:$E242,TallyBrands2),"Cider"=TallyDrinkType,COUNTIF($E$4:$E242,TallyBrands2)),0))),INDEX(TallyBrands3,MATCH(0, _xlfn.IFS("Beer"=TallyDrinkType,COUNTIF($E$4:$E242,TallyBrands3),"Cider"=TallyDrinkType,COUNTIF($E$4:$E242,TallyBrands3)),0))),"")</f>
        <v>Boss Brewing</v>
      </c>
      <c r="F243" s="200"/>
      <c r="G243" s="195"/>
      <c r="H243" s="219"/>
      <c r="I243" s="220"/>
    </row>
    <row r="244" spans="2:9" ht="15" x14ac:dyDescent="0.15">
      <c r="B244" s="226" t="str" cm="1">
        <f t="array" ref="B244">IFERROR(IFERROR(IFERROR(INDEX(TallyBrands, MATCH(0, COUNTIF(B$4:$B243, TallyBrands), 0)), INDEX(TallyBrands2, MATCH(0, COUNTIF(B$4:$B243, TallyBrands2), 0))), INDEX(TallyBrands3, MATCH(0, COUNTIF(B$4:$B243, TallyBrands3), 0))),"")</f>
        <v>Kentish</v>
      </c>
      <c r="C244" s="113"/>
      <c r="E244" s="223" t="str" cm="1">
        <f t="array" ref="E244">IFERROR(IFERROR(IFERROR(INDEX(TallyBrands,MATCH(0, _xlfn.IFS("Beer"=TallyDrinkType,COUNTIF($E$4:$E243,TallyBrands),"Cider"=TallyDrinkType,COUNTIF($E$4:$E243,TallyBrands)),0)),INDEX(TallyBrands2,MATCH(0, _xlfn.IFS("Beer"=TallyDrinkType,COUNTIF($E$4:$E243,TallyBrands2),"Cider"=TallyDrinkType,COUNTIF($E$4:$E243,TallyBrands2)),0))),INDEX(TallyBrands3,MATCH(0, _xlfn.IFS("Beer"=TallyDrinkType,COUNTIF($E$4:$E243,TallyBrands3),"Cider"=TallyDrinkType,COUNTIF($E$4:$E243,TallyBrands3)),0))),"")</f>
        <v>Glamorgan Brewing Co.</v>
      </c>
      <c r="F244" s="200"/>
      <c r="G244" s="195"/>
      <c r="H244" s="219"/>
      <c r="I244" s="220"/>
    </row>
    <row r="245" spans="2:9" ht="15" x14ac:dyDescent="0.15">
      <c r="B245" s="226" t="str" cm="1">
        <f t="array" ref="B245">IFERROR(IFERROR(IFERROR(INDEX(TallyBrands, MATCH(0, COUNTIF(B$4:$B244, TallyBrands), 0)), INDEX(TallyBrands2, MATCH(0, COUNTIF(B$4:$B244, TallyBrands2), 0))), INDEX(TallyBrands3, MATCH(0, COUNTIF(B$4:$B244, TallyBrands3), 0))),"")</f>
        <v>Queer Brewing Project</v>
      </c>
      <c r="C245" s="113"/>
      <c r="E245" s="223" cm="1">
        <f t="array" ref="E245">IFERROR(IFERROR(IFERROR(INDEX(TallyBrands,MATCH(0, _xlfn.IFS("Beer"=TallyDrinkType,COUNTIF($E$4:$E244,TallyBrands),"Cider"=TallyDrinkType,COUNTIF($E$4:$E244,TallyBrands)),0)),INDEX(TallyBrands2,MATCH(0, _xlfn.IFS("Beer"=TallyDrinkType,COUNTIF($E$4:$E244,TallyBrands2),"Cider"=TallyDrinkType,COUNTIF($E$4:$E244,TallyBrands2)),0))),INDEX(TallyBrands3,MATCH(0, _xlfn.IFS("Beer"=TallyDrinkType,COUNTIF($E$4:$E244,TallyBrands3),"Cider"=TallyDrinkType,COUNTIF($E$4:$E244,TallyBrands3)),0))),"")</f>
        <v>0</v>
      </c>
      <c r="F245" s="200"/>
      <c r="G245" s="195"/>
      <c r="H245" s="219"/>
      <c r="I245" s="220"/>
    </row>
    <row r="246" spans="2:9" ht="15" x14ac:dyDescent="0.15">
      <c r="B246" s="226" t="str" cm="1">
        <f t="array" ref="B246">IFERROR(IFERROR(IFERROR(INDEX(TallyBrands, MATCH(0, COUNTIF(B$4:$B245, TallyBrands), 0)), INDEX(TallyBrands2, MATCH(0, COUNTIF(B$4:$B245, TallyBrands2), 0))), INDEX(TallyBrands3, MATCH(0, COUNTIF(B$4:$B245, TallyBrands3), 0))),"")</f>
        <v>Urbanaut</v>
      </c>
      <c r="C246" s="113"/>
      <c r="E246" s="223" t="str" cm="1">
        <f t="array" ref="E246">IFERROR(IFERROR(IFERROR(INDEX(TallyBrands,MATCH(0, _xlfn.IFS("Beer"=TallyDrinkType,COUNTIF($E$4:$E245,TallyBrands),"Cider"=TallyDrinkType,COUNTIF($E$4:$E245,TallyBrands)),0)),INDEX(TallyBrands2,MATCH(0, _xlfn.IFS("Beer"=TallyDrinkType,COUNTIF($E$4:$E245,TallyBrands2),"Cider"=TallyDrinkType,COUNTIF($E$4:$E245,TallyBrands2)),0))),INDEX(TallyBrands3,MATCH(0, _xlfn.IFS("Beer"=TallyDrinkType,COUNTIF($E$4:$E245,TallyBrands3),"Cider"=TallyDrinkType,COUNTIF($E$4:$E245,TallyBrands3)),0))),"")</f>
        <v>Frost Beer Works Co.</v>
      </c>
      <c r="F246" s="200"/>
      <c r="G246" s="195"/>
      <c r="H246" s="219"/>
      <c r="I246" s="220"/>
    </row>
    <row r="247" spans="2:9" ht="15" x14ac:dyDescent="0.15">
      <c r="B247" s="226" t="str" cm="1">
        <f t="array" ref="B247">IFERROR(IFERROR(IFERROR(INDEX(TallyBrands, MATCH(0, COUNTIF(B$4:$B246, TallyBrands), 0)), INDEX(TallyBrands2, MATCH(0, COUNTIF(B$4:$B246, TallyBrands2), 0))), INDEX(TallyBrands3, MATCH(0, COUNTIF(B$4:$B246, TallyBrands3), 0))),"")</f>
        <v>Amundsen Bryggeri</v>
      </c>
      <c r="C247" s="113"/>
      <c r="E247" s="223" t="str" cm="1">
        <f t="array" ref="E247">IFERROR(IFERROR(IFERROR(INDEX(TallyBrands,MATCH(0, _xlfn.IFS("Beer"=TallyDrinkType,COUNTIF($E$4:$E246,TallyBrands),"Cider"=TallyDrinkType,COUNTIF($E$4:$E246,TallyBrands)),0)),INDEX(TallyBrands2,MATCH(0, _xlfn.IFS("Beer"=TallyDrinkType,COUNTIF($E$4:$E246,TallyBrands2),"Cider"=TallyDrinkType,COUNTIF($E$4:$E246,TallyBrands2)),0))),INDEX(TallyBrands3,MATCH(0, _xlfn.IFS("Beer"=TallyDrinkType,COUNTIF($E$4:$E246,TallyBrands3),"Cider"=TallyDrinkType,COUNTIF($E$4:$E246,TallyBrands3)),0))),"")</f>
        <v>Flavourly</v>
      </c>
      <c r="F247" s="200"/>
      <c r="G247" s="195"/>
      <c r="H247" s="219"/>
      <c r="I247" s="220"/>
    </row>
    <row r="248" spans="2:9" ht="15" x14ac:dyDescent="0.15">
      <c r="B248" s="226" t="str" cm="1">
        <f t="array" ref="B248">IFERROR(IFERROR(IFERROR(INDEX(TallyBrands, MATCH(0, COUNTIF(B$4:$B247, TallyBrands), 0)), INDEX(TallyBrands2, MATCH(0, COUNTIF(B$4:$B247, TallyBrands2), 0))), INDEX(TallyBrands3, MATCH(0, COUNTIF(B$4:$B247, TallyBrands3), 0))),"")</f>
        <v>Broadland Drinks</v>
      </c>
      <c r="C248" s="113"/>
      <c r="E248" s="223" t="str" cm="1">
        <f t="array" ref="E248">IFERROR(IFERROR(IFERROR(INDEX(TallyBrands,MATCH(0, _xlfn.IFS("Beer"=TallyDrinkType,COUNTIF($E$4:$E247,TallyBrands),"Cider"=TallyDrinkType,COUNTIF($E$4:$E247,TallyBrands)),0)),INDEX(TallyBrands2,MATCH(0, _xlfn.IFS("Beer"=TallyDrinkType,COUNTIF($E$4:$E247,TallyBrands2),"Cider"=TallyDrinkType,COUNTIF($E$4:$E247,TallyBrands2)),0))),INDEX(TallyBrands3,MATCH(0, _xlfn.IFS("Beer"=TallyDrinkType,COUNTIF($E$4:$E247,TallyBrands3),"Cider"=TallyDrinkType,COUNTIF($E$4:$E247,TallyBrands3)),0))),"")</f>
        <v>Hilden</v>
      </c>
      <c r="F248" s="200"/>
      <c r="G248" s="195"/>
      <c r="H248" s="219"/>
      <c r="I248" s="220"/>
    </row>
    <row r="249" spans="2:9" ht="15" x14ac:dyDescent="0.15">
      <c r="B249" s="226" t="str" cm="1">
        <f t="array" ref="B249">IFERROR(IFERROR(IFERROR(INDEX(TallyBrands, MATCH(0, COUNTIF(B$4:$B248, TallyBrands), 0)), INDEX(TallyBrands2, MATCH(0, COUNTIF(B$4:$B248, TallyBrands2), 0))), INDEX(TallyBrands3, MATCH(0, COUNTIF(B$4:$B248, TallyBrands3), 0))),"")</f>
        <v>City of London Distillery</v>
      </c>
      <c r="C249" s="113"/>
      <c r="E249" s="223" t="str" cm="1">
        <f t="array" ref="E249">IFERROR(IFERROR(IFERROR(INDEX(TallyBrands,MATCH(0, _xlfn.IFS("Beer"=TallyDrinkType,COUNTIF($E$4:$E248,TallyBrands),"Cider"=TallyDrinkType,COUNTIF($E$4:$E248,TallyBrands)),0)),INDEX(TallyBrands2,MATCH(0, _xlfn.IFS("Beer"=TallyDrinkType,COUNTIF($E$4:$E248,TallyBrands2),"Cider"=TallyDrinkType,COUNTIF($E$4:$E248,TallyBrands2)),0))),INDEX(TallyBrands3,MATCH(0, _xlfn.IFS("Beer"=TallyDrinkType,COUNTIF($E$4:$E248,TallyBrands3),"Cider"=TallyDrinkType,COUNTIF($E$4:$E248,TallyBrands3)),0))),"")</f>
        <v>Overtone</v>
      </c>
      <c r="F249" s="200"/>
      <c r="G249" s="195"/>
      <c r="H249" s="219"/>
      <c r="I249" s="220"/>
    </row>
    <row r="250" spans="2:9" ht="15" x14ac:dyDescent="0.15">
      <c r="B250" s="226" t="str" cm="1">
        <f t="array" ref="B250">IFERROR(IFERROR(IFERROR(INDEX(TallyBrands, MATCH(0, COUNTIF(B$4:$B249, TallyBrands), 0)), INDEX(TallyBrands2, MATCH(0, COUNTIF(B$4:$B249, TallyBrands2), 0))), INDEX(TallyBrands3, MATCH(0, COUNTIF(B$4:$B249, TallyBrands3), 0))),"")</f>
        <v>The Kernal</v>
      </c>
      <c r="C250" s="113"/>
      <c r="E250" s="223" t="str" cm="1">
        <f t="array" ref="E250">IFERROR(IFERROR(IFERROR(INDEX(TallyBrands,MATCH(0, _xlfn.IFS("Beer"=TallyDrinkType,COUNTIF($E$4:$E249,TallyBrands),"Cider"=TallyDrinkType,COUNTIF($E$4:$E249,TallyBrands)),0)),INDEX(TallyBrands2,MATCH(0, _xlfn.IFS("Beer"=TallyDrinkType,COUNTIF($E$4:$E249,TallyBrands2),"Cider"=TallyDrinkType,COUNTIF($E$4:$E249,TallyBrands2)),0))),INDEX(TallyBrands3,MATCH(0, _xlfn.IFS("Beer"=TallyDrinkType,COUNTIF($E$4:$E249,TallyBrands3),"Cider"=TallyDrinkType,COUNTIF($E$4:$E249,TallyBrands3)),0))),"")</f>
        <v>Beer 52</v>
      </c>
      <c r="F250" s="200"/>
      <c r="G250" s="195"/>
      <c r="H250" s="219"/>
      <c r="I250" s="220"/>
    </row>
    <row r="251" spans="2:9" ht="15" x14ac:dyDescent="0.15">
      <c r="B251" s="226" t="str" cm="1">
        <f t="array" ref="B251">IFERROR(IFERROR(IFERROR(INDEX(TallyBrands, MATCH(0, COUNTIF(B$4:$B250, TallyBrands), 0)), INDEX(TallyBrands2, MATCH(0, COUNTIF(B$4:$B250, TallyBrands2), 0))), INDEX(TallyBrands3, MATCH(0, COUNTIF(B$4:$B250, TallyBrands3), 0))),"")</f>
        <v>Shepherd Neame</v>
      </c>
      <c r="C251" s="113"/>
      <c r="E251" s="223" t="str" cm="1">
        <f t="array" ref="E251">IFERROR(IFERROR(IFERROR(INDEX(TallyBrands,MATCH(0, _xlfn.IFS("Beer"=TallyDrinkType,COUNTIF($E$4:$E250,TallyBrands),"Cider"=TallyDrinkType,COUNTIF($E$4:$E250,TallyBrands)),0)),INDEX(TallyBrands2,MATCH(0, _xlfn.IFS("Beer"=TallyDrinkType,COUNTIF($E$4:$E250,TallyBrands2),"Cider"=TallyDrinkType,COUNTIF($E$4:$E250,TallyBrands2)),0))),INDEX(TallyBrands3,MATCH(0, _xlfn.IFS("Beer"=TallyDrinkType,COUNTIF($E$4:$E250,TallyBrands3),"Cider"=TallyDrinkType,COUNTIF($E$4:$E250,TallyBrands3)),0))),"")</f>
        <v>Sandford Orchards</v>
      </c>
      <c r="F251" s="200"/>
      <c r="G251" s="195"/>
      <c r="H251" s="219"/>
      <c r="I251" s="220"/>
    </row>
    <row r="252" spans="2:9" ht="15" x14ac:dyDescent="0.15">
      <c r="B252" s="226" t="str" cm="1">
        <f t="array" ref="B252">IFERROR(IFERROR(IFERROR(INDEX(TallyBrands, MATCH(0, COUNTIF(B$4:$B251, TallyBrands), 0)), INDEX(TallyBrands2, MATCH(0, COUNTIF(B$4:$B251, TallyBrands2), 0))), INDEX(TallyBrands3, MATCH(0, COUNTIF(B$4:$B251, TallyBrands3), 0))),"")</f>
        <v>Fleurs de Prairie</v>
      </c>
      <c r="C252" s="113"/>
      <c r="E252" s="223" t="str" cm="1">
        <f t="array" ref="E252">IFERROR(IFERROR(IFERROR(INDEX(TallyBrands,MATCH(0, _xlfn.IFS("Beer"=TallyDrinkType,COUNTIF($E$4:$E251,TallyBrands),"Cider"=TallyDrinkType,COUNTIF($E$4:$E251,TallyBrands)),0)),INDEX(TallyBrands2,MATCH(0, _xlfn.IFS("Beer"=TallyDrinkType,COUNTIF($E$4:$E251,TallyBrands2),"Cider"=TallyDrinkType,COUNTIF($E$4:$E251,TallyBrands2)),0))),INDEX(TallyBrands3,MATCH(0, _xlfn.IFS("Beer"=TallyDrinkType,COUNTIF($E$4:$E251,TallyBrands3),"Cider"=TallyDrinkType,COUNTIF($E$4:$E251,TallyBrands3)),0))),"")</f>
        <v>Evil Twin</v>
      </c>
      <c r="F252" s="200"/>
      <c r="G252" s="195"/>
      <c r="H252" s="219"/>
      <c r="I252" s="220"/>
    </row>
    <row r="253" spans="2:9" ht="15" x14ac:dyDescent="0.15">
      <c r="B253" s="226" t="str" cm="1">
        <f t="array" ref="B253">IFERROR(IFERROR(IFERROR(INDEX(TallyBrands, MATCH(0, COUNTIF(B$4:$B252, TallyBrands), 0)), INDEX(TallyBrands2, MATCH(0, COUNTIF(B$4:$B252, TallyBrands2), 0))), INDEX(TallyBrands3, MATCH(0, COUNTIF(B$4:$B252, TallyBrands3), 0))),"")</f>
        <v>Rooster Brewing Co.</v>
      </c>
      <c r="C253" s="113"/>
      <c r="E253" s="223" t="str" cm="1">
        <f t="array" ref="E253">IFERROR(IFERROR(IFERROR(INDEX(TallyBrands,MATCH(0, _xlfn.IFS("Beer"=TallyDrinkType,COUNTIF($E$4:$E252,TallyBrands),"Cider"=TallyDrinkType,COUNTIF($E$4:$E252,TallyBrands)),0)),INDEX(TallyBrands2,MATCH(0, _xlfn.IFS("Beer"=TallyDrinkType,COUNTIF($E$4:$E252,TallyBrands2),"Cider"=TallyDrinkType,COUNTIF($E$4:$E252,TallyBrands2)),0))),INDEX(TallyBrands3,MATCH(0, _xlfn.IFS("Beer"=TallyDrinkType,COUNTIF($E$4:$E252,TallyBrands3),"Cider"=TallyDrinkType,COUNTIF($E$4:$E252,TallyBrands3)),0))),"")</f>
        <v>Cushwa Brewing</v>
      </c>
      <c r="F253" s="200"/>
      <c r="G253" s="195"/>
      <c r="H253" s="219"/>
      <c r="I253" s="220"/>
    </row>
    <row r="254" spans="2:9" ht="15" x14ac:dyDescent="0.15">
      <c r="B254" s="226" t="str" cm="1">
        <f t="array" ref="B254">IFERROR(IFERROR(IFERROR(INDEX(TallyBrands, MATCH(0, COUNTIF(B$4:$B253, TallyBrands), 0)), INDEX(TallyBrands2, MATCH(0, COUNTIF(B$4:$B253, TallyBrands2), 0))), INDEX(TallyBrands3, MATCH(0, COUNTIF(B$4:$B253, TallyBrands3), 0))),"")</f>
        <v>Marks &amp; Spencer</v>
      </c>
      <c r="C254" s="113"/>
      <c r="E254" s="223" t="str" cm="1">
        <f t="array" ref="E254">IFERROR(IFERROR(IFERROR(INDEX(TallyBrands,MATCH(0, _xlfn.IFS("Beer"=TallyDrinkType,COUNTIF($E$4:$E253,TallyBrands),"Cider"=TallyDrinkType,COUNTIF($E$4:$E253,TallyBrands)),0)),INDEX(TallyBrands2,MATCH(0, _xlfn.IFS("Beer"=TallyDrinkType,COUNTIF($E$4:$E253,TallyBrands2),"Cider"=TallyDrinkType,COUNTIF($E$4:$E253,TallyBrands2)),0))),INDEX(TallyBrands3,MATCH(0, _xlfn.IFS("Beer"=TallyDrinkType,COUNTIF($E$4:$E253,TallyBrands3),"Cider"=TallyDrinkType,COUNTIF($E$4:$E253,TallyBrands3)),0))),"")</f>
        <v>Crosby Hop Farm</v>
      </c>
      <c r="F254" s="200"/>
      <c r="G254" s="195"/>
      <c r="H254" s="219"/>
      <c r="I254" s="220"/>
    </row>
    <row r="255" spans="2:9" ht="15" x14ac:dyDescent="0.15">
      <c r="B255" s="226" t="str" cm="1">
        <f t="array" ref="B255">IFERROR(IFERROR(IFERROR(INDEX(TallyBrands, MATCH(0, COUNTIF(B$4:$B254, TallyBrands), 0)), INDEX(TallyBrands2, MATCH(0, COUNTIF(B$4:$B254, TallyBrands2), 0))), INDEX(TallyBrands3, MATCH(0, COUNTIF(B$4:$B254, TallyBrands3), 0))),"")</f>
        <v>Tsingtao</v>
      </c>
      <c r="C255" s="113"/>
      <c r="E255" s="223" t="str" cm="1">
        <f t="array" ref="E255">IFERROR(IFERROR(IFERROR(INDEX(TallyBrands,MATCH(0, _xlfn.IFS("Beer"=TallyDrinkType,COUNTIF($E$4:$E254,TallyBrands),"Cider"=TallyDrinkType,COUNTIF($E$4:$E254,TallyBrands)),0)),INDEX(TallyBrands2,MATCH(0, _xlfn.IFS("Beer"=TallyDrinkType,COUNTIF($E$4:$E254,TallyBrands2),"Cider"=TallyDrinkType,COUNTIF($E$4:$E254,TallyBrands2)),0))),INDEX(TallyBrands3,MATCH(0, _xlfn.IFS("Beer"=TallyDrinkType,COUNTIF($E$4:$E254,TallyBrands3),"Cider"=TallyDrinkType,COUNTIF($E$4:$E254,TallyBrands3)),0))),"")</f>
        <v>Almasty Brewing Co.</v>
      </c>
      <c r="F255" s="200"/>
      <c r="G255" s="195"/>
      <c r="H255" s="219"/>
      <c r="I255" s="220"/>
    </row>
    <row r="256" spans="2:9" ht="15" x14ac:dyDescent="0.15">
      <c r="B256" s="226" t="str" cm="1">
        <f t="array" ref="B256">IFERROR(IFERROR(IFERROR(INDEX(TallyBrands, MATCH(0, COUNTIF(B$4:$B255, TallyBrands), 0)), INDEX(TallyBrands2, MATCH(0, COUNTIF(B$4:$B255, TallyBrands2), 0))), INDEX(TallyBrands3, MATCH(0, COUNTIF(B$4:$B255, TallyBrands3), 0))),"")</f>
        <v>Peroni</v>
      </c>
      <c r="C256" s="113"/>
      <c r="E256" s="223" t="str" cm="1">
        <f t="array" ref="E256">IFERROR(IFERROR(IFERROR(INDEX(TallyBrands,MATCH(0, _xlfn.IFS("Beer"=TallyDrinkType,COUNTIF($E$4:$E255,TallyBrands),"Cider"=TallyDrinkType,COUNTIF($E$4:$E255,TallyBrands)),0)),INDEX(TallyBrands2,MATCH(0, _xlfn.IFS("Beer"=TallyDrinkType,COUNTIF($E$4:$E255,TallyBrands2),"Cider"=TallyDrinkType,COUNTIF($E$4:$E255,TallyBrands2)),0))),INDEX(TallyBrands3,MATCH(0, _xlfn.IFS("Beer"=TallyDrinkType,COUNTIF($E$4:$E255,TallyBrands3),"Cider"=TallyDrinkType,COUNTIF($E$4:$E255,TallyBrands3)),0))),"")</f>
        <v>Marston's Brewery</v>
      </c>
      <c r="F256" s="200"/>
      <c r="G256" s="195"/>
      <c r="H256" s="219"/>
      <c r="I256" s="220"/>
    </row>
    <row r="257" spans="2:9" ht="15" x14ac:dyDescent="0.15">
      <c r="B257" s="226" t="str" cm="1">
        <f t="array" ref="B257">IFERROR(IFERROR(IFERROR(INDEX(TallyBrands, MATCH(0, COUNTIF(B$4:$B256, TallyBrands), 0)), INDEX(TallyBrands2, MATCH(0, COUNTIF(B$4:$B256, TallyBrands2), 0))), INDEX(TallyBrands3, MATCH(0, COUNTIF(B$4:$B256, TallyBrands3), 0))),"")</f>
        <v>Pheasant Gully</v>
      </c>
      <c r="C257" s="113"/>
      <c r="E257" s="223" t="str" cm="1">
        <f t="array" ref="E257">IFERROR(IFERROR(IFERROR(INDEX(TallyBrands,MATCH(0, _xlfn.IFS("Beer"=TallyDrinkType,COUNTIF($E$4:$E256,TallyBrands),"Cider"=TallyDrinkType,COUNTIF($E$4:$E256,TallyBrands)),0)),INDEX(TallyBrands2,MATCH(0, _xlfn.IFS("Beer"=TallyDrinkType,COUNTIF($E$4:$E256,TallyBrands2),"Cider"=TallyDrinkType,COUNTIF($E$4:$E256,TallyBrands2)),0))),INDEX(TallyBrands3,MATCH(0, _xlfn.IFS("Beer"=TallyDrinkType,COUNTIF($E$4:$E256,TallyBrands3),"Cider"=TallyDrinkType,COUNTIF($E$4:$E256,TallyBrands3)),0))),"")</f>
        <v>Beer 53</v>
      </c>
      <c r="F257" s="200"/>
      <c r="G257" s="195"/>
      <c r="H257" s="219"/>
      <c r="I257" s="220"/>
    </row>
    <row r="258" spans="2:9" ht="15" x14ac:dyDescent="0.15">
      <c r="B258" s="226" t="str" cm="1">
        <f t="array" ref="B258">IFERROR(IFERROR(IFERROR(INDEX(TallyBrands, MATCH(0, COUNTIF(B$4:$B257, TallyBrands), 0)), INDEX(TallyBrands2, MATCH(0, COUNTIF(B$4:$B257, TallyBrands2), 0))), INDEX(TallyBrands3, MATCH(0, COUNTIF(B$4:$B257, TallyBrands3), 0))),"")</f>
        <v>Radeberger</v>
      </c>
      <c r="C258" s="113"/>
      <c r="E258" s="223" t="str" cm="1">
        <f t="array" ref="E258">IFERROR(IFERROR(IFERROR(INDEX(TallyBrands,MATCH(0, _xlfn.IFS("Beer"=TallyDrinkType,COUNTIF($E$4:$E257,TallyBrands),"Cider"=TallyDrinkType,COUNTIF($E$4:$E257,TallyBrands)),0)),INDEX(TallyBrands2,MATCH(0, _xlfn.IFS("Beer"=TallyDrinkType,COUNTIF($E$4:$E257,TallyBrands2),"Cider"=TallyDrinkType,COUNTIF($E$4:$E257,TallyBrands2)),0))),INDEX(TallyBrands3,MATCH(0, _xlfn.IFS("Beer"=TallyDrinkType,COUNTIF($E$4:$E257,TallyBrands3),"Cider"=TallyDrinkType,COUNTIF($E$4:$E257,TallyBrands3)),0))),"")</f>
        <v>Devil's Peak Brewing Company</v>
      </c>
      <c r="F258" s="200"/>
      <c r="G258" s="195"/>
      <c r="H258" s="219"/>
      <c r="I258" s="220"/>
    </row>
    <row r="259" spans="2:9" ht="15" x14ac:dyDescent="0.15">
      <c r="B259" s="226" t="str" cm="1">
        <f t="array" ref="B259">IFERROR(IFERROR(IFERROR(INDEX(TallyBrands, MATCH(0, COUNTIF(B$4:$B258, TallyBrands), 0)), INDEX(TallyBrands2, MATCH(0, COUNTIF(B$4:$B258, TallyBrands2), 0))), INDEX(TallyBrands3, MATCH(0, COUNTIF(B$4:$B258, TallyBrands3), 0))),"")</f>
        <v>Campari</v>
      </c>
      <c r="C259" s="113"/>
      <c r="E259" s="223" t="str" cm="1">
        <f t="array" ref="E259">IFERROR(IFERROR(IFERROR(INDEX(TallyBrands,MATCH(0, _xlfn.IFS("Beer"=TallyDrinkType,COUNTIF($E$4:$E258,TallyBrands),"Cider"=TallyDrinkType,COUNTIF($E$4:$E258,TallyBrands)),0)),INDEX(TallyBrands2,MATCH(0, _xlfn.IFS("Beer"=TallyDrinkType,COUNTIF($E$4:$E258,TallyBrands2),"Cider"=TallyDrinkType,COUNTIF($E$4:$E258,TallyBrands2)),0))),INDEX(TallyBrands3,MATCH(0, _xlfn.IFS("Beer"=TallyDrinkType,COUNTIF($E$4:$E258,TallyBrands3),"Cider"=TallyDrinkType,COUNTIF($E$4:$E258,TallyBrands3)),0))),"")</f>
        <v>Marble Brewery</v>
      </c>
      <c r="F259" s="200"/>
      <c r="G259" s="195"/>
      <c r="H259" s="219"/>
      <c r="I259" s="220"/>
    </row>
    <row r="260" spans="2:9" ht="15" x14ac:dyDescent="0.15">
      <c r="B260" s="226" t="str" cm="1">
        <f t="array" ref="B260">IFERROR(IFERROR(IFERROR(INDEX(TallyBrands, MATCH(0, COUNTIF(B$4:$B259, TallyBrands), 0)), INDEX(TallyBrands2, MATCH(0, COUNTIF(B$4:$B259, TallyBrands2), 0))), INDEX(TallyBrands3, MATCH(0, COUNTIF(B$4:$B259, TallyBrands3), 0))),"")</f>
        <v>Weird Beard</v>
      </c>
      <c r="C260" s="113"/>
      <c r="E260" s="223" t="str" cm="1">
        <f t="array" ref="E260">IFERROR(IFERROR(IFERROR(INDEX(TallyBrands,MATCH(0, _xlfn.IFS("Beer"=TallyDrinkType,COUNTIF($E$4:$E259,TallyBrands),"Cider"=TallyDrinkType,COUNTIF($E$4:$E259,TallyBrands)),0)),INDEX(TallyBrands2,MATCH(0, _xlfn.IFS("Beer"=TallyDrinkType,COUNTIF($E$4:$E259,TallyBrands2),"Cider"=TallyDrinkType,COUNTIF($E$4:$E259,TallyBrands2)),0))),INDEX(TallyBrands3,MATCH(0, _xlfn.IFS("Beer"=TallyDrinkType,COUNTIF($E$4:$E259,TallyBrands3),"Cider"=TallyDrinkType,COUNTIF($E$4:$E259,TallyBrands3)),0))),"")</f>
        <v>Loughran Brewing Stores</v>
      </c>
      <c r="F260" s="200"/>
      <c r="G260" s="195"/>
      <c r="H260" s="219"/>
      <c r="I260" s="220"/>
    </row>
    <row r="261" spans="2:9" ht="15" x14ac:dyDescent="0.15">
      <c r="B261" s="226" t="str" cm="1">
        <f t="array" ref="B261">IFERROR(IFERROR(IFERROR(INDEX(TallyBrands, MATCH(0, COUNTIF(B$4:$B260, TallyBrands), 0)), INDEX(TallyBrands2, MATCH(0, COUNTIF(B$4:$B260, TallyBrands2), 0))), INDEX(TallyBrands3, MATCH(0, COUNTIF(B$4:$B260, TallyBrands3), 0))),"")</f>
        <v>Hooper's</v>
      </c>
      <c r="C261" s="113"/>
      <c r="E261" s="223" t="str" cm="1">
        <f t="array" ref="E261">IFERROR(IFERROR(IFERROR(INDEX(TallyBrands,MATCH(0, _xlfn.IFS("Beer"=TallyDrinkType,COUNTIF($E$4:$E260,TallyBrands),"Cider"=TallyDrinkType,COUNTIF($E$4:$E260,TallyBrands)),0)),INDEX(TallyBrands2,MATCH(0, _xlfn.IFS("Beer"=TallyDrinkType,COUNTIF($E$4:$E260,TallyBrands2),"Cider"=TallyDrinkType,COUNTIF($E$4:$E260,TallyBrands2)),0))),INDEX(TallyBrands3,MATCH(0, _xlfn.IFS("Beer"=TallyDrinkType,COUNTIF($E$4:$E260,TallyBrands3),"Cider"=TallyDrinkType,COUNTIF($E$4:$E260,TallyBrands3)),0))),"")</f>
        <v/>
      </c>
      <c r="F261" s="200"/>
      <c r="G261" s="195"/>
      <c r="H261" s="219"/>
      <c r="I261" s="220"/>
    </row>
    <row r="262" spans="2:9" ht="15" x14ac:dyDescent="0.15">
      <c r="B262" s="226" t="str" cm="1">
        <f t="array" ref="B262">IFERROR(IFERROR(IFERROR(INDEX(TallyBrands, MATCH(0, COUNTIF(B$4:$B261, TallyBrands), 0)), INDEX(TallyBrands2, MATCH(0, COUNTIF(B$4:$B261, TallyBrands2), 0))), INDEX(TallyBrands3, MATCH(0, COUNTIF(B$4:$B261, TallyBrands3), 0))),"")</f>
        <v>Cargo Cult</v>
      </c>
      <c r="C262" s="113"/>
      <c r="E262" s="223" t="str" cm="1">
        <f t="array" ref="E262">IFERROR(IFERROR(IFERROR(INDEX(TallyBrands,MATCH(0, _xlfn.IFS("Beer"=TallyDrinkType,COUNTIF($E$4:$E261,TallyBrands),"Cider"=TallyDrinkType,COUNTIF($E$4:$E261,TallyBrands)),0)),INDEX(TallyBrands2,MATCH(0, _xlfn.IFS("Beer"=TallyDrinkType,COUNTIF($E$4:$E261,TallyBrands2),"Cider"=TallyDrinkType,COUNTIF($E$4:$E261,TallyBrands2)),0))),INDEX(TallyBrands3,MATCH(0, _xlfn.IFS("Beer"=TallyDrinkType,COUNTIF($E$4:$E261,TallyBrands3),"Cider"=TallyDrinkType,COUNTIF($E$4:$E261,TallyBrands3)),0))),"")</f>
        <v/>
      </c>
      <c r="F262" s="200"/>
      <c r="G262" s="195"/>
      <c r="H262" s="219"/>
      <c r="I262" s="220"/>
    </row>
    <row r="263" spans="2:9" ht="15" x14ac:dyDescent="0.15">
      <c r="B263" s="226" t="str" cm="1">
        <f t="array" ref="B263">IFERROR(IFERROR(IFERROR(INDEX(TallyBrands, MATCH(0, COUNTIF(B$4:$B262, TallyBrands), 0)), INDEX(TallyBrands2, MATCH(0, COUNTIF(B$4:$B262, TallyBrands2), 0))), INDEX(TallyBrands3, MATCH(0, COUNTIF(B$4:$B262, TallyBrands3), 0))),"")</f>
        <v>Gipsy Hill</v>
      </c>
      <c r="C263" s="113"/>
      <c r="E263" s="223" t="str" cm="1">
        <f t="array" ref="E263">IFERROR(IFERROR(IFERROR(INDEX(TallyBrands,MATCH(0, _xlfn.IFS("Beer"=TallyDrinkType,COUNTIF($E$4:$E262,TallyBrands),"Cider"=TallyDrinkType,COUNTIF($E$4:$E262,TallyBrands)),0)),INDEX(TallyBrands2,MATCH(0, _xlfn.IFS("Beer"=TallyDrinkType,COUNTIF($E$4:$E262,TallyBrands2),"Cider"=TallyDrinkType,COUNTIF($E$4:$E262,TallyBrands2)),0))),INDEX(TallyBrands3,MATCH(0, _xlfn.IFS("Beer"=TallyDrinkType,COUNTIF($E$4:$E262,TallyBrands3),"Cider"=TallyDrinkType,COUNTIF($E$4:$E262,TallyBrands3)),0))),"")</f>
        <v/>
      </c>
      <c r="F263" s="200"/>
      <c r="G263" s="195"/>
      <c r="H263" s="219"/>
      <c r="I263" s="220"/>
    </row>
    <row r="264" spans="2:9" ht="15" x14ac:dyDescent="0.15">
      <c r="B264" s="226" t="str" cm="1">
        <f t="array" ref="B264">IFERROR(IFERROR(IFERROR(INDEX(TallyBrands, MATCH(0, COUNTIF(B$4:$B263, TallyBrands), 0)), INDEX(TallyBrands2, MATCH(0, COUNTIF(B$4:$B263, TallyBrands2), 0))), INDEX(TallyBrands3, MATCH(0, COUNTIF(B$4:$B263, TallyBrands3), 0))),"")</f>
        <v>Bella Veroni</v>
      </c>
      <c r="C264" s="113"/>
      <c r="E264" s="223" t="str" cm="1">
        <f t="array" ref="E264">IFERROR(IFERROR(IFERROR(INDEX(TallyBrands,MATCH(0, _xlfn.IFS("Beer"=TallyDrinkType,COUNTIF($E$4:$E263,TallyBrands),"Cider"=TallyDrinkType,COUNTIF($E$4:$E263,TallyBrands)),0)),INDEX(TallyBrands2,MATCH(0, _xlfn.IFS("Beer"=TallyDrinkType,COUNTIF($E$4:$E263,TallyBrands2),"Cider"=TallyDrinkType,COUNTIF($E$4:$E263,TallyBrands2)),0))),INDEX(TallyBrands3,MATCH(0, _xlfn.IFS("Beer"=TallyDrinkType,COUNTIF($E$4:$E263,TallyBrands3),"Cider"=TallyDrinkType,COUNTIF($E$4:$E263,TallyBrands3)),0))),"")</f>
        <v/>
      </c>
      <c r="F264" s="200"/>
      <c r="G264" s="195"/>
      <c r="H264" s="219"/>
      <c r="I264" s="220"/>
    </row>
    <row r="265" spans="2:9" ht="15" x14ac:dyDescent="0.15">
      <c r="B265" s="226" t="str" cm="1">
        <f t="array" ref="B265">IFERROR(IFERROR(IFERROR(INDEX(TallyBrands, MATCH(0, COUNTIF(B$4:$B264, TallyBrands), 0)), INDEX(TallyBrands2, MATCH(0, COUNTIF(B$4:$B264, TallyBrands2), 0))), INDEX(TallyBrands3, MATCH(0, COUNTIF(B$4:$B264, TallyBrands3), 0))),"")</f>
        <v>Bellucci</v>
      </c>
      <c r="C265" s="113"/>
      <c r="E265" s="223" t="str" cm="1">
        <f t="array" ref="E265">IFERROR(IFERROR(IFERROR(INDEX(TallyBrands,MATCH(0, _xlfn.IFS("Beer"=TallyDrinkType,COUNTIF($E$4:$E264,TallyBrands),"Cider"=TallyDrinkType,COUNTIF($E$4:$E264,TallyBrands)),0)),INDEX(TallyBrands2,MATCH(0, _xlfn.IFS("Beer"=TallyDrinkType,COUNTIF($E$4:$E264,TallyBrands2),"Cider"=TallyDrinkType,COUNTIF($E$4:$E264,TallyBrands2)),0))),INDEX(TallyBrands3,MATCH(0, _xlfn.IFS("Beer"=TallyDrinkType,COUNTIF($E$4:$E264,TallyBrands3),"Cider"=TallyDrinkType,COUNTIF($E$4:$E264,TallyBrands3)),0))),"")</f>
        <v/>
      </c>
      <c r="F265" s="200"/>
      <c r="G265" s="195"/>
      <c r="H265" s="219"/>
      <c r="I265" s="220"/>
    </row>
    <row r="266" spans="2:9" ht="15" x14ac:dyDescent="0.15">
      <c r="B266" s="226" t="str" cm="1">
        <f t="array" ref="B266">IFERROR(IFERROR(IFERROR(INDEX(TallyBrands, MATCH(0, COUNTIF(B$4:$B265, TallyBrands), 0)), INDEX(TallyBrands2, MATCH(0, COUNTIF(B$4:$B265, TallyBrands2), 0))), INDEX(TallyBrands3, MATCH(0, COUNTIF(B$4:$B265, TallyBrands3), 0))),"")</f>
        <v>i heart Wines</v>
      </c>
      <c r="C266" s="113"/>
      <c r="E266" s="223" t="str" cm="1">
        <f t="array" ref="E266">IFERROR(IFERROR(IFERROR(INDEX(TallyBrands,MATCH(0, _xlfn.IFS("Beer"=TallyDrinkType,COUNTIF($E$4:$E265,TallyBrands),"Cider"=TallyDrinkType,COUNTIF($E$4:$E265,TallyBrands)),0)),INDEX(TallyBrands2,MATCH(0, _xlfn.IFS("Beer"=TallyDrinkType,COUNTIF($E$4:$E265,TallyBrands2),"Cider"=TallyDrinkType,COUNTIF($E$4:$E265,TallyBrands2)),0))),INDEX(TallyBrands3,MATCH(0, _xlfn.IFS("Beer"=TallyDrinkType,COUNTIF($E$4:$E265,TallyBrands3),"Cider"=TallyDrinkType,COUNTIF($E$4:$E265,TallyBrands3)),0))),"")</f>
        <v/>
      </c>
      <c r="F266" s="200"/>
      <c r="G266" s="195"/>
      <c r="H266" s="219"/>
      <c r="I266" s="220"/>
    </row>
    <row r="267" spans="2:9" ht="15" x14ac:dyDescent="0.15">
      <c r="B267" s="226" t="str" cm="1">
        <f t="array" ref="B267">IFERROR(IFERROR(IFERROR(INDEX(TallyBrands, MATCH(0, COUNTIF(B$4:$B266, TallyBrands), 0)), INDEX(TallyBrands2, MATCH(0, COUNTIF(B$4:$B266, TallyBrands2), 0))), INDEX(TallyBrands3, MATCH(0, COUNTIF(B$4:$B266, TallyBrands3), 0))),"")</f>
        <v>Gallo Family</v>
      </c>
      <c r="C267" s="113"/>
      <c r="E267" s="223" t="str" cm="1">
        <f t="array" ref="E267">IFERROR(IFERROR(IFERROR(INDEX(TallyBrands,MATCH(0, _xlfn.IFS("Beer"=TallyDrinkType,COUNTIF($E$4:$E266,TallyBrands),"Cider"=TallyDrinkType,COUNTIF($E$4:$E266,TallyBrands)),0)),INDEX(TallyBrands2,MATCH(0, _xlfn.IFS("Beer"=TallyDrinkType,COUNTIF($E$4:$E266,TallyBrands2),"Cider"=TallyDrinkType,COUNTIF($E$4:$E266,TallyBrands2)),0))),INDEX(TallyBrands3,MATCH(0, _xlfn.IFS("Beer"=TallyDrinkType,COUNTIF($E$4:$E266,TallyBrands3),"Cider"=TallyDrinkType,COUNTIF($E$4:$E266,TallyBrands3)),0))),"")</f>
        <v/>
      </c>
      <c r="F267" s="200"/>
      <c r="G267" s="195"/>
      <c r="H267" s="219"/>
      <c r="I267" s="220"/>
    </row>
    <row r="268" spans="2:9" ht="15" x14ac:dyDescent="0.15">
      <c r="B268" s="226" t="str" cm="1">
        <f t="array" ref="B268">IFERROR(IFERROR(IFERROR(INDEX(TallyBrands, MATCH(0, COUNTIF(B$4:$B267, TallyBrands), 0)), INDEX(TallyBrands2, MATCH(0, COUNTIF(B$4:$B267, TallyBrands2), 0))), INDEX(TallyBrands3, MATCH(0, COUNTIF(B$4:$B267, TallyBrands3), 0))),"")</f>
        <v>Sunrise Cocktails</v>
      </c>
      <c r="C268" s="113"/>
      <c r="E268" s="223" t="str" cm="1">
        <f t="array" ref="E268">IFERROR(IFERROR(IFERROR(INDEX(TallyBrands,MATCH(0, _xlfn.IFS("Beer"=TallyDrinkType,COUNTIF($E$4:$E267,TallyBrands),"Cider"=TallyDrinkType,COUNTIF($E$4:$E267,TallyBrands)),0)),INDEX(TallyBrands2,MATCH(0, _xlfn.IFS("Beer"=TallyDrinkType,COUNTIF($E$4:$E267,TallyBrands2),"Cider"=TallyDrinkType,COUNTIF($E$4:$E267,TallyBrands2)),0))),INDEX(TallyBrands3,MATCH(0, _xlfn.IFS("Beer"=TallyDrinkType,COUNTIF($E$4:$E267,TallyBrands3),"Cider"=TallyDrinkType,COUNTIF($E$4:$E267,TallyBrands3)),0))),"")</f>
        <v/>
      </c>
      <c r="F268" s="200"/>
      <c r="G268" s="195"/>
      <c r="H268" s="219"/>
      <c r="I268" s="220"/>
    </row>
    <row r="269" spans="2:9" ht="15" x14ac:dyDescent="0.15">
      <c r="B269" s="226" t="str" cm="1">
        <f t="array" ref="B269">IFERROR(IFERROR(IFERROR(INDEX(TallyBrands, MATCH(0, COUNTIF(B$4:$B268, TallyBrands), 0)), INDEX(TallyBrands2, MATCH(0, COUNTIF(B$4:$B268, TallyBrands2), 0))), INDEX(TallyBrands3, MATCH(0, COUNTIF(B$4:$B268, TallyBrands3), 0))),"")</f>
        <v>Atom</v>
      </c>
      <c r="C269" s="113"/>
      <c r="E269" s="223" t="str" cm="1">
        <f t="array" ref="E269">IFERROR(IFERROR(IFERROR(INDEX(TallyBrands,MATCH(0, _xlfn.IFS("Beer"=TallyDrinkType,COUNTIF($E$4:$E268,TallyBrands),"Cider"=TallyDrinkType,COUNTIF($E$4:$E268,TallyBrands)),0)),INDEX(TallyBrands2,MATCH(0, _xlfn.IFS("Beer"=TallyDrinkType,COUNTIF($E$4:$E268,TallyBrands2),"Cider"=TallyDrinkType,COUNTIF($E$4:$E268,TallyBrands2)),0))),INDEX(TallyBrands3,MATCH(0, _xlfn.IFS("Beer"=TallyDrinkType,COUNTIF($E$4:$E268,TallyBrands3),"Cider"=TallyDrinkType,COUNTIF($E$4:$E268,TallyBrands3)),0))),"")</f>
        <v/>
      </c>
      <c r="F269" s="200"/>
      <c r="G269" s="195"/>
      <c r="H269" s="219"/>
      <c r="I269" s="220"/>
    </row>
    <row r="270" spans="2:9" ht="15" x14ac:dyDescent="0.15">
      <c r="B270" s="226" t="str" cm="1">
        <f t="array" ref="B270">IFERROR(IFERROR(IFERROR(INDEX(TallyBrands, MATCH(0, COUNTIF(B$4:$B269, TallyBrands), 0)), INDEX(TallyBrands2, MATCH(0, COUNTIF(B$4:$B269, TallyBrands2), 0))), INDEX(TallyBrands3, MATCH(0, COUNTIF(B$4:$B269, TallyBrands3), 0))),"")</f>
        <v>Harviestoun Brewery</v>
      </c>
      <c r="C270" s="113"/>
      <c r="E270" s="223" t="str" cm="1">
        <f t="array" ref="E270">IFERROR(IFERROR(IFERROR(INDEX(TallyBrands,MATCH(0, _xlfn.IFS("Beer"=TallyDrinkType,COUNTIF($E$4:$E269,TallyBrands),"Cider"=TallyDrinkType,COUNTIF($E$4:$E269,TallyBrands)),0)),INDEX(TallyBrands2,MATCH(0, _xlfn.IFS("Beer"=TallyDrinkType,COUNTIF($E$4:$E269,TallyBrands2),"Cider"=TallyDrinkType,COUNTIF($E$4:$E269,TallyBrands2)),0))),INDEX(TallyBrands3,MATCH(0, _xlfn.IFS("Beer"=TallyDrinkType,COUNTIF($E$4:$E269,TallyBrands3),"Cider"=TallyDrinkType,COUNTIF($E$4:$E269,TallyBrands3)),0))),"")</f>
        <v/>
      </c>
      <c r="F270" s="200"/>
      <c r="G270" s="195"/>
      <c r="H270" s="219"/>
      <c r="I270" s="220"/>
    </row>
    <row r="271" spans="2:9" ht="15" x14ac:dyDescent="0.15">
      <c r="B271" s="226" t="str" cm="1">
        <f t="array" ref="B271">IFERROR(IFERROR(IFERROR(INDEX(TallyBrands, MATCH(0, COUNTIF(B$4:$B270, TallyBrands), 0)), INDEX(TallyBrands2, MATCH(0, COUNTIF(B$4:$B270, TallyBrands2), 0))), INDEX(TallyBrands3, MATCH(0, COUNTIF(B$4:$B270, TallyBrands3), 0))),"")</f>
        <v>Harbour Brewing Company</v>
      </c>
      <c r="C271" s="113"/>
      <c r="E271" s="223" t="str" cm="1">
        <f t="array" ref="E271">IFERROR(IFERROR(IFERROR(INDEX(TallyBrands,MATCH(0, _xlfn.IFS("Beer"=TallyDrinkType,COUNTIF($E$4:$E270,TallyBrands),"Cider"=TallyDrinkType,COUNTIF($E$4:$E270,TallyBrands)),0)),INDEX(TallyBrands2,MATCH(0, _xlfn.IFS("Beer"=TallyDrinkType,COUNTIF($E$4:$E270,TallyBrands2),"Cider"=TallyDrinkType,COUNTIF($E$4:$E270,TallyBrands2)),0))),INDEX(TallyBrands3,MATCH(0, _xlfn.IFS("Beer"=TallyDrinkType,COUNTIF($E$4:$E270,TallyBrands3),"Cider"=TallyDrinkType,COUNTIF($E$4:$E270,TallyBrands3)),0))),"")</f>
        <v/>
      </c>
      <c r="F271" s="200"/>
      <c r="G271" s="195"/>
      <c r="H271" s="219"/>
      <c r="I271" s="220"/>
    </row>
    <row r="272" spans="2:9" ht="15" x14ac:dyDescent="0.15">
      <c r="B272" s="226" t="str" cm="1">
        <f t="array" ref="B272">IFERROR(IFERROR(IFERROR(INDEX(TallyBrands, MATCH(0, COUNTIF(B$4:$B271, TallyBrands), 0)), INDEX(TallyBrands2, MATCH(0, COUNTIF(B$4:$B271, TallyBrands2), 0))), INDEX(TallyBrands3, MATCH(0, COUNTIF(B$4:$B271, TallyBrands3), 0))),"")</f>
        <v>Dow's</v>
      </c>
      <c r="C272" s="113"/>
      <c r="E272" s="223" t="str" cm="1">
        <f t="array" ref="E272">IFERROR(IFERROR(IFERROR(INDEX(TallyBrands,MATCH(0, _xlfn.IFS("Beer"=TallyDrinkType,COUNTIF($E$4:$E271,TallyBrands),"Cider"=TallyDrinkType,COUNTIF($E$4:$E271,TallyBrands)),0)),INDEX(TallyBrands2,MATCH(0, _xlfn.IFS("Beer"=TallyDrinkType,COUNTIF($E$4:$E271,TallyBrands2),"Cider"=TallyDrinkType,COUNTIF($E$4:$E271,TallyBrands2)),0))),INDEX(TallyBrands3,MATCH(0, _xlfn.IFS("Beer"=TallyDrinkType,COUNTIF($E$4:$E271,TallyBrands3),"Cider"=TallyDrinkType,COUNTIF($E$4:$E271,TallyBrands3)),0))),"")</f>
        <v/>
      </c>
      <c r="F272" s="200"/>
      <c r="G272" s="195"/>
      <c r="H272" s="219"/>
      <c r="I272" s="220"/>
    </row>
    <row r="273" spans="2:9" ht="15" x14ac:dyDescent="0.15">
      <c r="B273" s="226" t="str" cm="1">
        <f t="array" ref="B273">IFERROR(IFERROR(IFERROR(INDEX(TallyBrands, MATCH(0, COUNTIF(B$4:$B272, TallyBrands), 0)), INDEX(TallyBrands2, MATCH(0, COUNTIF(B$4:$B272, TallyBrands2), 0))), INDEX(TallyBrands3, MATCH(0, COUNTIF(B$4:$B272, TallyBrands3), 0))),"")</f>
        <v>The Glenlivet</v>
      </c>
      <c r="C273" s="113"/>
      <c r="E273" s="223" t="str" cm="1">
        <f t="array" ref="E273">IFERROR(IFERROR(IFERROR(INDEX(TallyBrands,MATCH(0, _xlfn.IFS("Beer"=TallyDrinkType,COUNTIF($E$4:$E272,TallyBrands),"Cider"=TallyDrinkType,COUNTIF($E$4:$E272,TallyBrands)),0)),INDEX(TallyBrands2,MATCH(0, _xlfn.IFS("Beer"=TallyDrinkType,COUNTIF($E$4:$E272,TallyBrands2),"Cider"=TallyDrinkType,COUNTIF($E$4:$E272,TallyBrands2)),0))),INDEX(TallyBrands3,MATCH(0, _xlfn.IFS("Beer"=TallyDrinkType,COUNTIF($E$4:$E272,TallyBrands3),"Cider"=TallyDrinkType,COUNTIF($E$4:$E272,TallyBrands3)),0))),"")</f>
        <v/>
      </c>
      <c r="F273" s="200"/>
      <c r="G273" s="195"/>
      <c r="H273" s="219"/>
      <c r="I273" s="220"/>
    </row>
    <row r="274" spans="2:9" ht="15" x14ac:dyDescent="0.15">
      <c r="B274" s="226" t="str" cm="1">
        <f t="array" ref="B274">IFERROR(IFERROR(IFERROR(INDEX(TallyBrands, MATCH(0, COUNTIF(B$4:$B273, TallyBrands), 0)), INDEX(TallyBrands2, MATCH(0, COUNTIF(B$4:$B273, TallyBrands2), 0))), INDEX(TallyBrands3, MATCH(0, COUNTIF(B$4:$B273, TallyBrands3), 0))),"")</f>
        <v>Coop</v>
      </c>
      <c r="C274" s="113"/>
      <c r="E274" s="223" t="str" cm="1">
        <f t="array" ref="E274">IFERROR(IFERROR(IFERROR(INDEX(TallyBrands,MATCH(0, _xlfn.IFS("Beer"=TallyDrinkType,COUNTIF($E$4:$E273,TallyBrands),"Cider"=TallyDrinkType,COUNTIF($E$4:$E273,TallyBrands)),0)),INDEX(TallyBrands2,MATCH(0, _xlfn.IFS("Beer"=TallyDrinkType,COUNTIF($E$4:$E273,TallyBrands2),"Cider"=TallyDrinkType,COUNTIF($E$4:$E273,TallyBrands2)),0))),INDEX(TallyBrands3,MATCH(0, _xlfn.IFS("Beer"=TallyDrinkType,COUNTIF($E$4:$E273,TallyBrands3),"Cider"=TallyDrinkType,COUNTIF($E$4:$E273,TallyBrands3)),0))),"")</f>
        <v/>
      </c>
      <c r="F274" s="200"/>
      <c r="G274" s="195"/>
      <c r="H274" s="219"/>
      <c r="I274" s="220"/>
    </row>
    <row r="275" spans="2:9" ht="15" x14ac:dyDescent="0.15">
      <c r="B275" s="226" t="str" cm="1">
        <f t="array" ref="B275">IFERROR(IFERROR(IFERROR(INDEX(TallyBrands, MATCH(0, COUNTIF(B$4:$B274, TallyBrands), 0)), INDEX(TallyBrands2, MATCH(0, COUNTIF(B$4:$B274, TallyBrands2), 0))), INDEX(TallyBrands3, MATCH(0, COUNTIF(B$4:$B274, TallyBrands3), 0))),"")</f>
        <v>Wimbledon</v>
      </c>
      <c r="C275" s="113"/>
      <c r="E275" s="223" t="str" cm="1">
        <f t="array" ref="E275">IFERROR(IFERROR(IFERROR(INDEX(TallyBrands,MATCH(0, _xlfn.IFS("Beer"=TallyDrinkType,COUNTIF($E$4:$E274,TallyBrands),"Cider"=TallyDrinkType,COUNTIF($E$4:$E274,TallyBrands)),0)),INDEX(TallyBrands2,MATCH(0, _xlfn.IFS("Beer"=TallyDrinkType,COUNTIF($E$4:$E274,TallyBrands2),"Cider"=TallyDrinkType,COUNTIF($E$4:$E274,TallyBrands2)),0))),INDEX(TallyBrands3,MATCH(0, _xlfn.IFS("Beer"=TallyDrinkType,COUNTIF($E$4:$E274,TallyBrands3),"Cider"=TallyDrinkType,COUNTIF($E$4:$E274,TallyBrands3)),0))),"")</f>
        <v/>
      </c>
      <c r="F275" s="200"/>
      <c r="G275" s="195"/>
      <c r="H275" s="219"/>
      <c r="I275" s="220"/>
    </row>
    <row r="276" spans="2:9" ht="15" x14ac:dyDescent="0.15">
      <c r="B276" s="226" t="str" cm="1">
        <f t="array" ref="B276">IFERROR(IFERROR(IFERROR(INDEX(TallyBrands, MATCH(0, COUNTIF(B$4:$B275, TallyBrands), 0)), INDEX(TallyBrands2, MATCH(0, COUNTIF(B$4:$B275, TallyBrands2), 0))), INDEX(TallyBrands3, MATCH(0, COUNTIF(B$4:$B275, TallyBrands3), 0))),"")</f>
        <v>Rekorderlig</v>
      </c>
      <c r="C276" s="113"/>
      <c r="E276" s="223" t="str" cm="1">
        <f t="array" ref="E276">IFERROR(IFERROR(IFERROR(INDEX(TallyBrands,MATCH(0, _xlfn.IFS("Beer"=TallyDrinkType,COUNTIF($E$4:$E275,TallyBrands),"Cider"=TallyDrinkType,COUNTIF($E$4:$E275,TallyBrands)),0)),INDEX(TallyBrands2,MATCH(0, _xlfn.IFS("Beer"=TallyDrinkType,COUNTIF($E$4:$E275,TallyBrands2),"Cider"=TallyDrinkType,COUNTIF($E$4:$E275,TallyBrands2)),0))),INDEX(TallyBrands3,MATCH(0, _xlfn.IFS("Beer"=TallyDrinkType,COUNTIF($E$4:$E275,TallyBrands3),"Cider"=TallyDrinkType,COUNTIF($E$4:$E275,TallyBrands3)),0))),"")</f>
        <v/>
      </c>
      <c r="F276" s="200"/>
      <c r="G276" s="195"/>
      <c r="H276" s="219"/>
      <c r="I276" s="220"/>
    </row>
    <row r="277" spans="2:9" ht="15" x14ac:dyDescent="0.15">
      <c r="B277" s="226" t="str" cm="1">
        <f t="array" ref="B277">IFERROR(IFERROR(IFERROR(INDEX(TallyBrands, MATCH(0, COUNTIF(B$4:$B276, TallyBrands), 0)), INDEX(TallyBrands2, MATCH(0, COUNTIF(B$4:$B276, TallyBrands2), 0))), INDEX(TallyBrands3, MATCH(0, COUNTIF(B$4:$B276, TallyBrands3), 0))),"")</f>
        <v>Vocation</v>
      </c>
      <c r="C277" s="113"/>
      <c r="E277" s="223" t="str" cm="1">
        <f t="array" ref="E277">IFERROR(IFERROR(IFERROR(INDEX(TallyBrands,MATCH(0, _xlfn.IFS("Beer"=TallyDrinkType,COUNTIF($E$4:$E276,TallyBrands),"Cider"=TallyDrinkType,COUNTIF($E$4:$E276,TallyBrands)),0)),INDEX(TallyBrands2,MATCH(0, _xlfn.IFS("Beer"=TallyDrinkType,COUNTIF($E$4:$E276,TallyBrands2),"Cider"=TallyDrinkType,COUNTIF($E$4:$E276,TallyBrands2)),0))),INDEX(TallyBrands3,MATCH(0, _xlfn.IFS("Beer"=TallyDrinkType,COUNTIF($E$4:$E276,TallyBrands3),"Cider"=TallyDrinkType,COUNTIF($E$4:$E276,TallyBrands3)),0))),"")</f>
        <v/>
      </c>
      <c r="F277" s="200"/>
      <c r="G277" s="195"/>
      <c r="H277" s="219"/>
      <c r="I277" s="220"/>
    </row>
    <row r="278" spans="2:9" ht="15" x14ac:dyDescent="0.15">
      <c r="B278" s="226" t="str" cm="1">
        <f t="array" ref="B278">IFERROR(IFERROR(IFERROR(INDEX(TallyBrands, MATCH(0, COUNTIF(B$4:$B277, TallyBrands), 0)), INDEX(TallyBrands2, MATCH(0, COUNTIF(B$4:$B277, TallyBrands2), 0))), INDEX(TallyBrands3, MATCH(0, COUNTIF(B$4:$B277, TallyBrands3), 0))),"")</f>
        <v>Amstel</v>
      </c>
      <c r="C278" s="113"/>
      <c r="E278" s="223" t="str" cm="1">
        <f t="array" ref="E278">IFERROR(IFERROR(IFERROR(INDEX(TallyBrands,MATCH(0, _xlfn.IFS("Beer"=TallyDrinkType,COUNTIF($E$4:$E277,TallyBrands),"Cider"=TallyDrinkType,COUNTIF($E$4:$E277,TallyBrands)),0)),INDEX(TallyBrands2,MATCH(0, _xlfn.IFS("Beer"=TallyDrinkType,COUNTIF($E$4:$E277,TallyBrands2),"Cider"=TallyDrinkType,COUNTIF($E$4:$E277,TallyBrands2)),0))),INDEX(TallyBrands3,MATCH(0, _xlfn.IFS("Beer"=TallyDrinkType,COUNTIF($E$4:$E277,TallyBrands3),"Cider"=TallyDrinkType,COUNTIF($E$4:$E277,TallyBrands3)),0))),"")</f>
        <v/>
      </c>
      <c r="F278" s="200"/>
      <c r="G278" s="195"/>
      <c r="H278" s="219"/>
      <c r="I278" s="220"/>
    </row>
    <row r="279" spans="2:9" ht="15" x14ac:dyDescent="0.15">
      <c r="B279" s="226" t="str" cm="1">
        <f t="array" ref="B279">IFERROR(IFERROR(IFERROR(INDEX(TallyBrands, MATCH(0, COUNTIF(B$4:$B278, TallyBrands), 0)), INDEX(TallyBrands2, MATCH(0, COUNTIF(B$4:$B278, TallyBrands2), 0))), INDEX(TallyBrands3, MATCH(0, COUNTIF(B$4:$B278, TallyBrands3), 0))),"")</f>
        <v>Dragon Soop</v>
      </c>
      <c r="C279" s="113"/>
      <c r="E279" s="223" t="str" cm="1">
        <f t="array" ref="E279">IFERROR(IFERROR(IFERROR(INDEX(TallyBrands,MATCH(0, _xlfn.IFS("Beer"=TallyDrinkType,COUNTIF($E$4:$E278,TallyBrands),"Cider"=TallyDrinkType,COUNTIF($E$4:$E278,TallyBrands)),0)),INDEX(TallyBrands2,MATCH(0, _xlfn.IFS("Beer"=TallyDrinkType,COUNTIF($E$4:$E278,TallyBrands2),"Cider"=TallyDrinkType,COUNTIF($E$4:$E278,TallyBrands2)),0))),INDEX(TallyBrands3,MATCH(0, _xlfn.IFS("Beer"=TallyDrinkType,COUNTIF($E$4:$E278,TallyBrands3),"Cider"=TallyDrinkType,COUNTIF($E$4:$E278,TallyBrands3)),0))),"")</f>
        <v/>
      </c>
      <c r="F279" s="200"/>
      <c r="G279" s="195"/>
      <c r="H279" s="219"/>
      <c r="I279" s="220"/>
    </row>
    <row r="280" spans="2:9" ht="15" x14ac:dyDescent="0.15">
      <c r="B280" s="226" t="str" cm="1">
        <f t="array" ref="B280">IFERROR(IFERROR(IFERROR(INDEX(TallyBrands, MATCH(0, COUNTIF(B$4:$B279, TallyBrands), 0)), INDEX(TallyBrands2, MATCH(0, COUNTIF(B$4:$B279, TallyBrands2), 0))), INDEX(TallyBrands3, MATCH(0, COUNTIF(B$4:$B279, TallyBrands3), 0))),"")</f>
        <v>Tequila Rose</v>
      </c>
      <c r="C280" s="113"/>
      <c r="E280" s="223" t="str" cm="1">
        <f t="array" ref="E280">IFERROR(IFERROR(IFERROR(INDEX(TallyBrands,MATCH(0, _xlfn.IFS("Beer"=TallyDrinkType,COUNTIF($E$4:$E279,TallyBrands),"Cider"=TallyDrinkType,COUNTIF($E$4:$E279,TallyBrands)),0)),INDEX(TallyBrands2,MATCH(0, _xlfn.IFS("Beer"=TallyDrinkType,COUNTIF($E$4:$E279,TallyBrands2),"Cider"=TallyDrinkType,COUNTIF($E$4:$E279,TallyBrands2)),0))),INDEX(TallyBrands3,MATCH(0, _xlfn.IFS("Beer"=TallyDrinkType,COUNTIF($E$4:$E279,TallyBrands3),"Cider"=TallyDrinkType,COUNTIF($E$4:$E279,TallyBrands3)),0))),"")</f>
        <v/>
      </c>
      <c r="F280" s="200"/>
      <c r="G280" s="195"/>
      <c r="H280" s="219"/>
      <c r="I280" s="220"/>
    </row>
    <row r="281" spans="2:9" ht="15" x14ac:dyDescent="0.15">
      <c r="B281" s="226" t="str" cm="1">
        <f t="array" ref="B281">IFERROR(IFERROR(IFERROR(INDEX(TallyBrands, MATCH(0, COUNTIF(B$4:$B280, TallyBrands), 0)), INDEX(TallyBrands2, MATCH(0, COUNTIF(B$4:$B280, TallyBrands2), 0))), INDEX(TallyBrands3, MATCH(0, COUNTIF(B$4:$B280, TallyBrands3), 0))),"")</f>
        <v>Hardy's</v>
      </c>
      <c r="C281" s="113"/>
      <c r="E281" s="223" t="str" cm="1">
        <f t="array" ref="E281">IFERROR(IFERROR(IFERROR(INDEX(TallyBrands,MATCH(0, _xlfn.IFS("Beer"=TallyDrinkType,COUNTIF($E$4:$E280,TallyBrands),"Cider"=TallyDrinkType,COUNTIF($E$4:$E280,TallyBrands)),0)),INDEX(TallyBrands2,MATCH(0, _xlfn.IFS("Beer"=TallyDrinkType,COUNTIF($E$4:$E280,TallyBrands2),"Cider"=TallyDrinkType,COUNTIF($E$4:$E280,TallyBrands2)),0))),INDEX(TallyBrands3,MATCH(0, _xlfn.IFS("Beer"=TallyDrinkType,COUNTIF($E$4:$E280,TallyBrands3),"Cider"=TallyDrinkType,COUNTIF($E$4:$E280,TallyBrands3)),0))),"")</f>
        <v/>
      </c>
      <c r="F281" s="200"/>
      <c r="G281" s="195"/>
      <c r="H281" s="219"/>
      <c r="I281" s="220"/>
    </row>
    <row r="282" spans="2:9" ht="15" x14ac:dyDescent="0.15">
      <c r="B282" s="226" t="str" cm="1">
        <f t="array" ref="B282">IFERROR(IFERROR(IFERROR(INDEX(TallyBrands, MATCH(0, COUNTIF(B$4:$B281, TallyBrands), 0)), INDEX(TallyBrands2, MATCH(0, COUNTIF(B$4:$B281, TallyBrands2), 0))), INDEX(TallyBrands3, MATCH(0, COUNTIF(B$4:$B281, TallyBrands3), 0))),"")</f>
        <v>Greenall's</v>
      </c>
      <c r="C282" s="113"/>
      <c r="E282" s="223" t="str" cm="1">
        <f t="array" ref="E282">IFERROR(IFERROR(IFERROR(INDEX(TallyBrands,MATCH(0, _xlfn.IFS("Beer"=TallyDrinkType,COUNTIF($E$4:$E281,TallyBrands),"Cider"=TallyDrinkType,COUNTIF($E$4:$E281,TallyBrands)),0)),INDEX(TallyBrands2,MATCH(0, _xlfn.IFS("Beer"=TallyDrinkType,COUNTIF($E$4:$E281,TallyBrands2),"Cider"=TallyDrinkType,COUNTIF($E$4:$E281,TallyBrands2)),0))),INDEX(TallyBrands3,MATCH(0, _xlfn.IFS("Beer"=TallyDrinkType,COUNTIF($E$4:$E281,TallyBrands3),"Cider"=TallyDrinkType,COUNTIF($E$4:$E281,TallyBrands3)),0))),"")</f>
        <v/>
      </c>
      <c r="F282" s="200"/>
      <c r="G282" s="195"/>
      <c r="H282" s="219"/>
      <c r="I282" s="220"/>
    </row>
    <row r="283" spans="2:9" ht="15" x14ac:dyDescent="0.15">
      <c r="B283" s="226" t="str" cm="1">
        <f t="array" ref="B283">IFERROR(IFERROR(IFERROR(INDEX(TallyBrands, MATCH(0, COUNTIF(B$4:$B282, TallyBrands), 0)), INDEX(TallyBrands2, MATCH(0, COUNTIF(B$4:$B282, TallyBrands2), 0))), INDEX(TallyBrands3, MATCH(0, COUNTIF(B$4:$B282, TallyBrands3), 0))),"")</f>
        <v>Sidekick</v>
      </c>
      <c r="C283" s="113"/>
      <c r="E283" s="223" t="str" cm="1">
        <f t="array" ref="E283">IFERROR(IFERROR(IFERROR(INDEX(TallyBrands,MATCH(0, _xlfn.IFS("Beer"=TallyDrinkType,COUNTIF($E$4:$E282,TallyBrands),"Cider"=TallyDrinkType,COUNTIF($E$4:$E282,TallyBrands)),0)),INDEX(TallyBrands2,MATCH(0, _xlfn.IFS("Beer"=TallyDrinkType,COUNTIF($E$4:$E282,TallyBrands2),"Cider"=TallyDrinkType,COUNTIF($E$4:$E282,TallyBrands2)),0))),INDEX(TallyBrands3,MATCH(0, _xlfn.IFS("Beer"=TallyDrinkType,COUNTIF($E$4:$E282,TallyBrands3),"Cider"=TallyDrinkType,COUNTIF($E$4:$E282,TallyBrands3)),0))),"")</f>
        <v/>
      </c>
      <c r="F283" s="200"/>
      <c r="G283" s="195"/>
      <c r="H283" s="219"/>
      <c r="I283" s="220"/>
    </row>
    <row r="284" spans="2:9" ht="15" x14ac:dyDescent="0.15">
      <c r="B284" s="226" t="str" cm="1">
        <f t="array" ref="B284">IFERROR(IFERROR(IFERROR(INDEX(TallyBrands, MATCH(0, COUNTIF(B$4:$B283, TallyBrands), 0)), INDEX(TallyBrands2, MATCH(0, COUNTIF(B$4:$B283, TallyBrands2), 0))), INDEX(TallyBrands3, MATCH(0, COUNTIF(B$4:$B283, TallyBrands3), 0))),"")</f>
        <v>Earth Station</v>
      </c>
      <c r="C284" s="113"/>
      <c r="E284" s="223" t="str" cm="1">
        <f t="array" ref="E284">IFERROR(IFERROR(IFERROR(INDEX(TallyBrands,MATCH(0, _xlfn.IFS("Beer"=TallyDrinkType,COUNTIF($E$4:$E283,TallyBrands),"Cider"=TallyDrinkType,COUNTIF($E$4:$E283,TallyBrands)),0)),INDEX(TallyBrands2,MATCH(0, _xlfn.IFS("Beer"=TallyDrinkType,COUNTIF($E$4:$E283,TallyBrands2),"Cider"=TallyDrinkType,COUNTIF($E$4:$E283,TallyBrands2)),0))),INDEX(TallyBrands3,MATCH(0, _xlfn.IFS("Beer"=TallyDrinkType,COUNTIF($E$4:$E283,TallyBrands3),"Cider"=TallyDrinkType,COUNTIF($E$4:$E283,TallyBrands3)),0))),"")</f>
        <v/>
      </c>
      <c r="F284" s="200"/>
      <c r="G284" s="195"/>
      <c r="H284" s="219"/>
      <c r="I284" s="220"/>
    </row>
    <row r="285" spans="2:9" ht="15" x14ac:dyDescent="0.15">
      <c r="B285" s="226" t="str" cm="1">
        <f t="array" ref="B285">IFERROR(IFERROR(IFERROR(INDEX(TallyBrands, MATCH(0, COUNTIF(B$4:$B284, TallyBrands), 0)), INDEX(TallyBrands2, MATCH(0, COUNTIF(B$4:$B284, TallyBrands2), 0))), INDEX(TallyBrands3, MATCH(0, COUNTIF(B$4:$B284, TallyBrands3), 0))),"")</f>
        <v>Flare Cocktails</v>
      </c>
      <c r="C285" s="113"/>
      <c r="E285" s="223" t="str" cm="1">
        <f t="array" ref="E285">IFERROR(IFERROR(IFERROR(INDEX(TallyBrands,MATCH(0, _xlfn.IFS("Beer"=TallyDrinkType,COUNTIF($E$4:$E284,TallyBrands),"Cider"=TallyDrinkType,COUNTIF($E$4:$E284,TallyBrands)),0)),INDEX(TallyBrands2,MATCH(0, _xlfn.IFS("Beer"=TallyDrinkType,COUNTIF($E$4:$E284,TallyBrands2),"Cider"=TallyDrinkType,COUNTIF($E$4:$E284,TallyBrands2)),0))),INDEX(TallyBrands3,MATCH(0, _xlfn.IFS("Beer"=TallyDrinkType,COUNTIF($E$4:$E284,TallyBrands3),"Cider"=TallyDrinkType,COUNTIF($E$4:$E284,TallyBrands3)),0))),"")</f>
        <v/>
      </c>
      <c r="F285" s="200"/>
      <c r="G285" s="195"/>
      <c r="H285" s="219"/>
      <c r="I285" s="220"/>
    </row>
    <row r="286" spans="2:9" ht="15" x14ac:dyDescent="0.15">
      <c r="B286" s="226" t="str" cm="1">
        <f t="array" ref="B286">IFERROR(IFERROR(IFERROR(INDEX(TallyBrands, MATCH(0, COUNTIF(B$4:$B285, TallyBrands), 0)), INDEX(TallyBrands2, MATCH(0, COUNTIF(B$4:$B285, TallyBrands2), 0))), INDEX(TallyBrands3, MATCH(0, COUNTIF(B$4:$B285, TallyBrands3), 0))),"")</f>
        <v>That Boutique-y Gin Company</v>
      </c>
      <c r="C286" s="113"/>
      <c r="E286" s="223" t="str" cm="1">
        <f t="array" ref="E286">IFERROR(IFERROR(IFERROR(INDEX(TallyBrands,MATCH(0, _xlfn.IFS("Beer"=TallyDrinkType,COUNTIF($E$4:$E285,TallyBrands),"Cider"=TallyDrinkType,COUNTIF($E$4:$E285,TallyBrands)),0)),INDEX(TallyBrands2,MATCH(0, _xlfn.IFS("Beer"=TallyDrinkType,COUNTIF($E$4:$E285,TallyBrands2),"Cider"=TallyDrinkType,COUNTIF($E$4:$E285,TallyBrands2)),0))),INDEX(TallyBrands3,MATCH(0, _xlfn.IFS("Beer"=TallyDrinkType,COUNTIF($E$4:$E285,TallyBrands3),"Cider"=TallyDrinkType,COUNTIF($E$4:$E285,TallyBrands3)),0))),"")</f>
        <v/>
      </c>
      <c r="F286" s="200"/>
      <c r="G286" s="195"/>
      <c r="H286" s="219"/>
      <c r="I286" s="220"/>
    </row>
    <row r="287" spans="2:9" ht="15" x14ac:dyDescent="0.15">
      <c r="B287" s="226" t="str" cm="1">
        <f t="array" ref="B287">IFERROR(IFERROR(IFERROR(INDEX(TallyBrands, MATCH(0, COUNTIF(B$4:$B286, TallyBrands), 0)), INDEX(TallyBrands2, MATCH(0, COUNTIF(B$4:$B286, TallyBrands2), 0))), INDEX(TallyBrands3, MATCH(0, COUNTIF(B$4:$B286, TallyBrands3), 0))),"")</f>
        <v>People Like Us</v>
      </c>
      <c r="C287" s="113"/>
      <c r="E287" s="223" t="str" cm="1">
        <f t="array" ref="E287">IFERROR(IFERROR(IFERROR(INDEX(TallyBrands,MATCH(0, _xlfn.IFS("Beer"=TallyDrinkType,COUNTIF($E$4:$E286,TallyBrands),"Cider"=TallyDrinkType,COUNTIF($E$4:$E286,TallyBrands)),0)),INDEX(TallyBrands2,MATCH(0, _xlfn.IFS("Beer"=TallyDrinkType,COUNTIF($E$4:$E286,TallyBrands2),"Cider"=TallyDrinkType,COUNTIF($E$4:$E286,TallyBrands2)),0))),INDEX(TallyBrands3,MATCH(0, _xlfn.IFS("Beer"=TallyDrinkType,COUNTIF($E$4:$E286,TallyBrands3),"Cider"=TallyDrinkType,COUNTIF($E$4:$E286,TallyBrands3)),0))),"")</f>
        <v/>
      </c>
      <c r="F287" s="200"/>
      <c r="G287" s="195"/>
      <c r="H287" s="219"/>
      <c r="I287" s="220"/>
    </row>
    <row r="288" spans="2:9" ht="15" x14ac:dyDescent="0.15">
      <c r="B288" s="226" t="str" cm="1">
        <f t="array" ref="B288">IFERROR(IFERROR(IFERROR(INDEX(TallyBrands, MATCH(0, COUNTIF(B$4:$B287, TallyBrands), 0)), INDEX(TallyBrands2, MATCH(0, COUNTIF(B$4:$B287, TallyBrands2), 0))), INDEX(TallyBrands3, MATCH(0, COUNTIF(B$4:$B287, TallyBrands3), 0))),"")</f>
        <v>Franziskaner</v>
      </c>
      <c r="C288" s="113"/>
      <c r="E288" s="223" t="str" cm="1">
        <f t="array" ref="E288">IFERROR(IFERROR(IFERROR(INDEX(TallyBrands,MATCH(0, _xlfn.IFS("Beer"=TallyDrinkType,COUNTIF($E$4:$E287,TallyBrands),"Cider"=TallyDrinkType,COUNTIF($E$4:$E287,TallyBrands)),0)),INDEX(TallyBrands2,MATCH(0, _xlfn.IFS("Beer"=TallyDrinkType,COUNTIF($E$4:$E287,TallyBrands2),"Cider"=TallyDrinkType,COUNTIF($E$4:$E287,TallyBrands2)),0))),INDEX(TallyBrands3,MATCH(0, _xlfn.IFS("Beer"=TallyDrinkType,COUNTIF($E$4:$E287,TallyBrands3),"Cider"=TallyDrinkType,COUNTIF($E$4:$E287,TallyBrands3)),0))),"")</f>
        <v/>
      </c>
      <c r="F288" s="200"/>
      <c r="G288" s="195"/>
      <c r="H288" s="219"/>
      <c r="I288" s="220"/>
    </row>
    <row r="289" spans="2:9" ht="15" x14ac:dyDescent="0.15">
      <c r="B289" s="226" t="str" cm="1">
        <f t="array" ref="B289">IFERROR(IFERROR(IFERROR(INDEX(TallyBrands, MATCH(0, COUNTIF(B$4:$B288, TallyBrands), 0)), INDEX(TallyBrands2, MATCH(0, COUNTIF(B$4:$B288, TallyBrands2), 0))), INDEX(TallyBrands3, MATCH(0, COUNTIF(B$4:$B288, TallyBrands3), 0))),"")</f>
        <v>TrimTab Brewing</v>
      </c>
      <c r="C289" s="113"/>
      <c r="E289" s="223" t="str" cm="1">
        <f t="array" ref="E289">IFERROR(IFERROR(IFERROR(INDEX(TallyBrands,MATCH(0, _xlfn.IFS("Beer"=TallyDrinkType,COUNTIF($E$4:$E288,TallyBrands),"Cider"=TallyDrinkType,COUNTIF($E$4:$E288,TallyBrands)),0)),INDEX(TallyBrands2,MATCH(0, _xlfn.IFS("Beer"=TallyDrinkType,COUNTIF($E$4:$E288,TallyBrands2),"Cider"=TallyDrinkType,COUNTIF($E$4:$E288,TallyBrands2)),0))),INDEX(TallyBrands3,MATCH(0, _xlfn.IFS("Beer"=TallyDrinkType,COUNTIF($E$4:$E288,TallyBrands3),"Cider"=TallyDrinkType,COUNTIF($E$4:$E288,TallyBrands3)),0))),"")</f>
        <v/>
      </c>
      <c r="F289" s="200"/>
      <c r="G289" s="195"/>
      <c r="H289" s="219"/>
      <c r="I289" s="220"/>
    </row>
    <row r="290" spans="2:9" ht="15" x14ac:dyDescent="0.15">
      <c r="B290" s="226" t="str" cm="1">
        <f t="array" ref="B290">IFERROR(IFERROR(IFERROR(INDEX(TallyBrands, MATCH(0, COUNTIF(B$4:$B289, TallyBrands), 0)), INDEX(TallyBrands2, MATCH(0, COUNTIF(B$4:$B289, TallyBrands2), 0))), INDEX(TallyBrands3, MATCH(0, COUNTIF(B$4:$B289, TallyBrands3), 0))),"")</f>
        <v>Pimms</v>
      </c>
      <c r="C290" s="113"/>
      <c r="E290" s="223" t="str" cm="1">
        <f t="array" ref="E290">IFERROR(IFERROR(IFERROR(INDEX(TallyBrands,MATCH(0, _xlfn.IFS("Beer"=TallyDrinkType,COUNTIF($E$4:$E289,TallyBrands),"Cider"=TallyDrinkType,COUNTIF($E$4:$E289,TallyBrands)),0)),INDEX(TallyBrands2,MATCH(0, _xlfn.IFS("Beer"=TallyDrinkType,COUNTIF($E$4:$E289,TallyBrands2),"Cider"=TallyDrinkType,COUNTIF($E$4:$E289,TallyBrands2)),0))),INDEX(TallyBrands3,MATCH(0, _xlfn.IFS("Beer"=TallyDrinkType,COUNTIF($E$4:$E289,TallyBrands3),"Cider"=TallyDrinkType,COUNTIF($E$4:$E289,TallyBrands3)),0))),"")</f>
        <v/>
      </c>
      <c r="F290" s="200"/>
      <c r="G290" s="195"/>
      <c r="H290" s="219"/>
      <c r="I290" s="220"/>
    </row>
    <row r="291" spans="2:9" ht="15" x14ac:dyDescent="0.15">
      <c r="B291" s="226" t="str" cm="1">
        <f t="array" ref="B291">IFERROR(IFERROR(IFERROR(INDEX(TallyBrands, MATCH(0, COUNTIF(B$4:$B290, TallyBrands), 0)), INDEX(TallyBrands2, MATCH(0, COUNTIF(B$4:$B290, TallyBrands2), 0))), INDEX(TallyBrands3, MATCH(0, COUNTIF(B$4:$B290, TallyBrands3), 0))),"")</f>
        <v>BRLO</v>
      </c>
      <c r="C291" s="113"/>
      <c r="E291" s="223" t="str" cm="1">
        <f t="array" ref="E291">IFERROR(IFERROR(IFERROR(INDEX(TallyBrands,MATCH(0, _xlfn.IFS("Beer"=TallyDrinkType,COUNTIF($E$4:$E290,TallyBrands),"Cider"=TallyDrinkType,COUNTIF($E$4:$E290,TallyBrands)),0)),INDEX(TallyBrands2,MATCH(0, _xlfn.IFS("Beer"=TallyDrinkType,COUNTIF($E$4:$E290,TallyBrands2),"Cider"=TallyDrinkType,COUNTIF($E$4:$E290,TallyBrands2)),0))),INDEX(TallyBrands3,MATCH(0, _xlfn.IFS("Beer"=TallyDrinkType,COUNTIF($E$4:$E290,TallyBrands3),"Cider"=TallyDrinkType,COUNTIF($E$4:$E290,TallyBrands3)),0))),"")</f>
        <v/>
      </c>
      <c r="F291" s="200"/>
      <c r="G291" s="195"/>
      <c r="H291" s="219"/>
      <c r="I291" s="220"/>
    </row>
    <row r="292" spans="2:9" ht="15" x14ac:dyDescent="0.15">
      <c r="B292" s="226" t="str" cm="1">
        <f t="array" ref="B292">IFERROR(IFERROR(IFERROR(INDEX(TallyBrands, MATCH(0, COUNTIF(B$4:$B291, TallyBrands), 0)), INDEX(TallyBrands2, MATCH(0, COUNTIF(B$4:$B291, TallyBrands2), 0))), INDEX(TallyBrands3, MATCH(0, COUNTIF(B$4:$B291, TallyBrands3), 0))),"")</f>
        <v>Samuel Joe's</v>
      </c>
      <c r="C292" s="113"/>
      <c r="E292" s="223" t="str" cm="1">
        <f t="array" ref="E292">IFERROR(IFERROR(IFERROR(INDEX(TallyBrands,MATCH(0, _xlfn.IFS("Beer"=TallyDrinkType,COUNTIF($E$4:$E291,TallyBrands),"Cider"=TallyDrinkType,COUNTIF($E$4:$E291,TallyBrands)),0)),INDEX(TallyBrands2,MATCH(0, _xlfn.IFS("Beer"=TallyDrinkType,COUNTIF($E$4:$E291,TallyBrands2),"Cider"=TallyDrinkType,COUNTIF($E$4:$E291,TallyBrands2)),0))),INDEX(TallyBrands3,MATCH(0, _xlfn.IFS("Beer"=TallyDrinkType,COUNTIF($E$4:$E291,TallyBrands3),"Cider"=TallyDrinkType,COUNTIF($E$4:$E291,TallyBrands3)),0))),"")</f>
        <v/>
      </c>
      <c r="F292" s="200"/>
      <c r="G292" s="195"/>
      <c r="H292" s="219"/>
      <c r="I292" s="220"/>
    </row>
    <row r="293" spans="2:9" ht="15" x14ac:dyDescent="0.15">
      <c r="B293" s="226" t="str" cm="1">
        <f t="array" ref="B293">IFERROR(IFERROR(IFERROR(INDEX(TallyBrands, MATCH(0, COUNTIF(B$4:$B292, TallyBrands), 0)), INDEX(TallyBrands2, MATCH(0, COUNTIF(B$4:$B292, TallyBrands2), 0))), INDEX(TallyBrands3, MATCH(0, COUNTIF(B$4:$B292, TallyBrands3), 0))),"")</f>
        <v>WKD</v>
      </c>
      <c r="C293" s="113"/>
      <c r="E293" s="223" t="str" cm="1">
        <f t="array" ref="E293">IFERROR(IFERROR(IFERROR(INDEX(TallyBrands,MATCH(0, _xlfn.IFS("Beer"=TallyDrinkType,COUNTIF($E$4:$E292,TallyBrands),"Cider"=TallyDrinkType,COUNTIF($E$4:$E292,TallyBrands)),0)),INDEX(TallyBrands2,MATCH(0, _xlfn.IFS("Beer"=TallyDrinkType,COUNTIF($E$4:$E292,TallyBrands2),"Cider"=TallyDrinkType,COUNTIF($E$4:$E292,TallyBrands2)),0))),INDEX(TallyBrands3,MATCH(0, _xlfn.IFS("Beer"=TallyDrinkType,COUNTIF($E$4:$E292,TallyBrands3),"Cider"=TallyDrinkType,COUNTIF($E$4:$E292,TallyBrands3)),0))),"")</f>
        <v/>
      </c>
      <c r="F293" s="200"/>
      <c r="G293" s="195"/>
      <c r="H293" s="219"/>
      <c r="I293" s="220"/>
    </row>
    <row r="294" spans="2:9" ht="15" x14ac:dyDescent="0.15">
      <c r="B294" s="226" t="str" cm="1">
        <f t="array" ref="B294">IFERROR(IFERROR(IFERROR(INDEX(TallyBrands, MATCH(0, COUNTIF(B$4:$B293, TallyBrands), 0)), INDEX(TallyBrands2, MATCH(0, COUNTIF(B$4:$B293, TallyBrands2), 0))), INDEX(TallyBrands3, MATCH(0, COUNTIF(B$4:$B293, TallyBrands3), 0))),"")</f>
        <v>Passoa</v>
      </c>
      <c r="C294" s="113"/>
      <c r="E294" s="223" t="str" cm="1">
        <f t="array" ref="E294">IFERROR(IFERROR(IFERROR(INDEX(TallyBrands,MATCH(0, _xlfn.IFS("Beer"=TallyDrinkType,COUNTIF($E$4:$E293,TallyBrands),"Cider"=TallyDrinkType,COUNTIF($E$4:$E293,TallyBrands)),0)),INDEX(TallyBrands2,MATCH(0, _xlfn.IFS("Beer"=TallyDrinkType,COUNTIF($E$4:$E293,TallyBrands2),"Cider"=TallyDrinkType,COUNTIF($E$4:$E293,TallyBrands2)),0))),INDEX(TallyBrands3,MATCH(0, _xlfn.IFS("Beer"=TallyDrinkType,COUNTIF($E$4:$E293,TallyBrands3),"Cider"=TallyDrinkType,COUNTIF($E$4:$E293,TallyBrands3)),0))),"")</f>
        <v/>
      </c>
      <c r="F294" s="200"/>
      <c r="G294" s="195"/>
      <c r="H294" s="219"/>
      <c r="I294" s="220"/>
    </row>
    <row r="295" spans="2:9" ht="15" x14ac:dyDescent="0.15">
      <c r="B295" s="226" t="str" cm="1">
        <f t="array" ref="B295">IFERROR(IFERROR(IFERROR(INDEX(TallyBrands, MATCH(0, COUNTIF(B$4:$B294, TallyBrands), 0)), INDEX(TallyBrands2, MATCH(0, COUNTIF(B$4:$B294, TallyBrands2), 0))), INDEX(TallyBrands3, MATCH(0, COUNTIF(B$4:$B294, TallyBrands3), 0))),"")</f>
        <v>Belhaven</v>
      </c>
      <c r="C295" s="113"/>
      <c r="E295" s="223" t="str" cm="1">
        <f t="array" ref="E295">IFERROR(IFERROR(IFERROR(INDEX(TallyBrands,MATCH(0, _xlfn.IFS("Beer"=TallyDrinkType,COUNTIF($E$4:$E294,TallyBrands),"Cider"=TallyDrinkType,COUNTIF($E$4:$E294,TallyBrands)),0)),INDEX(TallyBrands2,MATCH(0, _xlfn.IFS("Beer"=TallyDrinkType,COUNTIF($E$4:$E294,TallyBrands2),"Cider"=TallyDrinkType,COUNTIF($E$4:$E294,TallyBrands2)),0))),INDEX(TallyBrands3,MATCH(0, _xlfn.IFS("Beer"=TallyDrinkType,COUNTIF($E$4:$E294,TallyBrands3),"Cider"=TallyDrinkType,COUNTIF($E$4:$E294,TallyBrands3)),0))),"")</f>
        <v/>
      </c>
      <c r="F295" s="200"/>
      <c r="G295" s="195"/>
      <c r="H295" s="219"/>
      <c r="I295" s="220"/>
    </row>
    <row r="296" spans="2:9" ht="15" x14ac:dyDescent="0.15">
      <c r="B296" s="226" t="str" cm="1">
        <f t="array" ref="B296">IFERROR(IFERROR(IFERROR(INDEX(TallyBrands, MATCH(0, COUNTIF(B$4:$B295, TallyBrands), 0)), INDEX(TallyBrands2, MATCH(0, COUNTIF(B$4:$B295, TallyBrands2), 0))), INDEX(TallyBrands3, MATCH(0, COUNTIF(B$4:$B295, TallyBrands3), 0))),"")</f>
        <v>Mortimer's Orchard</v>
      </c>
      <c r="C296" s="113"/>
      <c r="E296" s="223" t="str" cm="1">
        <f t="array" ref="E296">IFERROR(IFERROR(IFERROR(INDEX(TallyBrands,MATCH(0, _xlfn.IFS("Beer"=TallyDrinkType,COUNTIF($E$4:$E295,TallyBrands),"Cider"=TallyDrinkType,COUNTIF($E$4:$E295,TallyBrands)),0)),INDEX(TallyBrands2,MATCH(0, _xlfn.IFS("Beer"=TallyDrinkType,COUNTIF($E$4:$E295,TallyBrands2),"Cider"=TallyDrinkType,COUNTIF($E$4:$E295,TallyBrands2)),0))),INDEX(TallyBrands3,MATCH(0, _xlfn.IFS("Beer"=TallyDrinkType,COUNTIF($E$4:$E295,TallyBrands3),"Cider"=TallyDrinkType,COUNTIF($E$4:$E295,TallyBrands3)),0))),"")</f>
        <v/>
      </c>
      <c r="F296" s="200"/>
      <c r="G296" s="195"/>
      <c r="H296" s="219"/>
      <c r="I296" s="220"/>
    </row>
    <row r="297" spans="2:9" ht="15" x14ac:dyDescent="0.15">
      <c r="B297" s="226" t="str" cm="1">
        <f t="array" ref="B297">IFERROR(IFERROR(IFERROR(INDEX(TallyBrands, MATCH(0, COUNTIF(B$4:$B296, TallyBrands), 0)), INDEX(TallyBrands2, MATCH(0, COUNTIF(B$4:$B296, TallyBrands2), 0))), INDEX(TallyBrands3, MATCH(0, COUNTIF(B$4:$B296, TallyBrands3), 0))),"")</f>
        <v>By The Horns Brewing Co.</v>
      </c>
      <c r="C297" s="113"/>
      <c r="E297" s="223" t="str" cm="1">
        <f t="array" ref="E297">IFERROR(IFERROR(IFERROR(INDEX(TallyBrands,MATCH(0, _xlfn.IFS("Beer"=TallyDrinkType,COUNTIF($E$4:$E296,TallyBrands),"Cider"=TallyDrinkType,COUNTIF($E$4:$E296,TallyBrands)),0)),INDEX(TallyBrands2,MATCH(0, _xlfn.IFS("Beer"=TallyDrinkType,COUNTIF($E$4:$E296,TallyBrands2),"Cider"=TallyDrinkType,COUNTIF($E$4:$E296,TallyBrands2)),0))),INDEX(TallyBrands3,MATCH(0, _xlfn.IFS("Beer"=TallyDrinkType,COUNTIF($E$4:$E296,TallyBrands3),"Cider"=TallyDrinkType,COUNTIF($E$4:$E296,TallyBrands3)),0))),"")</f>
        <v/>
      </c>
      <c r="F297" s="200"/>
      <c r="G297" s="195"/>
      <c r="H297" s="219"/>
      <c r="I297" s="220"/>
    </row>
    <row r="298" spans="2:9" ht="15" x14ac:dyDescent="0.15">
      <c r="B298" s="226" t="str" cm="1">
        <f t="array" ref="B298">IFERROR(IFERROR(IFERROR(INDEX(TallyBrands, MATCH(0, COUNTIF(B$4:$B297, TallyBrands), 0)), INDEX(TallyBrands2, MATCH(0, COUNTIF(B$4:$B297, TallyBrands2), 0))), INDEX(TallyBrands3, MATCH(0, COUNTIF(B$4:$B297, TallyBrands3), 0))),"")</f>
        <v>Frangelico</v>
      </c>
      <c r="C298" s="113"/>
      <c r="E298" s="223" t="str" cm="1">
        <f t="array" ref="E298">IFERROR(IFERROR(IFERROR(INDEX(TallyBrands,MATCH(0, _xlfn.IFS("Beer"=TallyDrinkType,COUNTIF($E$4:$E297,TallyBrands),"Cider"=TallyDrinkType,COUNTIF($E$4:$E297,TallyBrands)),0)),INDEX(TallyBrands2,MATCH(0, _xlfn.IFS("Beer"=TallyDrinkType,COUNTIF($E$4:$E297,TallyBrands2),"Cider"=TallyDrinkType,COUNTIF($E$4:$E297,TallyBrands2)),0))),INDEX(TallyBrands3,MATCH(0, _xlfn.IFS("Beer"=TallyDrinkType,COUNTIF($E$4:$E297,TallyBrands3),"Cider"=TallyDrinkType,COUNTIF($E$4:$E297,TallyBrands3)),0))),"")</f>
        <v/>
      </c>
      <c r="F298" s="200"/>
      <c r="G298" s="195"/>
      <c r="H298" s="219"/>
      <c r="I298" s="220"/>
    </row>
    <row r="299" spans="2:9" ht="15" x14ac:dyDescent="0.15">
      <c r="B299" s="226" t="str" cm="1">
        <f t="array" ref="B299">IFERROR(IFERROR(IFERROR(INDEX(TallyBrands, MATCH(0, COUNTIF(B$4:$B298, TallyBrands), 0)), INDEX(TallyBrands2, MATCH(0, COUNTIF(B$4:$B298, TallyBrands2), 0))), INDEX(TallyBrands3, MATCH(0, COUNTIF(B$4:$B298, TallyBrands3), 0))),"")</f>
        <v>Courage</v>
      </c>
      <c r="C299" s="113"/>
      <c r="E299" s="223" t="str" cm="1">
        <f t="array" ref="E299">IFERROR(IFERROR(IFERROR(INDEX(TallyBrands,MATCH(0, _xlfn.IFS("Beer"=TallyDrinkType,COUNTIF($E$4:$E298,TallyBrands),"Cider"=TallyDrinkType,COUNTIF($E$4:$E298,TallyBrands)),0)),INDEX(TallyBrands2,MATCH(0, _xlfn.IFS("Beer"=TallyDrinkType,COUNTIF($E$4:$E298,TallyBrands2),"Cider"=TallyDrinkType,COUNTIF($E$4:$E298,TallyBrands2)),0))),INDEX(TallyBrands3,MATCH(0, _xlfn.IFS("Beer"=TallyDrinkType,COUNTIF($E$4:$E298,TallyBrands3),"Cider"=TallyDrinkType,COUNTIF($E$4:$E298,TallyBrands3)),0))),"")</f>
        <v/>
      </c>
      <c r="F299" s="200"/>
      <c r="G299" s="195"/>
      <c r="H299" s="219"/>
      <c r="I299" s="220"/>
    </row>
    <row r="300" spans="2:9" ht="16" thickBot="1" x14ac:dyDescent="0.2">
      <c r="B300" s="226" t="str" cm="1">
        <f t="array" ref="B300">IFERROR(IFERROR(IFERROR(INDEX(TallyBrands, MATCH(0, COUNTIF(B$4:$B299, TallyBrands), 0)), INDEX(TallyBrands2, MATCH(0, COUNTIF(B$4:$B299, TallyBrands2), 0))), INDEX(TallyBrands3, MATCH(0, COUNTIF(B$4:$B299, TallyBrands3), 0))),"")</f>
        <v>Wild Card Brewery</v>
      </c>
      <c r="C300" s="113"/>
      <c r="E300" s="224" t="str" cm="1">
        <f t="array" ref="E300">IFERROR(IFERROR(IFERROR(INDEX(TallyBrands,MATCH(0, _xlfn.IFS("Beer"=TallyDrinkType,COUNTIF($E$4:$E299,TallyBrands),"Cider"=TallyDrinkType,COUNTIF($E$4:$E299,TallyBrands)),0)),INDEX(TallyBrands2,MATCH(0, _xlfn.IFS("Beer"=TallyDrinkType,COUNTIF($E$4:$E299,TallyBrands2),"Cider"=TallyDrinkType,COUNTIF($E$4:$E299,TallyBrands2)),0))),INDEX(TallyBrands3,MATCH(0, _xlfn.IFS("Beer"=TallyDrinkType,COUNTIF($E$4:$E299,TallyBrands3),"Cider"=TallyDrinkType,COUNTIF($E$4:$E299,TallyBrands3)),0))),"")</f>
        <v/>
      </c>
      <c r="F300" s="200"/>
      <c r="G300" s="195"/>
      <c r="H300" s="219"/>
      <c r="I300" s="220"/>
    </row>
    <row r="301" spans="2:9" ht="15" x14ac:dyDescent="0.15">
      <c r="B301" s="226" t="str" cm="1">
        <f t="array" ref="B301">IFERROR(IFERROR(IFERROR(INDEX(TallyBrands, MATCH(0, COUNTIF(B$4:$B300, TallyBrands), 0)), INDEX(TallyBrands2, MATCH(0, COUNTIF(B$4:$B300, TallyBrands2), 0))), INDEX(TallyBrands3, MATCH(0, COUNTIF(B$4:$B300, TallyBrands3), 0))),"")</f>
        <v>Kirkstall Brewery</v>
      </c>
      <c r="C301" s="113"/>
      <c r="E301" s="29"/>
      <c r="F301" s="111"/>
      <c r="G301" s="111"/>
      <c r="I301" s="220"/>
    </row>
    <row r="302" spans="2:9" ht="15" x14ac:dyDescent="0.15">
      <c r="B302" s="226" t="str" cm="1">
        <f t="array" ref="B302">IFERROR(IFERROR(IFERROR(INDEX(TallyBrands, MATCH(0, COUNTIF(B$4:$B301, TallyBrands), 0)), INDEX(TallyBrands2, MATCH(0, COUNTIF(B$4:$B301, TallyBrands2), 0))), INDEX(TallyBrands3, MATCH(0, COUNTIF(B$4:$B301, TallyBrands3), 0))),"")</f>
        <v>Stormtrooper</v>
      </c>
      <c r="C302" s="113"/>
      <c r="E302" s="29"/>
      <c r="F302" s="111"/>
      <c r="G302" s="111"/>
      <c r="I302" s="220"/>
    </row>
    <row r="303" spans="2:9" ht="15" x14ac:dyDescent="0.15">
      <c r="B303" s="226" t="str" cm="1">
        <f t="array" ref="B303">IFERROR(IFERROR(IFERROR(INDEX(TallyBrands, MATCH(0, COUNTIF(B$4:$B302, TallyBrands), 0)), INDEX(TallyBrands2, MATCH(0, COUNTIF(B$4:$B302, TallyBrands2), 0))), INDEX(TallyBrands3, MATCH(0, COUNTIF(B$4:$B302, TallyBrands3), 0))),"")</f>
        <v>Pistonhead</v>
      </c>
      <c r="C303" s="113"/>
      <c r="E303" s="29"/>
      <c r="F303" s="111"/>
      <c r="G303" s="111"/>
      <c r="I303" s="220"/>
    </row>
    <row r="304" spans="2:9" ht="15" x14ac:dyDescent="0.15">
      <c r="B304" s="226" t="str" cm="1">
        <f t="array" ref="B304">IFERROR(IFERROR(IFERROR(INDEX(TallyBrands, MATCH(0, COUNTIF(B$4:$B303, TallyBrands), 0)), INDEX(TallyBrands2, MATCH(0, COUNTIF(B$4:$B303, TallyBrands2), 0))), INDEX(TallyBrands3, MATCH(0, COUNTIF(B$4:$B303, TallyBrands3), 0))),"")</f>
        <v>Hogs Back</v>
      </c>
      <c r="C304" s="113"/>
      <c r="E304" s="29"/>
      <c r="F304" s="111"/>
      <c r="G304" s="111"/>
      <c r="I304" s="220"/>
    </row>
    <row r="305" spans="2:9" ht="15" x14ac:dyDescent="0.15">
      <c r="B305" s="226" t="str" cm="1">
        <f t="array" ref="B305">IFERROR(IFERROR(IFERROR(INDEX(TallyBrands, MATCH(0, COUNTIF(B$4:$B304, TallyBrands), 0)), INDEX(TallyBrands2, MATCH(0, COUNTIF(B$4:$B304, TallyBrands2), 0))), INDEX(TallyBrands3, MATCH(0, COUNTIF(B$4:$B304, TallyBrands3), 0))),"")</f>
        <v>Adroit Theory</v>
      </c>
      <c r="C305" s="113"/>
      <c r="E305" s="29"/>
      <c r="F305" s="111"/>
      <c r="G305" s="111"/>
      <c r="I305" s="220"/>
    </row>
    <row r="306" spans="2:9" ht="15" x14ac:dyDescent="0.15">
      <c r="B306" s="226" t="str" cm="1">
        <f t="array" ref="B306">IFERROR(IFERROR(IFERROR(INDEX(TallyBrands, MATCH(0, COUNTIF(B$4:$B305, TallyBrands), 0)), INDEX(TallyBrands2, MATCH(0, COUNTIF(B$4:$B305, TallyBrands2), 0))), INDEX(TallyBrands3, MATCH(0, COUNTIF(B$4:$B305, TallyBrands3), 0))),"")</f>
        <v>Ozeki</v>
      </c>
      <c r="C306" s="113"/>
      <c r="E306" s="29"/>
      <c r="F306" s="111"/>
      <c r="G306" s="111"/>
      <c r="I306" s="220"/>
    </row>
    <row r="307" spans="2:9" ht="15" x14ac:dyDescent="0.15">
      <c r="B307" s="226" t="str" cm="1">
        <f t="array" ref="B307">IFERROR(IFERROR(IFERROR(INDEX(TallyBrands, MATCH(0, COUNTIF(B$4:$B306, TallyBrands), 0)), INDEX(TallyBrands2, MATCH(0, COUNTIF(B$4:$B306, TallyBrands2), 0))), INDEX(TallyBrands3, MATCH(0, COUNTIF(B$4:$B306, TallyBrands3), 0))),"")</f>
        <v>Plaza Centro</v>
      </c>
      <c r="C307" s="113"/>
      <c r="E307" s="29"/>
      <c r="I307" s="220"/>
    </row>
    <row r="308" spans="2:9" ht="15" x14ac:dyDescent="0.15">
      <c r="B308" s="226" t="str" cm="1">
        <f t="array" ref="B308">IFERROR(IFERROR(IFERROR(INDEX(TallyBrands, MATCH(0, COUNTIF(B$4:$B307, TallyBrands), 0)), INDEX(TallyBrands2, MATCH(0, COUNTIF(B$4:$B307, TallyBrands2), 0))), INDEX(TallyBrands3, MATCH(0, COUNTIF(B$4:$B307, TallyBrands3), 0))),"")</f>
        <v>Sangster's</v>
      </c>
      <c r="C308" s="113"/>
      <c r="E308" s="29"/>
      <c r="I308" s="220"/>
    </row>
    <row r="309" spans="2:9" ht="15" x14ac:dyDescent="0.15">
      <c r="B309" s="226" t="str" cm="1">
        <f t="array" ref="B309">IFERROR(IFERROR(IFERROR(INDEX(TallyBrands, MATCH(0, COUNTIF(B$4:$B308, TallyBrands), 0)), INDEX(TallyBrands2, MATCH(0, COUNTIF(B$4:$B308, TallyBrands2), 0))), INDEX(TallyBrands3, MATCH(0, COUNTIF(B$4:$B308, TallyBrands3), 0))),"")</f>
        <v>Cool Shot</v>
      </c>
      <c r="C309" s="113"/>
      <c r="E309" s="29"/>
      <c r="I309" s="220"/>
    </row>
    <row r="310" spans="2:9" ht="15" x14ac:dyDescent="0.15">
      <c r="B310" s="226" t="str" cm="1">
        <f t="array" ref="B310">IFERROR(IFERROR(IFERROR(INDEX(TallyBrands, MATCH(0, COUNTIF(B$4:$B309, TallyBrands), 0)), INDEX(TallyBrands2, MATCH(0, COUNTIF(B$4:$B309, TallyBrands2), 0))), INDEX(TallyBrands3, MATCH(0, COUNTIF(B$4:$B309, TallyBrands3), 0))),"")</f>
        <v>Nice</v>
      </c>
      <c r="C310" s="113"/>
      <c r="E310" s="29"/>
      <c r="I310" s="220"/>
    </row>
    <row r="311" spans="2:9" ht="15" x14ac:dyDescent="0.15">
      <c r="B311" s="226" t="str" cm="1">
        <f t="array" ref="B311">IFERROR(IFERROR(IFERROR(INDEX(TallyBrands, MATCH(0, COUNTIF(B$4:$B310, TallyBrands), 0)), INDEX(TallyBrands2, MATCH(0, COUNTIF(B$4:$B310, TallyBrands2), 0))), INDEX(TallyBrands3, MATCH(0, COUNTIF(B$4:$B310, TallyBrands3), 0))),"")</f>
        <v>Hoegaarden</v>
      </c>
      <c r="C311" s="113"/>
      <c r="E311" s="29"/>
      <c r="I311" s="220"/>
    </row>
    <row r="312" spans="2:9" ht="15" x14ac:dyDescent="0.15">
      <c r="B312" s="226" t="str" cm="1">
        <f t="array" ref="B312">IFERROR(IFERROR(IFERROR(INDEX(TallyBrands, MATCH(0, COUNTIF(B$4:$B311, TallyBrands), 0)), INDEX(TallyBrands2, MATCH(0, COUNTIF(B$4:$B311, TallyBrands2), 0))), INDEX(TallyBrands3, MATCH(0, COUNTIF(B$4:$B311, TallyBrands3), 0))),"")</f>
        <v>Destilado de Agave</v>
      </c>
      <c r="C312" s="113"/>
      <c r="E312" s="29"/>
      <c r="I312" s="220"/>
    </row>
    <row r="313" spans="2:9" ht="15" x14ac:dyDescent="0.15">
      <c r="B313" s="226" t="str" cm="1">
        <f t="array" ref="B313">IFERROR(IFERROR(IFERROR(INDEX(TallyBrands, MATCH(0, COUNTIF(B$4:$B312, TallyBrands), 0)), INDEX(TallyBrands2, MATCH(0, COUNTIF(B$4:$B312, TallyBrands2), 0))), INDEX(TallyBrands3, MATCH(0, COUNTIF(B$4:$B312, TallyBrands3), 0))),"")</f>
        <v>Singha</v>
      </c>
      <c r="C313" s="113"/>
      <c r="E313" s="29"/>
      <c r="I313" s="220"/>
    </row>
    <row r="314" spans="2:9" ht="15" x14ac:dyDescent="0.15">
      <c r="B314" s="226" t="str" cm="1">
        <f t="array" ref="B314">IFERROR(IFERROR(IFERROR(INDEX(TallyBrands, MATCH(0, COUNTIF(B$4:$B313, TallyBrands), 0)), INDEX(TallyBrands2, MATCH(0, COUNTIF(B$4:$B313, TallyBrands2), 0))), INDEX(TallyBrands3, MATCH(0, COUNTIF(B$4:$B313, TallyBrands3), 0))),"")</f>
        <v>J.P. Chenet</v>
      </c>
      <c r="C314" s="113"/>
      <c r="E314" s="29"/>
      <c r="I314" s="220"/>
    </row>
    <row r="315" spans="2:9" ht="15" x14ac:dyDescent="0.15">
      <c r="B315" s="226" t="str" cm="1">
        <f t="array" ref="B315">IFERROR(IFERROR(IFERROR(INDEX(TallyBrands, MATCH(0, COUNTIF(B$4:$B314, TallyBrands), 0)), INDEX(TallyBrands2, MATCH(0, COUNTIF(B$4:$B314, TallyBrands2), 0))), INDEX(TallyBrands3, MATCH(0, COUNTIF(B$4:$B314, TallyBrands3), 0))),"")</f>
        <v>Archers</v>
      </c>
      <c r="C315" s="113"/>
      <c r="E315" s="29"/>
      <c r="I315" s="220"/>
    </row>
    <row r="316" spans="2:9" ht="15" x14ac:dyDescent="0.15">
      <c r="B316" s="226" t="str" cm="1">
        <f t="array" ref="B316">IFERROR(IFERROR(IFERROR(INDEX(TallyBrands, MATCH(0, COUNTIF(B$4:$B315, TallyBrands), 0)), INDEX(TallyBrands2, MATCH(0, COUNTIF(B$4:$B315, TallyBrands2), 0))), INDEX(TallyBrands3, MATCH(0, COUNTIF(B$4:$B315, TallyBrands3), 0))),"")</f>
        <v>Saint Gérmont</v>
      </c>
      <c r="C316" s="113"/>
      <c r="E316" s="29"/>
      <c r="I316" s="220"/>
    </row>
    <row r="317" spans="2:9" ht="15" x14ac:dyDescent="0.15">
      <c r="B317" s="226" t="str" cm="1">
        <f t="array" ref="B317">IFERROR(IFERROR(IFERROR(INDEX(TallyBrands, MATCH(0, COUNTIF(B$4:$B316, TallyBrands), 0)), INDEX(TallyBrands2, MATCH(0, COUNTIF(B$4:$B316, TallyBrands2), 0))), INDEX(TallyBrands3, MATCH(0, COUNTIF(B$4:$B316, TallyBrands3), 0))),"")</f>
        <v>Firebox</v>
      </c>
      <c r="C317" s="113"/>
      <c r="E317" s="29"/>
      <c r="I317" s="220"/>
    </row>
    <row r="318" spans="2:9" ht="15" x14ac:dyDescent="0.15">
      <c r="B318" s="226" t="str" cm="1">
        <f t="array" ref="B318">IFERROR(IFERROR(IFERROR(INDEX(TallyBrands, MATCH(0, COUNTIF(B$4:$B317, TallyBrands), 0)), INDEX(TallyBrands2, MATCH(0, COUNTIF(B$4:$B317, TallyBrands2), 0))), INDEX(TallyBrands3, MATCH(0, COUNTIF(B$4:$B317, TallyBrands3), 0))),"")</f>
        <v>Bloom</v>
      </c>
      <c r="C318" s="113"/>
      <c r="E318" s="29"/>
      <c r="I318" s="220"/>
    </row>
    <row r="319" spans="2:9" ht="15" x14ac:dyDescent="0.15">
      <c r="B319" s="226" t="str" cm="1">
        <f t="array" ref="B319">IFERROR(IFERROR(IFERROR(INDEX(TallyBrands, MATCH(0, COUNTIF(B$4:$B318, TallyBrands), 0)), INDEX(TallyBrands2, MATCH(0, COUNTIF(B$4:$B318, TallyBrands2), 0))), INDEX(TallyBrands3, MATCH(0, COUNTIF(B$4:$B318, TallyBrands3), 0))),"")</f>
        <v>Woodford Reserve</v>
      </c>
      <c r="C319" s="113"/>
      <c r="E319" s="29"/>
      <c r="I319" s="220"/>
    </row>
    <row r="320" spans="2:9" ht="15" x14ac:dyDescent="0.15">
      <c r="B320" s="226" t="str" cm="1">
        <f t="array" ref="B320">IFERROR(IFERROR(IFERROR(INDEX(TallyBrands, MATCH(0, COUNTIF(B$4:$B319, TallyBrands), 0)), INDEX(TallyBrands2, MATCH(0, COUNTIF(B$4:$B319, TallyBrands2), 0))), INDEX(TallyBrands3, MATCH(0, COUNTIF(B$4:$B319, TallyBrands3), 0))),"")</f>
        <v>Adnams Southwold</v>
      </c>
      <c r="C320" s="113"/>
      <c r="E320" s="29"/>
      <c r="I320" s="220"/>
    </row>
    <row r="321" spans="2:9" ht="15" x14ac:dyDescent="0.15">
      <c r="B321" s="226" t="str" cm="1">
        <f t="array" ref="B321">IFERROR(IFERROR(IFERROR(INDEX(TallyBrands, MATCH(0, COUNTIF(B$4:$B320, TallyBrands), 0)), INDEX(TallyBrands2, MATCH(0, COUNTIF(B$4:$B320, TallyBrands2), 0))), INDEX(TallyBrands3, MATCH(0, COUNTIF(B$4:$B320, TallyBrands3), 0))),"")</f>
        <v>Tiger</v>
      </c>
      <c r="C321" s="113"/>
      <c r="E321" s="29"/>
      <c r="I321" s="220"/>
    </row>
    <row r="322" spans="2:9" ht="15" x14ac:dyDescent="0.15">
      <c r="B322" s="226" t="str" cm="1">
        <f t="array" ref="B322">IFERROR(IFERROR(IFERROR(INDEX(TallyBrands, MATCH(0, COUNTIF(B$4:$B321, TallyBrands), 0)), INDEX(TallyBrands2, MATCH(0, COUNTIF(B$4:$B321, TallyBrands2), 0))), INDEX(TallyBrands3, MATCH(0, COUNTIF(B$4:$B321, TallyBrands3), 0))),"")</f>
        <v>Gun Brewery</v>
      </c>
      <c r="C322" s="113"/>
      <c r="E322" s="29"/>
      <c r="I322" s="220"/>
    </row>
    <row r="323" spans="2:9" ht="15" x14ac:dyDescent="0.15">
      <c r="B323" s="226" t="str" cm="1">
        <f t="array" ref="B323">IFERROR(IFERROR(IFERROR(INDEX(TallyBrands, MATCH(0, COUNTIF(B$4:$B322, TallyBrands), 0)), INDEX(TallyBrands2, MATCH(0, COUNTIF(B$4:$B322, TallyBrands2), 0))), INDEX(TallyBrands3, MATCH(0, COUNTIF(B$4:$B322, TallyBrands3), 0))),"")</f>
        <v>Club Colombia</v>
      </c>
      <c r="C323" s="113"/>
      <c r="E323" s="29"/>
      <c r="I323" s="220"/>
    </row>
    <row r="324" spans="2:9" ht="15" x14ac:dyDescent="0.15">
      <c r="B324" s="226" t="str" cm="1">
        <f t="array" ref="B324">IFERROR(IFERROR(IFERROR(INDEX(TallyBrands, MATCH(0, COUNTIF(B$4:$B323, TallyBrands), 0)), INDEX(TallyBrands2, MATCH(0, COUNTIF(B$4:$B323, TallyBrands2), 0))), INDEX(TallyBrands3, MATCH(0, COUNTIF(B$4:$B323, TallyBrands3), 0))),"")</f>
        <v>Bevog</v>
      </c>
      <c r="C324" s="113"/>
      <c r="E324" s="29"/>
      <c r="I324" s="220"/>
    </row>
    <row r="325" spans="2:9" ht="15" x14ac:dyDescent="0.15">
      <c r="B325" s="226" t="str" cm="1">
        <f t="array" ref="B325">IFERROR(IFERROR(IFERROR(INDEX(TallyBrands, MATCH(0, COUNTIF(B$4:$B324, TallyBrands), 0)), INDEX(TallyBrands2, MATCH(0, COUNTIF(B$4:$B324, TallyBrands2), 0))), INDEX(TallyBrands3, MATCH(0, COUNTIF(B$4:$B324, TallyBrands3), 0))),"")</f>
        <v>Põhjala</v>
      </c>
      <c r="C325" s="113"/>
      <c r="E325" s="29"/>
      <c r="I325" s="220"/>
    </row>
    <row r="326" spans="2:9" ht="15" x14ac:dyDescent="0.15">
      <c r="B326" s="226" t="str" cm="1">
        <f t="array" ref="B326">IFERROR(IFERROR(IFERROR(INDEX(TallyBrands, MATCH(0, COUNTIF(B$4:$B325, TallyBrands), 0)), INDEX(TallyBrands2, MATCH(0, COUNTIF(B$4:$B325, TallyBrands2), 0))), INDEX(TallyBrands3, MATCH(0, COUNTIF(B$4:$B325, TallyBrands3), 0))),"")</f>
        <v>Woodgate</v>
      </c>
      <c r="C326" s="113"/>
      <c r="E326" s="29"/>
      <c r="I326" s="220"/>
    </row>
    <row r="327" spans="2:9" ht="15" x14ac:dyDescent="0.15">
      <c r="B327" s="226" t="str" cm="1">
        <f t="array" ref="B327">IFERROR(IFERROR(IFERROR(INDEX(TallyBrands, MATCH(0, COUNTIF(B$4:$B326, TallyBrands), 0)), INDEX(TallyBrands2, MATCH(0, COUNTIF(B$4:$B326, TallyBrands2), 0))), INDEX(TallyBrands3, MATCH(0, COUNTIF(B$4:$B326, TallyBrands3), 0))),"")</f>
        <v>Black Iris Brewery</v>
      </c>
      <c r="C327" s="113"/>
      <c r="E327" s="29"/>
      <c r="I327" s="220"/>
    </row>
    <row r="328" spans="2:9" ht="15" x14ac:dyDescent="0.15">
      <c r="B328" s="226" t="str" cm="1">
        <f t="array" ref="B328">IFERROR(IFERROR(IFERROR(INDEX(TallyBrands, MATCH(0, COUNTIF(B$4:$B327, TallyBrands), 0)), INDEX(TallyBrands2, MATCH(0, COUNTIF(B$4:$B327, TallyBrands2), 0))), INDEX(TallyBrands3, MATCH(0, COUNTIF(B$4:$B327, TallyBrands3), 0))),"")</f>
        <v>Stella Artois</v>
      </c>
      <c r="C328" s="113"/>
      <c r="E328" s="29"/>
      <c r="I328" s="220"/>
    </row>
    <row r="329" spans="2:9" ht="15" x14ac:dyDescent="0.15">
      <c r="B329" s="226" t="str" cm="1">
        <f t="array" ref="B329">IFERROR(IFERROR(IFERROR(INDEX(TallyBrands, MATCH(0, COUNTIF(B$4:$B328, TallyBrands), 0)), INDEX(TallyBrands2, MATCH(0, COUNTIF(B$4:$B328, TallyBrands2), 0))), INDEX(TallyBrands3, MATCH(0, COUNTIF(B$4:$B328, TallyBrands3), 0))),"")</f>
        <v>Twisted Cider</v>
      </c>
      <c r="C329" s="113"/>
      <c r="E329" s="29"/>
      <c r="I329" s="220"/>
    </row>
    <row r="330" spans="2:9" ht="15" x14ac:dyDescent="0.15">
      <c r="B330" s="226" t="str" cm="1">
        <f t="array" ref="B330">IFERROR(IFERROR(IFERROR(INDEX(TallyBrands, MATCH(0, COUNTIF(B$4:$B329, TallyBrands), 0)), INDEX(TallyBrands2, MATCH(0, COUNTIF(B$4:$B329, TallyBrands2), 0))), INDEX(TallyBrands3, MATCH(0, COUNTIF(B$4:$B329, TallyBrands3), 0))),"")</f>
        <v>Vault City Brewing</v>
      </c>
      <c r="C330" s="113"/>
      <c r="E330" s="29"/>
      <c r="I330" s="220"/>
    </row>
    <row r="331" spans="2:9" ht="15" x14ac:dyDescent="0.15">
      <c r="B331" s="226" t="str" cm="1">
        <f t="array" ref="B331">IFERROR(IFERROR(IFERROR(INDEX(TallyBrands, MATCH(0, COUNTIF(B$4:$B330, TallyBrands), 0)), INDEX(TallyBrands2, MATCH(0, COUNTIF(B$4:$B330, TallyBrands2), 0))), INDEX(TallyBrands3, MATCH(0, COUNTIF(B$4:$B330, TallyBrands3), 0))),"")</f>
        <v>The Lakes Distillery</v>
      </c>
      <c r="C331" s="113"/>
      <c r="E331" s="29"/>
      <c r="I331" s="220"/>
    </row>
    <row r="332" spans="2:9" ht="15" x14ac:dyDescent="0.15">
      <c r="B332" s="226" t="str" cm="1">
        <f t="array" ref="B332">IFERROR(IFERROR(IFERROR(INDEX(TallyBrands, MATCH(0, COUNTIF(B$4:$B331, TallyBrands), 0)), INDEX(TallyBrands2, MATCH(0, COUNTIF(B$4:$B331, TallyBrands2), 0))), INDEX(TallyBrands3, MATCH(0, COUNTIF(B$4:$B331, TallyBrands3), 0))),"")</f>
        <v>Tanqueray</v>
      </c>
      <c r="C332" s="113"/>
      <c r="E332" s="29"/>
      <c r="I332" s="220"/>
    </row>
    <row r="333" spans="2:9" ht="15" x14ac:dyDescent="0.15">
      <c r="B333" s="226" t="str" cm="1">
        <f t="array" ref="B333">IFERROR(IFERROR(IFERROR(INDEX(TallyBrands, MATCH(0, COUNTIF(B$4:$B332, TallyBrands), 0)), INDEX(TallyBrands2, MATCH(0, COUNTIF(B$4:$B332, TallyBrands2), 0))), INDEX(TallyBrands3, MATCH(0, COUNTIF(B$4:$B332, TallyBrands3), 0))),"")</f>
        <v>Pilsner Urquell</v>
      </c>
      <c r="C333" s="113"/>
      <c r="E333" s="29"/>
      <c r="I333" s="220"/>
    </row>
    <row r="334" spans="2:9" ht="15" x14ac:dyDescent="0.15">
      <c r="B334" s="226" t="str" cm="1">
        <f t="array" ref="B334">IFERROR(IFERROR(IFERROR(INDEX(TallyBrands, MATCH(0, COUNTIF(B$4:$B333, TallyBrands), 0)), INDEX(TallyBrands2, MATCH(0, COUNTIF(B$4:$B333, TallyBrands2), 0))), INDEX(TallyBrands3, MATCH(0, COUNTIF(B$4:$B333, TallyBrands3), 0))),"")</f>
        <v>Baileys</v>
      </c>
      <c r="C334" s="113"/>
      <c r="E334" s="29"/>
      <c r="I334" s="220"/>
    </row>
    <row r="335" spans="2:9" ht="15" x14ac:dyDescent="0.15">
      <c r="B335" s="226" t="str" cm="1">
        <f t="array" ref="B335">IFERROR(IFERROR(IFERROR(INDEX(TallyBrands, MATCH(0, COUNTIF(B$4:$B334, TallyBrands), 0)), INDEX(TallyBrands2, MATCH(0, COUNTIF(B$4:$B334, TallyBrands2), 0))), INDEX(TallyBrands3, MATCH(0, COUNTIF(B$4:$B334, TallyBrands3), 0))),"")</f>
        <v>Drury</v>
      </c>
      <c r="C335" s="113"/>
      <c r="E335" s="29"/>
      <c r="I335" s="220"/>
    </row>
    <row r="336" spans="2:9" ht="15" x14ac:dyDescent="0.15">
      <c r="B336" s="226" t="str" cm="1">
        <f t="array" ref="B336">IFERROR(IFERROR(IFERROR(INDEX(TallyBrands, MATCH(0, COUNTIF(B$4:$B335, TallyBrands), 0)), INDEX(TallyBrands2, MATCH(0, COUNTIF(B$4:$B335, TallyBrands2), 0))), INDEX(TallyBrands3, MATCH(0, COUNTIF(B$4:$B335, TallyBrands3), 0))),"")</f>
        <v>Cockburn's</v>
      </c>
      <c r="C336" s="113"/>
      <c r="E336" s="29"/>
      <c r="I336" s="220"/>
    </row>
    <row r="337" spans="2:9" ht="15" x14ac:dyDescent="0.15">
      <c r="B337" s="226" t="str" cm="1">
        <f t="array" ref="B337">IFERROR(IFERROR(IFERROR(INDEX(TallyBrands, MATCH(0, COUNTIF(B$4:$B336, TallyBrands), 0)), INDEX(TallyBrands2, MATCH(0, COUNTIF(B$4:$B336, TallyBrands2), 0))), INDEX(TallyBrands3, MATCH(0, COUNTIF(B$4:$B336, TallyBrands3), 0))),"")</f>
        <v>Pipeworks Brewing Co</v>
      </c>
      <c r="C337" s="113"/>
      <c r="E337" s="29"/>
      <c r="I337" s="220"/>
    </row>
    <row r="338" spans="2:9" ht="15" x14ac:dyDescent="0.15">
      <c r="B338" s="226" t="str" cm="1">
        <f t="array" ref="B338">IFERROR(IFERROR(IFERROR(INDEX(TallyBrands, MATCH(0, COUNTIF(B$4:$B337, TallyBrands), 0)), INDEX(TallyBrands2, MATCH(0, COUNTIF(B$4:$B337, TallyBrands2), 0))), INDEX(TallyBrands3, MATCH(0, COUNTIF(B$4:$B337, TallyBrands3), 0))),"")</f>
        <v>Brothers</v>
      </c>
      <c r="C338" s="113"/>
      <c r="E338" s="29"/>
      <c r="I338" s="220"/>
    </row>
    <row r="339" spans="2:9" ht="15" x14ac:dyDescent="0.15">
      <c r="B339" s="226" t="str" cm="1">
        <f t="array" ref="B339">IFERROR(IFERROR(IFERROR(INDEX(TallyBrands, MATCH(0, COUNTIF(B$4:$B338, TallyBrands), 0)), INDEX(TallyBrands2, MATCH(0, COUNTIF(B$4:$B338, TallyBrands2), 0))), INDEX(TallyBrands3, MATCH(0, COUNTIF(B$4:$B338, TallyBrands3), 0))),"")</f>
        <v>The Famous Grouse</v>
      </c>
      <c r="C339" s="113"/>
      <c r="E339" s="29"/>
      <c r="I339" s="220"/>
    </row>
    <row r="340" spans="2:9" ht="15" x14ac:dyDescent="0.15">
      <c r="B340" s="226" t="str" cm="1">
        <f t="array" ref="B340">IFERROR(IFERROR(IFERROR(INDEX(TallyBrands, MATCH(0, COUNTIF(B$4:$B339, TallyBrands), 0)), INDEX(TallyBrands2, MATCH(0, COUNTIF(B$4:$B339, TallyBrands2), 0))), INDEX(TallyBrands3, MATCH(0, COUNTIF(B$4:$B339, TallyBrands3), 0))),"")</f>
        <v>Bulleit</v>
      </c>
      <c r="C340" s="113"/>
      <c r="E340" s="29"/>
      <c r="I340" s="220"/>
    </row>
    <row r="341" spans="2:9" ht="15" x14ac:dyDescent="0.15">
      <c r="B341" s="226" t="str" cm="1">
        <f t="array" ref="B341">IFERROR(IFERROR(IFERROR(INDEX(TallyBrands, MATCH(0, COUNTIF(B$4:$B340, TallyBrands), 0)), INDEX(TallyBrands2, MATCH(0, COUNTIF(B$4:$B340, TallyBrands2), 0))), INDEX(TallyBrands3, MATCH(0, COUNTIF(B$4:$B340, TallyBrands3), 0))),"")</f>
        <v>McGuigan</v>
      </c>
      <c r="C341" s="113"/>
      <c r="E341" s="29"/>
      <c r="I341" s="220"/>
    </row>
    <row r="342" spans="2:9" ht="15" x14ac:dyDescent="0.15">
      <c r="B342" s="226" t="str" cm="1">
        <f t="array" ref="B342">IFERROR(IFERROR(IFERROR(INDEX(TallyBrands, MATCH(0, COUNTIF(B$4:$B341, TallyBrands), 0)), INDEX(TallyBrands2, MATCH(0, COUNTIF(B$4:$B341, TallyBrands2), 0))), INDEX(TallyBrands3, MATCH(0, COUNTIF(B$4:$B341, TallyBrands3), 0))),"")</f>
        <v>Rum Ting</v>
      </c>
      <c r="C342" s="113"/>
      <c r="E342" s="29"/>
      <c r="I342" s="220"/>
    </row>
    <row r="343" spans="2:9" ht="15" x14ac:dyDescent="0.15">
      <c r="B343" s="226" t="str" cm="1">
        <f t="array" ref="B343">IFERROR(IFERROR(IFERROR(INDEX(TallyBrands, MATCH(0, COUNTIF(B$4:$B342, TallyBrands), 0)), INDEX(TallyBrands2, MATCH(0, COUNTIF(B$4:$B342, TallyBrands2), 0))), INDEX(TallyBrands3, MATCH(0, COUNTIF(B$4:$B342, TallyBrands3), 0))),"")</f>
        <v>Magners</v>
      </c>
      <c r="C343" s="113"/>
      <c r="E343" s="29"/>
      <c r="I343" s="220"/>
    </row>
    <row r="344" spans="2:9" ht="15" x14ac:dyDescent="0.15">
      <c r="B344" s="226" t="str" cm="1">
        <f t="array" ref="B344">IFERROR(IFERROR(IFERROR(INDEX(TallyBrands, MATCH(0, COUNTIF(B$4:$B343, TallyBrands), 0)), INDEX(TallyBrands2, MATCH(0, COUNTIF(B$4:$B343, TallyBrands2), 0))), INDEX(TallyBrands3, MATCH(0, COUNTIF(B$4:$B343, TallyBrands3), 0))),"")</f>
        <v>Lilley's</v>
      </c>
      <c r="C344" s="113"/>
      <c r="E344" s="29"/>
      <c r="I344" s="220"/>
    </row>
    <row r="345" spans="2:9" ht="15" x14ac:dyDescent="0.15">
      <c r="B345" s="226" t="str" cm="1">
        <f t="array" ref="B345">IFERROR(IFERROR(IFERROR(INDEX(TallyBrands, MATCH(0, COUNTIF(B$4:$B344, TallyBrands), 0)), INDEX(TallyBrands2, MATCH(0, COUNTIF(B$4:$B344, TallyBrands2), 0))), INDEX(TallyBrands3, MATCH(0, COUNTIF(B$4:$B344, TallyBrands3), 0))),"")</f>
        <v>Taurus</v>
      </c>
      <c r="C345" s="113"/>
      <c r="E345" s="29"/>
      <c r="I345" s="220"/>
    </row>
    <row r="346" spans="2:9" ht="15" x14ac:dyDescent="0.15">
      <c r="B346" s="226" t="str" cm="1">
        <f t="array" ref="B346">IFERROR(IFERROR(IFERROR(INDEX(TallyBrands, MATCH(0, COUNTIF(B$4:$B345, TallyBrands), 0)), INDEX(TallyBrands2, MATCH(0, COUNTIF(B$4:$B345, TallyBrands2), 0))), INDEX(TallyBrands3, MATCH(0, COUNTIF(B$4:$B345, TallyBrands3), 0))),"")</f>
        <v>Andrew Peace</v>
      </c>
      <c r="C346" s="113"/>
      <c r="E346" s="29"/>
      <c r="I346" s="220"/>
    </row>
    <row r="347" spans="2:9" ht="15" x14ac:dyDescent="0.15">
      <c r="B347" s="226" t="str" cm="1">
        <f t="array" ref="B347">IFERROR(IFERROR(IFERROR(INDEX(TallyBrands, MATCH(0, COUNTIF(B$4:$B346, TallyBrands), 0)), INDEX(TallyBrands2, MATCH(0, COUNTIF(B$4:$B346, TallyBrands2), 0))), INDEX(TallyBrands3, MATCH(0, COUNTIF(B$4:$B346, TallyBrands3), 0))),"")</f>
        <v>Calvet</v>
      </c>
      <c r="C347" s="113"/>
      <c r="E347" s="29"/>
      <c r="I347" s="220"/>
    </row>
    <row r="348" spans="2:9" ht="15" x14ac:dyDescent="0.15">
      <c r="B348" s="226" t="str" cm="1">
        <f t="array" ref="B348">IFERROR(IFERROR(IFERROR(INDEX(TallyBrands, MATCH(0, COUNTIF(B$4:$B347, TallyBrands), 0)), INDEX(TallyBrands2, MATCH(0, COUNTIF(B$4:$B347, TallyBrands2), 0))), INDEX(TallyBrands3, MATCH(0, COUNTIF(B$4:$B347, TallyBrands3), 0))),"")</f>
        <v>Maison Fortant</v>
      </c>
      <c r="C348" s="113"/>
      <c r="E348" s="29"/>
      <c r="I348" s="220"/>
    </row>
    <row r="349" spans="2:9" ht="15" x14ac:dyDescent="0.15">
      <c r="B349" s="226" t="str" cm="1">
        <f t="array" ref="B349">IFERROR(IFERROR(IFERROR(INDEX(TallyBrands, MATCH(0, COUNTIF(B$4:$B348, TallyBrands), 0)), INDEX(TallyBrands2, MATCH(0, COUNTIF(B$4:$B348, TallyBrands2), 0))), INDEX(TallyBrands3, MATCH(0, COUNTIF(B$4:$B348, TallyBrands3), 0))),"")</f>
        <v>Sharp's</v>
      </c>
      <c r="C349" s="113"/>
      <c r="E349" s="29"/>
      <c r="I349" s="220"/>
    </row>
    <row r="350" spans="2:9" ht="15" x14ac:dyDescent="0.15">
      <c r="B350" s="226" t="str" cm="1">
        <f t="array" ref="B350">IFERROR(IFERROR(IFERROR(INDEX(TallyBrands, MATCH(0, COUNTIF(B$4:$B349, TallyBrands), 0)), INDEX(TallyBrands2, MATCH(0, COUNTIF(B$4:$B349, TallyBrands2), 0))), INDEX(TallyBrands3, MATCH(0, COUNTIF(B$4:$B349, TallyBrands3), 0))),"")</f>
        <v>Mobberley Brewhouse</v>
      </c>
      <c r="C350" s="113"/>
      <c r="E350" s="29"/>
      <c r="I350" s="220"/>
    </row>
    <row r="351" spans="2:9" ht="15" x14ac:dyDescent="0.15">
      <c r="B351" s="226" t="str" cm="1">
        <f t="array" ref="B351">IFERROR(IFERROR(IFERROR(INDEX(TallyBrands, MATCH(0, COUNTIF(B$4:$B350, TallyBrands), 0)), INDEX(TallyBrands2, MATCH(0, COUNTIF(B$4:$B350, TallyBrands2), 0))), INDEX(TallyBrands3, MATCH(0, COUNTIF(B$4:$B350, TallyBrands3), 0))),"")</f>
        <v>Nikka</v>
      </c>
      <c r="C351" s="113"/>
      <c r="E351" s="29"/>
      <c r="I351" s="220"/>
    </row>
    <row r="352" spans="2:9" ht="15" x14ac:dyDescent="0.15">
      <c r="B352" s="226" t="str" cm="1">
        <f t="array" ref="B352">IFERROR(IFERROR(IFERROR(INDEX(TallyBrands, MATCH(0, COUNTIF(B$4:$B351, TallyBrands), 0)), INDEX(TallyBrands2, MATCH(0, COUNTIF(B$4:$B351, TallyBrands2), 0))), INDEX(TallyBrands3, MATCH(0, COUNTIF(B$4:$B351, TallyBrands3), 0))),"")</f>
        <v>Big Pezzer Gin</v>
      </c>
      <c r="C352" s="113"/>
      <c r="E352" s="29"/>
      <c r="I352" s="220"/>
    </row>
    <row r="353" spans="2:9" ht="15" x14ac:dyDescent="0.15">
      <c r="B353" s="226" t="str" cm="1">
        <f t="array" ref="B353">IFERROR(IFERROR(IFERROR(INDEX(TallyBrands, MATCH(0, COUNTIF(B$4:$B352, TallyBrands), 0)), INDEX(TallyBrands2, MATCH(0, COUNTIF(B$4:$B352, TallyBrands2), 0))), INDEX(TallyBrands3, MATCH(0, COUNTIF(B$4:$B352, TallyBrands3), 0))),"")</f>
        <v>CocoCariba</v>
      </c>
      <c r="C353" s="113"/>
      <c r="E353" s="29"/>
      <c r="I353" s="220"/>
    </row>
    <row r="354" spans="2:9" ht="15" x14ac:dyDescent="0.15">
      <c r="B354" s="226" t="str" cm="1">
        <f t="array" ref="B354">IFERROR(IFERROR(IFERROR(INDEX(TallyBrands, MATCH(0, COUNTIF(B$4:$B353, TallyBrands), 0)), INDEX(TallyBrands2, MATCH(0, COUNTIF(B$4:$B353, TallyBrands2), 0))), INDEX(TallyBrands3, MATCH(0, COUNTIF(B$4:$B353, TallyBrands3), 0))),"")</f>
        <v>Freixenet</v>
      </c>
      <c r="C354" s="113"/>
      <c r="E354" s="29"/>
      <c r="I354" s="220"/>
    </row>
    <row r="355" spans="2:9" ht="15" x14ac:dyDescent="0.15">
      <c r="B355" s="226" t="str" cm="1">
        <f t="array" ref="B355">IFERROR(IFERROR(IFERROR(INDEX(TallyBrands, MATCH(0, COUNTIF(B$4:$B354, TallyBrands), 0)), INDEX(TallyBrands2, MATCH(0, COUNTIF(B$4:$B354, TallyBrands2), 0))), INDEX(TallyBrands3, MATCH(0, COUNTIF(B$4:$B354, TallyBrands3), 0))),"")</f>
        <v>Allini</v>
      </c>
      <c r="C355" s="113"/>
      <c r="E355" s="29"/>
      <c r="I355" s="220"/>
    </row>
    <row r="356" spans="2:9" ht="15" x14ac:dyDescent="0.15">
      <c r="B356" s="226" t="str" cm="1">
        <f t="array" ref="B356">IFERROR(IFERROR(IFERROR(INDEX(TallyBrands, MATCH(0, COUNTIF(B$4:$B355, TallyBrands), 0)), INDEX(TallyBrands2, MATCH(0, COUNTIF(B$4:$B355, TallyBrands2), 0))), INDEX(TallyBrands3, MATCH(0, COUNTIF(B$4:$B355, TallyBrands3), 0))),"")</f>
        <v>Canti</v>
      </c>
      <c r="C356" s="113"/>
      <c r="E356" s="29"/>
      <c r="I356" s="220"/>
    </row>
    <row r="357" spans="2:9" ht="15" x14ac:dyDescent="0.15">
      <c r="B357" s="226" t="str" cm="1">
        <f t="array" ref="B357">IFERROR(IFERROR(IFERROR(INDEX(TallyBrands, MATCH(0, COUNTIF(B$4:$B356, TallyBrands), 0)), INDEX(TallyBrands2, MATCH(0, COUNTIF(B$4:$B356, TallyBrands2), 0))), INDEX(TallyBrands3, MATCH(0, COUNTIF(B$4:$B356, TallyBrands3), 0))),"")</f>
        <v>Bortolomiol</v>
      </c>
      <c r="C357" s="113"/>
      <c r="E357" s="29"/>
      <c r="I357" s="220"/>
    </row>
    <row r="358" spans="2:9" ht="15" x14ac:dyDescent="0.15">
      <c r="B358" s="226" t="str" cm="1">
        <f t="array" ref="B358">IFERROR(IFERROR(IFERROR(INDEX(TallyBrands, MATCH(0, COUNTIF(B$4:$B357, TallyBrands), 0)), INDEX(TallyBrands2, MATCH(0, COUNTIF(B$4:$B357, TallyBrands2), 0))), INDEX(TallyBrands3, MATCH(0, COUNTIF(B$4:$B357, TallyBrands3), 0))),"")</f>
        <v>Super Bock</v>
      </c>
      <c r="C358" s="113"/>
      <c r="E358" s="29"/>
      <c r="I358" s="220"/>
    </row>
    <row r="359" spans="2:9" ht="15" x14ac:dyDescent="0.15">
      <c r="B359" s="226" t="str" cm="1">
        <f t="array" ref="B359">IFERROR(IFERROR(IFERROR(INDEX(TallyBrands, MATCH(0, COUNTIF(B$4:$B358, TallyBrands), 0)), INDEX(TallyBrands2, MATCH(0, COUNTIF(B$4:$B358, TallyBrands2), 0))), INDEX(TallyBrands3, MATCH(0, COUNTIF(B$4:$B358, TallyBrands3), 0))),"")</f>
        <v>White Claw</v>
      </c>
      <c r="C359" s="113"/>
      <c r="E359" s="29"/>
      <c r="I359" s="220"/>
    </row>
    <row r="360" spans="2:9" ht="15" x14ac:dyDescent="0.15">
      <c r="B360" s="226" t="str" cm="1">
        <f t="array" ref="B360">IFERROR(IFERROR(IFERROR(INDEX(TallyBrands, MATCH(0, COUNTIF(B$4:$B359, TallyBrands), 0)), INDEX(TallyBrands2, MATCH(0, COUNTIF(B$4:$B359, TallyBrands2), 0))), INDEX(TallyBrands3, MATCH(0, COUNTIF(B$4:$B359, TallyBrands3), 0))),"")</f>
        <v>Perry's Cider</v>
      </c>
      <c r="C360" s="113"/>
      <c r="E360" s="29"/>
      <c r="I360" s="220"/>
    </row>
    <row r="361" spans="2:9" ht="15" x14ac:dyDescent="0.15">
      <c r="B361" s="226" t="str" cm="1">
        <f t="array" ref="B361">IFERROR(IFERROR(IFERROR(INDEX(TallyBrands, MATCH(0, COUNTIF(B$4:$B360, TallyBrands), 0)), INDEX(TallyBrands2, MATCH(0, COUNTIF(B$4:$B360, TallyBrands2), 0))), INDEX(TallyBrands3, MATCH(0, COUNTIF(B$4:$B360, TallyBrands3), 0))),"")</f>
        <v>Patrón</v>
      </c>
      <c r="C361" s="113"/>
      <c r="E361" s="29"/>
      <c r="I361" s="220"/>
    </row>
    <row r="362" spans="2:9" ht="15" x14ac:dyDescent="0.15">
      <c r="B362" s="226" t="str" cm="1">
        <f t="array" ref="B362">IFERROR(IFERROR(IFERROR(INDEX(TallyBrands, MATCH(0, COUNTIF(B$4:$B361, TallyBrands), 0)), INDEX(TallyBrands2, MATCH(0, COUNTIF(B$4:$B361, TallyBrands2), 0))), INDEX(TallyBrands3, MATCH(0, COUNTIF(B$4:$B361, TallyBrands3), 0))),"")</f>
        <v>Scrumpy Jack</v>
      </c>
      <c r="C362" s="113"/>
      <c r="E362" s="29"/>
      <c r="I362" s="220"/>
    </row>
    <row r="363" spans="2:9" ht="15" x14ac:dyDescent="0.15">
      <c r="B363" s="226" t="str" cm="1">
        <f t="array" ref="B363">IFERROR(IFERROR(IFERROR(INDEX(TallyBrands, MATCH(0, COUNTIF(B$4:$B362, TallyBrands), 0)), INDEX(TallyBrands2, MATCH(0, COUNTIF(B$4:$B362, TallyBrands2), 0))), INDEX(TallyBrands3, MATCH(0, COUNTIF(B$4:$B362, TallyBrands3), 0))),"")</f>
        <v>To Øl</v>
      </c>
      <c r="C363" s="113"/>
      <c r="E363" s="29"/>
      <c r="I363" s="220"/>
    </row>
    <row r="364" spans="2:9" ht="15" x14ac:dyDescent="0.15">
      <c r="B364" s="226" t="str" cm="1">
        <f t="array" ref="B364">IFERROR(IFERROR(IFERROR(INDEX(TallyBrands, MATCH(0, COUNTIF(B$4:$B363, TallyBrands), 0)), INDEX(TallyBrands2, MATCH(0, COUNTIF(B$4:$B363, TallyBrands2), 0))), INDEX(TallyBrands3, MATCH(0, COUNTIF(B$4:$B363, TallyBrands3), 0))),"")</f>
        <v>Crusha</v>
      </c>
      <c r="C364" s="113"/>
      <c r="E364" s="29"/>
      <c r="I364" s="220"/>
    </row>
    <row r="365" spans="2:9" ht="15" x14ac:dyDescent="0.15">
      <c r="B365" s="226" t="str" cm="1">
        <f t="array" ref="B365">IFERROR(IFERROR(IFERROR(INDEX(TallyBrands, MATCH(0, COUNTIF(B$4:$B364, TallyBrands), 0)), INDEX(TallyBrands2, MATCH(0, COUNTIF(B$4:$B364, TallyBrands2), 0))), INDEX(TallyBrands3, MATCH(0, COUNTIF(B$4:$B364, TallyBrands3), 0))),"")</f>
        <v>Meon Valley Cider</v>
      </c>
      <c r="C365" s="113"/>
      <c r="E365" s="29"/>
      <c r="I365" s="220"/>
    </row>
    <row r="366" spans="2:9" ht="15" x14ac:dyDescent="0.15">
      <c r="B366" s="226" t="str" cm="1">
        <f t="array" ref="B366">IFERROR(IFERROR(IFERROR(INDEX(TallyBrands, MATCH(0, COUNTIF(B$4:$B365, TallyBrands), 0)), INDEX(TallyBrands2, MATCH(0, COUNTIF(B$4:$B365, TallyBrands2), 0))), INDEX(TallyBrands3, MATCH(0, COUNTIF(B$4:$B365, TallyBrands3), 0))),"")</f>
        <v>Monster</v>
      </c>
      <c r="C366" s="113"/>
      <c r="E366" s="29"/>
      <c r="I366" s="220"/>
    </row>
    <row r="367" spans="2:9" ht="15" x14ac:dyDescent="0.15">
      <c r="B367" s="226" t="str" cm="1">
        <f t="array" ref="B367">IFERROR(IFERROR(IFERROR(INDEX(TallyBrands, MATCH(0, COUNTIF(B$4:$B366, TallyBrands), 0)), INDEX(TallyBrands2, MATCH(0, COUNTIF(B$4:$B366, TallyBrands2), 0))), INDEX(TallyBrands3, MATCH(0, COUNTIF(B$4:$B366, TallyBrands3), 0))),"")</f>
        <v>Mars</v>
      </c>
      <c r="C367" s="113"/>
      <c r="E367" s="29"/>
      <c r="I367" s="220"/>
    </row>
    <row r="368" spans="2:9" ht="15" x14ac:dyDescent="0.15">
      <c r="B368" s="226" t="str" cm="1">
        <f t="array" ref="B368">IFERROR(IFERROR(IFERROR(INDEX(TallyBrands, MATCH(0, COUNTIF(B$4:$B367, TallyBrands), 0)), INDEX(TallyBrands2, MATCH(0, COUNTIF(B$4:$B367, TallyBrands2), 0))), INDEX(TallyBrands3, MATCH(0, COUNTIF(B$4:$B367, TallyBrands3), 0))),"")</f>
        <v>Alhambra</v>
      </c>
      <c r="C368" s="113"/>
      <c r="E368" s="29"/>
      <c r="I368" s="220"/>
    </row>
    <row r="369" spans="2:9" ht="15" x14ac:dyDescent="0.15">
      <c r="B369" s="226" t="str" cm="1">
        <f t="array" ref="B369">IFERROR(IFERROR(IFERROR(INDEX(TallyBrands, MATCH(0, COUNTIF(B$4:$B368, TallyBrands), 0)), INDEX(TallyBrands2, MATCH(0, COUNTIF(B$4:$B368, TallyBrands2), 0))), INDEX(TallyBrands3, MATCH(0, COUNTIF(B$4:$B368, TallyBrands3), 0))),"")</f>
        <v>PinotPinot</v>
      </c>
      <c r="C369" s="113"/>
      <c r="E369" s="29"/>
      <c r="I369" s="220"/>
    </row>
    <row r="370" spans="2:9" ht="15" x14ac:dyDescent="0.15">
      <c r="B370" s="226" t="str" cm="1">
        <f t="array" ref="B370">IFERROR(IFERROR(IFERROR(INDEX(TallyBrands, MATCH(0, COUNTIF(B$4:$B369, TallyBrands), 0)), INDEX(TallyBrands2, MATCH(0, COUNTIF(B$4:$B369, TallyBrands2), 0))), INDEX(TallyBrands3, MATCH(0, COUNTIF(B$4:$B369, TallyBrands3), 0))),"")</f>
        <v>WRCLW</v>
      </c>
      <c r="C370" s="113"/>
      <c r="E370" s="29"/>
      <c r="I370" s="220"/>
    </row>
    <row r="371" spans="2:9" ht="15" x14ac:dyDescent="0.15">
      <c r="B371" s="226" t="str" cm="1">
        <f t="array" ref="B371">IFERROR(IFERROR(IFERROR(INDEX(TallyBrands, MATCH(0, COUNTIF(B$4:$B370, TallyBrands), 0)), INDEX(TallyBrands2, MATCH(0, COUNTIF(B$4:$B370, TallyBrands2), 0))), INDEX(TallyBrands3, MATCH(0, COUNTIF(B$4:$B370, TallyBrands3), 0))),"")</f>
        <v>Absolwent</v>
      </c>
      <c r="C371" s="113"/>
      <c r="E371" s="29"/>
      <c r="I371" s="220"/>
    </row>
    <row r="372" spans="2:9" ht="15" x14ac:dyDescent="0.15">
      <c r="B372" s="226" t="str" cm="1">
        <f t="array" ref="B372">IFERROR(IFERROR(IFERROR(INDEX(TallyBrands, MATCH(0, COUNTIF(B$4:$B371, TallyBrands), 0)), INDEX(TallyBrands2, MATCH(0, COUNTIF(B$4:$B371, TallyBrands2), 0))), INDEX(TallyBrands3, MATCH(0, COUNTIF(B$4:$B371, TallyBrands3), 0))),"")</f>
        <v>Lancashire Mead Company</v>
      </c>
      <c r="C372" s="113"/>
      <c r="E372" s="29"/>
      <c r="I372" s="220"/>
    </row>
    <row r="373" spans="2:9" ht="15" x14ac:dyDescent="0.15">
      <c r="B373" s="226" t="str" cm="1">
        <f t="array" ref="B373">IFERROR(IFERROR(IFERROR(INDEX(TallyBrands, MATCH(0, COUNTIF(B$4:$B372, TallyBrands), 0)), INDEX(TallyBrands2, MATCH(0, COUNTIF(B$4:$B372, TallyBrands2), 0))), INDEX(TallyBrands3, MATCH(0, COUNTIF(B$4:$B372, TallyBrands3), 0))),"")</f>
        <v>Rubis</v>
      </c>
      <c r="C373" s="113"/>
      <c r="E373" s="29"/>
      <c r="I373" s="220"/>
    </row>
    <row r="374" spans="2:9" ht="15" x14ac:dyDescent="0.15">
      <c r="B374" s="226" t="str" cm="1">
        <f t="array" ref="B374">IFERROR(IFERROR(IFERROR(INDEX(TallyBrands, MATCH(0, COUNTIF(B$4:$B373, TallyBrands), 0)), INDEX(TallyBrands2, MATCH(0, COUNTIF(B$4:$B373, TallyBrands2), 0))), INDEX(TallyBrands3, MATCH(0, COUNTIF(B$4:$B373, TallyBrands3), 0))),"")</f>
        <v>Chaplin &amp; Cork's</v>
      </c>
      <c r="C374" s="113"/>
      <c r="E374" s="29"/>
      <c r="I374" s="220"/>
    </row>
    <row r="375" spans="2:9" ht="15" x14ac:dyDescent="0.15">
      <c r="B375" s="226" t="str" cm="1">
        <f t="array" ref="B375">IFERROR(IFERROR(IFERROR(INDEX(TallyBrands, MATCH(0, COUNTIF(B$4:$B374, TallyBrands), 0)), INDEX(TallyBrands2, MATCH(0, COUNTIF(B$4:$B374, TallyBrands2), 0))), INDEX(TallyBrands3, MATCH(0, COUNTIF(B$4:$B374, TallyBrands3), 0))),"")</f>
        <v>Greene King</v>
      </c>
      <c r="C375" s="113"/>
      <c r="E375" s="29"/>
      <c r="I375" s="220"/>
    </row>
    <row r="376" spans="2:9" ht="15" x14ac:dyDescent="0.15">
      <c r="B376" s="226" t="str" cm="1">
        <f t="array" ref="B376">IFERROR(IFERROR(IFERROR(INDEX(TallyBrands, MATCH(0, COUNTIF(B$4:$B375, TallyBrands), 0)), INDEX(TallyBrands2, MATCH(0, COUNTIF(B$4:$B375, TallyBrands2), 0))), INDEX(TallyBrands3, MATCH(0, COUNTIF(B$4:$B375, TallyBrands3), 0))),"")</f>
        <v>Campo Viejo</v>
      </c>
      <c r="C376" s="113"/>
      <c r="E376" s="29"/>
      <c r="I376" s="220"/>
    </row>
    <row r="377" spans="2:9" ht="15" x14ac:dyDescent="0.15">
      <c r="B377" s="226" t="str" cm="1">
        <f t="array" ref="B377">IFERROR(IFERROR(IFERROR(INDEX(TallyBrands, MATCH(0, COUNTIF(B$4:$B376, TallyBrands), 0)), INDEX(TallyBrands2, MATCH(0, COUNTIF(B$4:$B376, TallyBrands2), 0))), INDEX(TallyBrands3, MATCH(0, COUNTIF(B$4:$B376, TallyBrands3), 0))),"")</f>
        <v>Fierce</v>
      </c>
      <c r="C377" s="113"/>
      <c r="E377" s="29"/>
      <c r="I377" s="220"/>
    </row>
    <row r="378" spans="2:9" ht="15" x14ac:dyDescent="0.15">
      <c r="B378" s="226" t="str" cm="1">
        <f t="array" ref="B378">IFERROR(IFERROR(IFERROR(INDEX(TallyBrands, MATCH(0, COUNTIF(B$4:$B377, TallyBrands), 0)), INDEX(TallyBrands2, MATCH(0, COUNTIF(B$4:$B377, TallyBrands2), 0))), INDEX(TallyBrands3, MATCH(0, COUNTIF(B$4:$B377, TallyBrands3), 0))),"")</f>
        <v>Atlántico Rum</v>
      </c>
      <c r="C378" s="113"/>
      <c r="E378" s="29"/>
      <c r="I378" s="220"/>
    </row>
    <row r="379" spans="2:9" ht="15" x14ac:dyDescent="0.15">
      <c r="B379" s="226" t="str" cm="1">
        <f t="array" ref="B379">IFERROR(IFERROR(IFERROR(INDEX(TallyBrands, MATCH(0, COUNTIF(B$4:$B378, TallyBrands), 0)), INDEX(TallyBrands2, MATCH(0, COUNTIF(B$4:$B378, TallyBrands2), 0))), INDEX(TallyBrands3, MATCH(0, COUNTIF(B$4:$B378, TallyBrands3), 0))),"")</f>
        <v>Cotswold Brew Co</v>
      </c>
      <c r="C379" s="113"/>
      <c r="E379" s="29"/>
      <c r="I379" s="220"/>
    </row>
    <row r="380" spans="2:9" ht="15" x14ac:dyDescent="0.15">
      <c r="B380" s="226" t="str" cm="1">
        <f t="array" ref="B380">IFERROR(IFERROR(IFERROR(INDEX(TallyBrands, MATCH(0, COUNTIF(B$4:$B379, TallyBrands), 0)), INDEX(TallyBrands2, MATCH(0, COUNTIF(B$4:$B379, TallyBrands2), 0))), INDEX(TallyBrands3, MATCH(0, COUNTIF(B$4:$B379, TallyBrands3), 0))),"")</f>
        <v>Jim Beam</v>
      </c>
      <c r="C380" s="113"/>
      <c r="E380" s="29"/>
      <c r="I380" s="220"/>
    </row>
    <row r="381" spans="2:9" ht="15" x14ac:dyDescent="0.15">
      <c r="B381" s="226" t="str" cm="1">
        <f t="array" ref="B381">IFERROR(IFERROR(IFERROR(INDEX(TallyBrands, MATCH(0, COUNTIF(B$4:$B380, TallyBrands), 0)), INDEX(TallyBrands2, MATCH(0, COUNTIF(B$4:$B380, TallyBrands2), 0))), INDEX(TallyBrands3, MATCH(0, COUNTIF(B$4:$B380, TallyBrands3), 0))),"")</f>
        <v>Sol</v>
      </c>
      <c r="C381" s="113"/>
      <c r="E381" s="29"/>
      <c r="I381" s="220"/>
    </row>
    <row r="382" spans="2:9" ht="15" x14ac:dyDescent="0.15">
      <c r="B382" s="226" t="str" cm="1">
        <f t="array" ref="B382">IFERROR(IFERROR(IFERROR(INDEX(TallyBrands, MATCH(0, COUNTIF(B$4:$B381, TallyBrands), 0)), INDEX(TallyBrands2, MATCH(0, COUNTIF(B$4:$B381, TallyBrands2), 0))), INDEX(TallyBrands3, MATCH(0, COUNTIF(B$4:$B381, TallyBrands3), 0))),"")</f>
        <v>Winemakers Choice</v>
      </c>
      <c r="C382" s="113"/>
      <c r="E382" s="29"/>
      <c r="I382" s="220"/>
    </row>
    <row r="383" spans="2:9" ht="15" x14ac:dyDescent="0.15">
      <c r="B383" s="226" t="str" cm="1">
        <f t="array" ref="B383">IFERROR(IFERROR(IFERROR(INDEX(TallyBrands, MATCH(0, COUNTIF(B$4:$B382, TallyBrands), 0)), INDEX(TallyBrands2, MATCH(0, COUNTIF(B$4:$B382, TallyBrands2), 0))), INDEX(TallyBrands3, MATCH(0, COUNTIF(B$4:$B382, TallyBrands3), 0))),"")</f>
        <v>The Infusionist</v>
      </c>
      <c r="C383" s="113"/>
      <c r="E383" s="29"/>
      <c r="I383" s="220"/>
    </row>
    <row r="384" spans="2:9" ht="15" x14ac:dyDescent="0.15">
      <c r="B384" s="226" t="str" cm="1">
        <f t="array" ref="B384">IFERROR(IFERROR(IFERROR(INDEX(TallyBrands, MATCH(0, COUNTIF(B$4:$B383, TallyBrands), 0)), INDEX(TallyBrands2, MATCH(0, COUNTIF(B$4:$B383, TallyBrands2), 0))), INDEX(TallyBrands3, MATCH(0, COUNTIF(B$4:$B383, TallyBrands3), 0))),"")</f>
        <v>Angry Orchard</v>
      </c>
      <c r="C384" s="113"/>
      <c r="E384" s="29"/>
      <c r="I384" s="220"/>
    </row>
    <row r="385" spans="2:9" ht="15" x14ac:dyDescent="0.15">
      <c r="B385" s="226" t="str" cm="1">
        <f t="array" ref="B385">IFERROR(IFERROR(IFERROR(INDEX(TallyBrands, MATCH(0, COUNTIF(B$4:$B384, TallyBrands), 0)), INDEX(TallyBrands2, MATCH(0, COUNTIF(B$4:$B384, TallyBrands2), 0))), INDEX(TallyBrands3, MATCH(0, COUNTIF(B$4:$B384, TallyBrands3), 0))),"")</f>
        <v>Stone</v>
      </c>
      <c r="C385" s="113"/>
      <c r="E385" s="29"/>
      <c r="I385" s="220"/>
    </row>
    <row r="386" spans="2:9" ht="15" x14ac:dyDescent="0.15">
      <c r="B386" s="226" t="str" cm="1">
        <f t="array" ref="B386">IFERROR(IFERROR(IFERROR(INDEX(TallyBrands, MATCH(0, COUNTIF(B$4:$B385, TallyBrands), 0)), INDEX(TallyBrands2, MATCH(0, COUNTIF(B$4:$B385, TallyBrands2), 0))), INDEX(TallyBrands3, MATCH(0, COUNTIF(B$4:$B385, TallyBrands3), 0))),"")</f>
        <v>Cachaca 51</v>
      </c>
      <c r="C386" s="113"/>
      <c r="E386" s="29"/>
      <c r="I386" s="220"/>
    </row>
    <row r="387" spans="2:9" ht="15" x14ac:dyDescent="0.15">
      <c r="B387" s="226" t="str" cm="1">
        <f t="array" ref="B387">IFERROR(IFERROR(IFERROR(INDEX(TallyBrands, MATCH(0, COUNTIF(B$4:$B386, TallyBrands), 0)), INDEX(TallyBrands2, MATCH(0, COUNTIF(B$4:$B386, TallyBrands2), 0))), INDEX(TallyBrands3, MATCH(0, COUNTIF(B$4:$B386, TallyBrands3), 0))),"")</f>
        <v>Against The Grain</v>
      </c>
      <c r="C387" s="113"/>
      <c r="E387" s="29"/>
      <c r="I387" s="220"/>
    </row>
    <row r="388" spans="2:9" ht="15" x14ac:dyDescent="0.15">
      <c r="B388" s="226" t="str" cm="1">
        <f t="array" ref="B388">IFERROR(IFERROR(IFERROR(INDEX(TallyBrands, MATCH(0, COUNTIF(B$4:$B387, TallyBrands), 0)), INDEX(TallyBrands2, MATCH(0, COUNTIF(B$4:$B387, TallyBrands2), 0))), INDEX(TallyBrands3, MATCH(0, COUNTIF(B$4:$B387, TallyBrands3), 0))),"")</f>
        <v>Porterhouse</v>
      </c>
      <c r="C388" s="113"/>
      <c r="E388" s="29"/>
      <c r="I388" s="220"/>
    </row>
    <row r="389" spans="2:9" ht="15" x14ac:dyDescent="0.15">
      <c r="B389" s="226" t="str" cm="1">
        <f t="array" ref="B389">IFERROR(IFERROR(IFERROR(INDEX(TallyBrands, MATCH(0, COUNTIF(B$4:$B388, TallyBrands), 0)), INDEX(TallyBrands2, MATCH(0, COUNTIF(B$4:$B388, TallyBrands2), 0))), INDEX(TallyBrands3, MATCH(0, COUNTIF(B$4:$B388, TallyBrands3), 0))),"")</f>
        <v>Mayfield</v>
      </c>
      <c r="C389" s="113"/>
      <c r="E389" s="29"/>
      <c r="I389" s="220"/>
    </row>
    <row r="390" spans="2:9" ht="15" x14ac:dyDescent="0.15">
      <c r="B390" s="226" t="str" cm="1">
        <f t="array" ref="B390">IFERROR(IFERROR(IFERROR(INDEX(TallyBrands, MATCH(0, COUNTIF(B$4:$B389, TallyBrands), 0)), INDEX(TallyBrands2, MATCH(0, COUNTIF(B$4:$B389, TallyBrands2), 0))), INDEX(TallyBrands3, MATCH(0, COUNTIF(B$4:$B389, TallyBrands3), 0))),"")</f>
        <v>Badger</v>
      </c>
      <c r="C390" s="113"/>
      <c r="E390" s="29"/>
      <c r="I390" s="220"/>
    </row>
    <row r="391" spans="2:9" ht="15" x14ac:dyDescent="0.15">
      <c r="B391" s="226" t="str" cm="1">
        <f t="array" ref="B391">IFERROR(IFERROR(IFERROR(INDEX(TallyBrands, MATCH(0, COUNTIF(B$4:$B390, TallyBrands), 0)), INDEX(TallyBrands2, MATCH(0, COUNTIF(B$4:$B390, TallyBrands2), 0))), INDEX(TallyBrands3, MATCH(0, COUNTIF(B$4:$B390, TallyBrands3), 0))),"")</f>
        <v>Burning Sky</v>
      </c>
      <c r="C391" s="113"/>
      <c r="E391" s="29"/>
      <c r="I391" s="220"/>
    </row>
    <row r="392" spans="2:9" ht="15" x14ac:dyDescent="0.15">
      <c r="B392" s="226" t="str" cm="1">
        <f t="array" ref="B392">IFERROR(IFERROR(IFERROR(INDEX(TallyBrands, MATCH(0, COUNTIF(B$4:$B391, TallyBrands), 0)), INDEX(TallyBrands2, MATCH(0, COUNTIF(B$4:$B391, TallyBrands2), 0))), INDEX(TallyBrands3, MATCH(0, COUNTIF(B$4:$B391, TallyBrands3), 0))),"")</f>
        <v>Ceder's</v>
      </c>
      <c r="C392" s="113"/>
      <c r="E392" s="29"/>
      <c r="I392" s="220"/>
    </row>
    <row r="393" spans="2:9" ht="15" x14ac:dyDescent="0.15">
      <c r="B393" s="226" t="str" cm="1">
        <f t="array" ref="B393">IFERROR(IFERROR(IFERROR(INDEX(TallyBrands, MATCH(0, COUNTIF(B$4:$B392, TallyBrands), 0)), INDEX(TallyBrands2, MATCH(0, COUNTIF(B$4:$B392, TallyBrands2), 0))), INDEX(TallyBrands3, MATCH(0, COUNTIF(B$4:$B392, TallyBrands3), 0))),"")</f>
        <v>Lucotto</v>
      </c>
      <c r="C393" s="113"/>
      <c r="E393" s="29"/>
      <c r="I393" s="220"/>
    </row>
    <row r="394" spans="2:9" ht="15" x14ac:dyDescent="0.15">
      <c r="B394" s="226" t="str" cm="1">
        <f t="array" ref="B394">IFERROR(IFERROR(IFERROR(INDEX(TallyBrands, MATCH(0, COUNTIF(B$4:$B393, TallyBrands), 0)), INDEX(TallyBrands2, MATCH(0, COUNTIF(B$4:$B393, TallyBrands2), 0))), INDEX(TallyBrands3, MATCH(0, COUNTIF(B$4:$B393, TallyBrands3), 0))),"")</f>
        <v>The Brewing Projekt</v>
      </c>
      <c r="C394" s="113"/>
      <c r="E394" s="29"/>
      <c r="I394" s="220"/>
    </row>
    <row r="395" spans="2:9" ht="15" x14ac:dyDescent="0.15">
      <c r="B395" s="226" t="str" cm="1">
        <f t="array" ref="B395">IFERROR(IFERROR(IFERROR(INDEX(TallyBrands, MATCH(0, COUNTIF(B$4:$B394, TallyBrands), 0)), INDEX(TallyBrands2, MATCH(0, COUNTIF(B$4:$B394, TallyBrands2), 0))), INDEX(TallyBrands3, MATCH(0, COUNTIF(B$4:$B394, TallyBrands3), 0))),"")</f>
        <v>The Five Point Brewing Co.</v>
      </c>
      <c r="C395" s="113"/>
      <c r="E395" s="29"/>
      <c r="I395" s="220"/>
    </row>
    <row r="396" spans="2:9" ht="15" x14ac:dyDescent="0.15">
      <c r="B396" s="226" t="str" cm="1">
        <f t="array" ref="B396">IFERROR(IFERROR(IFERROR(INDEX(TallyBrands, MATCH(0, COUNTIF(B$4:$B395, TallyBrands), 0)), INDEX(TallyBrands2, MATCH(0, COUNTIF(B$4:$B395, TallyBrands2), 0))), INDEX(TallyBrands3, MATCH(0, COUNTIF(B$4:$B395, TallyBrands3), 0))),"")</f>
        <v>Merrydown</v>
      </c>
      <c r="C396" s="113"/>
      <c r="E396" s="29"/>
      <c r="I396" s="220"/>
    </row>
    <row r="397" spans="2:9" ht="15" x14ac:dyDescent="0.15">
      <c r="B397" s="113" t="str" cm="1">
        <f t="array" ref="B397">IFERROR(IFERROR(IFERROR(INDEX(TallyBrands, MATCH(0, COUNTIF(B$4:$B396, TallyBrands), 0)), INDEX(TallyBrands2, MATCH(0, COUNTIF(B$4:$B396, TallyBrands2), 0))), INDEX(TallyBrands3, MATCH(0, COUNTIF(B$4:$B396, TallyBrands3), 0))),"")</f>
        <v>Barnstormer</v>
      </c>
      <c r="C397" s="113"/>
      <c r="E397" s="29"/>
      <c r="I397" s="220"/>
    </row>
    <row r="398" spans="2:9" ht="15" x14ac:dyDescent="0.15">
      <c r="B398" s="113" t="str" cm="1">
        <f t="array" ref="B398">IFERROR(IFERROR(IFERROR(INDEX(TallyBrands, MATCH(0, COUNTIF(B$4:$B397, TallyBrands), 0)), INDEX(TallyBrands2, MATCH(0, COUNTIF(B$4:$B397, TallyBrands2), 0))), INDEX(TallyBrands3, MATCH(0, COUNTIF(B$4:$B397, TallyBrands3), 0))),"")</f>
        <v>Mason’s</v>
      </c>
      <c r="C398" s="113"/>
      <c r="E398" s="29"/>
      <c r="I398" s="220"/>
    </row>
    <row r="399" spans="2:9" ht="15" x14ac:dyDescent="0.15">
      <c r="B399" s="113" t="str" cm="1">
        <f t="array" ref="B399">IFERROR(IFERROR(IFERROR(INDEX(TallyBrands, MATCH(0, COUNTIF(B$4:$B398, TallyBrands), 0)), INDEX(TallyBrands2, MATCH(0, COUNTIF(B$4:$B398, TallyBrands2), 0))), INDEX(TallyBrands3, MATCH(0, COUNTIF(B$4:$B398, TallyBrands3), 0))),"")</f>
        <v>Hardys</v>
      </c>
      <c r="C399" s="113"/>
      <c r="E399" s="29"/>
      <c r="I399" s="220"/>
    </row>
    <row r="400" spans="2:9" ht="15" x14ac:dyDescent="0.15">
      <c r="B400" s="113" t="str" cm="1">
        <f t="array" ref="B400">IFERROR(IFERROR(IFERROR(INDEX(TallyBrands, MATCH(0, COUNTIF(B$4:$B399, TallyBrands), 0)), INDEX(TallyBrands2, MATCH(0, COUNTIF(B$4:$B399, TallyBrands2), 0))), INDEX(TallyBrands3, MATCH(0, COUNTIF(B$4:$B399, TallyBrands3), 0))),"")</f>
        <v>Coca Cola</v>
      </c>
      <c r="C400" s="113"/>
      <c r="E400" s="29"/>
      <c r="I400" s="220"/>
    </row>
    <row r="401" spans="2:9" ht="15" x14ac:dyDescent="0.15">
      <c r="B401" s="113" t="str" cm="1">
        <f t="array" ref="B401">IFERROR(IFERROR(IFERROR(INDEX(TallyBrands, MATCH(0, COUNTIF(B$4:$B400, TallyBrands), 0)), INDEX(TallyBrands2, MATCH(0, COUNTIF(B$4:$B400, TallyBrands2), 0))), INDEX(TallyBrands3, MATCH(0, COUNTIF(B$4:$B400, TallyBrands3), 0))),"")</f>
        <v>House Of Commons</v>
      </c>
      <c r="C401" s="113"/>
      <c r="E401" s="29"/>
      <c r="I401" s="220"/>
    </row>
    <row r="402" spans="2:9" ht="15" x14ac:dyDescent="0.15">
      <c r="B402" s="113" t="str" cm="1">
        <f t="array" ref="B402">IFERROR(IFERROR(IFERROR(INDEX(TallyBrands, MATCH(0, COUNTIF(B$4:$B401, TallyBrands), 0)), INDEX(TallyBrands2, MATCH(0, COUNTIF(B$4:$B401, TallyBrands2), 0))), INDEX(TallyBrands3, MATCH(0, COUNTIF(B$4:$B401, TallyBrands3), 0))),"")</f>
        <v>Runestone</v>
      </c>
      <c r="C402" s="113"/>
      <c r="E402" s="29"/>
      <c r="I402" s="220"/>
    </row>
    <row r="403" spans="2:9" ht="15" x14ac:dyDescent="0.15">
      <c r="B403" s="113" t="str" cm="1">
        <f t="array" ref="B403">IFERROR(IFERROR(IFERROR(INDEX(TallyBrands, MATCH(0, COUNTIF(B$4:$B402, TallyBrands), 0)), INDEX(TallyBrands2, MATCH(0, COUNTIF(B$4:$B402, TallyBrands2), 0))), INDEX(TallyBrands3, MATCH(0, COUNTIF(B$4:$B402, TallyBrands3), 0))),"")</f>
        <v>Hatherwood Craft Beer Company</v>
      </c>
      <c r="C403" s="113"/>
      <c r="E403" s="29"/>
      <c r="I403" s="220"/>
    </row>
    <row r="404" spans="2:9" ht="15" x14ac:dyDescent="0.15">
      <c r="B404" s="113" t="str" cm="1">
        <f t="array" ref="B404">IFERROR(IFERROR(IFERROR(INDEX(TallyBrands, MATCH(0, COUNTIF(B$4:$B403, TallyBrands), 0)), INDEX(TallyBrands2, MATCH(0, COUNTIF(B$4:$B403, TallyBrands2), 0))), INDEX(TallyBrands3, MATCH(0, COUNTIF(B$4:$B403, TallyBrands3), 0))),"")</f>
        <v>Turning Point Brew Co.</v>
      </c>
      <c r="C404" s="113"/>
      <c r="E404" s="29"/>
      <c r="I404" s="220"/>
    </row>
    <row r="405" spans="2:9" ht="15" x14ac:dyDescent="0.15">
      <c r="B405" s="113" t="str" cm="1">
        <f t="array" ref="B405">IFERROR(IFERROR(IFERROR(INDEX(TallyBrands, MATCH(0, COUNTIF(B$4:$B404, TallyBrands), 0)), INDEX(TallyBrands2, MATCH(0, COUNTIF(B$4:$B404, TallyBrands2), 0))), INDEX(TallyBrands3, MATCH(0, COUNTIF(B$4:$B404, TallyBrands3), 0))),"")</f>
        <v>Mendis</v>
      </c>
      <c r="C405" s="113"/>
      <c r="E405" s="29"/>
      <c r="I405" s="220"/>
    </row>
    <row r="406" spans="2:9" ht="15" x14ac:dyDescent="0.15">
      <c r="B406" s="113" t="str" cm="1">
        <f t="array" ref="B406">IFERROR(IFERROR(IFERROR(INDEX(TallyBrands, MATCH(0, COUNTIF(B$4:$B405, TallyBrands), 0)), INDEX(TallyBrands2, MATCH(0, COUNTIF(B$4:$B405, TallyBrands2), 0))), INDEX(TallyBrands3, MATCH(0, COUNTIF(B$4:$B405, TallyBrands3), 0))),"")</f>
        <v>Sinfonia</v>
      </c>
      <c r="C406" s="113"/>
      <c r="I406" s="220"/>
    </row>
    <row r="407" spans="2:9" ht="15" x14ac:dyDescent="0.15">
      <c r="B407" s="113" t="str" cm="1">
        <f t="array" ref="B407">IFERROR(IFERROR(IFERROR(INDEX(TallyBrands, MATCH(0, COUNTIF(B$4:$B406, TallyBrands), 0)), INDEX(TallyBrands2, MATCH(0, COUNTIF(B$4:$B406, TallyBrands2), 0))), INDEX(TallyBrands3, MATCH(0, COUNTIF(B$4:$B406, TallyBrands3), 0))),"")</f>
        <v>Echo Falls</v>
      </c>
      <c r="C407" s="113"/>
      <c r="I407" s="220"/>
    </row>
    <row r="408" spans="2:9" ht="15" x14ac:dyDescent="0.15">
      <c r="B408" s="113" t="str" cm="1">
        <f t="array" ref="B408">IFERROR(IFERROR(IFERROR(INDEX(TallyBrands, MATCH(0, COUNTIF(B$4:$B407, TallyBrands), 0)), INDEX(TallyBrands2, MATCH(0, COUNTIF(B$4:$B407, TallyBrands2), 0))), INDEX(TallyBrands3, MATCH(0, COUNTIF(B$4:$B407, TallyBrands3), 0))),"")</f>
        <v>Ableforth’s</v>
      </c>
      <c r="C408" s="113"/>
      <c r="I408" s="220"/>
    </row>
    <row r="409" spans="2:9" ht="15" x14ac:dyDescent="0.15">
      <c r="B409" s="113" t="str" cm="1">
        <f t="array" ref="B409">IFERROR(IFERROR(IFERROR(INDEX(TallyBrands, MATCH(0, COUNTIF(B$4:$B408, TallyBrands), 0)), INDEX(TallyBrands2, MATCH(0, COUNTIF(B$4:$B408, TallyBrands2), 0))), INDEX(TallyBrands3, MATCH(0, COUNTIF(B$4:$B408, TallyBrands3), 0))),"")</f>
        <v>Ascot</v>
      </c>
      <c r="C409" s="113"/>
      <c r="I409" s="220"/>
    </row>
    <row r="410" spans="2:9" ht="15" x14ac:dyDescent="0.15">
      <c r="B410" s="113" t="str" cm="1">
        <f t="array" ref="B410">IFERROR(IFERROR(IFERROR(INDEX(TallyBrands, MATCH(0, COUNTIF(B$4:$B409, TallyBrands), 0)), INDEX(TallyBrands2, MATCH(0, COUNTIF(B$4:$B409, TallyBrands2), 0))), INDEX(TallyBrands3, MATCH(0, COUNTIF(B$4:$B409, TallyBrands3), 0))),"")</f>
        <v>Botham Wines</v>
      </c>
      <c r="C410" s="113"/>
      <c r="I410" s="220"/>
    </row>
    <row r="411" spans="2:9" ht="15" x14ac:dyDescent="0.15">
      <c r="B411" s="113" t="str" cm="1">
        <f t="array" ref="B411">IFERROR(IFERROR(IFERROR(INDEX(TallyBrands, MATCH(0, COUNTIF(B$4:$B410, TallyBrands), 0)), INDEX(TallyBrands2, MATCH(0, COUNTIF(B$4:$B410, TallyBrands2), 0))), INDEX(TallyBrands3, MATCH(0, COUNTIF(B$4:$B410, TallyBrands3), 0))),"")</f>
        <v>Lucas Bols</v>
      </c>
      <c r="C411" s="113"/>
      <c r="I411" s="220"/>
    </row>
    <row r="412" spans="2:9" ht="15" x14ac:dyDescent="0.15">
      <c r="B412" s="113" t="str" cm="1">
        <f t="array" ref="B412">IFERROR(IFERROR(IFERROR(INDEX(TallyBrands, MATCH(0, COUNTIF(B$4:$B411, TallyBrands), 0)), INDEX(TallyBrands2, MATCH(0, COUNTIF(B$4:$B411, TallyBrands2), 0))), INDEX(TallyBrands3, MATCH(0, COUNTIF(B$4:$B411, TallyBrands3), 0))),"")</f>
        <v>De Kuyper</v>
      </c>
      <c r="C412" s="113"/>
      <c r="I412" s="220"/>
    </row>
    <row r="413" spans="2:9" ht="15" x14ac:dyDescent="0.15">
      <c r="B413" s="113" t="str" cm="1">
        <f t="array" ref="B413">IFERROR(IFERROR(IFERROR(INDEX(TallyBrands, MATCH(0, COUNTIF(B$4:$B412, TallyBrands), 0)), INDEX(TallyBrands2, MATCH(0, COUNTIF(B$4:$B412, TallyBrands2), 0))), INDEX(TallyBrands3, MATCH(0, COUNTIF(B$4:$B412, TallyBrands3), 0))),"")</f>
        <v>älska</v>
      </c>
      <c r="C413" s="113"/>
      <c r="I413" s="220"/>
    </row>
    <row r="414" spans="2:9" ht="15" x14ac:dyDescent="0.15">
      <c r="B414" s="113" t="str" cm="1">
        <f t="array" ref="B414">IFERROR(IFERROR(IFERROR(INDEX(TallyBrands, MATCH(0, COUNTIF(B$4:$B413, TallyBrands), 0)), INDEX(TallyBrands2, MATCH(0, COUNTIF(B$4:$B413, TallyBrands2), 0))), INDEX(TallyBrands3, MATCH(0, COUNTIF(B$4:$B413, TallyBrands3), 0))),"")</f>
        <v>Kaiken</v>
      </c>
      <c r="C414" s="113"/>
      <c r="I414" s="220"/>
    </row>
    <row r="415" spans="2:9" ht="15" x14ac:dyDescent="0.15">
      <c r="B415" s="113" t="str" cm="1">
        <f t="array" ref="B415">IFERROR(IFERROR(IFERROR(INDEX(TallyBrands, MATCH(0, COUNTIF(B$4:$B414, TallyBrands), 0)), INDEX(TallyBrands2, MATCH(0, COUNTIF(B$4:$B414, TallyBrands2), 0))), INDEX(TallyBrands3, MATCH(0, COUNTIF(B$4:$B414, TallyBrands3), 0))),"")</f>
        <v>Niche</v>
      </c>
      <c r="C415" s="113"/>
      <c r="I415" s="220"/>
    </row>
    <row r="416" spans="2:9" ht="15" x14ac:dyDescent="0.15">
      <c r="B416" s="113" t="str" cm="1">
        <f t="array" ref="B416">IFERROR(IFERROR(IFERROR(INDEX(TallyBrands, MATCH(0, COUNTIF(B$4:$B415, TallyBrands), 0)), INDEX(TallyBrands2, MATCH(0, COUNTIF(B$4:$B415, TallyBrands2), 0))), INDEX(TallyBrands3, MATCH(0, COUNTIF(B$4:$B415, TallyBrands3), 0))),"")</f>
        <v>Bab's Brews</v>
      </c>
      <c r="C416" s="113"/>
      <c r="I416" s="220"/>
    </row>
    <row r="417" spans="2:9" ht="15" x14ac:dyDescent="0.15">
      <c r="B417" s="113" t="str" cm="1">
        <f t="array" ref="B417">IFERROR(IFERROR(IFERROR(INDEX(TallyBrands, MATCH(0, COUNTIF(B$4:$B416, TallyBrands), 0)), INDEX(TallyBrands2, MATCH(0, COUNTIF(B$4:$B416, TallyBrands2), 0))), INDEX(TallyBrands3, MATCH(0, COUNTIF(B$4:$B416, TallyBrands3), 0))),"")</f>
        <v>Trapiche</v>
      </c>
      <c r="C417" s="113"/>
      <c r="I417" s="220"/>
    </row>
    <row r="418" spans="2:9" ht="15" x14ac:dyDescent="0.15">
      <c r="B418" s="113" t="str" cm="1">
        <f t="array" ref="B418">IFERROR(IFERROR(IFERROR(INDEX(TallyBrands, MATCH(0, COUNTIF(B$4:$B417, TallyBrands), 0)), INDEX(TallyBrands2, MATCH(0, COUNTIF(B$4:$B417, TallyBrands2), 0))), INDEX(TallyBrands3, MATCH(0, COUNTIF(B$4:$B417, TallyBrands3), 0))),"")</f>
        <v>JP. Chenet</v>
      </c>
      <c r="C418" s="113"/>
      <c r="I418" s="220"/>
    </row>
    <row r="419" spans="2:9" ht="15" x14ac:dyDescent="0.15">
      <c r="B419" s="113" t="str" cm="1">
        <f t="array" ref="B419">IFERROR(IFERROR(IFERROR(INDEX(TallyBrands, MATCH(0, COUNTIF(B$4:$B418, TallyBrands), 0)), INDEX(TallyBrands2, MATCH(0, COUNTIF(B$4:$B418, TallyBrands2), 0))), INDEX(TallyBrands3, MATCH(0, COUNTIF(B$4:$B418, TallyBrands3), 0))),"")</f>
        <v>Nordic Wolf</v>
      </c>
      <c r="C419" s="113"/>
      <c r="I419" s="220"/>
    </row>
    <row r="420" spans="2:9" ht="15" x14ac:dyDescent="0.15">
      <c r="B420" s="113" t="str" cm="1">
        <f t="array" ref="B420">IFERROR(IFERROR(IFERROR(INDEX(TallyBrands, MATCH(0, COUNTIF(B$4:$B419, TallyBrands), 0)), INDEX(TallyBrands2, MATCH(0, COUNTIF(B$4:$B419, TallyBrands2), 0))), INDEX(TallyBrands3, MATCH(0, COUNTIF(B$4:$B419, TallyBrands3), 0))),"")</f>
        <v>Toro Loco</v>
      </c>
      <c r="C420" s="113"/>
      <c r="I420" s="220"/>
    </row>
    <row r="421" spans="2:9" ht="15" x14ac:dyDescent="0.15">
      <c r="B421" s="113" t="str" cm="1">
        <f t="array" ref="B421">IFERROR(IFERROR(IFERROR(INDEX(TallyBrands, MATCH(0, COUNTIF(B$4:$B420, TallyBrands), 0)), INDEX(TallyBrands2, MATCH(0, COUNTIF(B$4:$B420, TallyBrands2), 0))), INDEX(TallyBrands3, MATCH(0, COUNTIF(B$4:$B420, TallyBrands3), 0))),"")</f>
        <v>Stiegl</v>
      </c>
      <c r="C421" s="113"/>
      <c r="I421" s="220"/>
    </row>
    <row r="422" spans="2:9" ht="15" x14ac:dyDescent="0.15">
      <c r="B422" s="113" t="str" cm="1">
        <f t="array" ref="B422">IFERROR(IFERROR(IFERROR(INDEX(TallyBrands, MATCH(0, COUNTIF(B$4:$B421, TallyBrands), 0)), INDEX(TallyBrands2, MATCH(0, COUNTIF(B$4:$B421, TallyBrands2), 0))), INDEX(TallyBrands3, MATCH(0, COUNTIF(B$4:$B421, TallyBrands3), 0))),"")</f>
        <v>Swannay Brewery</v>
      </c>
      <c r="C422" s="113"/>
      <c r="I422" s="220"/>
    </row>
    <row r="423" spans="2:9" ht="15" x14ac:dyDescent="0.15">
      <c r="B423" s="113" t="str" cm="1">
        <f t="array" ref="B423">IFERROR(IFERROR(IFERROR(INDEX(TallyBrands, MATCH(0, COUNTIF(B$4:$B422, TallyBrands), 0)), INDEX(TallyBrands2, MATCH(0, COUNTIF(B$4:$B422, TallyBrands2), 0))), INDEX(TallyBrands3, MATCH(0, COUNTIF(B$4:$B422, TallyBrands3), 0))),"")</f>
        <v>Oedipus</v>
      </c>
      <c r="C423" s="113"/>
      <c r="I423" s="220"/>
    </row>
    <row r="424" spans="2:9" ht="15" x14ac:dyDescent="0.15">
      <c r="B424" s="113" t="str" cm="1">
        <f t="array" ref="B424">IFERROR(IFERROR(IFERROR(INDEX(TallyBrands, MATCH(0, COUNTIF(B$4:$B423, TallyBrands), 0)), INDEX(TallyBrands2, MATCH(0, COUNTIF(B$4:$B423, TallyBrands2), 0))), INDEX(TallyBrands3, MATCH(0, COUNTIF(B$4:$B423, TallyBrands3), 0))),"")</f>
        <v>Brecon</v>
      </c>
      <c r="C424" s="113"/>
      <c r="I424" s="220"/>
    </row>
    <row r="425" spans="2:9" ht="15" x14ac:dyDescent="0.15">
      <c r="B425" s="113" t="str" cm="1">
        <f t="array" ref="B425">IFERROR(IFERROR(IFERROR(INDEX(TallyBrands, MATCH(0, COUNTIF(B$4:$B424, TallyBrands), 0)), INDEX(TallyBrands2, MATCH(0, COUNTIF(B$4:$B424, TallyBrands2), 0))), INDEX(TallyBrands3, MATCH(0, COUNTIF(B$4:$B424, TallyBrands3), 0))),"")</f>
        <v>Two Drifters</v>
      </c>
      <c r="C425" s="113"/>
      <c r="I425" s="220"/>
    </row>
    <row r="426" spans="2:9" ht="15" x14ac:dyDescent="0.15">
      <c r="B426" s="113" t="str" cm="1">
        <f t="array" ref="B426">IFERROR(IFERROR(IFERROR(INDEX(TallyBrands, MATCH(0, COUNTIF(B$4:$B425, TallyBrands), 0)), INDEX(TallyBrands2, MATCH(0, COUNTIF(B$4:$B425, TallyBrands2), 0))), INDEX(TallyBrands3, MATCH(0, COUNTIF(B$4:$B425, TallyBrands3), 0))),"")</f>
        <v>Paganini</v>
      </c>
      <c r="C426" s="113"/>
      <c r="I426" s="220"/>
    </row>
    <row r="427" spans="2:9" ht="15" x14ac:dyDescent="0.15">
      <c r="B427" s="113" t="str" cm="1">
        <f t="array" ref="B427">IFERROR(IFERROR(IFERROR(INDEX(TallyBrands, MATCH(0, COUNTIF(B$4:$B426, TallyBrands), 0)), INDEX(TallyBrands2, MATCH(0, COUNTIF(B$4:$B426, TallyBrands2), 0))), INDEX(TallyBrands3, MATCH(0, COUNTIF(B$4:$B426, TallyBrands3), 0))),"")</f>
        <v>De Moersleutel</v>
      </c>
      <c r="C427" s="113"/>
      <c r="I427" s="220"/>
    </row>
    <row r="428" spans="2:9" ht="15" x14ac:dyDescent="0.15">
      <c r="B428" s="113" t="str" cm="1">
        <f t="array" ref="B428">IFERROR(IFERROR(IFERROR(INDEX(TallyBrands, MATCH(0, COUNTIF(B$4:$B427, TallyBrands), 0)), INDEX(TallyBrands2, MATCH(0, COUNTIF(B$4:$B427, TallyBrands2), 0))), INDEX(TallyBrands3, MATCH(0, COUNTIF(B$4:$B427, TallyBrands3), 0))),"")</f>
        <v>Lost+Found</v>
      </c>
      <c r="C428" s="113"/>
      <c r="I428" s="220"/>
    </row>
    <row r="429" spans="2:9" ht="15" x14ac:dyDescent="0.15">
      <c r="B429" s="113" t="str" cm="1">
        <f t="array" ref="B429">IFERROR(IFERROR(IFERROR(INDEX(TallyBrands, MATCH(0, COUNTIF(B$4:$B428, TallyBrands), 0)), INDEX(TallyBrands2, MATCH(0, COUNTIF(B$4:$B428, TallyBrands2), 0))), INDEX(TallyBrands3, MATCH(0, COUNTIF(B$4:$B428, TallyBrands3), 0))),"")</f>
        <v>Brouwerij Kees</v>
      </c>
      <c r="C429" s="113"/>
      <c r="I429" s="220"/>
    </row>
    <row r="430" spans="2:9" ht="15" x14ac:dyDescent="0.15">
      <c r="B430" s="113" t="str" cm="1">
        <f t="array" ref="B430">IFERROR(IFERROR(IFERROR(INDEX(TallyBrands, MATCH(0, COUNTIF(B$4:$B429, TallyBrands), 0)), INDEX(TallyBrands2, MATCH(0, COUNTIF(B$4:$B429, TallyBrands2), 0))), INDEX(TallyBrands3, MATCH(0, COUNTIF(B$4:$B429, TallyBrands3), 0))),"")</f>
        <v>Buckhorn Brewery</v>
      </c>
      <c r="C430" s="113"/>
      <c r="I430" s="220"/>
    </row>
    <row r="431" spans="2:9" ht="15" x14ac:dyDescent="0.15">
      <c r="B431" s="113" t="str" cm="1">
        <f t="array" ref="B431">IFERROR(IFERROR(IFERROR(INDEX(TallyBrands, MATCH(0, COUNTIF(B$4:$B430, TallyBrands), 0)), INDEX(TallyBrands2, MATCH(0, COUNTIF(B$4:$B430, TallyBrands2), 0))), INDEX(TallyBrands3, MATCH(0, COUNTIF(B$4:$B430, TallyBrands3), 0))),"")</f>
        <v>Annings Fruit Cider</v>
      </c>
      <c r="C431" s="113"/>
      <c r="I431" s="220"/>
    </row>
    <row r="432" spans="2:9" ht="15" x14ac:dyDescent="0.15">
      <c r="B432" s="113" t="str" cm="1">
        <f t="array" ref="B432">IFERROR(IFERROR(IFERROR(INDEX(TallyBrands, MATCH(0, COUNTIF(B$4:$B431, TallyBrands), 0)), INDEX(TallyBrands2, MATCH(0, COUNTIF(B$4:$B431, TallyBrands2), 0))), INDEX(TallyBrands3, MATCH(0, COUNTIF(B$4:$B431, TallyBrands3), 0))),"")</f>
        <v>Comahue</v>
      </c>
      <c r="C432" s="113"/>
      <c r="I432" s="220"/>
    </row>
    <row r="433" spans="2:9" ht="15" x14ac:dyDescent="0.15">
      <c r="B433" s="113" t="str" cm="1">
        <f t="array" ref="B433">IFERROR(IFERROR(IFERROR(INDEX(TallyBrands, MATCH(0, COUNTIF(B$4:$B432, TallyBrands), 0)), INDEX(TallyBrands2, MATCH(0, COUNTIF(B$4:$B432, TallyBrands2), 0))), INDEX(TallyBrands3, MATCH(0, COUNTIF(B$4:$B432, TallyBrands3), 0))),"")</f>
        <v>Yellow Tail</v>
      </c>
      <c r="C433" s="113"/>
      <c r="I433" s="220"/>
    </row>
    <row r="434" spans="2:9" ht="15" x14ac:dyDescent="0.15">
      <c r="B434" s="113" t="str" cm="1">
        <f t="array" ref="B434">IFERROR(IFERROR(IFERROR(INDEX(TallyBrands, MATCH(0, COUNTIF(B$4:$B433, TallyBrands), 0)), INDEX(TallyBrands2, MATCH(0, COUNTIF(B$4:$B433, TallyBrands2), 0))), INDEX(TallyBrands3, MATCH(0, COUNTIF(B$4:$B433, TallyBrands3), 0))),"")</f>
        <v>Edmond Briottet</v>
      </c>
      <c r="C434" s="113"/>
      <c r="I434" s="220"/>
    </row>
    <row r="435" spans="2:9" ht="15" x14ac:dyDescent="0.15">
      <c r="B435" s="113" t="str" cm="1">
        <f t="array" ref="B435">IFERROR(IFERROR(IFERROR(INDEX(TallyBrands, MATCH(0, COUNTIF(B$4:$B434, TallyBrands), 0)), INDEX(TallyBrands2, MATCH(0, COUNTIF(B$4:$B434, TallyBrands2), 0))), INDEX(TallyBrands3, MATCH(0, COUNTIF(B$4:$B434, TallyBrands3), 0))),"")</f>
        <v>G&amp;G</v>
      </c>
      <c r="C435" s="113"/>
      <c r="I435" s="220"/>
    </row>
    <row r="436" spans="2:9" ht="15" x14ac:dyDescent="0.15">
      <c r="B436" s="113" t="str" cm="1">
        <f t="array" ref="B436">IFERROR(IFERROR(IFERROR(INDEX(TallyBrands, MATCH(0, COUNTIF(B$4:$B435, TallyBrands), 0)), INDEX(TallyBrands2, MATCH(0, COUNTIF(B$4:$B435, TallyBrands2), 0))), INDEX(TallyBrands3, MATCH(0, COUNTIF(B$4:$B435, TallyBrands3), 0))),"")</f>
        <v>Boswandeling</v>
      </c>
      <c r="C436" s="113"/>
      <c r="I436" s="220"/>
    </row>
    <row r="437" spans="2:9" ht="15" x14ac:dyDescent="0.15">
      <c r="B437" s="113" t="str" cm="1">
        <f t="array" ref="B437">IFERROR(IFERROR(IFERROR(INDEX(TallyBrands, MATCH(0, COUNTIF(B$4:$B436, TallyBrands), 0)), INDEX(TallyBrands2, MATCH(0, COUNTIF(B$4:$B436, TallyBrands2), 0))), INDEX(TallyBrands3, MATCH(0, COUNTIF(B$4:$B436, TallyBrands3), 0))),"")</f>
        <v>Cornish Scrumpy</v>
      </c>
      <c r="C437" s="113"/>
      <c r="I437" s="220"/>
    </row>
    <row r="438" spans="2:9" ht="15" x14ac:dyDescent="0.15">
      <c r="B438" s="113" t="str" cm="1">
        <f t="array" ref="B438">IFERROR(IFERROR(IFERROR(INDEX(TallyBrands, MATCH(0, COUNTIF(B$4:$B437, TallyBrands), 0)), INDEX(TallyBrands2, MATCH(0, COUNTIF(B$4:$B437, TallyBrands2), 0))), INDEX(TallyBrands3, MATCH(0, COUNTIF(B$4:$B437, TallyBrands3), 0))),"")</f>
        <v>Courtney's Cider</v>
      </c>
      <c r="C438" s="113"/>
      <c r="I438" s="220"/>
    </row>
    <row r="439" spans="2:9" ht="15" x14ac:dyDescent="0.15">
      <c r="B439" s="113" t="str" cm="1">
        <f t="array" ref="B439">IFERROR(IFERROR(IFERROR(INDEX(TallyBrands, MATCH(0, COUNTIF(B$4:$B438, TallyBrands), 0)), INDEX(TallyBrands2, MATCH(0, COUNTIF(B$4:$B438, TallyBrands2), 0))), INDEX(TallyBrands3, MATCH(0, COUNTIF(B$4:$B438, TallyBrands3), 0))),"")</f>
        <v>Geist's</v>
      </c>
      <c r="C439" s="113"/>
      <c r="I439" s="220"/>
    </row>
    <row r="440" spans="2:9" ht="15" x14ac:dyDescent="0.15">
      <c r="B440" s="113" t="str" cm="1">
        <f t="array" ref="B440">IFERROR(IFERROR(IFERROR(INDEX(TallyBrands, MATCH(0, COUNTIF(B$4:$B439, TallyBrands), 0)), INDEX(TallyBrands2, MATCH(0, COUNTIF(B$4:$B439, TallyBrands2), 0))), INDEX(TallyBrands3, MATCH(0, COUNTIF(B$4:$B439, TallyBrands3), 0))),"")</f>
        <v>Dorest Nectar</v>
      </c>
      <c r="C440" s="113"/>
      <c r="I440" s="220"/>
    </row>
    <row r="441" spans="2:9" ht="15" x14ac:dyDescent="0.15">
      <c r="B441" s="113" t="str" cm="1">
        <f t="array" ref="B441">IFERROR(IFERROR(IFERROR(INDEX(TallyBrands, MATCH(0, COUNTIF(B$4:$B440, TallyBrands), 0)), INDEX(TallyBrands2, MATCH(0, COUNTIF(B$4:$B440, TallyBrands2), 0))), INDEX(TallyBrands3, MATCH(0, COUNTIF(B$4:$B440, TallyBrands3), 0))),"")</f>
        <v>Wye Valley Brewery</v>
      </c>
      <c r="C441" s="113"/>
      <c r="I441" s="220"/>
    </row>
    <row r="442" spans="2:9" ht="15" x14ac:dyDescent="0.15">
      <c r="B442" s="113" t="str" cm="1">
        <f t="array" ref="B442">IFERROR(IFERROR(IFERROR(INDEX(TallyBrands, MATCH(0, COUNTIF(B$4:$B441, TallyBrands), 0)), INDEX(TallyBrands2, MATCH(0, COUNTIF(B$4:$B441, TallyBrands2), 0))), INDEX(TallyBrands3, MATCH(0, COUNTIF(B$4:$B441, TallyBrands3), 0))),"")</f>
        <v>Frapple</v>
      </c>
      <c r="C442" s="113"/>
      <c r="I442" s="220"/>
    </row>
    <row r="443" spans="2:9" ht="15" x14ac:dyDescent="0.15">
      <c r="B443" s="113" t="str" cm="1">
        <f t="array" ref="B443">IFERROR(IFERROR(IFERROR(INDEX(TallyBrands, MATCH(0, COUNTIF(B$4:$B442, TallyBrands), 0)), INDEX(TallyBrands2, MATCH(0, COUNTIF(B$4:$B442, TallyBrands2), 0))), INDEX(TallyBrands3, MATCH(0, COUNTIF(B$4:$B442, TallyBrands3), 0))),"")</f>
        <v>Mud House</v>
      </c>
      <c r="C443" s="113"/>
      <c r="I443" s="220"/>
    </row>
    <row r="444" spans="2:9" ht="15" x14ac:dyDescent="0.15">
      <c r="B444" s="113" t="str" cm="1">
        <f t="array" ref="B444">IFERROR(IFERROR(IFERROR(INDEX(TallyBrands, MATCH(0, COUNTIF(B$4:$B443, TallyBrands), 0)), INDEX(TallyBrands2, MATCH(0, COUNTIF(B$4:$B443, TallyBrands2), 0))), INDEX(TallyBrands3, MATCH(0, COUNTIF(B$4:$B443, TallyBrands3), 0))),"")</f>
        <v>The Shire</v>
      </c>
      <c r="C444" s="113"/>
      <c r="I444" s="220"/>
    </row>
    <row r="445" spans="2:9" ht="15" x14ac:dyDescent="0.15">
      <c r="B445" s="113" t="str" cm="1">
        <f t="array" ref="B445">IFERROR(IFERROR(IFERROR(INDEX(TallyBrands, MATCH(0, COUNTIF(B$4:$B444, TallyBrands), 0)), INDEX(TallyBrands2, MATCH(0, COUNTIF(B$4:$B444, TallyBrands2), 0))), INDEX(TallyBrands3, MATCH(0, COUNTIF(B$4:$B444, TallyBrands3), 0))),"")</f>
        <v>Morum</v>
      </c>
      <c r="C445" s="113"/>
      <c r="I445" s="220"/>
    </row>
    <row r="446" spans="2:9" ht="15" x14ac:dyDescent="0.15">
      <c r="B446" s="113" t="str" cm="1">
        <f t="array" ref="B446">IFERROR(IFERROR(IFERROR(INDEX(TallyBrands, MATCH(0, COUNTIF(B$4:$B445, TallyBrands), 0)), INDEX(TallyBrands2, MATCH(0, COUNTIF(B$4:$B445, TallyBrands2), 0))), INDEX(TallyBrands3, MATCH(0, COUNTIF(B$4:$B445, TallyBrands3), 0))),"")</f>
        <v>Alluria</v>
      </c>
      <c r="C446" s="113"/>
      <c r="I446" s="220"/>
    </row>
    <row r="447" spans="2:9" ht="15" x14ac:dyDescent="0.15">
      <c r="B447" s="113" t="str" cm="1">
        <f t="array" ref="B447">IFERROR(IFERROR(IFERROR(INDEX(TallyBrands, MATCH(0, COUNTIF(B$4:$B446, TallyBrands), 0)), INDEX(TallyBrands2, MATCH(0, COUNTIF(B$4:$B446, TallyBrands2), 0))), INDEX(TallyBrands3, MATCH(0, COUNTIF(B$4:$B446, TallyBrands3), 0))),"")</f>
        <v>Van Vollenhoven &amp; Co.</v>
      </c>
      <c r="C447" s="113"/>
      <c r="I447" s="220"/>
    </row>
    <row r="448" spans="2:9" ht="15" x14ac:dyDescent="0.15">
      <c r="B448" s="113" t="str" cm="1">
        <f t="array" ref="B448">IFERROR(IFERROR(IFERROR(INDEX(TallyBrands, MATCH(0, COUNTIF(B$4:$B447, TallyBrands), 0)), INDEX(TallyBrands2, MATCH(0, COUNTIF(B$4:$B447, TallyBrands2), 0))), INDEX(TallyBrands3, MATCH(0, COUNTIF(B$4:$B447, TallyBrands3), 0))),"")</f>
        <v>Trooper</v>
      </c>
      <c r="C448" s="113"/>
      <c r="I448" s="220"/>
    </row>
    <row r="449" spans="2:9" ht="15" x14ac:dyDescent="0.15">
      <c r="B449" s="113" t="str" cm="1">
        <f t="array" ref="B449">IFERROR(IFERROR(IFERROR(INDEX(TallyBrands, MATCH(0, COUNTIF(B$4:$B448, TallyBrands), 0)), INDEX(TallyBrands2, MATCH(0, COUNTIF(B$4:$B448, TallyBrands2), 0))), INDEX(TallyBrands3, MATCH(0, COUNTIF(B$4:$B448, TallyBrands3), 0))),"")</f>
        <v>Aguardiente</v>
      </c>
      <c r="C449" s="113"/>
      <c r="I449" s="220"/>
    </row>
    <row r="450" spans="2:9" ht="15" x14ac:dyDescent="0.15">
      <c r="B450" s="113" t="str" cm="1">
        <f t="array" ref="B450">IFERROR(IFERROR(IFERROR(INDEX(TallyBrands, MATCH(0, COUNTIF(B$4:$B449, TallyBrands), 0)), INDEX(TallyBrands2, MATCH(0, COUNTIF(B$4:$B449, TallyBrands2), 0))), INDEX(TallyBrands3, MATCH(0, COUNTIF(B$4:$B449, TallyBrands3), 0))),"")</f>
        <v>Piddle Brewry Limited</v>
      </c>
      <c r="C450" s="113"/>
      <c r="I450" s="220"/>
    </row>
    <row r="451" spans="2:9" x14ac:dyDescent="0.15">
      <c r="B451" s="113"/>
      <c r="C451" s="113"/>
      <c r="I451" s="220"/>
    </row>
    <row r="452" spans="2:9" x14ac:dyDescent="0.15">
      <c r="B452" s="113"/>
      <c r="C452" s="113"/>
      <c r="I452" s="220"/>
    </row>
    <row r="453" spans="2:9" x14ac:dyDescent="0.15">
      <c r="B453" s="113"/>
      <c r="C453" s="113"/>
      <c r="I453" s="220"/>
    </row>
    <row r="454" spans="2:9" x14ac:dyDescent="0.15">
      <c r="B454" s="113"/>
      <c r="C454" s="113"/>
      <c r="I454" s="220"/>
    </row>
    <row r="455" spans="2:9" x14ac:dyDescent="0.15">
      <c r="B455" s="113"/>
      <c r="C455" s="113"/>
    </row>
    <row r="456" spans="2:9" x14ac:dyDescent="0.15">
      <c r="B456" s="113"/>
      <c r="C456" s="113"/>
    </row>
    <row r="457" spans="2:9" x14ac:dyDescent="0.15">
      <c r="B457" s="113"/>
      <c r="C457" s="113"/>
    </row>
    <row r="458" spans="2:9" x14ac:dyDescent="0.15">
      <c r="B458" s="113"/>
      <c r="C458" s="113"/>
    </row>
    <row r="459" spans="2:9" x14ac:dyDescent="0.15">
      <c r="B459" s="113"/>
      <c r="C459" s="113"/>
    </row>
    <row r="460" spans="2:9" x14ac:dyDescent="0.15">
      <c r="B460" s="113"/>
      <c r="C460" s="113"/>
    </row>
    <row r="461" spans="2:9" x14ac:dyDescent="0.15">
      <c r="B461" s="113"/>
      <c r="C461" s="113"/>
    </row>
    <row r="462" spans="2:9" x14ac:dyDescent="0.15">
      <c r="B462" s="113"/>
      <c r="C462" s="113"/>
    </row>
  </sheetData>
  <autoFilter ref="E4:H208" xr:uid="{FC85E85F-74AD-B943-86D2-0330860FC6C1}">
    <sortState xmlns:xlrd2="http://schemas.microsoft.com/office/spreadsheetml/2017/richdata2" ref="E5:H300">
      <sortCondition descending="1" ref="H4:H300"/>
    </sortState>
  </autoFilter>
  <sortState xmlns:xlrd2="http://schemas.microsoft.com/office/spreadsheetml/2017/richdata2" ref="E5:H208">
    <sortCondition descending="1" ref="H5:H2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999"/>
  <sheetViews>
    <sheetView topLeftCell="A38" workbookViewId="0">
      <selection activeCell="AB20" sqref="AB3:AB20"/>
    </sheetView>
  </sheetViews>
  <sheetFormatPr baseColWidth="10" defaultColWidth="12.6640625" defaultRowHeight="15" customHeight="1" x14ac:dyDescent="0.15"/>
  <cols>
    <col min="1" max="1" width="7.6640625" customWidth="1"/>
    <col min="2" max="2" width="15.33203125" bestFit="1" customWidth="1"/>
    <col min="3" max="3" width="10" bestFit="1" customWidth="1"/>
    <col min="4" max="4" width="8.33203125" bestFit="1" customWidth="1"/>
    <col min="5" max="5" width="18.5" customWidth="1"/>
    <col min="6" max="6" width="12.1640625" customWidth="1"/>
    <col min="7" max="7" width="16.1640625" customWidth="1"/>
    <col min="8" max="8" width="41" bestFit="1" customWidth="1"/>
    <col min="9" max="9" width="19" bestFit="1" customWidth="1"/>
    <col min="10" max="10" width="20.5" bestFit="1" customWidth="1"/>
    <col min="11" max="11" width="25.5" bestFit="1" customWidth="1"/>
    <col min="12" max="13" width="22.83203125" bestFit="1" customWidth="1"/>
    <col min="14" max="14" width="15.5" bestFit="1" customWidth="1"/>
    <col min="15" max="17" width="15.5" customWidth="1"/>
    <col min="18" max="18" width="39.33203125" bestFit="1" customWidth="1"/>
    <col min="19" max="19" width="15.33203125" bestFit="1" customWidth="1"/>
    <col min="20" max="20" width="22.83203125" bestFit="1" customWidth="1"/>
    <col min="21" max="21" width="16.6640625" bestFit="1" customWidth="1"/>
    <col min="22" max="22" width="14" bestFit="1" customWidth="1"/>
    <col min="23" max="23" width="12.1640625" customWidth="1"/>
    <col min="24" max="24" width="15" bestFit="1" customWidth="1"/>
    <col min="25" max="25" width="14.83203125" bestFit="1" customWidth="1"/>
    <col min="26" max="26" width="12.6640625" bestFit="1" customWidth="1"/>
    <col min="27" max="27" width="15.6640625" bestFit="1" customWidth="1"/>
    <col min="28" max="28" width="8.6640625" customWidth="1"/>
    <col min="29" max="29" width="7.6640625" customWidth="1"/>
    <col min="30" max="30" width="6" customWidth="1"/>
    <col min="31" max="32" width="7.6640625" customWidth="1"/>
  </cols>
  <sheetData>
    <row r="1" spans="1:34" thickBot="1" x14ac:dyDescent="0.2">
      <c r="D1" s="1"/>
      <c r="AD1" s="45"/>
    </row>
    <row r="2" spans="1:34" ht="96" thickBot="1" x14ac:dyDescent="0.25">
      <c r="A2" s="2"/>
      <c r="B2" s="104" t="s">
        <v>0</v>
      </c>
      <c r="C2" s="104" t="s">
        <v>2153</v>
      </c>
      <c r="D2" s="104" t="s">
        <v>1334</v>
      </c>
      <c r="E2" s="104" t="s">
        <v>4</v>
      </c>
      <c r="F2" s="180"/>
      <c r="G2" s="160" t="s">
        <v>2146</v>
      </c>
      <c r="H2" s="161" t="s">
        <v>2147</v>
      </c>
      <c r="I2" s="161" t="s">
        <v>1175</v>
      </c>
      <c r="J2" s="161" t="s">
        <v>1469</v>
      </c>
      <c r="K2" s="163" t="s">
        <v>2144</v>
      </c>
      <c r="L2" s="161" t="s">
        <v>7</v>
      </c>
      <c r="M2" s="161" t="s">
        <v>8</v>
      </c>
      <c r="N2" s="161" t="s">
        <v>1194</v>
      </c>
      <c r="O2" s="161" t="s">
        <v>1195</v>
      </c>
      <c r="P2" s="161" t="s">
        <v>1176</v>
      </c>
      <c r="Q2" s="180"/>
      <c r="R2" s="76" t="s">
        <v>1331</v>
      </c>
      <c r="S2" s="76" t="s">
        <v>1443</v>
      </c>
      <c r="T2" s="2"/>
      <c r="U2" s="130" t="s">
        <v>1330</v>
      </c>
      <c r="V2" s="130" t="s">
        <v>5</v>
      </c>
      <c r="W2" s="130" t="s">
        <v>7</v>
      </c>
      <c r="X2" s="130" t="s">
        <v>8</v>
      </c>
      <c r="Y2" s="130" t="s">
        <v>1194</v>
      </c>
      <c r="Z2" s="130" t="s">
        <v>1195</v>
      </c>
      <c r="AA2" s="130" t="s">
        <v>1175</v>
      </c>
      <c r="AB2" s="130" t="s">
        <v>1176</v>
      </c>
      <c r="AC2" s="2"/>
      <c r="AD2" s="243"/>
      <c r="AE2" s="2"/>
      <c r="AF2" s="2"/>
      <c r="AG2" s="2"/>
      <c r="AH2" s="2"/>
    </row>
    <row r="3" spans="1:34" ht="19" thickBot="1" x14ac:dyDescent="0.25">
      <c r="B3" s="71" t="s">
        <v>6</v>
      </c>
      <c r="C3" s="139">
        <f t="shared" ref="C3:C14" si="0">COUNTIF(TallyDrinkType, $B3)</f>
        <v>576</v>
      </c>
      <c r="D3" s="72">
        <f>SUM((100/$C$15)*$C3)</f>
        <v>38.866396761133601</v>
      </c>
      <c r="E3" s="71">
        <f t="shared" ref="E3:E14" si="1">AVERAGEIF(TallyDrinkType,$B3,TallyScore)</f>
        <v>6.3984375</v>
      </c>
      <c r="F3" s="59"/>
      <c r="G3" s="211" t="s">
        <v>32</v>
      </c>
      <c r="H3" s="204" t="str" cm="1">
        <f t="array" ref="H3">IFERROR(INDEX(TallyDrinkNames,SMALL(IF((TallyScore=$P3)*(TallyDrinkType=$G$3),ROW(TallyDrinkNames)-ROW('Friday Spreadsheet CSV'!$E$3)+1),COUNTIF($P3:$P$12,$P3))),"")</f>
        <v>Smirnoff Vodka</v>
      </c>
      <c r="I3" s="205" t="str" cm="1">
        <f t="array" ref="I3">IFERROR(INDEX(TallyPeopleNames,SMALL(IF((TallyScore=$P3)*(TallyDrinkType=$G$3),ROW(TallyDrinkNames)-ROW('Friday Spreadsheet CSV'!$E$3)+1),COUNTIF($P3:$P$12,$P3))),"")</f>
        <v>Sean Carey</v>
      </c>
      <c r="J3" s="205" t="str" cm="1">
        <f t="array" ref="J3">IFERROR(INDEX(TallyBrands,SMALL(IF((TallyScore=$P3)*(TallyDrinkType=$G$3),ROW(TallyDrinkNames)-ROW('Friday Spreadsheet CSV'!$E$3)+1),COUNTIF($P3:$P$12,$P3))),"")</f>
        <v>Smirnoff</v>
      </c>
      <c r="K3" s="210" cm="1">
        <f t="array" ref="K3">IFERROR(INDEX(TallyABV,SMALL(IF((TallyScore=$P3)*(TallyDrinkType=$G$3),ROW(TallyDrinkNames)-ROW('Friday Spreadsheet CSV'!$E$3)+1),COUNTIF($P3:$P$12,$P3))),"")</f>
        <v>0.375</v>
      </c>
      <c r="L3" s="205" t="str" cm="1">
        <f t="array" ref="L3">IFERROR(INDEX(TallyMixer1,SMALL(IF((TallyScore=$P3)*(TallyDrinkType=$G$3),ROW(TallyDrinkNames)-ROW('Friday Spreadsheet CSV'!$E$3)+1),COUNTIF($P3:$P$12,$P3))),"")</f>
        <v>Sainsbury's Tropical Juice</v>
      </c>
      <c r="M3" s="205" cm="1">
        <f t="array" ref="M3">IFERROR(INDEX(TallyMixer2,SMALL(IF((TallyScore=$P3)*(TallyDrinkType=$G$3),ROW(TallyDrinkNames)-ROW('Friday Spreadsheet CSV'!$E$3)+1),COUNTIF($P3:$P$12,$P3))),"")</f>
        <v>0</v>
      </c>
      <c r="N3" s="205" t="str" cm="1">
        <f t="array" ref="N3">IFERROR(INDEX(TallyRatingWord1,SMALL(IF((TallyScore=$P3)*(TallyDrinkType=$G$3),ROW(TallyDrinkNames)-ROW('Friday Spreadsheet CSV'!$E$3)+1),COUNTIF($P3:$P$12,$P3))),"")</f>
        <v>Bonerific</v>
      </c>
      <c r="O3" s="207" t="str" cm="1">
        <f t="array" ref="O3">IFERROR(INDEX(TallyRatingWord2,SMALL(IF((TallyScore=$P3)*(TallyDrinkType=$G$3),ROW(TallyDrinkNames)-ROW('Friday Spreadsheet CSV'!$E$3)+1),COUNTIF($P3:$P$12,$P3))),"")</f>
        <v>Oompfness</v>
      </c>
      <c r="P3" s="207" cm="1">
        <f t="array" ref="P3">IFERROR(LARGE(IF(TallyDrinkType=$G$3,TallyScore),ROWS($P$3:$P3)),"")</f>
        <v>9.5</v>
      </c>
      <c r="Q3" s="59"/>
      <c r="R3" s="76">
        <f>COUNTIF('Friday Spreadsheet CSV'!K:K, "&gt;=9.5")</f>
        <v>45</v>
      </c>
      <c r="S3" s="76">
        <f>COUNTIF('Friday Spreadsheet CSV'!K:K, "&lt;=1")</f>
        <v>25</v>
      </c>
      <c r="U3" s="71" t="str" cm="1">
        <f t="array" ref="U3">INDEX(TallyDrinkNames,SMALL(IF(TallyScore=$AB3,ROW(TallyDrinkNames)-ROW('Friday Spreadsheet CSV'!$K$3)+1),COUNTIF($AB3:$AB$33,$AB3)))</f>
        <v>Tequila Rose</v>
      </c>
      <c r="V3" s="71" t="str" cm="1">
        <f t="array" ref="V3">INDEX(TallyDrinkType,SMALL(IF(TallyScore=$AB3,ROW(TallyDrinkNames)-ROW('Friday Spreadsheet CSV'!$K$3)+1),COUNTIF($AB3:$AB$33,$AB3)))</f>
        <v>Liqueur</v>
      </c>
      <c r="W3" s="71" t="str" cm="1">
        <f t="array" ref="W3">INDEX(TallyMixer1,SMALL(IF(TallyScore=$AB3,ROW(TallyDrinkNames)-ROW('Friday Spreadsheet CSV'!$K$3)+1),COUNTIF($AB3:$AB$33,$AB3)))</f>
        <v>Illva Saronno Disaronno Originale</v>
      </c>
      <c r="X3" s="71" cm="1">
        <f t="array" ref="X3">INDEX(TallyMixer2,SMALL(IF(TallyScore=$AB3,ROW(TallyDrinkNames)-ROW('Friday Spreadsheet CSV'!$K$3)+1),COUNTIF($AB3:$AB$33,$AB3)))</f>
        <v>0</v>
      </c>
      <c r="Y3" s="71" t="str" cm="1">
        <f t="array" ref="Y3">INDEX(TallyRatingWord1,SMALL(IF(TallyScore=$AB3,ROW(TallyDrinkNames)-ROW('Friday Spreadsheet CSV'!$K$3)+1),COUNTIF($AB3:$AB$33,$AB3)))</f>
        <v>Delicious</v>
      </c>
      <c r="Z3" s="71" t="str" cm="1">
        <f t="array" ref="Z3">INDEX(TallyRatingWord2,SMALL(IF(TallyScore=$AB3,ROW(TallyDrinkNames)-ROW('Friday Spreadsheet CSV'!$K$3)+1),COUNTIF($AB3:$AB$33,$AB3)))</f>
        <v>Concoction</v>
      </c>
      <c r="AA3" s="71" t="str" cm="1">
        <f t="array" ref="AA3">INDEX(TallyPeopleNames,SMALL(IF(TallyScore=$AB3,ROW(TallyDrinkNames)-ROW('Friday Spreadsheet CSV'!$K$3)+1),COUNTIF($AB3:$AB$33,$AB3)))</f>
        <v>Ross Savill</v>
      </c>
      <c r="AB3" s="77">
        <f>LARGE(TallyScore,ROWS($AB$3:$AB3))</f>
        <v>10</v>
      </c>
      <c r="AD3" s="45"/>
    </row>
    <row r="4" spans="1:34" thickBot="1" x14ac:dyDescent="0.2">
      <c r="B4" s="71" t="s">
        <v>34</v>
      </c>
      <c r="C4" s="139">
        <f t="shared" si="0"/>
        <v>186</v>
      </c>
      <c r="D4" s="72">
        <f t="shared" ref="D4:D14" si="2">SUM((100/$C$15)*$C4)</f>
        <v>12.550607287449392</v>
      </c>
      <c r="E4" s="71">
        <f t="shared" si="1"/>
        <v>6.422043010752688</v>
      </c>
      <c r="F4" s="59"/>
      <c r="G4" s="59"/>
      <c r="H4" s="212" t="str" cm="1">
        <f t="array" ref="H4">IFERROR(INDEX(TallyDrinkNames,SMALL(IF((TallyScore=$P4)*(TallyDrinkType=$G$3),ROW(TallyDrinkNames)-ROW('Friday Spreadsheet CSV'!$E$3)+1),COUNTIF($P4:$P$12,$P4))),"")</f>
        <v>Smirnoff Raspberry Vodka</v>
      </c>
      <c r="I4" s="59" t="str" cm="1">
        <f t="array" ref="I4">IFERROR(INDEX(TallyPeopleNames,SMALL(IF((TallyScore=$P4)*(TallyDrinkType=$G$3),ROW(TallyDrinkNames)-ROW('Friday Spreadsheet CSV'!$E$3)+1),COUNTIF($P4:$P$12,$P4))),"")</f>
        <v>Catherine Allen</v>
      </c>
      <c r="J4" s="59" t="str" cm="1">
        <f t="array" ref="J4">IFERROR(INDEX(TallyBrands,SMALL(IF((TallyScore=$P4)*(TallyDrinkType=$G$3),ROW(TallyDrinkNames)-ROW('Friday Spreadsheet CSV'!$E$3)+1),COUNTIF($P4:$P$12,$P4))),"")</f>
        <v>Smirnoff</v>
      </c>
      <c r="K4" s="213" cm="1">
        <f t="array" ref="K4">IFERROR(INDEX(TallyABV,SMALL(IF((TallyScore=$P4)*(TallyDrinkType=$G$3),ROW(TallyDrinkNames)-ROW('Friday Spreadsheet CSV'!$E$3)+1),COUNTIF($P4:$P$12,$P4))),"")</f>
        <v>0.375</v>
      </c>
      <c r="L4" s="59" t="str" cm="1">
        <f t="array" ref="L4">IFERROR(INDEX(TallyMixer1,SMALL(IF((TallyScore=$P4)*(TallyDrinkType=$G$3),ROW(TallyDrinkNames)-ROW('Friday Spreadsheet CSV'!$E$3)+1),COUNTIF($P4:$P$12,$P4))),"")</f>
        <v>Lucozade Wild Cherry</v>
      </c>
      <c r="M4" s="59" t="str" cm="1">
        <f t="array" ref="M4">IFERROR(INDEX(TallyMixer2,SMALL(IF((TallyScore=$P4)*(TallyDrinkType=$G$3),ROW(TallyDrinkNames)-ROW('Friday Spreadsheet CSV'!$E$3)+1),COUNTIF($P4:$P$12,$P4))),"")</f>
        <v/>
      </c>
      <c r="N4" s="59" t="str" cm="1">
        <f t="array" ref="N4">IFERROR(INDEX(TallyRatingWord1,SMALL(IF((TallyScore=$P4)*(TallyDrinkType=$G$3),ROW(TallyDrinkNames)-ROW('Friday Spreadsheet CSV'!$E$3)+1),COUNTIF($P4:$P$12,$P4))),"")</f>
        <v>Cute</v>
      </c>
      <c r="O4" s="208" t="str" cm="1">
        <f t="array" ref="O4">IFERROR(INDEX(TallyRatingWord2,SMALL(IF((TallyScore=$P4)*(TallyDrinkType=$G$3),ROW(TallyDrinkNames)-ROW('Friday Spreadsheet CSV'!$E$3)+1),COUNTIF($P4:$P$12,$P4))),"")</f>
        <v>Captivating</v>
      </c>
      <c r="P4" s="208" cm="1">
        <f t="array" ref="P4">IFERROR(LARGE(IF(TallyDrinkType=$G$3,TallyScore),ROWS($P$3:$P4)),"")</f>
        <v>9</v>
      </c>
      <c r="Q4" s="59"/>
      <c r="U4" s="71" t="str" cm="1">
        <f t="array" ref="U4">INDEX(TallyDrinkNames,SMALL(IF(TallyScore=$AB4,ROW(TallyDrinkNames)-ROW('Friday Spreadsheet CSV'!$K$3)+1),COUNTIF($AB4:$AB$33,$AB4)))</f>
        <v>Otter Ale</v>
      </c>
      <c r="V4" s="71" t="str" cm="1">
        <f t="array" ref="V4">INDEX(TallyDrinkType,SMALL(IF(TallyScore=$AB4,ROW(TallyDrinkNames)-ROW('Friday Spreadsheet CSV'!$K$3)+1),COUNTIF($AB4:$AB$33,$AB4)))</f>
        <v>Beer</v>
      </c>
      <c r="W4" s="71" cm="1">
        <f t="array" ref="W4">INDEX(TallyMixer1,SMALL(IF(TallyScore=$AB4,ROW(TallyDrinkNames)-ROW('Friday Spreadsheet CSV'!$K$3)+1),COUNTIF($AB4:$AB$33,$AB4)))</f>
        <v>0</v>
      </c>
      <c r="X4" s="71" cm="1">
        <f t="array" ref="X4">INDEX(TallyMixer2,SMALL(IF(TallyScore=$AB4,ROW(TallyDrinkNames)-ROW('Friday Spreadsheet CSV'!$K$3)+1),COUNTIF($AB4:$AB$33,$AB4)))</f>
        <v>0</v>
      </c>
      <c r="Y4" s="71" t="str" cm="1">
        <f t="array" ref="Y4">INDEX(TallyRatingWord1,SMALL(IF(TallyScore=$AB4,ROW(TallyDrinkNames)-ROW('Friday Spreadsheet CSV'!$K$3)+1),COUNTIF($AB4:$AB$33,$AB4)))</f>
        <v>Fucking</v>
      </c>
      <c r="Z4" s="71" t="str" cm="1">
        <f t="array" ref="Z4">INDEX(TallyRatingWord2,SMALL(IF(TallyScore=$AB4,ROW(TallyDrinkNames)-ROW('Friday Spreadsheet CSV'!$K$3)+1),COUNTIF($AB4:$AB$33,$AB4)))</f>
        <v>Banging</v>
      </c>
      <c r="AA4" s="71" t="str" cm="1">
        <f t="array" ref="AA4">INDEX(TallyPeopleNames,SMALL(IF(TallyScore=$AB4,ROW(TallyDrinkNames)-ROW('Friday Spreadsheet CSV'!$K$3)+1),COUNTIF($AB4:$AB$33,$AB4)))</f>
        <v>Helen Miles</v>
      </c>
      <c r="AB4" s="71">
        <f>LARGE(TallyScore,ROWS($AB$3:$AB4))</f>
        <v>10</v>
      </c>
      <c r="AD4" s="45"/>
    </row>
    <row r="5" spans="1:34" thickBot="1" x14ac:dyDescent="0.2">
      <c r="B5" s="71" t="s">
        <v>42</v>
      </c>
      <c r="C5" s="139">
        <f t="shared" si="0"/>
        <v>90</v>
      </c>
      <c r="D5" s="72">
        <f t="shared" si="2"/>
        <v>6.0728744939271255</v>
      </c>
      <c r="E5" s="71">
        <f t="shared" si="1"/>
        <v>6.1111111111111107</v>
      </c>
      <c r="F5" s="59"/>
      <c r="G5" s="59"/>
      <c r="H5" s="212" t="str" cm="1">
        <f t="array" ref="H5">IFERROR(INDEX(TallyDrinkNames,SMALL(IF((TallyScore=$P5)*(TallyDrinkType=$G$3),ROW(TallyDrinkNames)-ROW('Friday Spreadsheet CSV'!$E$3)+1),COUNTIF($P5:$P$12,$P5))),"")</f>
        <v>Absolut Vaniila Vodka</v>
      </c>
      <c r="I5" s="59" t="str" cm="1">
        <f t="array" ref="I5">IFERROR(INDEX(TallyPeopleNames,SMALL(IF((TallyScore=$P5)*(TallyDrinkType=$G$3),ROW(TallyDrinkNames)-ROW('Friday Spreadsheet CSV'!$E$3)+1),COUNTIF($P5:$P$12,$P5))),"")</f>
        <v>Ed Saunders</v>
      </c>
      <c r="J5" s="59" t="str" cm="1">
        <f t="array" ref="J5">IFERROR(INDEX(TallyBrands,SMALL(IF((TallyScore=$P5)*(TallyDrinkType=$G$3),ROW(TallyDrinkNames)-ROW('Friday Spreadsheet CSV'!$E$3)+1),COUNTIF($P5:$P$12,$P5))),"")</f>
        <v>Absolut</v>
      </c>
      <c r="K5" s="213" cm="1">
        <f t="array" ref="K5">IFERROR(INDEX(TallyABV,SMALL(IF((TallyScore=$P5)*(TallyDrinkType=$G$3),ROW(TallyDrinkNames)-ROW('Friday Spreadsheet CSV'!$E$3)+1),COUNTIF($P5:$P$12,$P5))),"")</f>
        <v>0.4</v>
      </c>
      <c r="L5" s="59" t="str" cm="1">
        <f t="array" ref="L5">IFERROR(INDEX(TallyMixer1,SMALL(IF((TallyScore=$P5)*(TallyDrinkType=$G$3),ROW(TallyDrinkNames)-ROW('Friday Spreadsheet CSV'!$E$3)+1),COUNTIF($P5:$P$12,$P5))),"")</f>
        <v>Milk</v>
      </c>
      <c r="M5" s="59" t="str" cm="1">
        <f t="array" ref="M5">IFERROR(INDEX(TallyMixer2,SMALL(IF((TallyScore=$P5)*(TallyDrinkType=$G$3),ROW(TallyDrinkNames)-ROW('Friday Spreadsheet CSV'!$E$3)+1),COUNTIF($P5:$P$12,$P5))),"")</f>
        <v>Chocolate Nesquik</v>
      </c>
      <c r="N5" s="59" t="str" cm="1">
        <f t="array" ref="N5">IFERROR(INDEX(TallyRatingWord1,SMALL(IF((TallyScore=$P5)*(TallyDrinkType=$G$3),ROW(TallyDrinkNames)-ROW('Friday Spreadsheet CSV'!$E$3)+1),COUNTIF($P5:$P$12,$P5))),"")</f>
        <v>Chocolate</v>
      </c>
      <c r="O5" s="208" t="str" cm="1">
        <f t="array" ref="O5">IFERROR(INDEX(TallyRatingWord2,SMALL(IF((TallyScore=$P5)*(TallyDrinkType=$G$3),ROW(TallyDrinkNames)-ROW('Friday Spreadsheet CSV'!$E$3)+1),COUNTIF($P5:$P$12,$P5))),"")</f>
        <v>Dude</v>
      </c>
      <c r="P5" s="208" cm="1">
        <f t="array" ref="P5">IFERROR(LARGE(IF(TallyDrinkType=$G$3,TallyScore),ROWS($P$3:$P5)),"")</f>
        <v>9</v>
      </c>
      <c r="Q5" s="59"/>
      <c r="R5" s="142" t="s">
        <v>190</v>
      </c>
      <c r="S5" s="142">
        <f>COUNTIF(TallyDrinkType, "Other")</f>
        <v>59</v>
      </c>
      <c r="U5" s="71" t="str" cm="1">
        <f t="array" ref="U5">INDEX(TallyDrinkNames,SMALL(IF(TallyScore=$AB5,ROW(TallyDrinkNames)-ROW('Friday Spreadsheet CSV'!$K$3)+1),COUNTIF($AB5:$AB$33,$AB5)))</f>
        <v>Boswandeling</v>
      </c>
      <c r="V5" s="71" t="str" cm="1">
        <f t="array" ref="V5">INDEX(TallyDrinkType,SMALL(IF(TallyScore=$AB5,ROW(TallyDrinkNames)-ROW('Friday Spreadsheet CSV'!$K$3)+1),COUNTIF($AB5:$AB$33,$AB5)))</f>
        <v>Liqueur</v>
      </c>
      <c r="W5" s="71" cm="1">
        <f t="array" ref="W5">INDEX(TallyMixer1,SMALL(IF(TallyScore=$AB5,ROW(TallyDrinkNames)-ROW('Friday Spreadsheet CSV'!$K$3)+1),COUNTIF($AB5:$AB$33,$AB5)))</f>
        <v>0</v>
      </c>
      <c r="X5" s="71" cm="1">
        <f t="array" ref="X5">INDEX(TallyMixer2,SMALL(IF(TallyScore=$AB5,ROW(TallyDrinkNames)-ROW('Friday Spreadsheet CSV'!$K$3)+1),COUNTIF($AB5:$AB$33,$AB5)))</f>
        <v>0</v>
      </c>
      <c r="Y5" s="71" t="str" cm="1">
        <f t="array" ref="Y5">INDEX(TallyRatingWord1,SMALL(IF(TallyScore=$AB5,ROW(TallyDrinkNames)-ROW('Friday Spreadsheet CSV'!$K$3)+1),COUNTIF($AB5:$AB$33,$AB5)))</f>
        <v>Banana</v>
      </c>
      <c r="Z5" s="71" t="str" cm="1">
        <f t="array" ref="Z5">INDEX(TallyRatingWord2,SMALL(IF(TallyScore=$AB5,ROW(TallyDrinkNames)-ROW('Friday Spreadsheet CSV'!$K$3)+1),COUNTIF($AB5:$AB$33,$AB5)))</f>
        <v>Frijj</v>
      </c>
      <c r="AA5" s="71" t="str" cm="1">
        <f t="array" ref="AA5">INDEX(TallyPeopleNames,SMALL(IF(TallyScore=$AB5,ROW(TallyDrinkNames)-ROW('Friday Spreadsheet CSV'!$K$3)+1),COUNTIF($AB5:$AB$33,$AB5)))</f>
        <v>Jason Bowen</v>
      </c>
      <c r="AB5" s="71">
        <f>LARGE(TallyScore,ROWS($AB$3:$AB5))</f>
        <v>10</v>
      </c>
      <c r="AD5" s="45"/>
    </row>
    <row r="6" spans="1:34" ht="14" x14ac:dyDescent="0.15">
      <c r="B6" s="6" t="s">
        <v>54</v>
      </c>
      <c r="C6" s="139">
        <f t="shared" si="0"/>
        <v>23</v>
      </c>
      <c r="D6" s="72">
        <f t="shared" si="2"/>
        <v>1.5519568151147098</v>
      </c>
      <c r="E6" s="71">
        <f t="shared" si="1"/>
        <v>5.7826086956521738</v>
      </c>
      <c r="F6" s="59"/>
      <c r="G6" s="59"/>
      <c r="H6" s="212" t="str" cm="1">
        <f t="array" ref="H6">IFERROR(INDEX(TallyDrinkNames,SMALL(IF((TallyScore=$P6)*(TallyDrinkType=$G$3),ROW(TallyDrinkNames)-ROW('Friday Spreadsheet CSV'!$E$3)+1),COUNTIF($P6:$P$12,$P6))),"")</f>
        <v>Smirnoff Vodka</v>
      </c>
      <c r="I6" s="59" t="str" cm="1">
        <f t="array" ref="I6">IFERROR(INDEX(TallyPeopleNames,SMALL(IF((TallyScore=$P6)*(TallyDrinkType=$G$3),ROW(TallyDrinkNames)-ROW('Friday Spreadsheet CSV'!$E$3)+1),COUNTIF($P6:$P$12,$P6))),"")</f>
        <v>Sean Carey</v>
      </c>
      <c r="J6" s="59" t="str" cm="1">
        <f t="array" ref="J6">IFERROR(INDEX(TallyBrands,SMALL(IF((TallyScore=$P6)*(TallyDrinkType=$G$3),ROW(TallyDrinkNames)-ROW('Friday Spreadsheet CSV'!$E$3)+1),COUNTIF($P6:$P$12,$P6))),"")</f>
        <v>Smirnoff</v>
      </c>
      <c r="K6" s="213" cm="1">
        <f t="array" ref="K6">IFERROR(INDEX(TallyABV,SMALL(IF((TallyScore=$P6)*(TallyDrinkType=$G$3),ROW(TallyDrinkNames)-ROW('Friday Spreadsheet CSV'!$E$3)+1),COUNTIF($P6:$P$12,$P6))),"")</f>
        <v>0.375</v>
      </c>
      <c r="L6" s="59" t="str" cm="1">
        <f t="array" ref="L6">IFERROR(INDEX(TallyMixer1,SMALL(IF((TallyScore=$P6)*(TallyDrinkType=$G$3),ROW(TallyDrinkNames)-ROW('Friday Spreadsheet CSV'!$E$3)+1),COUNTIF($P6:$P$12,$P6))),"")</f>
        <v>Kahlúa</v>
      </c>
      <c r="M6" s="59" t="str" cm="1">
        <f t="array" ref="M6">IFERROR(INDEX(TallyMixer2,SMALL(IF((TallyScore=$P6)*(TallyDrinkType=$G$3),ROW(TallyDrinkNames)-ROW('Friday Spreadsheet CSV'!$E$3)+1),COUNTIF($P6:$P$12,$P6))),"")</f>
        <v>Milk</v>
      </c>
      <c r="N6" s="59" t="str" cm="1">
        <f t="array" ref="N6">IFERROR(INDEX(TallyRatingWord1,SMALL(IF((TallyScore=$P6)*(TallyDrinkType=$G$3),ROW(TallyDrinkNames)-ROW('Friday Spreadsheet CSV'!$E$3)+1),COUNTIF($P6:$P$12,$P6))),"")</f>
        <v>Sapid</v>
      </c>
      <c r="O6" s="208" t="str" cm="1">
        <f t="array" ref="O6">IFERROR(INDEX(TallyRatingWord2,SMALL(IF((TallyScore=$P6)*(TallyDrinkType=$G$3),ROW(TallyDrinkNames)-ROW('Friday Spreadsheet CSV'!$E$3)+1),COUNTIF($P6:$P$12,$P6))),"")</f>
        <v>Transcndental</v>
      </c>
      <c r="P6" s="208" cm="1">
        <f t="array" ref="P6">IFERROR(LARGE(IF(TallyDrinkType=$G$3,TallyScore),ROWS($P$3:$P6)),"")</f>
        <v>9</v>
      </c>
      <c r="Q6" s="59"/>
      <c r="R6" s="142">
        <v>1</v>
      </c>
      <c r="S6" s="140" t="str" cm="1">
        <f t="array" ref="S6">INDEX(TallyDrinkNames, SMALL(IF($R$5=TallyDrinkType, ROW(TallyDrinkType)-ROW('Friday Spreadsheet CSV'!$E$3)+1), ROW(1:1)))</f>
        <v>Sierra Tequila</v>
      </c>
      <c r="U6" s="71" t="str" cm="1">
        <f t="array" ref="U6">INDEX(TallyDrinkNames,SMALL(IF(TallyScore=$AB6,ROW(TallyDrinkNames)-ROW('Friday Spreadsheet CSV'!$K$3)+1),COUNTIF($AB6:$AB$33,$AB6)))</f>
        <v>Botham Malbec 79 Series</v>
      </c>
      <c r="V6" s="71" t="str" cm="1">
        <f t="array" ref="V6">INDEX(TallyDrinkType,SMALL(IF(TallyScore=$AB6,ROW(TallyDrinkNames)-ROW('Friday Spreadsheet CSV'!$K$3)+1),COUNTIF($AB6:$AB$33,$AB6)))</f>
        <v>Wine</v>
      </c>
      <c r="W6" s="71" cm="1">
        <f t="array" ref="W6">INDEX(TallyMixer1,SMALL(IF(TallyScore=$AB6,ROW(TallyDrinkNames)-ROW('Friday Spreadsheet CSV'!$K$3)+1),COUNTIF($AB6:$AB$33,$AB6)))</f>
        <v>0</v>
      </c>
      <c r="X6" s="71" cm="1">
        <f t="array" ref="X6">INDEX(TallyMixer2,SMALL(IF(TallyScore=$AB6,ROW(TallyDrinkNames)-ROW('Friday Spreadsheet CSV'!$K$3)+1),COUNTIF($AB6:$AB$33,$AB6)))</f>
        <v>0</v>
      </c>
      <c r="Y6" s="71" t="str" cm="1">
        <f t="array" ref="Y6">INDEX(TallyRatingWord1,SMALL(IF(TallyScore=$AB6,ROW(TallyDrinkNames)-ROW('Friday Spreadsheet CSV'!$K$3)+1),COUNTIF($AB6:$AB$33,$AB6)))</f>
        <v>Superb</v>
      </c>
      <c r="Z6" s="71" t="str" cm="1">
        <f t="array" ref="Z6">INDEX(TallyRatingWord2,SMALL(IF(TallyScore=$AB6,ROW(TallyDrinkNames)-ROW('Friday Spreadsheet CSV'!$K$3)+1),COUNTIF($AB6:$AB$33,$AB6)))</f>
        <v>Drink</v>
      </c>
      <c r="AA6" s="71" t="str" cm="1">
        <f t="array" ref="AA6">INDEX(TallyPeopleNames,SMALL(IF(TallyScore=$AB6,ROW(TallyDrinkNames)-ROW('Friday Spreadsheet CSV'!$K$3)+1),COUNTIF($AB6:$AB$33,$AB6)))</f>
        <v>Father Jones</v>
      </c>
      <c r="AB6" s="71">
        <f>LARGE(TallyScore,ROWS($AB$3:$AB6))</f>
        <v>10</v>
      </c>
    </row>
    <row r="7" spans="1:34" ht="14" x14ac:dyDescent="0.15">
      <c r="B7" s="71" t="s">
        <v>12</v>
      </c>
      <c r="C7" s="139">
        <f t="shared" si="0"/>
        <v>127</v>
      </c>
      <c r="D7" s="72">
        <f t="shared" si="2"/>
        <v>8.569500674763832</v>
      </c>
      <c r="E7" s="71">
        <f t="shared" si="1"/>
        <v>6.0039370078740157</v>
      </c>
      <c r="F7" s="59"/>
      <c r="G7" s="59"/>
      <c r="H7" s="212" t="str" cm="1">
        <f t="array" ref="H7">IFERROR(INDEX(TallyDrinkNames,SMALL(IF((TallyScore=$P7)*(TallyDrinkType=$G$3),ROW(TallyDrinkNames)-ROW('Friday Spreadsheet CSV'!$E$3)+1),COUNTIF($P7:$P$12,$P7))),"")</f>
        <v>Smirnoff Ice</v>
      </c>
      <c r="I7" s="59" t="str" cm="1">
        <f t="array" ref="I7">IFERROR(INDEX(TallyPeopleNames,SMALL(IF((TallyScore=$P7)*(TallyDrinkType=$G$3),ROW(TallyDrinkNames)-ROW('Friday Spreadsheet CSV'!$E$3)+1),COUNTIF($P7:$P$12,$P7))),"")</f>
        <v>Anthony Draper</v>
      </c>
      <c r="J7" s="59" t="str" cm="1">
        <f t="array" ref="J7">IFERROR(INDEX(TallyBrands,SMALL(IF((TallyScore=$P7)*(TallyDrinkType=$G$3),ROW(TallyDrinkNames)-ROW('Friday Spreadsheet CSV'!$E$3)+1),COUNTIF($P7:$P$12,$P7))),"")</f>
        <v>Smirnoff</v>
      </c>
      <c r="K7" s="213" cm="1">
        <f t="array" ref="K7">IFERROR(INDEX(TallyABV,SMALL(IF((TallyScore=$P7)*(TallyDrinkType=$G$3),ROW(TallyDrinkNames)-ROW('Friday Spreadsheet CSV'!$E$3)+1),COUNTIF($P7:$P$12,$P7))),"")</f>
        <v>0.04</v>
      </c>
      <c r="L7" s="59" t="str" cm="1">
        <f t="array" ref="L7">IFERROR(INDEX(TallyMixer1,SMALL(IF((TallyScore=$P7)*(TallyDrinkType=$G$3),ROW(TallyDrinkNames)-ROW('Friday Spreadsheet CSV'!$E$3)+1),COUNTIF($P7:$P$12,$P7))),"")</f>
        <v>Apple Sourz</v>
      </c>
      <c r="M7" s="59" t="str" cm="1">
        <f t="array" ref="M7">IFERROR(INDEX(TallyMixer2,SMALL(IF((TallyScore=$P7)*(TallyDrinkType=$G$3),ROW(TallyDrinkNames)-ROW('Friday Spreadsheet CSV'!$E$3)+1),COUNTIF($P7:$P$12,$P7))),"")</f>
        <v/>
      </c>
      <c r="N7" s="59" t="str" cm="1">
        <f t="array" ref="N7">IFERROR(INDEX(TallyRatingWord1,SMALL(IF((TallyScore=$P7)*(TallyDrinkType=$G$3),ROW(TallyDrinkNames)-ROW('Friday Spreadsheet CSV'!$E$3)+1),COUNTIF($P7:$P$12,$P7))),"")</f>
        <v>Sweet</v>
      </c>
      <c r="O7" s="208" t="str" cm="1">
        <f t="array" ref="O7">IFERROR(INDEX(TallyRatingWord2,SMALL(IF((TallyScore=$P7)*(TallyDrinkType=$G$3),ROW(TallyDrinkNames)-ROW('Friday Spreadsheet CSV'!$E$3)+1),COUNTIF($P7:$P$12,$P7))),"")</f>
        <v>Delicious</v>
      </c>
      <c r="P7" s="208" cm="1">
        <f t="array" ref="P7">IFERROR(LARGE(IF(TallyDrinkType=$G$3,TallyScore),ROWS($P$3:$P7)),"")</f>
        <v>9</v>
      </c>
      <c r="Q7" s="59"/>
      <c r="R7" s="143">
        <v>2</v>
      </c>
      <c r="S7" s="141" t="str" cm="1">
        <f t="array" ref="S7">INDEX(TallyDrinkNames, SMALL(IF($R$5=TallyDrinkType, ROW(TallyDrinkType)-ROW('Friday Spreadsheet CSV'!$E$3)+1), ROW(2:2)))</f>
        <v>Hills Absinth</v>
      </c>
      <c r="U7" s="71" t="str" cm="1">
        <f t="array" ref="U7">INDEX(TallyDrinkNames,SMALL(IF(TallyScore=$AB7,ROW(TallyDrinkNames)-ROW('Friday Spreadsheet CSV'!$K$3)+1),COUNTIF($AB7:$AB$33,$AB7)))</f>
        <v>Bab's Purple Pear Brandy</v>
      </c>
      <c r="V7" s="71" t="str" cm="1">
        <f t="array" ref="V7">INDEX(TallyDrinkType,SMALL(IF(TallyScore=$AB7,ROW(TallyDrinkNames)-ROW('Friday Spreadsheet CSV'!$K$3)+1),COUNTIF($AB7:$AB$33,$AB7)))</f>
        <v>Brandy</v>
      </c>
      <c r="W7" s="71" cm="1">
        <f t="array" ref="W7">INDEX(TallyMixer1,SMALL(IF(TallyScore=$AB7,ROW(TallyDrinkNames)-ROW('Friday Spreadsheet CSV'!$K$3)+1),COUNTIF($AB7:$AB$33,$AB7)))</f>
        <v>0</v>
      </c>
      <c r="X7" s="71" cm="1">
        <f t="array" ref="X7">INDEX(TallyMixer2,SMALL(IF(TallyScore=$AB7,ROW(TallyDrinkNames)-ROW('Friday Spreadsheet CSV'!$K$3)+1),COUNTIF($AB7:$AB$33,$AB7)))</f>
        <v>0</v>
      </c>
      <c r="Y7" s="71" t="str" cm="1">
        <f t="array" ref="Y7">INDEX(TallyRatingWord1,SMALL(IF(TallyScore=$AB7,ROW(TallyDrinkNames)-ROW('Friday Spreadsheet CSV'!$K$3)+1),COUNTIF($AB7:$AB$33,$AB7)))</f>
        <v>Oohh</v>
      </c>
      <c r="Z7" s="71" t="str" cm="1">
        <f t="array" ref="Z7">INDEX(TallyRatingWord2,SMALL(IF(TallyScore=$AB7,ROW(TallyDrinkNames)-ROW('Friday Spreadsheet CSV'!$K$3)+1),COUNTIF($AB7:$AB$33,$AB7)))</f>
        <v>Toffee</v>
      </c>
      <c r="AA7" s="71" t="str" cm="1">
        <f t="array" ref="AA7">INDEX(TallyPeopleNames,SMALL(IF(TallyScore=$AB7,ROW(TallyDrinkNames)-ROW('Friday Spreadsheet CSV'!$K$3)+1),COUNTIF($AB7:$AB$33,$AB7)))</f>
        <v>Dawn Jones</v>
      </c>
      <c r="AB7" s="71">
        <f>LARGE(TallyScore,ROWS($AB$3:$AB7))</f>
        <v>10</v>
      </c>
    </row>
    <row r="8" spans="1:34" ht="14" x14ac:dyDescent="0.15">
      <c r="B8" s="71" t="s">
        <v>32</v>
      </c>
      <c r="C8" s="139">
        <f t="shared" si="0"/>
        <v>104</v>
      </c>
      <c r="D8" s="72">
        <f t="shared" si="2"/>
        <v>7.0175438596491224</v>
      </c>
      <c r="E8" s="71">
        <f t="shared" si="1"/>
        <v>5</v>
      </c>
      <c r="F8" s="59"/>
      <c r="G8" s="59"/>
      <c r="H8" s="212" t="str" cm="1">
        <f t="array" ref="H8">IFERROR(INDEX(TallyDrinkNames,SMALL(IF((TallyScore=$P8)*(TallyDrinkType=$G$3),ROW(TallyDrinkNames)-ROW('Friday Spreadsheet CSV'!$E$3)+1),COUNTIF($P8:$P$12,$P8))),"")</f>
        <v xml:space="preserve">Sidekick Strawberry </v>
      </c>
      <c r="I8" s="59" t="str" cm="1">
        <f t="array" ref="I8">IFERROR(INDEX(TallyPeopleNames,SMALL(IF((TallyScore=$P8)*(TallyDrinkType=$G$3),ROW(TallyDrinkNames)-ROW('Friday Spreadsheet CSV'!$E$3)+1),COUNTIF($P8:$P$12,$P8))),"")</f>
        <v>Ben Millier</v>
      </c>
      <c r="J8" s="59" t="str" cm="1">
        <f t="array" ref="J8">IFERROR(INDEX(TallyBrands,SMALL(IF((TallyScore=$P8)*(TallyDrinkType=$G$3),ROW(TallyDrinkNames)-ROW('Friday Spreadsheet CSV'!$E$3)+1),COUNTIF($P8:$P$12,$P8))),"")</f>
        <v>Sidekick</v>
      </c>
      <c r="K8" s="213" cm="1">
        <f t="array" ref="K8">IFERROR(INDEX(TallyABV,SMALL(IF((TallyScore=$P8)*(TallyDrinkType=$G$3),ROW(TallyDrinkNames)-ROW('Friday Spreadsheet CSV'!$E$3)+1),COUNTIF($P8:$P$12,$P8))),"")</f>
        <v>0.14499999999999999</v>
      </c>
      <c r="L8" s="59" t="str" cm="1">
        <f t="array" ref="L8">IFERROR(INDEX(TallyMixer1,SMALL(IF((TallyScore=$P8)*(TallyDrinkType=$G$3),ROW(TallyDrinkNames)-ROW('Friday Spreadsheet CSV'!$E$3)+1),COUNTIF($P8:$P$12,$P8))),"")</f>
        <v/>
      </c>
      <c r="M8" s="59" t="str" cm="1">
        <f t="array" ref="M8">IFERROR(INDEX(TallyMixer2,SMALL(IF((TallyScore=$P8)*(TallyDrinkType=$G$3),ROW(TallyDrinkNames)-ROW('Friday Spreadsheet CSV'!$E$3)+1),COUNTIF($P8:$P$12,$P8))),"")</f>
        <v/>
      </c>
      <c r="N8" s="59" t="str" cm="1">
        <f t="array" ref="N8">IFERROR(INDEX(TallyRatingWord1,SMALL(IF((TallyScore=$P8)*(TallyDrinkType=$G$3),ROW(TallyDrinkNames)-ROW('Friday Spreadsheet CSV'!$E$3)+1),COUNTIF($P8:$P$12,$P8))),"")</f>
        <v>Go</v>
      </c>
      <c r="O8" s="208" t="str" cm="1">
        <f t="array" ref="O8">IFERROR(INDEX(TallyRatingWord2,SMALL(IF((TallyScore=$P8)*(TallyDrinkType=$G$3),ROW(TallyDrinkNames)-ROW('Friday Spreadsheet CSV'!$E$3)+1),COUNTIF($P8:$P$12,$P8))),"")</f>
        <v>Again</v>
      </c>
      <c r="P8" s="208" cm="1">
        <f t="array" ref="P8">IFERROR(LARGE(IF(TallyDrinkType=$G$3,TallyScore),ROWS($P$3:$P8)),"")</f>
        <v>8.5</v>
      </c>
      <c r="Q8" s="59"/>
      <c r="R8" s="143">
        <v>3</v>
      </c>
      <c r="S8" s="141" t="str" cm="1">
        <f t="array" ref="S8">INDEX(TallyDrinkNames, SMALL(IF($R$5=TallyDrinkType, ROW(TallyDrinkType)-ROW('Friday Spreadsheet CSV'!$E$3)+1), ROW(3:3)))</f>
        <v>Aigaion Oyzo</v>
      </c>
      <c r="U8" s="71" t="str" cm="1">
        <f t="array" ref="U8">INDEX(TallyDrinkNames,SMALL(IF(TallyScore=$AB8,ROW(TallyDrinkNames)-ROW('Friday Spreadsheet CSV'!$K$3)+1),COUNTIF($AB8:$AB$33,$AB8)))</f>
        <v>Freixenet</v>
      </c>
      <c r="V8" s="71" t="str" cm="1">
        <f t="array" ref="V8">INDEX(TallyDrinkType,SMALL(IF(TallyScore=$AB8,ROW(TallyDrinkNames)-ROW('Friday Spreadsheet CSV'!$K$3)+1),COUNTIF($AB8:$AB$33,$AB8)))</f>
        <v>Wine</v>
      </c>
      <c r="W8" s="71" cm="1">
        <f t="array" ref="W8">INDEX(TallyMixer1,SMALL(IF(TallyScore=$AB8,ROW(TallyDrinkNames)-ROW('Friday Spreadsheet CSV'!$K$3)+1),COUNTIF($AB8:$AB$33,$AB8)))</f>
        <v>0</v>
      </c>
      <c r="X8" s="71" cm="1">
        <f t="array" ref="X8">INDEX(TallyMixer2,SMALL(IF(TallyScore=$AB8,ROW(TallyDrinkNames)-ROW('Friday Spreadsheet CSV'!$K$3)+1),COUNTIF($AB8:$AB$33,$AB8)))</f>
        <v>0</v>
      </c>
      <c r="Y8" s="71" t="str" cm="1">
        <f t="array" ref="Y8">INDEX(TallyRatingWord1,SMALL(IF(TallyScore=$AB8,ROW(TallyDrinkNames)-ROW('Friday Spreadsheet CSV'!$K$3)+1),COUNTIF($AB8:$AB$33,$AB8)))</f>
        <v>Fizzy</v>
      </c>
      <c r="Z8" s="71" t="str" cm="1">
        <f t="array" ref="Z8">INDEX(TallyRatingWord2,SMALL(IF(TallyScore=$AB8,ROW(TallyDrinkNames)-ROW('Friday Spreadsheet CSV'!$K$3)+1),COUNTIF($AB8:$AB$33,$AB8)))</f>
        <v>Piss-Water</v>
      </c>
      <c r="AA8" s="71" t="str" cm="1">
        <f t="array" ref="AA8">INDEX(TallyPeopleNames,SMALL(IF(TallyScore=$AB8,ROW(TallyDrinkNames)-ROW('Friday Spreadsheet CSV'!$K$3)+1),COUNTIF($AB8:$AB$33,$AB8)))</f>
        <v>Jason Bowen</v>
      </c>
      <c r="AB8" s="71">
        <f>LARGE(TallyScore,ROWS($AB$3:$AB8))</f>
        <v>10</v>
      </c>
    </row>
    <row r="9" spans="1:34" ht="14" x14ac:dyDescent="0.15">
      <c r="B9" s="71" t="s">
        <v>36</v>
      </c>
      <c r="C9" s="139">
        <f t="shared" si="0"/>
        <v>68</v>
      </c>
      <c r="D9" s="72">
        <f t="shared" si="2"/>
        <v>4.5883940620782724</v>
      </c>
      <c r="E9" s="71">
        <f t="shared" si="1"/>
        <v>6.1764705882352944</v>
      </c>
      <c r="F9" s="59"/>
      <c r="G9" s="59"/>
      <c r="H9" s="212" t="str" cm="1">
        <f t="array" ref="H9">IFERROR(INDEX(TallyDrinkNames,SMALL(IF((TallyScore=$P9)*(TallyDrinkType=$G$3),ROW(TallyDrinkNames)-ROW('Friday Spreadsheet CSV'!$E$3)+1),COUNTIF($P9:$P$12,$P9))),"")</f>
        <v>Smirnoff Vodka</v>
      </c>
      <c r="I9" s="59" t="str" cm="1">
        <f t="array" ref="I9">IFERROR(INDEX(TallyPeopleNames,SMALL(IF((TallyScore=$P9)*(TallyDrinkType=$G$3),ROW(TallyDrinkNames)-ROW('Friday Spreadsheet CSV'!$E$3)+1),COUNTIF($P9:$P$12,$P9))),"")</f>
        <v>Antonia Amaning</v>
      </c>
      <c r="J9" s="59" t="str" cm="1">
        <f t="array" ref="J9">IFERROR(INDEX(TallyBrands,SMALL(IF((TallyScore=$P9)*(TallyDrinkType=$G$3),ROW(TallyDrinkNames)-ROW('Friday Spreadsheet CSV'!$E$3)+1),COUNTIF($P9:$P$12,$P9))),"")</f>
        <v>Smirnoff</v>
      </c>
      <c r="K9" s="213" cm="1">
        <f t="array" ref="K9">IFERROR(INDEX(TallyABV,SMALL(IF((TallyScore=$P9)*(TallyDrinkType=$G$3),ROW(TallyDrinkNames)-ROW('Friday Spreadsheet CSV'!$E$3)+1),COUNTIF($P9:$P$12,$P9))),"")</f>
        <v>0.375</v>
      </c>
      <c r="L9" s="59" t="str" cm="1">
        <f t="array" ref="L9">IFERROR(INDEX(TallyMixer1,SMALL(IF((TallyScore=$P9)*(TallyDrinkType=$G$3),ROW(TallyDrinkNames)-ROW('Friday Spreadsheet CSV'!$E$3)+1),COUNTIF($P9:$P$12,$P9))),"")</f>
        <v>Strawberry</v>
      </c>
      <c r="M9" s="59" t="str" cm="1">
        <f t="array" ref="M9">IFERROR(INDEX(TallyMixer2,SMALL(IF((TallyScore=$P9)*(TallyDrinkType=$G$3),ROW(TallyDrinkNames)-ROW('Friday Spreadsheet CSV'!$E$3)+1),COUNTIF($P9:$P$12,$P9))),"")</f>
        <v>Passion Fruit</v>
      </c>
      <c r="N9" s="59" t="str" cm="1">
        <f t="array" ref="N9">IFERROR(INDEX(TallyRatingWord1,SMALL(IF((TallyScore=$P9)*(TallyDrinkType=$G$3),ROW(TallyDrinkNames)-ROW('Friday Spreadsheet CSV'!$E$3)+1),COUNTIF($P9:$P$12,$P9))),"")</f>
        <v>Refreshing</v>
      </c>
      <c r="O9" s="208" t="str" cm="1">
        <f t="array" ref="O9">IFERROR(INDEX(TallyRatingWord2,SMALL(IF((TallyScore=$P9)*(TallyDrinkType=$G$3),ROW(TallyDrinkNames)-ROW('Friday Spreadsheet CSV'!$E$3)+1),COUNTIF($P9:$P$12,$P9))),"")</f>
        <v>Filling</v>
      </c>
      <c r="P9" s="208" cm="1">
        <f t="array" ref="P9">IFERROR(LARGE(IF(TallyDrinkType=$G$3,TallyScore),ROWS($P$3:$P9)),"")</f>
        <v>8.5</v>
      </c>
      <c r="Q9" s="59"/>
      <c r="R9" s="143">
        <v>4</v>
      </c>
      <c r="S9" s="141" t="str" cm="1">
        <f t="array" ref="S9">INDEX(TallyDrinkNames, SMALL(IF($R$5=TallyDrinkType, ROW(TallyDrinkType)-ROW('Friday Spreadsheet CSV'!$E$3)+1), ROW(4:4)))</f>
        <v>Oscar's Peach Schnappes</v>
      </c>
      <c r="U9" s="71" t="str" cm="1">
        <f t="array" ref="U9">INDEX(TallyDrinkNames,SMALL(IF(TallyScore=$AB9,ROW(TallyDrinkNames)-ROW('Friday Spreadsheet CSV'!$K$3)+1),COUNTIF($AB9:$AB$33,$AB9)))</f>
        <v>Freixenet</v>
      </c>
      <c r="V9" s="71" t="str" cm="1">
        <f t="array" ref="V9">INDEX(TallyDrinkType,SMALL(IF(TallyScore=$AB9,ROW(TallyDrinkNames)-ROW('Friday Spreadsheet CSV'!$K$3)+1),COUNTIF($AB9:$AB$33,$AB9)))</f>
        <v>Wine</v>
      </c>
      <c r="W9" s="71" cm="1">
        <f t="array" ref="W9">INDEX(TallyMixer1,SMALL(IF(TallyScore=$AB9,ROW(TallyDrinkNames)-ROW('Friday Spreadsheet CSV'!$K$3)+1),COUNTIF($AB9:$AB$33,$AB9)))</f>
        <v>0</v>
      </c>
      <c r="X9" s="71" cm="1">
        <f t="array" ref="X9">INDEX(TallyMixer2,SMALL(IF(TallyScore=$AB9,ROW(TallyDrinkNames)-ROW('Friday Spreadsheet CSV'!$K$3)+1),COUNTIF($AB9:$AB$33,$AB9)))</f>
        <v>0</v>
      </c>
      <c r="Y9" s="71" t="str" cm="1">
        <f t="array" ref="Y9">INDEX(TallyRatingWord1,SMALL(IF(TallyScore=$AB9,ROW(TallyDrinkNames)-ROW('Friday Spreadsheet CSV'!$K$3)+1),COUNTIF($AB9:$AB$33,$AB9)))</f>
        <v>Taste</v>
      </c>
      <c r="Z9" s="71" t="str" cm="1">
        <f t="array" ref="Z9">INDEX(TallyRatingWord2,SMALL(IF(TallyScore=$AB9,ROW(TallyDrinkNames)-ROW('Friday Spreadsheet CSV'!$K$3)+1),COUNTIF($AB9:$AB$33,$AB9)))</f>
        <v>Unimportant</v>
      </c>
      <c r="AA9" s="71" t="str" cm="1">
        <f t="array" ref="AA9">INDEX(TallyPeopleNames,SMALL(IF(TallyScore=$AB9,ROW(TallyDrinkNames)-ROW('Friday Spreadsheet CSV'!$K$3)+1),COUNTIF($AB9:$AB$33,$AB9)))</f>
        <v>Joe Cuthbert</v>
      </c>
      <c r="AB9" s="71">
        <f>LARGE(TallyScore,ROWS($AB$3:$AB9))</f>
        <v>10</v>
      </c>
    </row>
    <row r="10" spans="1:34" ht="14" x14ac:dyDescent="0.15">
      <c r="B10" s="71" t="s">
        <v>65</v>
      </c>
      <c r="C10" s="139">
        <f t="shared" si="0"/>
        <v>121</v>
      </c>
      <c r="D10" s="72">
        <f t="shared" si="2"/>
        <v>8.1646423751686914</v>
      </c>
      <c r="E10" s="71">
        <f>AVERAGEIF(TallyDrinkType,$B10,TallyScore)</f>
        <v>6.053719008264463</v>
      </c>
      <c r="F10" s="59"/>
      <c r="G10" s="59"/>
      <c r="H10" s="212" t="str" cm="1">
        <f t="array" ref="H10">IFERROR(INDEX(TallyDrinkNames,SMALL(IF((TallyScore=$P10)*(TallyDrinkType=$G$3),ROW(TallyDrinkNames)-ROW('Friday Spreadsheet CSV'!$E$3)+1),COUNTIF($P10:$P$12,$P10))),"")</f>
        <v>Smirnoff Vodka</v>
      </c>
      <c r="I10" s="59" t="str" cm="1">
        <f t="array" ref="I10">IFERROR(INDEX(TallyPeopleNames,SMALL(IF((TallyScore=$P10)*(TallyDrinkType=$G$3),ROW(TallyDrinkNames)-ROW('Friday Spreadsheet CSV'!$E$3)+1),COUNTIF($P10:$P$12,$P10))),"")</f>
        <v>Sean Carey</v>
      </c>
      <c r="J10" s="59" t="str" cm="1">
        <f t="array" ref="J10">IFERROR(INDEX(TallyBrands,SMALL(IF((TallyScore=$P10)*(TallyDrinkType=$G$3),ROW(TallyDrinkNames)-ROW('Friday Spreadsheet CSV'!$E$3)+1),COUNTIF($P10:$P$12,$P10))),"")</f>
        <v>Smirnoff</v>
      </c>
      <c r="K10" s="213" cm="1">
        <f t="array" ref="K10">IFERROR(INDEX(TallyABV,SMALL(IF((TallyScore=$P10)*(TallyDrinkType=$G$3),ROW(TallyDrinkNames)-ROW('Friday Spreadsheet CSV'!$E$3)+1),COUNTIF($P10:$P$12,$P10))),"")</f>
        <v>0.375</v>
      </c>
      <c r="L10" s="59" t="str" cm="1">
        <f t="array" ref="L10">IFERROR(INDEX(TallyMixer1,SMALL(IF((TallyScore=$P10)*(TallyDrinkType=$G$3),ROW(TallyDrinkNames)-ROW('Friday Spreadsheet CSV'!$E$3)+1),COUNTIF($P10:$P$12,$P10))),"")</f>
        <v>Coke No.4</v>
      </c>
      <c r="M10" s="59" t="str" cm="1">
        <f t="array" ref="M10">IFERROR(INDEX(TallyMixer2,SMALL(IF((TallyScore=$P10)*(TallyDrinkType=$G$3),ROW(TallyDrinkNames)-ROW('Friday Spreadsheet CSV'!$E$3)+1),COUNTIF($P10:$P$12,$P10))),"")</f>
        <v/>
      </c>
      <c r="N10" s="59" t="str" cm="1">
        <f t="array" ref="N10">IFERROR(INDEX(TallyRatingWord1,SMALL(IF((TallyScore=$P10)*(TallyDrinkType=$G$3),ROW(TallyDrinkNames)-ROW('Friday Spreadsheet CSV'!$E$3)+1),COUNTIF($P10:$P$12,$P10))),"")</f>
        <v>Arboreal</v>
      </c>
      <c r="O10" s="208" t="str" cm="1">
        <f t="array" ref="O10">IFERROR(INDEX(TallyRatingWord2,SMALL(IF((TallyScore=$P10)*(TallyDrinkType=$G$3),ROW(TallyDrinkNames)-ROW('Friday Spreadsheet CSV'!$E$3)+1),COUNTIF($P10:$P$12,$P10))),"")</f>
        <v>Aromatic</v>
      </c>
      <c r="P10" s="208" cm="1">
        <f t="array" ref="P10">IFERROR(LARGE(IF(TallyDrinkType=$G$3,TallyScore),ROWS($P$3:$P10)),"")</f>
        <v>8.5</v>
      </c>
      <c r="Q10" s="59"/>
      <c r="R10" s="143">
        <v>5</v>
      </c>
      <c r="S10" s="141" t="str" cm="1">
        <f t="array" ref="S10">INDEX(TallyDrinkNames, SMALL(IF($R$5=TallyDrinkType, ROW(TallyDrinkType)-ROW('Friday Spreadsheet CSV'!$E$3)+1), ROW(5:5)))</f>
        <v>Metaxa</v>
      </c>
      <c r="U10" s="71" t="str" cm="1">
        <f t="array" ref="U10">INDEX(TallyDrinkNames,SMALL(IF(TallyScore=$AB10,ROW(TallyDrinkNames)-ROW('Friday Spreadsheet CSV'!$K$3)+1),COUNTIF($AB10:$AB$33,$AB10)))</f>
        <v>Freixenet</v>
      </c>
      <c r="V10" s="71" t="str" cm="1">
        <f t="array" ref="V10">INDEX(TallyDrinkType,SMALL(IF(TallyScore=$AB10,ROW(TallyDrinkNames)-ROW('Friday Spreadsheet CSV'!$K$3)+1),COUNTIF($AB10:$AB$33,$AB10)))</f>
        <v>Wine</v>
      </c>
      <c r="W10" s="71" cm="1">
        <f t="array" ref="W10">INDEX(TallyMixer1,SMALL(IF(TallyScore=$AB10,ROW(TallyDrinkNames)-ROW('Friday Spreadsheet CSV'!$K$3)+1),COUNTIF($AB10:$AB$33,$AB10)))</f>
        <v>0</v>
      </c>
      <c r="X10" s="71" cm="1">
        <f t="array" ref="X10">INDEX(TallyMixer2,SMALL(IF(TallyScore=$AB10,ROW(TallyDrinkNames)-ROW('Friday Spreadsheet CSV'!$K$3)+1),COUNTIF($AB10:$AB$33,$AB10)))</f>
        <v>0</v>
      </c>
      <c r="Y10" s="71" t="str" cm="1">
        <f t="array" ref="Y10">INDEX(TallyRatingWord1,SMALL(IF(TallyScore=$AB10,ROW(TallyDrinkNames)-ROW('Friday Spreadsheet CSV'!$K$3)+1),COUNTIF($AB10:$AB$33,$AB10)))</f>
        <v>Momentus</v>
      </c>
      <c r="Z10" s="71" t="str" cm="1">
        <f t="array" ref="Z10">INDEX(TallyRatingWord2,SMALL(IF(TallyScore=$AB10,ROW(TallyDrinkNames)-ROW('Friday Spreadsheet CSV'!$K$3)+1),COUNTIF($AB10:$AB$33,$AB10)))</f>
        <v>Occasion</v>
      </c>
      <c r="AA10" s="71" t="str" cm="1">
        <f t="array" ref="AA10">INDEX(TallyPeopleNames,SMALL(IF(TallyScore=$AB10,ROW(TallyDrinkNames)-ROW('Friday Spreadsheet CSV'!$K$3)+1),COUNTIF($AB10:$AB$33,$AB10)))</f>
        <v>Ben Millier</v>
      </c>
      <c r="AB10" s="71">
        <f>LARGE(TallyScore,ROWS($AB$3:$AB10))</f>
        <v>10</v>
      </c>
    </row>
    <row r="11" spans="1:34" ht="14" x14ac:dyDescent="0.15">
      <c r="B11" s="71" t="s">
        <v>48</v>
      </c>
      <c r="C11" s="139">
        <f t="shared" si="0"/>
        <v>8</v>
      </c>
      <c r="D11" s="72">
        <f t="shared" si="2"/>
        <v>0.53981106612685559</v>
      </c>
      <c r="E11" s="71">
        <f t="shared" si="1"/>
        <v>5.5</v>
      </c>
      <c r="F11" s="59"/>
      <c r="G11" s="59"/>
      <c r="H11" s="212" t="str" cm="1">
        <f t="array" ref="H11">IFERROR(INDEX(TallyDrinkNames,SMALL(IF((TallyScore=$P11)*(TallyDrinkType=$G$3),ROW(TallyDrinkNames)-ROW('Friday Spreadsheet CSV'!$E$3)+1),COUNTIF($P11:$P$12,$P11))),"")</f>
        <v>Smirnoff Vodka</v>
      </c>
      <c r="I11" s="59" t="str" cm="1">
        <f t="array" ref="I11">IFERROR(INDEX(TallyPeopleNames,SMALL(IF((TallyScore=$P11)*(TallyDrinkType=$G$3),ROW(TallyDrinkNames)-ROW('Friday Spreadsheet CSV'!$E$3)+1),COUNTIF($P11:$P$12,$P11))),"")</f>
        <v>Sean Carey</v>
      </c>
      <c r="J11" s="59" t="str" cm="1">
        <f t="array" ref="J11">IFERROR(INDEX(TallyBrands,SMALL(IF((TallyScore=$P11)*(TallyDrinkType=$G$3),ROW(TallyDrinkNames)-ROW('Friday Spreadsheet CSV'!$E$3)+1),COUNTIF($P11:$P$12,$P11))),"")</f>
        <v>Smirnoff</v>
      </c>
      <c r="K11" s="213" cm="1">
        <f t="array" ref="K11">IFERROR(INDEX(TallyABV,SMALL(IF((TallyScore=$P11)*(TallyDrinkType=$G$3),ROW(TallyDrinkNames)-ROW('Friday Spreadsheet CSV'!$E$3)+1),COUNTIF($P11:$P$12,$P11))),"")</f>
        <v>0.375</v>
      </c>
      <c r="L11" s="59" t="str" cm="1">
        <f t="array" ref="L11">IFERROR(INDEX(TallyMixer1,SMALL(IF((TallyScore=$P11)*(TallyDrinkType=$G$3),ROW(TallyDrinkNames)-ROW('Friday Spreadsheet CSV'!$E$3)+1),COUNTIF($P11:$P$12,$P11))),"")</f>
        <v>Kahlúa</v>
      </c>
      <c r="M11" s="59" t="str" cm="1">
        <f t="array" ref="M11">IFERROR(INDEX(TallyMixer2,SMALL(IF((TallyScore=$P11)*(TallyDrinkType=$G$3),ROW(TallyDrinkNames)-ROW('Friday Spreadsheet CSV'!$E$3)+1),COUNTIF($P11:$P$12,$P11))),"")</f>
        <v>Diet Coke</v>
      </c>
      <c r="N11" s="59" t="str" cm="1">
        <f t="array" ref="N11">IFERROR(INDEX(TallyRatingWord1,SMALL(IF((TallyScore=$P11)*(TallyDrinkType=$G$3),ROW(TallyDrinkNames)-ROW('Friday Spreadsheet CSV'!$E$3)+1),COUNTIF($P11:$P$12,$P11))),"")</f>
        <v>Inviting</v>
      </c>
      <c r="O11" s="208" t="str" cm="1">
        <f t="array" ref="O11">IFERROR(INDEX(TallyRatingWord2,SMALL(IF((TallyScore=$P11)*(TallyDrinkType=$G$3),ROW(TallyDrinkNames)-ROW('Friday Spreadsheet CSV'!$E$3)+1),COUNTIF($P11:$P$12,$P11))),"")</f>
        <v>Astonishing</v>
      </c>
      <c r="P11" s="208" cm="1">
        <f t="array" ref="P11">IFERROR(LARGE(IF(TallyDrinkType=$G$3,TallyScore),ROWS($P$3:$P11)),"")</f>
        <v>8</v>
      </c>
      <c r="Q11" s="59"/>
      <c r="R11" s="143">
        <v>6</v>
      </c>
      <c r="S11" s="141" t="str" cm="1">
        <f t="array" ref="S11">INDEX(TallyDrinkNames, SMALL(IF($R$5=TallyDrinkType, ROW(TallyDrinkType)-ROW('Friday Spreadsheet CSV'!$E$3)+1), ROW(6:6)))</f>
        <v>Metaxa</v>
      </c>
      <c r="U11" s="71" t="str" cm="1">
        <f t="array" ref="U11">INDEX(TallyDrinkNames,SMALL(IF(TallyScore=$AB11,ROW(TallyDrinkNames)-ROW('Friday Spreadsheet CSV'!$K$3)+1),COUNTIF($AB11:$AB$33,$AB11)))</f>
        <v>Malibu Rum</v>
      </c>
      <c r="V11" s="71" t="str" cm="1">
        <f t="array" ref="V11">INDEX(TallyDrinkType,SMALL(IF(TallyScore=$AB11,ROW(TallyDrinkNames)-ROW('Friday Spreadsheet CSV'!$K$3)+1),COUNTIF($AB11:$AB$33,$AB11)))</f>
        <v>Rum</v>
      </c>
      <c r="W11" s="71" cm="1">
        <f t="array" ref="W11">INDEX(TallyMixer1,SMALL(IF(TallyScore=$AB11,ROW(TallyDrinkNames)-ROW('Friday Spreadsheet CSV'!$K$3)+1),COUNTIF($AB11:$AB$33,$AB11)))</f>
        <v>0</v>
      </c>
      <c r="X11" s="71" cm="1">
        <f t="array" ref="X11">INDEX(TallyMixer2,SMALL(IF(TallyScore=$AB11,ROW(TallyDrinkNames)-ROW('Friday Spreadsheet CSV'!$K$3)+1),COUNTIF($AB11:$AB$33,$AB11)))</f>
        <v>0</v>
      </c>
      <c r="Y11" s="71" t="str" cm="1">
        <f t="array" ref="Y11">INDEX(TallyRatingWord1,SMALL(IF(TallyScore=$AB11,ROW(TallyDrinkNames)-ROW('Friday Spreadsheet CSV'!$K$3)+1),COUNTIF($AB11:$AB$33,$AB11)))</f>
        <v>Tropical</v>
      </c>
      <c r="Z11" s="71" t="str" cm="1">
        <f t="array" ref="Z11">INDEX(TallyRatingWord2,SMALL(IF(TallyScore=$AB11,ROW(TallyDrinkNames)-ROW('Friday Spreadsheet CSV'!$K$3)+1),COUNTIF($AB11:$AB$33,$AB11)))</f>
        <v>Obliviation</v>
      </c>
      <c r="AA11" s="71" t="str" cm="1">
        <f t="array" ref="AA11">INDEX(TallyPeopleNames,SMALL(IF(TallyScore=$AB11,ROW(TallyDrinkNames)-ROW('Friday Spreadsheet CSV'!$K$3)+1),COUNTIF($AB11:$AB$33,$AB11)))</f>
        <v>Libby Millier</v>
      </c>
      <c r="AB11" s="71">
        <f>LARGE(TallyScore,ROWS($AB$3:$AB11))</f>
        <v>10</v>
      </c>
    </row>
    <row r="12" spans="1:34" thickBot="1" x14ac:dyDescent="0.2">
      <c r="B12" s="71" t="s">
        <v>27</v>
      </c>
      <c r="C12" s="139">
        <f t="shared" si="0"/>
        <v>96</v>
      </c>
      <c r="D12" s="72">
        <f t="shared" si="2"/>
        <v>6.4777327935222671</v>
      </c>
      <c r="E12" s="71">
        <f t="shared" si="1"/>
        <v>6.583333333333333</v>
      </c>
      <c r="F12" s="59"/>
      <c r="G12" s="59"/>
      <c r="H12" s="214" t="str" cm="1">
        <f t="array" ref="H12">IFERROR(INDEX(TallyDrinkNames,SMALL(IF((TallyScore=$P12)*(TallyDrinkType=$G$3),ROW(TallyDrinkNames)-ROW('Friday Spreadsheet CSV'!$E$3)+1),COUNTIF($P12:$P$12,$P12))),"")</f>
        <v>Smirnoff Vodka</v>
      </c>
      <c r="I12" s="206" t="str" cm="1">
        <f t="array" ref="I12">IFERROR(INDEX(TallyPeopleNames,SMALL(IF((TallyScore=$P12)*(TallyDrinkType=$G$3),ROW(TallyDrinkNames)-ROW('Friday Spreadsheet CSV'!$E$3)+1),COUNTIF($P12:$P$12,$P12))),"")</f>
        <v>Daniel Hewlett</v>
      </c>
      <c r="J12" s="206" t="str" cm="1">
        <f t="array" ref="J12">IFERROR(INDEX(TallyBrands,SMALL(IF((TallyScore=$P12)*(TallyDrinkType=$G$3),ROW(TallyDrinkNames)-ROW('Friday Spreadsheet CSV'!$E$3)+1),COUNTIF($P12:$P$12,$P12))),"")</f>
        <v>Smirnoff</v>
      </c>
      <c r="K12" s="215" cm="1">
        <f t="array" ref="K12">IFERROR(INDEX(TallyABV,SMALL(IF((TallyScore=$P12)*(TallyDrinkType=$G$3),ROW(TallyDrinkNames)-ROW('Friday Spreadsheet CSV'!$E$3)+1),COUNTIF($P12:$P$12,$P12))),"")</f>
        <v>0.375</v>
      </c>
      <c r="L12" s="206" t="str" cm="1">
        <f t="array" ref="L12">IFERROR(INDEX(TallyMixer1,SMALL(IF((TallyScore=$P12)*(TallyDrinkType=$G$3),ROW(TallyDrinkNames)-ROW('Friday Spreadsheet CSV'!$E$3)+1),COUNTIF($P12:$P$12,$P12))),"")</f>
        <v>Orange Juice</v>
      </c>
      <c r="M12" s="206" t="str" cm="1">
        <f t="array" ref="M12">IFERROR(INDEX(TallyMixer2,SMALL(IF((TallyScore=$P12)*(TallyDrinkType=$G$3),ROW(TallyDrinkNames)-ROW('Friday Spreadsheet CSV'!$E$3)+1),COUNTIF($P12:$P$12,$P12))),"")</f>
        <v/>
      </c>
      <c r="N12" s="206" t="str" cm="1">
        <f t="array" ref="N12">IFERROR(INDEX(TallyRatingWord1,SMALL(IF((TallyScore=$P12)*(TallyDrinkType=$G$3),ROW(TallyDrinkNames)-ROW('Friday Spreadsheet CSV'!$E$3)+1),COUNTIF($P12:$P$12,$P12))),"")</f>
        <v>Sharp</v>
      </c>
      <c r="O12" s="209" t="str" cm="1">
        <f t="array" ref="O12">IFERROR(INDEX(TallyRatingWord2,SMALL(IF((TallyScore=$P12)*(TallyDrinkType=$G$3),ROW(TallyDrinkNames)-ROW('Friday Spreadsheet CSV'!$E$3)+1),COUNTIF($P12:$P$12,$P12))),"")</f>
        <v>Moreish</v>
      </c>
      <c r="P12" s="209" cm="1">
        <f t="array" ref="P12">IFERROR(LARGE(IF(TallyDrinkType=$G$3,TallyScore),ROWS($P$3:$P12)),"")</f>
        <v>8</v>
      </c>
      <c r="Q12" s="59"/>
      <c r="R12" s="143">
        <v>7</v>
      </c>
      <c r="S12" s="141" t="str" cm="1">
        <f t="array" ref="S12">INDEX(TallyDrinkNames, SMALL(IF($R$5=TallyDrinkType, ROW(TallyDrinkType)-ROW('Friday Spreadsheet CSV'!$E$3)+1), ROW(7:7)))</f>
        <v>Metaxa</v>
      </c>
      <c r="U12" s="71" t="str" cm="1">
        <f t="array" ref="U12">INDEX(TallyDrinkNames,SMALL(IF(TallyScore=$AB12,ROW(TallyDrinkNames)-ROW('Friday Spreadsheet CSV'!$K$3)+1),COUNTIF($AB12:$AB$33,$AB12)))</f>
        <v>Corona Extra</v>
      </c>
      <c r="V12" s="71" t="str" cm="1">
        <f t="array" ref="V12">INDEX(TallyDrinkType,SMALL(IF(TallyScore=$AB12,ROW(TallyDrinkNames)-ROW('Friday Spreadsheet CSV'!$K$3)+1),COUNTIF($AB12:$AB$33,$AB12)))</f>
        <v>Beer</v>
      </c>
      <c r="W12" s="71" t="str" cm="1">
        <f t="array" ref="W12">INDEX(TallyMixer1,SMALL(IF(TallyScore=$AB12,ROW(TallyDrinkNames)-ROW('Friday Spreadsheet CSV'!$K$3)+1),COUNTIF($AB12:$AB$33,$AB12)))</f>
        <v/>
      </c>
      <c r="X12" s="71" t="str" cm="1">
        <f t="array" ref="X12">INDEX(TallyMixer2,SMALL(IF(TallyScore=$AB12,ROW(TallyDrinkNames)-ROW('Friday Spreadsheet CSV'!$K$3)+1),COUNTIF($AB12:$AB$33,$AB12)))</f>
        <v/>
      </c>
      <c r="Y12" s="71" t="str" cm="1">
        <f t="array" ref="Y12">INDEX(TallyRatingWord1,SMALL(IF(TallyScore=$AB12,ROW(TallyDrinkNames)-ROW('Friday Spreadsheet CSV'!$K$3)+1),COUNTIF($AB12:$AB$33,$AB12)))</f>
        <v>Cool</v>
      </c>
      <c r="Z12" s="71" t="str" cm="1">
        <f t="array" ref="Z12">INDEX(TallyRatingWord2,SMALL(IF(TallyScore=$AB12,ROW(TallyDrinkNames)-ROW('Friday Spreadsheet CSV'!$K$3)+1),COUNTIF($AB12:$AB$33,$AB12)))</f>
        <v>Muthafucka</v>
      </c>
      <c r="AA12" s="71" t="str" cm="1">
        <f t="array" ref="AA12">INDEX(TallyPeopleNames,SMALL(IF(TallyScore=$AB12,ROW(TallyDrinkNames)-ROW('Friday Spreadsheet CSV'!$K$3)+1),COUNTIF($AB12:$AB$33,$AB12)))</f>
        <v>Karol Blanco</v>
      </c>
      <c r="AB12" s="71">
        <f>LARGE(TallyScore,ROWS($AB$3:$AB12))</f>
        <v>10</v>
      </c>
      <c r="AD12" s="29"/>
    </row>
    <row r="13" spans="1:34" ht="14" x14ac:dyDescent="0.15">
      <c r="B13" s="71" t="s">
        <v>90</v>
      </c>
      <c r="C13" s="139">
        <f t="shared" si="0"/>
        <v>24</v>
      </c>
      <c r="D13" s="72">
        <f t="shared" si="2"/>
        <v>1.6194331983805668</v>
      </c>
      <c r="E13" s="71">
        <f t="shared" si="1"/>
        <v>6.3125</v>
      </c>
      <c r="F13" s="59"/>
      <c r="G13" s="59"/>
      <c r="H13" s="59"/>
      <c r="I13" s="59"/>
      <c r="J13" s="59"/>
      <c r="K13" s="59"/>
      <c r="L13" s="59"/>
      <c r="M13" s="59"/>
      <c r="N13" s="59"/>
      <c r="O13" s="59"/>
      <c r="P13" s="59"/>
      <c r="R13" s="143">
        <v>8</v>
      </c>
      <c r="S13" s="141" t="str" cm="1">
        <f t="array" ref="S13">INDEX(TallyDrinkNames, SMALL(IF($R$5=TallyDrinkType, ROW(TallyDrinkType)-ROW('Friday Spreadsheet CSV'!$E$3)+1), ROW(8:8)))</f>
        <v>Bay Berry Wine</v>
      </c>
      <c r="U13" s="71" t="str" cm="1">
        <f t="array" ref="U13">INDEX(TallyDrinkNames,SMALL(IF(TallyScore=$AB13,ROW(TallyDrinkNames)-ROW('Friday Spreadsheet CSV'!$K$3)+1),COUNTIF($AB13:$AB$33,$AB13)))</f>
        <v>Club Colombia</v>
      </c>
      <c r="V13" s="71" t="str" cm="1">
        <f t="array" ref="V13">INDEX(TallyDrinkType,SMALL(IF(TallyScore=$AB13,ROW(TallyDrinkNames)-ROW('Friday Spreadsheet CSV'!$K$3)+1),COUNTIF($AB13:$AB$33,$AB13)))</f>
        <v>Beer</v>
      </c>
      <c r="W13" s="71" t="str" cm="1">
        <f t="array" ref="W13">INDEX(TallyMixer1,SMALL(IF(TallyScore=$AB13,ROW(TallyDrinkNames)-ROW('Friday Spreadsheet CSV'!$K$3)+1),COUNTIF($AB13:$AB$33,$AB13)))</f>
        <v/>
      </c>
      <c r="X13" s="71" t="str" cm="1">
        <f t="array" ref="X13">INDEX(TallyMixer2,SMALL(IF(TallyScore=$AB13,ROW(TallyDrinkNames)-ROW('Friday Spreadsheet CSV'!$K$3)+1),COUNTIF($AB13:$AB$33,$AB13)))</f>
        <v/>
      </c>
      <c r="Y13" s="71" t="str" cm="1">
        <f t="array" ref="Y13">INDEX(TallyRatingWord1,SMALL(IF(TallyScore=$AB13,ROW(TallyDrinkNames)-ROW('Friday Spreadsheet CSV'!$K$3)+1),COUNTIF($AB13:$AB$33,$AB13)))</f>
        <v>Parcera</v>
      </c>
      <c r="Z13" s="71" t="str" cm="1">
        <f t="array" ref="Z13">INDEX(TallyRatingWord2,SMALL(IF(TallyScore=$AB13,ROW(TallyDrinkNames)-ROW('Friday Spreadsheet CSV'!$K$3)+1),COUNTIF($AB13:$AB$33,$AB13)))</f>
        <v>Cucha</v>
      </c>
      <c r="AA13" s="71" t="str" cm="1">
        <f t="array" ref="AA13">INDEX(TallyPeopleNames,SMALL(IF(TallyScore=$AB13,ROW(TallyDrinkNames)-ROW('Friday Spreadsheet CSV'!$K$3)+1),COUNTIF($AB13:$AB$33,$AB13)))</f>
        <v>Karol Blanco</v>
      </c>
      <c r="AB13" s="71">
        <f>LARGE(TallyScore,ROWS($AB$3:$AB13))</f>
        <v>10</v>
      </c>
    </row>
    <row r="14" spans="1:34" thickBot="1" x14ac:dyDescent="0.2">
      <c r="B14" s="74" t="s">
        <v>190</v>
      </c>
      <c r="C14" s="139">
        <f t="shared" si="0"/>
        <v>59</v>
      </c>
      <c r="D14" s="72">
        <f t="shared" si="2"/>
        <v>3.9811066126855601</v>
      </c>
      <c r="E14" s="71">
        <f t="shared" si="1"/>
        <v>5.2372881355932206</v>
      </c>
      <c r="F14" s="59"/>
      <c r="G14" s="59"/>
      <c r="H14" s="59"/>
      <c r="I14" s="59"/>
      <c r="J14" s="59"/>
      <c r="K14" s="59"/>
      <c r="L14" s="59"/>
      <c r="M14" s="59"/>
      <c r="N14" s="59"/>
      <c r="O14" s="59"/>
      <c r="P14" s="59"/>
      <c r="R14" s="143">
        <v>9</v>
      </c>
      <c r="S14" s="141" t="str" cm="1">
        <f t="array" ref="S14">INDEX(TallyDrinkNames, SMALL(IF($R$5=TallyDrinkType, ROW(TallyDrinkType)-ROW('Friday Spreadsheet CSV'!$E$3)+1), ROW(9:9)))</f>
        <v>Bols Triple Sec</v>
      </c>
      <c r="U14" s="71" t="str" cm="1">
        <f t="array" ref="U14">INDEX(TallyDrinkNames,SMALL(IF(TallyScore=$AB14,ROW(TallyDrinkNames)-ROW('Friday Spreadsheet CSV'!$K$3)+1),COUNTIF($AB14:$AB$33,$AB14)))</f>
        <v>Sainsbury's Bucks Fizz</v>
      </c>
      <c r="V14" s="71" t="str" cm="1">
        <f t="array" ref="V14">INDEX(TallyDrinkType,SMALL(IF(TallyScore=$AB14,ROW(TallyDrinkNames)-ROW('Friday Spreadsheet CSV'!$K$3)+1),COUNTIF($AB14:$AB$33,$AB14)))</f>
        <v>Wine</v>
      </c>
      <c r="W14" s="71" t="str" cm="1">
        <f t="array" ref="W14">INDEX(TallyMixer1,SMALL(IF(TallyScore=$AB14,ROW(TallyDrinkNames)-ROW('Friday Spreadsheet CSV'!$K$3)+1),COUNTIF($AB14:$AB$33,$AB14)))</f>
        <v/>
      </c>
      <c r="X14" s="71" t="str" cm="1">
        <f t="array" ref="X14">INDEX(TallyMixer2,SMALL(IF(TallyScore=$AB14,ROW(TallyDrinkNames)-ROW('Friday Spreadsheet CSV'!$K$3)+1),COUNTIF($AB14:$AB$33,$AB14)))</f>
        <v/>
      </c>
      <c r="Y14" s="71" t="str" cm="1">
        <f t="array" ref="Y14">INDEX(TallyRatingWord1,SMALL(IF(TallyScore=$AB14,ROW(TallyDrinkNames)-ROW('Friday Spreadsheet CSV'!$K$3)+1),COUNTIF($AB14:$AB$33,$AB14)))</f>
        <v>Christmas</v>
      </c>
      <c r="Z14" s="71" t="str" cm="1">
        <f t="array" ref="Z14">INDEX(TallyRatingWord2,SMALL(IF(TallyScore=$AB14,ROW(TallyDrinkNames)-ROW('Friday Spreadsheet CSV'!$K$3)+1),COUNTIF($AB14:$AB$33,$AB14)))</f>
        <v>Morning</v>
      </c>
      <c r="AA14" s="71" t="str" cm="1">
        <f t="array" ref="AA14">INDEX(TallyPeopleNames,SMALL(IF(TallyScore=$AB14,ROW(TallyDrinkNames)-ROW('Friday Spreadsheet CSV'!$K$3)+1),COUNTIF($AB14:$AB$33,$AB14)))</f>
        <v>Ben Millier</v>
      </c>
      <c r="AB14" s="71">
        <f>LARGE(TallyScore,ROWS($AB$3:$AB14))</f>
        <v>10</v>
      </c>
    </row>
    <row r="15" spans="1:34" thickBot="1" x14ac:dyDescent="0.2">
      <c r="B15" s="75" t="s">
        <v>101</v>
      </c>
      <c r="C15" s="75">
        <f>SUM(C3:C14)</f>
        <v>1482</v>
      </c>
      <c r="D15" s="15">
        <f>SUM(D3:D14)</f>
        <v>100</v>
      </c>
      <c r="E15" s="75">
        <f>AVERAGE(TallyScore)</f>
        <v>6.1636302294197032</v>
      </c>
      <c r="F15" s="59"/>
      <c r="G15" s="59"/>
      <c r="H15" s="59"/>
      <c r="I15" s="59"/>
      <c r="J15" s="59"/>
      <c r="K15" s="59"/>
      <c r="L15" s="59"/>
      <c r="M15" s="59"/>
      <c r="N15" s="59"/>
      <c r="O15" s="59"/>
      <c r="P15" s="59"/>
      <c r="R15" s="143">
        <v>10</v>
      </c>
      <c r="S15" s="141" t="str" cm="1">
        <f t="array" ref="S15">INDEX(TallyDrinkNames, SMALL(IF($R$5=TallyDrinkType, ROW(TallyDrinkType)-ROW('Friday Spreadsheet CSV'!$E$3)+1), ROW(10:10)))</f>
        <v>Balans Mandarin Aqua Spritz</v>
      </c>
      <c r="U15" s="71" t="str" cm="1">
        <f t="array" ref="U15">INDEX(TallyDrinkNames,SMALL(IF(TallyScore=$AB15,ROW(TallyDrinkNames)-ROW('Friday Spreadsheet CSV'!$K$3)+1),COUNTIF($AB15:$AB$33,$AB15)))</f>
        <v>Malibu Rum</v>
      </c>
      <c r="V15" s="71" t="str" cm="1">
        <f t="array" ref="V15">INDEX(TallyDrinkType,SMALL(IF(TallyScore=$AB15,ROW(TallyDrinkNames)-ROW('Friday Spreadsheet CSV'!$K$3)+1),COUNTIF($AB15:$AB$33,$AB15)))</f>
        <v>Rum</v>
      </c>
      <c r="W15" s="71" t="str" cm="1">
        <f t="array" ref="W15">INDEX(TallyMixer1,SMALL(IF(TallyScore=$AB15,ROW(TallyDrinkNames)-ROW('Friday Spreadsheet CSV'!$K$3)+1),COUNTIF($AB15:$AB$33,$AB15)))</f>
        <v/>
      </c>
      <c r="X15" s="71" t="str" cm="1">
        <f t="array" ref="X15">INDEX(TallyMixer2,SMALL(IF(TallyScore=$AB15,ROW(TallyDrinkNames)-ROW('Friday Spreadsheet CSV'!$K$3)+1),COUNTIF($AB15:$AB$33,$AB15)))</f>
        <v/>
      </c>
      <c r="Y15" s="71" t="str" cm="1">
        <f t="array" ref="Y15">INDEX(TallyRatingWord1,SMALL(IF(TallyScore=$AB15,ROW(TallyDrinkNames)-ROW('Friday Spreadsheet CSV'!$K$3)+1),COUNTIF($AB15:$AB$33,$AB15)))</f>
        <v>Carribeany</v>
      </c>
      <c r="Z15" s="71" t="str" cm="1">
        <f t="array" ref="Z15">INDEX(TallyRatingWord2,SMALL(IF(TallyScore=$AB15,ROW(TallyDrinkNames)-ROW('Friday Spreadsheet CSV'!$K$3)+1),COUNTIF($AB15:$AB$33,$AB15)))</f>
        <v>Smooth</v>
      </c>
      <c r="AA15" s="71" t="str" cm="1">
        <f t="array" ref="AA15">INDEX(TallyPeopleNames,SMALL(IF(TallyScore=$AB15,ROW(TallyDrinkNames)-ROW('Friday Spreadsheet CSV'!$K$3)+1),COUNTIF($AB15:$AB$33,$AB15)))</f>
        <v>Catherine Allen</v>
      </c>
      <c r="AB15" s="71">
        <f>LARGE(TallyScore,ROWS($AB$3:$AB15))</f>
        <v>10</v>
      </c>
    </row>
    <row r="16" spans="1:34" ht="14" x14ac:dyDescent="0.15">
      <c r="D16" s="1"/>
      <c r="R16" s="143">
        <v>11</v>
      </c>
      <c r="S16" s="141" t="str" cm="1">
        <f t="array" ref="S16">INDEX(TallyDrinkNames, SMALL(IF($R$5=TallyDrinkType, ROW(TallyDrinkType)-ROW('Friday Spreadsheet CSV'!$E$3)+1), ROW(11:11)))</f>
        <v>Jose Cuervo Especial Blue Agave Tequila</v>
      </c>
      <c r="U16" s="71" t="str" cm="1">
        <f t="array" ref="U16">INDEX(TallyDrinkNames,SMALL(IF(TallyScore=$AB16,ROW(TallyDrinkNames)-ROW('Friday Spreadsheet CSV'!$K$3)+1),COUNTIF($AB16:$AB$33,$AB16)))</f>
        <v>Cointreau Blood Orange</v>
      </c>
      <c r="V16" s="71" t="str" cm="1">
        <f t="array" ref="V16">INDEX(TallyDrinkType,SMALL(IF(TallyScore=$AB16,ROW(TallyDrinkNames)-ROW('Friday Spreadsheet CSV'!$K$3)+1),COUNTIF($AB16:$AB$33,$AB16)))</f>
        <v>Liqueur</v>
      </c>
      <c r="W16" s="71" t="str" cm="1">
        <f t="array" ref="W16">INDEX(TallyMixer1,SMALL(IF(TallyScore=$AB16,ROW(TallyDrinkNames)-ROW('Friday Spreadsheet CSV'!$K$3)+1),COUNTIF($AB16:$AB$33,$AB16)))</f>
        <v>Chocolate Nesquik</v>
      </c>
      <c r="X16" s="71" t="str" cm="1">
        <f t="array" ref="X16">INDEX(TallyMixer2,SMALL(IF(TallyScore=$AB16,ROW(TallyDrinkNames)-ROW('Friday Spreadsheet CSV'!$K$3)+1),COUNTIF($AB16:$AB$33,$AB16)))</f>
        <v/>
      </c>
      <c r="Y16" s="71" t="str" cm="1">
        <f t="array" ref="Y16">INDEX(TallyRatingWord1,SMALL(IF(TallyScore=$AB16,ROW(TallyDrinkNames)-ROW('Friday Spreadsheet CSV'!$K$3)+1),COUNTIF($AB16:$AB$33,$AB16)))</f>
        <v>Fucking</v>
      </c>
      <c r="Z16" s="71" t="str" cm="1">
        <f t="array" ref="Z16">INDEX(TallyRatingWord2,SMALL(IF(TallyScore=$AB16,ROW(TallyDrinkNames)-ROW('Friday Spreadsheet CSV'!$K$3)+1),COUNTIF($AB16:$AB$33,$AB16)))</f>
        <v>Magnificent</v>
      </c>
      <c r="AA16" s="71" t="str" cm="1">
        <f t="array" ref="AA16">INDEX(TallyPeopleNames,SMALL(IF(TallyScore=$AB16,ROW(TallyDrinkNames)-ROW('Friday Spreadsheet CSV'!$K$3)+1),COUNTIF($AB16:$AB$33,$AB16)))</f>
        <v>Joe Cuthbert</v>
      </c>
      <c r="AB16" s="71">
        <f>LARGE(TallyScore,ROWS($AB$3:$AB16))</f>
        <v>10</v>
      </c>
    </row>
    <row r="17" spans="2:28" ht="14" x14ac:dyDescent="0.15">
      <c r="B17" s="136"/>
      <c r="C17" s="137"/>
      <c r="D17" s="1"/>
      <c r="R17" s="143">
        <v>12</v>
      </c>
      <c r="S17" s="141" t="str" cm="1">
        <f t="array" ref="S17">INDEX(TallyDrinkNames, SMALL(IF($R$5=TallyDrinkType, ROW(TallyDrinkType)-ROW('Friday Spreadsheet CSV'!$E$3)+1), ROW(12:12)))</f>
        <v>Jose Cuervo Especial Blue Agave Tequila</v>
      </c>
      <c r="U17" s="71" t="str" cm="1">
        <f t="array" ref="U17">INDEX(TallyDrinkNames,SMALL(IF(TallyScore=$AB17,ROW(TallyDrinkNames)-ROW('Friday Spreadsheet CSV'!$K$3)+1),COUNTIF($AB17:$AB$33,$AB17)))</f>
        <v>Otter Ale</v>
      </c>
      <c r="V17" s="71" t="str" cm="1">
        <f t="array" ref="V17">INDEX(TallyDrinkType,SMALL(IF(TallyScore=$AB17,ROW(TallyDrinkNames)-ROW('Friday Spreadsheet CSV'!$K$3)+1),COUNTIF($AB17:$AB$33,$AB17)))</f>
        <v>Beer</v>
      </c>
      <c r="W17" s="71" t="str" cm="1">
        <f t="array" ref="W17">INDEX(TallyMixer1,SMALL(IF(TallyScore=$AB17,ROW(TallyDrinkNames)-ROW('Friday Spreadsheet CSV'!$K$3)+1),COUNTIF($AB17:$AB$33,$AB17)))</f>
        <v/>
      </c>
      <c r="X17" s="71" t="str" cm="1">
        <f t="array" ref="X17">INDEX(TallyMixer2,SMALL(IF(TallyScore=$AB17,ROW(TallyDrinkNames)-ROW('Friday Spreadsheet CSV'!$K$3)+1),COUNTIF($AB17:$AB$33,$AB17)))</f>
        <v/>
      </c>
      <c r="Y17" s="71" t="str" cm="1">
        <f t="array" ref="Y17">INDEX(TallyRatingWord1,SMALL(IF(TallyScore=$AB17,ROW(TallyDrinkNames)-ROW('Friday Spreadsheet CSV'!$K$3)+1),COUNTIF($AB17:$AB$33,$AB17)))</f>
        <v>Beautiful</v>
      </c>
      <c r="Z17" s="71" t="str" cm="1">
        <f t="array" ref="Z17">INDEX(TallyRatingWord2,SMALL(IF(TallyScore=$AB17,ROW(TallyDrinkNames)-ROW('Friday Spreadsheet CSV'!$K$3)+1),COUNTIF($AB17:$AB$33,$AB17)))</f>
        <v>Days</v>
      </c>
      <c r="AA17" s="71" t="str" cm="1">
        <f t="array" ref="AA17">INDEX(TallyPeopleNames,SMALL(IF(TallyScore=$AB17,ROW(TallyDrinkNames)-ROW('Friday Spreadsheet CSV'!$K$3)+1),COUNTIF($AB17:$AB$33,$AB17)))</f>
        <v>Ed Saunders</v>
      </c>
      <c r="AB17" s="71">
        <f>LARGE(TallyScore,ROWS($AB$3:$AB17))</f>
        <v>10</v>
      </c>
    </row>
    <row r="18" spans="2:28" x14ac:dyDescent="0.2">
      <c r="B18" s="144"/>
      <c r="C18" s="145"/>
      <c r="D18" s="1"/>
      <c r="E18" s="45"/>
      <c r="F18" s="45"/>
      <c r="H18" s="44"/>
      <c r="I18" s="44"/>
      <c r="J18" s="44"/>
      <c r="K18" s="44"/>
      <c r="L18" s="44"/>
      <c r="M18" s="44"/>
      <c r="N18" s="44"/>
      <c r="O18" s="44"/>
      <c r="P18" s="49"/>
      <c r="Q18" s="49"/>
      <c r="R18" s="143">
        <v>13</v>
      </c>
      <c r="S18" s="141" t="str" cm="1">
        <f t="array" ref="S18">INDEX(TallyDrinkNames, SMALL(IF($R$5=TallyDrinkType, ROW(TallyDrinkType)-ROW('Friday Spreadsheet CSV'!$E$3)+1), ROW(13:13)))</f>
        <v>Hooch Lemon</v>
      </c>
      <c r="T18" s="49"/>
      <c r="U18" s="71" t="str" cm="1">
        <f t="array" ref="U18">INDEX(TallyDrinkNames,SMALL(IF(TallyScore=$AB18,ROW(TallyDrinkNames)-ROW('Friday Spreadsheet CSV'!$K$3)+1),COUNTIF($AB18:$AB$33,$AB18)))</f>
        <v>Water</v>
      </c>
      <c r="V18" s="71" t="str" cm="1">
        <f t="array" ref="V18">INDEX(TallyDrinkType,SMALL(IF(TallyScore=$AB18,ROW(TallyDrinkNames)-ROW('Friday Spreadsheet CSV'!$K$3)+1),COUNTIF($AB18:$AB$33,$AB18)))</f>
        <v>Soft Drink</v>
      </c>
      <c r="W18" s="71" t="str" cm="1">
        <f t="array" ref="W18">INDEX(TallyMixer1,SMALL(IF(TallyScore=$AB18,ROW(TallyDrinkNames)-ROW('Friday Spreadsheet CSV'!$K$3)+1),COUNTIF($AB18:$AB$33,$AB18)))</f>
        <v/>
      </c>
      <c r="X18" s="71" t="str" cm="1">
        <f t="array" ref="X18">INDEX(TallyMixer2,SMALL(IF(TallyScore=$AB18,ROW(TallyDrinkNames)-ROW('Friday Spreadsheet CSV'!$K$3)+1),COUNTIF($AB18:$AB$33,$AB18)))</f>
        <v/>
      </c>
      <c r="Y18" s="71" t="str" cm="1">
        <f t="array" ref="Y18">INDEX(TallyRatingWord1,SMALL(IF(TallyScore=$AB18,ROW(TallyDrinkNames)-ROW('Friday Spreadsheet CSV'!$K$3)+1),COUNTIF($AB18:$AB$33,$AB18)))</f>
        <v>Life-Giving</v>
      </c>
      <c r="Z18" s="71" t="str" cm="1">
        <f t="array" ref="Z18">INDEX(TallyRatingWord2,SMALL(IF(TallyScore=$AB18,ROW(TallyDrinkNames)-ROW('Friday Spreadsheet CSV'!$K$3)+1),COUNTIF($AB18:$AB$33,$AB18)))</f>
        <v>Perfection</v>
      </c>
      <c r="AA18" s="71" t="str" cm="1">
        <f t="array" ref="AA18">INDEX(TallyPeopleNames,SMALL(IF(TallyScore=$AB18,ROW(TallyDrinkNames)-ROW('Friday Spreadsheet CSV'!$K$3)+1),COUNTIF($AB18:$AB$33,$AB18)))</f>
        <v>Shaun Munro</v>
      </c>
      <c r="AB18" s="71">
        <f>LARGE(TallyScore,ROWS($AB$3:$AB18))</f>
        <v>10</v>
      </c>
    </row>
    <row r="19" spans="2:28" x14ac:dyDescent="0.2">
      <c r="B19" s="146"/>
      <c r="C19" s="137"/>
      <c r="D19" s="1"/>
      <c r="E19" s="45"/>
      <c r="F19" s="45"/>
      <c r="H19" s="51"/>
      <c r="I19" s="44"/>
      <c r="J19" s="44"/>
      <c r="K19" s="45"/>
      <c r="L19" s="45"/>
      <c r="M19" s="45"/>
      <c r="N19" s="45"/>
      <c r="O19" s="45"/>
      <c r="P19" s="25"/>
      <c r="Q19" s="25"/>
      <c r="R19" s="143">
        <v>14</v>
      </c>
      <c r="S19" s="141" t="str" cm="1">
        <f t="array" ref="S19">INDEX(TallyDrinkNames, SMALL(IF($R$5=TallyDrinkType, ROW(TallyDrinkType)-ROW('Friday Spreadsheet CSV'!$E$3)+1), ROW(14:14)))</f>
        <v>Home Bargain Shuda Cherry Sourz Shot</v>
      </c>
      <c r="T19" s="25"/>
      <c r="U19" s="71" t="str" cm="1">
        <f t="array" ref="U19">INDEX(TallyDrinkNames,SMALL(IF(TallyScore=$AB19,ROW(TallyDrinkNames)-ROW('Friday Spreadsheet CSV'!$K$3)+1),COUNTIF($AB19:$AB$33,$AB19)))</f>
        <v>Hendricks Gin</v>
      </c>
      <c r="V19" s="71" t="str" cm="1">
        <f t="array" ref="V19">INDEX(TallyDrinkType,SMALL(IF(TallyScore=$AB19,ROW(TallyDrinkNames)-ROW('Friday Spreadsheet CSV'!$K$3)+1),COUNTIF($AB19:$AB$33,$AB19)))</f>
        <v>Gin</v>
      </c>
      <c r="W19" s="71" t="str" cm="1">
        <f t="array" ref="W19">INDEX(TallyMixer1,SMALL(IF(TallyScore=$AB19,ROW(TallyDrinkNames)-ROW('Friday Spreadsheet CSV'!$K$3)+1),COUNTIF($AB19:$AB$33,$AB19)))</f>
        <v>Schweppes Streamline Tonic</v>
      </c>
      <c r="X19" s="71" t="str" cm="1">
        <f t="array" ref="X19">INDEX(TallyMixer2,SMALL(IF(TallyScore=$AB19,ROW(TallyDrinkNames)-ROW('Friday Spreadsheet CSV'!$K$3)+1),COUNTIF($AB19:$AB$33,$AB19)))</f>
        <v/>
      </c>
      <c r="Y19" s="71" t="str" cm="1">
        <f t="array" ref="Y19">INDEX(TallyRatingWord1,SMALL(IF(TallyScore=$AB19,ROW(TallyDrinkNames)-ROW('Friday Spreadsheet CSV'!$K$3)+1),COUNTIF($AB19:$AB$33,$AB19)))</f>
        <v>Delightful</v>
      </c>
      <c r="Z19" s="71" t="str" cm="1">
        <f t="array" ref="Z19">INDEX(TallyRatingWord2,SMALL(IF(TallyScore=$AB19,ROW(TallyDrinkNames)-ROW('Friday Spreadsheet CSV'!$K$3)+1),COUNTIF($AB19:$AB$33,$AB19)))</f>
        <v>Smooth</v>
      </c>
      <c r="AA19" s="71" t="str" cm="1">
        <f t="array" ref="AA19">INDEX(TallyPeopleNames,SMALL(IF(TallyScore=$AB19,ROW(TallyDrinkNames)-ROW('Friday Spreadsheet CSV'!$K$3)+1),COUNTIF($AB19:$AB$33,$AB19)))</f>
        <v>Stephanie Hewlett</v>
      </c>
      <c r="AB19" s="71">
        <f>LARGE(TallyScore,ROWS($AB$3:$AB19))</f>
        <v>10</v>
      </c>
    </row>
    <row r="20" spans="2:28" x14ac:dyDescent="0.2">
      <c r="B20" s="146"/>
      <c r="C20" s="137"/>
      <c r="D20" s="1"/>
      <c r="E20" s="45"/>
      <c r="F20" s="45"/>
      <c r="H20" s="51"/>
      <c r="I20" s="44"/>
      <c r="J20" s="44"/>
      <c r="K20" s="45"/>
      <c r="L20" s="45"/>
      <c r="M20" s="45"/>
      <c r="N20" s="45"/>
      <c r="O20" s="45"/>
      <c r="P20" s="25"/>
      <c r="Q20" s="25"/>
      <c r="R20" s="143">
        <v>15</v>
      </c>
      <c r="S20" s="141" t="str" cm="1">
        <f t="array" ref="S20">INDEX(TallyDrinkNames, SMALL(IF($R$5=TallyDrinkType, ROW(TallyDrinkType)-ROW('Friday Spreadsheet CSV'!$E$3)+1), ROW(15:15)))</f>
        <v>Home Bargain Shuda Strawberry Cream Shots</v>
      </c>
      <c r="T20" s="25"/>
      <c r="U20" s="71" t="str" cm="1">
        <f t="array" ref="U20">INDEX(TallyDrinkNames,SMALL(IF(TallyScore=$AB20,ROW(TallyDrinkNames)-ROW('Friday Spreadsheet CSV'!$K$3)+1),COUNTIF($AB20:$AB$33,$AB20)))</f>
        <v>Dead Man's Fingers Pineapple Spiced Rum</v>
      </c>
      <c r="V20" s="71" t="str" cm="1">
        <f t="array" ref="V20">INDEX(TallyDrinkType,SMALL(IF(TallyScore=$AB20,ROW(TallyDrinkNames)-ROW('Friday Spreadsheet CSV'!$K$3)+1),COUNTIF($AB20:$AB$33,$AB20)))</f>
        <v>Rum</v>
      </c>
      <c r="W20" s="71" t="str" cm="1">
        <f t="array" ref="W20">INDEX(TallyMixer1,SMALL(IF(TallyScore=$AB20,ROW(TallyDrinkNames)-ROW('Friday Spreadsheet CSV'!$K$3)+1),COUNTIF($AB20:$AB$33,$AB20)))</f>
        <v>Rubicon Pineapple</v>
      </c>
      <c r="X20" s="71" t="str" cm="1">
        <f t="array" ref="X20">INDEX(TallyMixer2,SMALL(IF(TallyScore=$AB20,ROW(TallyDrinkNames)-ROW('Friday Spreadsheet CSV'!$K$3)+1),COUNTIF($AB20:$AB$33,$AB20)))</f>
        <v/>
      </c>
      <c r="Y20" s="71" t="str" cm="1">
        <f t="array" ref="Y20">INDEX(TallyRatingWord1,SMALL(IF(TallyScore=$AB20,ROW(TallyDrinkNames)-ROW('Friday Spreadsheet CSV'!$K$3)+1),COUNTIF($AB20:$AB$33,$AB20)))</f>
        <v>Tasty</v>
      </c>
      <c r="Z20" s="71" t="str" cm="1">
        <f t="array" ref="Z20">INDEX(TallyRatingWord2,SMALL(IF(TallyScore=$AB20,ROW(TallyDrinkNames)-ROW('Friday Spreadsheet CSV'!$K$3)+1),COUNTIF($AB20:$AB$33,$AB20)))</f>
        <v>Satisfying</v>
      </c>
      <c r="AA20" s="71" t="str" cm="1">
        <f t="array" ref="AA20">INDEX(TallyPeopleNames,SMALL(IF(TallyScore=$AB20,ROW(TallyDrinkNames)-ROW('Friday Spreadsheet CSV'!$K$3)+1),COUNTIF($AB20:$AB$33,$AB20)))</f>
        <v>Joe Cuthbert</v>
      </c>
      <c r="AB20" s="71">
        <f>LARGE(TallyScore,ROWS($AB$3:$AB20))</f>
        <v>10</v>
      </c>
    </row>
    <row r="21" spans="2:28" ht="15.75" customHeight="1" x14ac:dyDescent="0.2">
      <c r="B21" s="146"/>
      <c r="C21" s="137"/>
      <c r="D21" s="1"/>
      <c r="E21" s="45"/>
      <c r="F21" s="45"/>
      <c r="H21" s="51"/>
      <c r="I21" s="44"/>
      <c r="J21" s="44"/>
      <c r="K21" s="45"/>
      <c r="L21" s="45"/>
      <c r="M21" s="45"/>
      <c r="N21" s="45"/>
      <c r="O21" s="45"/>
      <c r="P21" s="25"/>
      <c r="Q21" s="25"/>
      <c r="R21" s="143">
        <v>16</v>
      </c>
      <c r="S21" s="141" t="str" cm="1">
        <f t="array" ref="S21">INDEX(TallyDrinkNames, SMALL(IF($R$5=TallyDrinkType, ROW(TallyDrinkType)-ROW('Friday Spreadsheet CSV'!$E$3)+1), ROW(16:16)))</f>
        <v>Aigaion Oyzo</v>
      </c>
      <c r="T21" s="25"/>
      <c r="U21" s="71" t="str" cm="1">
        <f t="array" ref="U21">INDEX(TallyDrinkNames,SMALL(IF(TallyScore=$AB21,ROW(TallyDrinkNames)-ROW('Friday Spreadsheet CSV'!$K$3)+1),COUNTIF($AB21:$AB$33,$AB21)))</f>
        <v>Woodford Reserve</v>
      </c>
      <c r="V21" s="71" t="str" cm="1">
        <f t="array" ref="V21">INDEX(TallyDrinkType,SMALL(IF(TallyScore=$AB21,ROW(TallyDrinkNames)-ROW('Friday Spreadsheet CSV'!$K$3)+1),COUNTIF($AB21:$AB$33,$AB21)))</f>
        <v>Whiskey</v>
      </c>
      <c r="W21" s="71" cm="1">
        <f t="array" ref="W21">INDEX(TallyMixer1,SMALL(IF(TallyScore=$AB21,ROW(TallyDrinkNames)-ROW('Friday Spreadsheet CSV'!$K$3)+1),COUNTIF($AB21:$AB$33,$AB21)))</f>
        <v>0</v>
      </c>
      <c r="X21" s="71" cm="1">
        <f t="array" ref="X21">INDEX(TallyMixer2,SMALL(IF(TallyScore=$AB21,ROW(TallyDrinkNames)-ROW('Friday Spreadsheet CSV'!$K$3)+1),COUNTIF($AB21:$AB$33,$AB21)))</f>
        <v>0</v>
      </c>
      <c r="Y21" s="71" t="str" cm="1">
        <f t="array" ref="Y21">INDEX(TallyRatingWord1,SMALL(IF(TallyScore=$AB21,ROW(TallyDrinkNames)-ROW('Friday Spreadsheet CSV'!$K$3)+1),COUNTIF($AB21:$AB$33,$AB21)))</f>
        <v>Panoramic</v>
      </c>
      <c r="Z21" s="71" t="str" cm="1">
        <f t="array" ref="Z21">INDEX(TallyRatingWord2,SMALL(IF(TallyScore=$AB21,ROW(TallyDrinkNames)-ROW('Friday Spreadsheet CSV'!$K$3)+1),COUNTIF($AB21:$AB$33,$AB21)))</f>
        <v xml:space="preserve">Ecstasy </v>
      </c>
      <c r="AA21" s="71" t="str" cm="1">
        <f t="array" ref="AA21">INDEX(TallyPeopleNames,SMALL(IF(TallyScore=$AB21,ROW(TallyDrinkNames)-ROW('Friday Spreadsheet CSV'!$K$3)+1),COUNTIF($AB21:$AB$33,$AB21)))</f>
        <v>Nicholas Draper</v>
      </c>
      <c r="AB21" s="71">
        <f>LARGE(TallyScore,ROWS($AB$3:$AB21))</f>
        <v>9.5</v>
      </c>
    </row>
    <row r="22" spans="2:28" ht="15.75" customHeight="1" x14ac:dyDescent="0.2">
      <c r="B22" s="146"/>
      <c r="C22" s="137"/>
      <c r="D22" s="1"/>
      <c r="E22" s="45"/>
      <c r="F22" s="45"/>
      <c r="H22" s="51"/>
      <c r="I22" s="44"/>
      <c r="J22" s="44"/>
      <c r="K22" s="45"/>
      <c r="L22" s="45"/>
      <c r="M22" s="45"/>
      <c r="N22" s="45"/>
      <c r="O22" s="45"/>
      <c r="P22" s="25"/>
      <c r="Q22" s="25"/>
      <c r="R22" s="143">
        <v>17</v>
      </c>
      <c r="S22" s="141" t="str" cm="1">
        <f t="array" ref="S22">INDEX(TallyDrinkNames, SMALL(IF($R$5=TallyDrinkType, ROW(TallyDrinkType)-ROW('Friday Spreadsheet CSV'!$E$3)+1), ROW(17:17)))</f>
        <v>Vivir Tequila</v>
      </c>
      <c r="T22" s="25"/>
      <c r="U22" s="71" t="str" cm="1">
        <f t="array" ref="U22">INDEX(TallyDrinkNames,SMALL(IF(TallyScore=$AB22,ROW(TallyDrinkNames)-ROW('Friday Spreadsheet CSV'!$K$3)+1),COUNTIF($AB22:$AB$33,$AB22)))</f>
        <v>Franziskaner Weissbier</v>
      </c>
      <c r="V22" s="71" t="str" cm="1">
        <f t="array" ref="V22">INDEX(TallyDrinkType,SMALL(IF(TallyScore=$AB22,ROW(TallyDrinkNames)-ROW('Friday Spreadsheet CSV'!$K$3)+1),COUNTIF($AB22:$AB$33,$AB22)))</f>
        <v>Beer</v>
      </c>
      <c r="W22" s="71" t="str" cm="1">
        <f t="array" ref="W22">INDEX(TallyMixer1,SMALL(IF(TallyScore=$AB22,ROW(TallyDrinkNames)-ROW('Friday Spreadsheet CSV'!$K$3)+1),COUNTIF($AB22:$AB$33,$AB22)))</f>
        <v/>
      </c>
      <c r="X22" s="71" t="str" cm="1">
        <f t="array" ref="X22">INDEX(TallyMixer2,SMALL(IF(TallyScore=$AB22,ROW(TallyDrinkNames)-ROW('Friday Spreadsheet CSV'!$K$3)+1),COUNTIF($AB22:$AB$33,$AB22)))</f>
        <v/>
      </c>
      <c r="Y22" s="71" t="str" cm="1">
        <f t="array" ref="Y22">INDEX(TallyRatingWord1,SMALL(IF(TallyScore=$AB22,ROW(TallyDrinkNames)-ROW('Friday Spreadsheet CSV'!$K$3)+1),COUNTIF($AB22:$AB$33,$AB22)))</f>
        <v>Christ-Tier</v>
      </c>
      <c r="Z22" s="71" t="str" cm="1">
        <f t="array" ref="Z22">INDEX(TallyRatingWord2,SMALL(IF(TallyScore=$AB22,ROW(TallyDrinkNames)-ROW('Friday Spreadsheet CSV'!$K$3)+1),COUNTIF($AB22:$AB$33,$AB22)))</f>
        <v>Masterpiece</v>
      </c>
      <c r="AA22" s="71" t="str" cm="1">
        <f t="array" ref="AA22">INDEX(TallyPeopleNames,SMALL(IF(TallyScore=$AB22,ROW(TallyDrinkNames)-ROW('Friday Spreadsheet CSV'!$K$3)+1),COUNTIF($AB22:$AB$33,$AB22)))</f>
        <v>Shaun Munro</v>
      </c>
      <c r="AB22" s="71">
        <f>LARGE(TallyScore,ROWS($AB$3:$AB22))</f>
        <v>9.5</v>
      </c>
    </row>
    <row r="23" spans="2:28" ht="15.75" customHeight="1" x14ac:dyDescent="0.2">
      <c r="B23" s="146"/>
      <c r="C23" s="137"/>
      <c r="D23" s="1"/>
      <c r="E23" s="45"/>
      <c r="F23" s="45"/>
      <c r="H23" s="51"/>
      <c r="I23" s="44"/>
      <c r="J23" s="44"/>
      <c r="K23" s="45"/>
      <c r="L23" s="45"/>
      <c r="M23" s="45"/>
      <c r="N23" s="45"/>
      <c r="O23" s="45"/>
      <c r="P23" s="25"/>
      <c r="Q23" s="25"/>
      <c r="R23" s="143">
        <v>18</v>
      </c>
      <c r="S23" s="141" t="str" cm="1">
        <f t="array" ref="S23">INDEX(TallyDrinkNames, SMALL(IF($R$5=TallyDrinkType, ROW(TallyDrinkType)-ROW('Friday Spreadsheet CSV'!$E$3)+1), ROW(18:18)))</f>
        <v>Home Bargain Shuda Blueberry Shot</v>
      </c>
      <c r="T23" s="25"/>
      <c r="U23" s="71" t="str" cm="1">
        <f t="array" ref="U23">INDEX(TallyDrinkNames,SMALL(IF(TallyScore=$AB23,ROW(TallyDrinkNames)-ROW('Friday Spreadsheet CSV'!$K$3)+1),COUNTIF($AB23:$AB$33,$AB23)))</f>
        <v>Frangelico</v>
      </c>
      <c r="V23" s="71" t="str" cm="1">
        <f t="array" ref="V23">INDEX(TallyDrinkType,SMALL(IF(TallyScore=$AB23,ROW(TallyDrinkNames)-ROW('Friday Spreadsheet CSV'!$K$3)+1),COUNTIF($AB23:$AB$33,$AB23)))</f>
        <v>Liqueur</v>
      </c>
      <c r="W23" s="71" t="str" cm="1">
        <f t="array" ref="W23">INDEX(TallyMixer1,SMALL(IF(TallyScore=$AB23,ROW(TallyDrinkNames)-ROW('Friday Spreadsheet CSV'!$K$3)+1),COUNTIF($AB23:$AB$33,$AB23)))</f>
        <v>Milk</v>
      </c>
      <c r="X23" s="71" t="str" cm="1">
        <f t="array" ref="X23">INDEX(TallyMixer2,SMALL(IF(TallyScore=$AB23,ROW(TallyDrinkNames)-ROW('Friday Spreadsheet CSV'!$K$3)+1),COUNTIF($AB23:$AB$33,$AB23)))</f>
        <v>Chocolate Ice Cream</v>
      </c>
      <c r="Y23" s="71" t="str" cm="1">
        <f t="array" ref="Y23">INDEX(TallyRatingWord1,SMALL(IF(TallyScore=$AB23,ROW(TallyDrinkNames)-ROW('Friday Spreadsheet CSV'!$K$3)+1),COUNTIF($AB23:$AB$33,$AB23)))</f>
        <v>Divine</v>
      </c>
      <c r="Z23" s="71" t="str" cm="1">
        <f t="array" ref="Z23">INDEX(TallyRatingWord2,SMALL(IF(TallyScore=$AB23,ROW(TallyDrinkNames)-ROW('Friday Spreadsheet CSV'!$K$3)+1),COUNTIF($AB23:$AB$33,$AB23)))</f>
        <v>Ball-Tingly</v>
      </c>
      <c r="AA23" s="71" t="str" cm="1">
        <f t="array" ref="AA23">INDEX(TallyPeopleNames,SMALL(IF(TallyScore=$AB23,ROW(TallyDrinkNames)-ROW('Friday Spreadsheet CSV'!$K$3)+1),COUNTIF($AB23:$AB$33,$AB23)))</f>
        <v>Daniel Hewlett</v>
      </c>
      <c r="AB23" s="71">
        <f>LARGE(TallyScore,ROWS($AB$3:$AB23))</f>
        <v>9.5</v>
      </c>
    </row>
    <row r="24" spans="2:28" ht="15.75" customHeight="1" x14ac:dyDescent="0.2">
      <c r="B24" s="146"/>
      <c r="C24" s="137"/>
      <c r="D24" s="1"/>
      <c r="E24" s="49"/>
      <c r="F24" s="138"/>
      <c r="H24" s="51"/>
      <c r="I24" s="44"/>
      <c r="J24" s="44"/>
      <c r="K24" s="45"/>
      <c r="L24" s="45"/>
      <c r="M24" s="45"/>
      <c r="N24" s="45"/>
      <c r="O24" s="45"/>
      <c r="P24" s="25"/>
      <c r="Q24" s="25"/>
      <c r="R24" s="143">
        <v>19</v>
      </c>
      <c r="S24" s="141" t="str" cm="1">
        <f t="array" ref="S24">INDEX(TallyDrinkNames, SMALL(IF($R$5=TallyDrinkType, ROW(TallyDrinkType)-ROW('Friday Spreadsheet CSV'!$E$3)+1), ROW(19:19)))</f>
        <v>Campari</v>
      </c>
      <c r="T24" s="25"/>
      <c r="U24" s="71" t="str" cm="1">
        <f t="array" ref="U24">INDEX(TallyDrinkNames,SMALL(IF(TallyScore=$AB24,ROW(TallyDrinkNames)-ROW('Friday Spreadsheet CSV'!$K$3)+1),COUNTIF($AB24:$AB$33,$AB24)))</f>
        <v>Bellucci Amaretto</v>
      </c>
      <c r="V24" s="71" t="str" cm="1">
        <f t="array" ref="V24">INDEX(TallyDrinkType,SMALL(IF(TallyScore=$AB24,ROW(TallyDrinkNames)-ROW('Friday Spreadsheet CSV'!$K$3)+1),COUNTIF($AB24:$AB$33,$AB24)))</f>
        <v>Liqueur</v>
      </c>
      <c r="W24" s="71" t="str" cm="1">
        <f t="array" ref="W24">INDEX(TallyMixer1,SMALL(IF(TallyScore=$AB24,ROW(TallyDrinkNames)-ROW('Friday Spreadsheet CSV'!$K$3)+1),COUNTIF($AB24:$AB$33,$AB24)))</f>
        <v>Old Jamaica Grape Soda</v>
      </c>
      <c r="X24" s="71" t="str" cm="1">
        <f t="array" ref="X24">INDEX(TallyMixer2,SMALL(IF(TallyScore=$AB24,ROW(TallyDrinkNames)-ROW('Friday Spreadsheet CSV'!$K$3)+1),COUNTIF($AB24:$AB$33,$AB24)))</f>
        <v/>
      </c>
      <c r="Y24" s="71" t="str" cm="1">
        <f t="array" ref="Y24">INDEX(TallyRatingWord1,SMALL(IF(TallyScore=$AB24,ROW(TallyDrinkNames)-ROW('Friday Spreadsheet CSV'!$K$3)+1),COUNTIF($AB24:$AB$33,$AB24)))</f>
        <v>Fucking</v>
      </c>
      <c r="Z24" s="71" t="str" cm="1">
        <f t="array" ref="Z24">INDEX(TallyRatingWord2,SMALL(IF(TallyScore=$AB24,ROW(TallyDrinkNames)-ROW('Friday Spreadsheet CSV'!$K$3)+1),COUNTIF($AB24:$AB$33,$AB24)))</f>
        <v>Delicious</v>
      </c>
      <c r="AA24" s="71" t="str" cm="1">
        <f t="array" ref="AA24">INDEX(TallyPeopleNames,SMALL(IF(TallyScore=$AB24,ROW(TallyDrinkNames)-ROW('Friday Spreadsheet CSV'!$K$3)+1),COUNTIF($AB24:$AB$33,$AB24)))</f>
        <v>Anthony Draper</v>
      </c>
      <c r="AB24" s="71">
        <f>LARGE(TallyScore,ROWS($AB$3:$AB24))</f>
        <v>9.5</v>
      </c>
    </row>
    <row r="25" spans="2:28" ht="15.75" customHeight="1" x14ac:dyDescent="0.2">
      <c r="B25" s="146"/>
      <c r="C25" s="137"/>
      <c r="D25" s="1"/>
      <c r="E25" s="29"/>
      <c r="H25" s="51"/>
      <c r="I25" s="44"/>
      <c r="J25" s="44"/>
      <c r="K25" s="45"/>
      <c r="L25" s="45"/>
      <c r="M25" s="45"/>
      <c r="N25" s="45"/>
      <c r="O25" s="45"/>
      <c r="P25" s="25"/>
      <c r="Q25" s="25"/>
      <c r="R25" s="143">
        <v>20</v>
      </c>
      <c r="S25" s="141" t="str" cm="1">
        <f t="array" ref="S25">INDEX(TallyDrinkNames, SMALL(IF($R$5=TallyDrinkType, ROW(TallyDrinkType)-ROW('Friday Spreadsheet CSV'!$E$3)+1), ROW(20:20)))</f>
        <v>Hooper's Alcoholic Dandelion and Burdock</v>
      </c>
      <c r="T25" s="25"/>
      <c r="U25" s="71" t="str" cm="1">
        <f t="array" ref="U25">INDEX(TallyDrinkNames,SMALL(IF(TallyScore=$AB25,ROW(TallyDrinkNames)-ROW('Friday Spreadsheet CSV'!$K$3)+1),COUNTIF($AB25:$AB$33,$AB25)))</f>
        <v>Tia Maria</v>
      </c>
      <c r="V25" s="71" t="str" cm="1">
        <f t="array" ref="V25">INDEX(TallyDrinkType,SMALL(IF(TallyScore=$AB25,ROW(TallyDrinkNames)-ROW('Friday Spreadsheet CSV'!$K$3)+1),COUNTIF($AB25:$AB$33,$AB25)))</f>
        <v>Liqueur</v>
      </c>
      <c r="W25" s="71" t="str" cm="1">
        <f t="array" ref="W25">INDEX(TallyMixer1,SMALL(IF(TallyScore=$AB25,ROW(TallyDrinkNames)-ROW('Friday Spreadsheet CSV'!$K$3)+1),COUNTIF($AB25:$AB$33,$AB25)))</f>
        <v/>
      </c>
      <c r="X25" s="71" t="str" cm="1">
        <f t="array" ref="X25">INDEX(TallyMixer2,SMALL(IF(TallyScore=$AB25,ROW(TallyDrinkNames)-ROW('Friday Spreadsheet CSV'!$K$3)+1),COUNTIF($AB25:$AB$33,$AB25)))</f>
        <v/>
      </c>
      <c r="Y25" s="71" t="str" cm="1">
        <f t="array" ref="Y25">INDEX(TallyRatingWord1,SMALL(IF(TallyScore=$AB25,ROW(TallyDrinkNames)-ROW('Friday Spreadsheet CSV'!$K$3)+1),COUNTIF($AB25:$AB$33,$AB25)))</f>
        <v>Absolutely</v>
      </c>
      <c r="Z25" s="71" t="str" cm="1">
        <f t="array" ref="Z25">INDEX(TallyRatingWord2,SMALL(IF(TallyScore=$AB25,ROW(TallyDrinkNames)-ROW('Friday Spreadsheet CSV'!$K$3)+1),COUNTIF($AB25:$AB$33,$AB25)))</f>
        <v>Gorgeous</v>
      </c>
      <c r="AA25" s="71" t="str" cm="1">
        <f t="array" ref="AA25">INDEX(TallyPeopleNames,SMALL(IF(TallyScore=$AB25,ROW(TallyDrinkNames)-ROW('Friday Spreadsheet CSV'!$K$3)+1),COUNTIF($AB25:$AB$33,$AB25)))</f>
        <v>Ross Savill</v>
      </c>
      <c r="AB25" s="71">
        <f>LARGE(TallyScore,ROWS($AB$3:$AB25))</f>
        <v>9.5</v>
      </c>
    </row>
    <row r="26" spans="2:28" ht="15.75" customHeight="1" x14ac:dyDescent="0.2">
      <c r="B26" s="146"/>
      <c r="C26" s="137"/>
      <c r="D26" s="1"/>
      <c r="E26" s="29"/>
      <c r="H26" s="51"/>
      <c r="I26" s="44"/>
      <c r="J26" s="44"/>
      <c r="K26" s="45"/>
      <c r="L26" s="45"/>
      <c r="M26" s="45"/>
      <c r="N26" s="45"/>
      <c r="O26" s="45"/>
      <c r="P26" s="25"/>
      <c r="Q26" s="25"/>
      <c r="R26" s="143">
        <v>21</v>
      </c>
      <c r="S26" s="141" t="str" cm="1">
        <f t="array" ref="S26">INDEX(TallyDrinkNames, SMALL(IF($R$5=TallyDrinkType, ROW(TallyDrinkType)-ROW('Friday Spreadsheet CSV'!$E$3)+1), ROW(21:21)))</f>
        <v>Blue Raspberry Dragon Soop</v>
      </c>
      <c r="T26" s="25"/>
      <c r="U26" s="71" t="str" cm="1">
        <f t="array" ref="U26">INDEX(TallyDrinkNames,SMALL(IF(TallyScore=$AB26,ROW(TallyDrinkNames)-ROW('Friday Spreadsheet CSV'!$K$3)+1),COUNTIF($AB26:$AB$33,$AB26)))</f>
        <v>Aspall's Draft Cyder</v>
      </c>
      <c r="V26" s="71" t="str" cm="1">
        <f t="array" ref="V26">INDEX(TallyDrinkType,SMALL(IF(TallyScore=$AB26,ROW(TallyDrinkNames)-ROW('Friday Spreadsheet CSV'!$K$3)+1),COUNTIF($AB26:$AB$33,$AB26)))</f>
        <v>Cider</v>
      </c>
      <c r="W26" s="71" t="str" cm="1">
        <f t="array" ref="W26">INDEX(TallyMixer1,SMALL(IF(TallyScore=$AB26,ROW(TallyDrinkNames)-ROW('Friday Spreadsheet CSV'!$K$3)+1),COUNTIF($AB26:$AB$33,$AB26)))</f>
        <v/>
      </c>
      <c r="X26" s="71" t="str" cm="1">
        <f t="array" ref="X26">INDEX(TallyMixer2,SMALL(IF(TallyScore=$AB26,ROW(TallyDrinkNames)-ROW('Friday Spreadsheet CSV'!$K$3)+1),COUNTIF($AB26:$AB$33,$AB26)))</f>
        <v/>
      </c>
      <c r="Y26" s="71" t="str" cm="1">
        <f t="array" ref="Y26">INDEX(TallyRatingWord1,SMALL(IF(TallyScore=$AB26,ROW(TallyDrinkNames)-ROW('Friday Spreadsheet CSV'!$K$3)+1),COUNTIF($AB26:$AB$33,$AB26)))</f>
        <v>Substantial</v>
      </c>
      <c r="Z26" s="71" t="str" cm="1">
        <f t="array" ref="Z26">INDEX(TallyRatingWord2,SMALL(IF(TallyScore=$AB26,ROW(TallyDrinkNames)-ROW('Friday Spreadsheet CSV'!$K$3)+1),COUNTIF($AB26:$AB$33,$AB26)))</f>
        <v>Boundless</v>
      </c>
      <c r="AA26" s="71" t="str" cm="1">
        <f t="array" ref="AA26">INDEX(TallyPeopleNames,SMALL(IF(TallyScore=$AB26,ROW(TallyDrinkNames)-ROW('Friday Spreadsheet CSV'!$K$3)+1),COUNTIF($AB26:$AB$33,$AB26)))</f>
        <v>Sean Carey</v>
      </c>
      <c r="AB26" s="71">
        <f>LARGE(TallyScore,ROWS($AB$3:$AB26))</f>
        <v>9.5</v>
      </c>
    </row>
    <row r="27" spans="2:28" ht="15.75" customHeight="1" x14ac:dyDescent="0.2">
      <c r="B27" s="146"/>
      <c r="C27" s="137"/>
      <c r="D27" s="1"/>
      <c r="E27" s="29"/>
      <c r="H27" s="51"/>
      <c r="I27" s="44"/>
      <c r="J27" s="44"/>
      <c r="K27" s="45"/>
      <c r="L27" s="45"/>
      <c r="M27" s="45"/>
      <c r="N27" s="45"/>
      <c r="O27" s="45"/>
      <c r="P27" s="25"/>
      <c r="Q27" s="25"/>
      <c r="R27" s="143">
        <v>22</v>
      </c>
      <c r="S27" s="141" t="str" cm="1">
        <f t="array" ref="S27">INDEX(TallyDrinkNames, SMALL(IF($R$5=TallyDrinkType, ROW(TallyDrinkType)-ROW('Friday Spreadsheet CSV'!$E$3)+1), ROW(22:22)))</f>
        <v>Lervig Raspberry &amp; Lime Spiked Seltzer</v>
      </c>
      <c r="T27" s="25"/>
      <c r="U27" s="71" t="str" cm="1">
        <f t="array" ref="U27">INDEX(TallyDrinkNames,SMALL(IF(TallyScore=$AB27,ROW(TallyDrinkNames)-ROW('Friday Spreadsheet CSV'!$K$3)+1),COUNTIF($AB27:$AB$33,$AB27)))</f>
        <v>Christmas Spirit Rum Liqueur Copper Pot</v>
      </c>
      <c r="V27" s="71" t="str" cm="1">
        <f t="array" ref="V27">INDEX(TallyDrinkType,SMALL(IF(TallyScore=$AB27,ROW(TallyDrinkNames)-ROW('Friday Spreadsheet CSV'!$K$3)+1),COUNTIF($AB27:$AB$33,$AB27)))</f>
        <v>Gin</v>
      </c>
      <c r="W27" s="71" t="str" cm="1">
        <f t="array" ref="W27">INDEX(TallyMixer1,SMALL(IF(TallyScore=$AB27,ROW(TallyDrinkNames)-ROW('Friday Spreadsheet CSV'!$K$3)+1),COUNTIF($AB27:$AB$33,$AB27)))</f>
        <v/>
      </c>
      <c r="X27" s="71" t="str" cm="1">
        <f t="array" ref="X27">INDEX(TallyMixer2,SMALL(IF(TallyScore=$AB27,ROW(TallyDrinkNames)-ROW('Friday Spreadsheet CSV'!$K$3)+1),COUNTIF($AB27:$AB$33,$AB27)))</f>
        <v/>
      </c>
      <c r="Y27" s="71" t="str" cm="1">
        <f t="array" ref="Y27">INDEX(TallyRatingWord1,SMALL(IF(TallyScore=$AB27,ROW(TallyDrinkNames)-ROW('Friday Spreadsheet CSV'!$K$3)+1),COUNTIF($AB27:$AB$33,$AB27)))</f>
        <v>Christmassy</v>
      </c>
      <c r="Z27" s="71" t="str" cm="1">
        <f t="array" ref="Z27">INDEX(TallyRatingWord2,SMALL(IF(TallyScore=$AB27,ROW(TallyDrinkNames)-ROW('Friday Spreadsheet CSV'!$K$3)+1),COUNTIF($AB27:$AB$33,$AB27)))</f>
        <v>Magic</v>
      </c>
      <c r="AA27" s="71" t="str" cm="1">
        <f t="array" ref="AA27">INDEX(TallyPeopleNames,SMALL(IF(TallyScore=$AB27,ROW(TallyDrinkNames)-ROW('Friday Spreadsheet CSV'!$K$3)+1),COUNTIF($AB27:$AB$33,$AB27)))</f>
        <v>Joe Cuthbert</v>
      </c>
      <c r="AB27" s="71">
        <f>LARGE(TallyScore,ROWS($AB$3:$AB27))</f>
        <v>9.5</v>
      </c>
    </row>
    <row r="28" spans="2:28" ht="15.75" customHeight="1" x14ac:dyDescent="0.2">
      <c r="B28" s="146"/>
      <c r="C28" s="137"/>
      <c r="D28" s="1"/>
      <c r="E28" s="29"/>
      <c r="H28" s="51"/>
      <c r="I28" s="44"/>
      <c r="J28" s="44"/>
      <c r="K28" s="45"/>
      <c r="L28" s="45"/>
      <c r="M28" s="45"/>
      <c r="N28" s="45"/>
      <c r="O28" s="45"/>
      <c r="P28" s="25"/>
      <c r="Q28" s="25"/>
      <c r="R28" s="143">
        <v>23</v>
      </c>
      <c r="S28" s="141" t="str" cm="1">
        <f t="array" ref="S28">INDEX(TallyDrinkNames, SMALL(IF($R$5=TallyDrinkType, ROW(TallyDrinkType)-ROW('Friday Spreadsheet CSV'!$E$3)+1), ROW(23:23)))</f>
        <v>Cosecha El Meson Tequila</v>
      </c>
      <c r="T28" s="25"/>
      <c r="U28" s="71" t="str" cm="1">
        <f t="array" ref="U28">INDEX(TallyDrinkNames,SMALL(IF(TallyScore=$AB28,ROW(TallyDrinkNames)-ROW('Friday Spreadsheet CSV'!$K$3)+1),COUNTIF($AB28:$AB$33,$AB28)))</f>
        <v>Magic Rock High Wire Grapefruit Pale Ale</v>
      </c>
      <c r="V28" s="71" t="str" cm="1">
        <f t="array" ref="V28">INDEX(TallyDrinkType,SMALL(IF(TallyScore=$AB28,ROW(TallyDrinkNames)-ROW('Friday Spreadsheet CSV'!$K$3)+1),COUNTIF($AB28:$AB$33,$AB28)))</f>
        <v>Beer</v>
      </c>
      <c r="W28" s="71" t="str" cm="1">
        <f t="array" ref="W28">INDEX(TallyMixer1,SMALL(IF(TallyScore=$AB28,ROW(TallyDrinkNames)-ROW('Friday Spreadsheet CSV'!$K$3)+1),COUNTIF($AB28:$AB$33,$AB28)))</f>
        <v/>
      </c>
      <c r="X28" s="71" t="str" cm="1">
        <f t="array" ref="X28">INDEX(TallyMixer2,SMALL(IF(TallyScore=$AB28,ROW(TallyDrinkNames)-ROW('Friday Spreadsheet CSV'!$K$3)+1),COUNTIF($AB28:$AB$33,$AB28)))</f>
        <v/>
      </c>
      <c r="Y28" s="71" t="str" cm="1">
        <f t="array" ref="Y28">INDEX(TallyRatingWord1,SMALL(IF(TallyScore=$AB28,ROW(TallyDrinkNames)-ROW('Friday Spreadsheet CSV'!$K$3)+1),COUNTIF($AB28:$AB$33,$AB28)))</f>
        <v>Tropical</v>
      </c>
      <c r="Z28" s="71" t="str" cm="1">
        <f t="array" ref="Z28">INDEX(TallyRatingWord2,SMALL(IF(TallyScore=$AB28,ROW(TallyDrinkNames)-ROW('Friday Spreadsheet CSV'!$K$3)+1),COUNTIF($AB28:$AB$33,$AB28)))</f>
        <v>Smooth</v>
      </c>
      <c r="AA28" s="71" t="str" cm="1">
        <f t="array" ref="AA28">INDEX(TallyPeopleNames,SMALL(IF(TallyScore=$AB28,ROW(TallyDrinkNames)-ROW('Friday Spreadsheet CSV'!$K$3)+1),COUNTIF($AB28:$AB$33,$AB28)))</f>
        <v>Daniel Hewlett</v>
      </c>
      <c r="AB28" s="71">
        <f>LARGE(TallyScore,ROWS($AB$3:$AB28))</f>
        <v>9.5</v>
      </c>
    </row>
    <row r="29" spans="2:28" ht="15.75" customHeight="1" x14ac:dyDescent="0.2">
      <c r="B29" s="146"/>
      <c r="C29" s="137"/>
      <c r="D29" s="1"/>
      <c r="E29" s="29"/>
      <c r="H29" s="51"/>
      <c r="I29" s="44"/>
      <c r="J29" s="44"/>
      <c r="K29" s="45"/>
      <c r="L29" s="45"/>
      <c r="M29" s="45"/>
      <c r="N29" s="45"/>
      <c r="O29" s="45"/>
      <c r="P29" s="25"/>
      <c r="Q29" s="25"/>
      <c r="R29" s="143">
        <v>24</v>
      </c>
      <c r="S29" s="141" t="str" cm="1">
        <f t="array" ref="S29">INDEX(TallyDrinkNames, SMALL(IF($R$5=TallyDrinkType, ROW(TallyDrinkType)-ROW('Friday Spreadsheet CSV'!$E$3)+1), ROW(24:24)))</f>
        <v>Archer's Peach Schnapps</v>
      </c>
      <c r="T29" s="25"/>
      <c r="U29" s="71" t="str" cm="1">
        <f t="array" ref="U29">INDEX(TallyDrinkNames,SMALL(IF(TallyScore=$AB29,ROW(TallyDrinkNames)-ROW('Friday Spreadsheet CSV'!$K$3)+1),COUNTIF($AB29:$AB$33,$AB29)))</f>
        <v>Jose Cuervo Especial Blue Agave Tequila</v>
      </c>
      <c r="V29" s="71" t="str" cm="1">
        <f t="array" ref="V29">INDEX(TallyDrinkType,SMALL(IF(TallyScore=$AB29,ROW(TallyDrinkNames)-ROW('Friday Spreadsheet CSV'!$K$3)+1),COUNTIF($AB29:$AB$33,$AB29)))</f>
        <v>Other</v>
      </c>
      <c r="W29" s="71" t="str" cm="1">
        <f t="array" ref="W29">INDEX(TallyMixer1,SMALL(IF(TallyScore=$AB29,ROW(TallyDrinkNames)-ROW('Friday Spreadsheet CSV'!$K$3)+1),COUNTIF($AB29:$AB$33,$AB29)))</f>
        <v>Margarita Mix</v>
      </c>
      <c r="X29" s="71" t="str" cm="1">
        <f t="array" ref="X29">INDEX(TallyMixer2,SMALL(IF(TallyScore=$AB29,ROW(TallyDrinkNames)-ROW('Friday Spreadsheet CSV'!$K$3)+1),COUNTIF($AB29:$AB$33,$AB29)))</f>
        <v/>
      </c>
      <c r="Y29" s="71" t="str" cm="1">
        <f t="array" ref="Y29">INDEX(TallyRatingWord1,SMALL(IF(TallyScore=$AB29,ROW(TallyDrinkNames)-ROW('Friday Spreadsheet CSV'!$K$3)+1),COUNTIF($AB29:$AB$33,$AB29)))</f>
        <v>Fucking</v>
      </c>
      <c r="Z29" s="71" t="str" cm="1">
        <f t="array" ref="Z29">INDEX(TallyRatingWord2,SMALL(IF(TallyScore=$AB29,ROW(TallyDrinkNames)-ROW('Friday Spreadsheet CSV'!$K$3)+1),COUNTIF($AB29:$AB$33,$AB29)))</f>
        <v>Spectacular</v>
      </c>
      <c r="AA29" s="71" t="str" cm="1">
        <f t="array" ref="AA29">INDEX(TallyPeopleNames,SMALL(IF(TallyScore=$AB29,ROW(TallyDrinkNames)-ROW('Friday Spreadsheet CSV'!$K$3)+1),COUNTIF($AB29:$AB$33,$AB29)))</f>
        <v>Ben Millier</v>
      </c>
      <c r="AB29" s="71">
        <f>LARGE(TallyScore,ROWS($AB$3:$AB29))</f>
        <v>9.5</v>
      </c>
    </row>
    <row r="30" spans="2:28" ht="15.75" customHeight="1" x14ac:dyDescent="0.2">
      <c r="B30" s="146"/>
      <c r="C30" s="137"/>
      <c r="D30" s="1"/>
      <c r="E30" s="29"/>
      <c r="H30" s="51"/>
      <c r="I30" s="44"/>
      <c r="J30" s="44"/>
      <c r="K30" s="45"/>
      <c r="L30" s="45"/>
      <c r="M30" s="45"/>
      <c r="N30" s="45"/>
      <c r="O30" s="45"/>
      <c r="P30" s="25"/>
      <c r="Q30" s="25"/>
      <c r="R30" s="143">
        <v>25</v>
      </c>
      <c r="S30" s="141" t="str" cm="1">
        <f t="array" ref="S30">INDEX(TallyDrinkNames, SMALL(IF($R$5=TallyDrinkType, ROW(TallyDrinkType)-ROW('Friday Spreadsheet CSV'!$E$3)+1), ROW(25:25)))</f>
        <v>Oh Schnapp Peach and Berries</v>
      </c>
      <c r="T30" s="25"/>
      <c r="U30" s="71" t="str" cm="1">
        <f t="array" ref="U30">INDEX(TallyDrinkNames,SMALL(IF(TallyScore=$AB30,ROW(TallyDrinkNames)-ROW('Friday Spreadsheet CSV'!$K$3)+1),COUNTIF($AB30:$AB$33,$AB30)))</f>
        <v>Dunkertons Premium Reserve</v>
      </c>
      <c r="V30" s="71" t="str" cm="1">
        <f t="array" ref="V30">INDEX(TallyDrinkType,SMALL(IF(TallyScore=$AB30,ROW(TallyDrinkNames)-ROW('Friday Spreadsheet CSV'!$K$3)+1),COUNTIF($AB30:$AB$33,$AB30)))</f>
        <v>Cider</v>
      </c>
      <c r="W30" s="71" t="str" cm="1">
        <f t="array" ref="W30">INDEX(TallyMixer1,SMALL(IF(TallyScore=$AB30,ROW(TallyDrinkNames)-ROW('Friday Spreadsheet CSV'!$K$3)+1),COUNTIF($AB30:$AB$33,$AB30)))</f>
        <v/>
      </c>
      <c r="X30" s="71" t="str" cm="1">
        <f t="array" ref="X30">INDEX(TallyMixer2,SMALL(IF(TallyScore=$AB30,ROW(TallyDrinkNames)-ROW('Friday Spreadsheet CSV'!$K$3)+1),COUNTIF($AB30:$AB$33,$AB30)))</f>
        <v/>
      </c>
      <c r="Y30" s="71" t="str" cm="1">
        <f t="array" ref="Y30">INDEX(TallyRatingWord1,SMALL(IF(TallyScore=$AB30,ROW(TallyDrinkNames)-ROW('Friday Spreadsheet CSV'!$K$3)+1),COUNTIF($AB30:$AB$33,$AB30)))</f>
        <v>Scrumptious</v>
      </c>
      <c r="Z30" s="71" t="str" cm="1">
        <f t="array" ref="Z30">INDEX(TallyRatingWord2,SMALL(IF(TallyScore=$AB30,ROW(TallyDrinkNames)-ROW('Friday Spreadsheet CSV'!$K$3)+1),COUNTIF($AB30:$AB$33,$AB30)))</f>
        <v>Delectable</v>
      </c>
      <c r="AA30" s="71" t="str" cm="1">
        <f t="array" ref="AA30">INDEX(TallyPeopleNames,SMALL(IF(TallyScore=$AB30,ROW(TallyDrinkNames)-ROW('Friday Spreadsheet CSV'!$K$3)+1),COUNTIF($AB30:$AB$33,$AB30)))</f>
        <v>Ross Savill</v>
      </c>
      <c r="AB30" s="71">
        <f>LARGE(TallyScore,ROWS($AB$3:$AB30))</f>
        <v>9.5</v>
      </c>
    </row>
    <row r="31" spans="2:28" ht="15.75" customHeight="1" x14ac:dyDescent="0.2">
      <c r="B31" s="146"/>
      <c r="C31" s="137"/>
      <c r="D31" s="1"/>
      <c r="E31" s="29"/>
      <c r="H31" s="51"/>
      <c r="I31" s="44"/>
      <c r="J31" s="44"/>
      <c r="K31" s="45"/>
      <c r="L31" s="45"/>
      <c r="M31" s="45"/>
      <c r="N31" s="45"/>
      <c r="O31" s="45"/>
      <c r="P31" s="25"/>
      <c r="Q31" s="25"/>
      <c r="R31" s="143">
        <v>26</v>
      </c>
      <c r="S31" s="141" t="str" cm="1">
        <f t="array" ref="S31">INDEX(TallyDrinkNames, SMALL(IF($R$5=TallyDrinkType, ROW(TallyDrinkType)-ROW('Friday Spreadsheet CSV'!$E$3)+1), ROW(26:26)))</f>
        <v>Hooch Lemon</v>
      </c>
      <c r="T31" s="25"/>
      <c r="U31" s="71" t="str" cm="1">
        <f t="array" ref="U31">INDEX(TallyDrinkNames,SMALL(IF(TallyScore=$AB31,ROW(TallyDrinkNames)-ROW('Friday Spreadsheet CSV'!$K$3)+1),COUNTIF($AB31:$AB$33,$AB31)))</f>
        <v>Dead Man's Fingers Pineapple Spiced Rum</v>
      </c>
      <c r="V31" s="71" t="str" cm="1">
        <f t="array" ref="V31">INDEX(TallyDrinkType,SMALL(IF(TallyScore=$AB31,ROW(TallyDrinkNames)-ROW('Friday Spreadsheet CSV'!$K$3)+1),COUNTIF($AB31:$AB$33,$AB31)))</f>
        <v>Rum</v>
      </c>
      <c r="W31" s="71" t="str" cm="1">
        <f t="array" ref="W31">INDEX(TallyMixer1,SMALL(IF(TallyScore=$AB31,ROW(TallyDrinkNames)-ROW('Friday Spreadsheet CSV'!$K$3)+1),COUNTIF($AB31:$AB$33,$AB31)))</f>
        <v>Cherry Coke</v>
      </c>
      <c r="X31" s="71" t="str" cm="1">
        <f t="array" ref="X31">INDEX(TallyMixer2,SMALL(IF(TallyScore=$AB31,ROW(TallyDrinkNames)-ROW('Friday Spreadsheet CSV'!$K$3)+1),COUNTIF($AB31:$AB$33,$AB31)))</f>
        <v/>
      </c>
      <c r="Y31" s="71" t="str" cm="1">
        <f t="array" ref="Y31">INDEX(TallyRatingWord1,SMALL(IF(TallyScore=$AB31,ROW(TallyDrinkNames)-ROW('Friday Spreadsheet CSV'!$K$3)+1),COUNTIF($AB31:$AB$33,$AB31)))</f>
        <v>Confectioneryish</v>
      </c>
      <c r="Z31" s="71" t="str" cm="1">
        <f t="array" ref="Z31">INDEX(TallyRatingWord2,SMALL(IF(TallyScore=$AB31,ROW(TallyDrinkNames)-ROW('Friday Spreadsheet CSV'!$K$3)+1),COUNTIF($AB31:$AB$33,$AB31)))</f>
        <v>Artificial</v>
      </c>
      <c r="AA31" s="71" t="str" cm="1">
        <f t="array" ref="AA31">INDEX(TallyPeopleNames,SMALL(IF(TallyScore=$AB31,ROW(TallyDrinkNames)-ROW('Friday Spreadsheet CSV'!$K$3)+1),COUNTIF($AB31:$AB$33,$AB31)))</f>
        <v>Joe Cuthbert</v>
      </c>
      <c r="AB31" s="71">
        <f>LARGE(TallyScore,ROWS($AB$3:$AB31))</f>
        <v>9.5</v>
      </c>
    </row>
    <row r="32" spans="2:28" ht="15.75" customHeight="1" x14ac:dyDescent="0.2">
      <c r="B32" s="146"/>
      <c r="C32" s="137"/>
      <c r="D32" s="1"/>
      <c r="E32" s="29"/>
      <c r="H32" s="51"/>
      <c r="I32" s="44"/>
      <c r="J32" s="44"/>
      <c r="K32" s="45"/>
      <c r="L32" s="45"/>
      <c r="M32" s="45"/>
      <c r="N32" s="45"/>
      <c r="O32" s="45"/>
      <c r="P32" s="25"/>
      <c r="Q32" s="25"/>
      <c r="R32" s="143">
        <v>27</v>
      </c>
      <c r="S32" s="141" t="str" cm="1">
        <f t="array" ref="S32">INDEX(TallyDrinkNames, SMALL(IF($R$5=TallyDrinkType, ROW(TallyDrinkType)-ROW('Friday Spreadsheet CSV'!$E$3)+1), ROW(27:27)))</f>
        <v>Hooch Lemon</v>
      </c>
      <c r="T32" s="25"/>
      <c r="U32" s="71" t="str" cm="1">
        <f t="array" ref="U32">INDEX(TallyDrinkNames,SMALL(IF(TallyScore=$AB32,ROW(TallyDrinkNames)-ROW('Friday Spreadsheet CSV'!$K$3)+1),COUNTIF($AB32:$AB$33,$AB32)))</f>
        <v>Sortilege's Maple Syrup Liqueur</v>
      </c>
      <c r="V32" s="71" t="str" cm="1">
        <f t="array" ref="V32">INDEX(TallyDrinkType,SMALL(IF(TallyScore=$AB32,ROW(TallyDrinkNames)-ROW('Friday Spreadsheet CSV'!$K$3)+1),COUNTIF($AB32:$AB$33,$AB32)))</f>
        <v>Liqueur</v>
      </c>
      <c r="W32" s="71" t="str" cm="1">
        <f t="array" ref="W32">INDEX(TallyMixer1,SMALL(IF(TallyScore=$AB32,ROW(TallyDrinkNames)-ROW('Friday Spreadsheet CSV'!$K$3)+1),COUNTIF($AB32:$AB$33,$AB32)))</f>
        <v/>
      </c>
      <c r="X32" s="71" t="str" cm="1">
        <f t="array" ref="X32">INDEX(TallyMixer2,SMALL(IF(TallyScore=$AB32,ROW(TallyDrinkNames)-ROW('Friday Spreadsheet CSV'!$K$3)+1),COUNTIF($AB32:$AB$33,$AB32)))</f>
        <v/>
      </c>
      <c r="Y32" s="71" t="str" cm="1">
        <f t="array" ref="Y32">INDEX(TallyRatingWord1,SMALL(IF(TallyScore=$AB32,ROW(TallyDrinkNames)-ROW('Friday Spreadsheet CSV'!$K$3)+1),COUNTIF($AB32:$AB$33,$AB32)))</f>
        <v>Sweet</v>
      </c>
      <c r="Z32" s="71" t="str" cm="1">
        <f t="array" ref="Z32">INDEX(TallyRatingWord2,SMALL(IF(TallyScore=$AB32,ROW(TallyDrinkNames)-ROW('Friday Spreadsheet CSV'!$K$3)+1),COUNTIF($AB32:$AB$33,$AB32)))</f>
        <v>Salty</v>
      </c>
      <c r="AA32" s="71" t="str" cm="1">
        <f t="array" ref="AA32">INDEX(TallyPeopleNames,SMALL(IF(TallyScore=$AB32,ROW(TallyDrinkNames)-ROW('Friday Spreadsheet CSV'!$K$3)+1),COUNTIF($AB32:$AB$33,$AB32)))</f>
        <v>Jason Bowen</v>
      </c>
      <c r="AB32" s="71">
        <f>LARGE(TallyScore,ROWS($AB$3:$AB32))</f>
        <v>9.5</v>
      </c>
    </row>
    <row r="33" spans="2:28" ht="15.75" customHeight="1" thickBot="1" x14ac:dyDescent="0.25">
      <c r="B33" s="146"/>
      <c r="C33" s="137"/>
      <c r="D33" s="1"/>
      <c r="E33" s="29"/>
      <c r="H33" s="40"/>
      <c r="I33" s="25"/>
      <c r="J33" s="25"/>
      <c r="K33" s="25"/>
      <c r="L33" s="25"/>
      <c r="M33" s="25"/>
      <c r="N33" s="25"/>
      <c r="O33" s="25"/>
      <c r="P33" s="25"/>
      <c r="Q33" s="25"/>
      <c r="R33" s="143">
        <v>28</v>
      </c>
      <c r="S33" s="141" t="str" cm="1">
        <f t="array" ref="S33">INDEX(TallyDrinkNames, SMALL(IF($R$5=TallyDrinkType, ROW(TallyDrinkType)-ROW('Friday Spreadsheet CSV'!$E$3)+1), ROW(28:28)))</f>
        <v>Cool Shots Apple</v>
      </c>
      <c r="T33" s="25"/>
      <c r="U33" s="74" t="str" cm="1">
        <f t="array" ref="U33">INDEX(TallyDrinkNames,SMALL(IF(TallyScore=$AB33,ROW(TallyDrinkNames)-ROW('Friday Spreadsheet CSV'!$K$3)+1),COUNTIF($AB33:$AB$33,$AB33)))</f>
        <v>Tiny Rebel Clwb Tropicana Passion Fruit IPA</v>
      </c>
      <c r="V33" s="74" t="str" cm="1">
        <f t="array" ref="V33">INDEX(TallyDrinkType,SMALL(IF(TallyScore=$AB33,ROW(TallyDrinkNames)-ROW('Friday Spreadsheet CSV'!$K$3)+1),COUNTIF($AB33:$AB$33,$AB33)))</f>
        <v>Beer</v>
      </c>
      <c r="W33" s="74" t="str" cm="1">
        <f t="array" ref="W33">INDEX(TallyMixer1,SMALL(IF(TallyScore=$AB33,ROW(TallyDrinkNames)-ROW('Friday Spreadsheet CSV'!$K$3)+1),COUNTIF($AB33:$AB$33,$AB33)))</f>
        <v/>
      </c>
      <c r="X33" s="74" t="str" cm="1">
        <f t="array" ref="X33">INDEX(TallyMixer2,SMALL(IF(TallyScore=$AB33,ROW(TallyDrinkNames)-ROW('Friday Spreadsheet CSV'!$K$3)+1),COUNTIF($AB33:$AB$33,$AB33)))</f>
        <v/>
      </c>
      <c r="Y33" s="74" t="str" cm="1">
        <f t="array" ref="Y33">INDEX(TallyRatingWord1,SMALL(IF(TallyScore=$AB33,ROW(TallyDrinkNames)-ROW('Friday Spreadsheet CSV'!$K$3)+1),COUNTIF($AB33:$AB$33,$AB33)))</f>
        <v>Clean</v>
      </c>
      <c r="Z33" s="74" t="str" cm="1">
        <f t="array" ref="Z33">INDEX(TallyRatingWord2,SMALL(IF(TallyScore=$AB33,ROW(TallyDrinkNames)-ROW('Friday Spreadsheet CSV'!$K$3)+1),COUNTIF($AB33:$AB$33,$AB33)))</f>
        <v>Bitterlyful</v>
      </c>
      <c r="AA33" s="74" t="str" cm="1">
        <f t="array" ref="AA33">INDEX(TallyPeopleNames,SMALL(IF(TallyScore=$AB33,ROW(TallyDrinkNames)-ROW('Friday Spreadsheet CSV'!$K$3)+1),COUNTIF($AB33:$AB$33,$AB33)))</f>
        <v>Daniel Hewlett</v>
      </c>
      <c r="AB33" s="74">
        <f>LARGE(TallyScore,ROWS($AB$3:$AB33))</f>
        <v>9.5</v>
      </c>
    </row>
    <row r="34" spans="2:28" ht="16" thickBot="1" x14ac:dyDescent="0.25">
      <c r="B34" s="146"/>
      <c r="C34" s="137"/>
      <c r="D34" s="1"/>
      <c r="E34" s="29"/>
      <c r="H34" s="40"/>
      <c r="I34" s="25"/>
      <c r="J34" s="25"/>
      <c r="K34" s="25"/>
      <c r="L34" s="25"/>
      <c r="M34" s="25"/>
      <c r="N34" s="25"/>
      <c r="O34" s="25"/>
      <c r="P34" s="25"/>
      <c r="Q34" s="25"/>
      <c r="R34" s="143">
        <v>29</v>
      </c>
      <c r="S34" s="141" t="str" cm="1">
        <f t="array" ref="S34">INDEX(TallyDrinkNames, SMALL(IF($R$5=TallyDrinkType, ROW(TallyDrinkType)-ROW('Friday Spreadsheet CSV'!$E$3)+1), ROW(29:29)))</f>
        <v>Home Bargain Shuda Strawberries &amp; Cream Shot</v>
      </c>
      <c r="T34" s="25"/>
      <c r="U34" s="29"/>
      <c r="V34" s="29"/>
      <c r="W34" s="29"/>
      <c r="X34" s="29"/>
      <c r="Y34" s="29"/>
      <c r="Z34" s="29"/>
      <c r="AA34" s="29"/>
      <c r="AB34" s="55"/>
    </row>
    <row r="35" spans="2:28" ht="43" thickBot="1" x14ac:dyDescent="0.25">
      <c r="B35" s="146"/>
      <c r="C35" s="137"/>
      <c r="D35" s="1"/>
      <c r="E35" s="29"/>
      <c r="H35" s="40"/>
      <c r="I35" s="25"/>
      <c r="J35" s="25"/>
      <c r="K35" s="25"/>
      <c r="L35" s="25"/>
      <c r="M35" s="25"/>
      <c r="N35" s="25"/>
      <c r="O35" s="25"/>
      <c r="P35" s="25"/>
      <c r="Q35" s="25"/>
      <c r="R35" s="143">
        <v>30</v>
      </c>
      <c r="S35" s="141" t="str" cm="1">
        <f t="array" ref="S35">INDEX(TallyDrinkNames, SMALL(IF($R$5=TallyDrinkType, ROW(TallyDrinkType)-ROW('Friday Spreadsheet CSV'!$E$3)+1), ROW(30:30)))</f>
        <v>White Claw Hard Seltzer Black Cherry</v>
      </c>
      <c r="T35" s="25"/>
      <c r="U35" s="130" t="s">
        <v>1444</v>
      </c>
      <c r="V35" s="130" t="s">
        <v>5</v>
      </c>
      <c r="W35" s="130" t="s">
        <v>7</v>
      </c>
      <c r="X35" s="130" t="s">
        <v>8</v>
      </c>
      <c r="Y35" s="130" t="s">
        <v>1194</v>
      </c>
      <c r="Z35" s="130" t="s">
        <v>1195</v>
      </c>
      <c r="AA35" s="130" t="s">
        <v>1175</v>
      </c>
      <c r="AB35" s="130" t="s">
        <v>1176</v>
      </c>
    </row>
    <row r="36" spans="2:28" ht="15.75" customHeight="1" x14ac:dyDescent="0.2">
      <c r="B36" s="146"/>
      <c r="C36" s="137"/>
      <c r="D36" s="1"/>
      <c r="E36" s="29"/>
      <c r="H36" s="40"/>
      <c r="I36" s="25"/>
      <c r="J36" s="25"/>
      <c r="K36" s="25"/>
      <c r="L36" s="25"/>
      <c r="M36" s="25"/>
      <c r="N36" s="25"/>
      <c r="O36" s="25"/>
      <c r="P36" s="25"/>
      <c r="Q36" s="25"/>
      <c r="R36" s="143">
        <v>31</v>
      </c>
      <c r="S36" s="141" t="str" cm="1">
        <f t="array" ref="S36">INDEX(TallyDrinkNames, SMALL(IF($R$5=TallyDrinkType, ROW(TallyDrinkType)-ROW('Friday Spreadsheet CSV'!$E$3)+1), ROW(31:31)))</f>
        <v>Café Patrón Tequila</v>
      </c>
      <c r="T36" s="25"/>
      <c r="U36" s="78" t="s">
        <v>801</v>
      </c>
      <c r="V36" s="78" t="s">
        <v>6</v>
      </c>
      <c r="W36" s="78"/>
      <c r="X36" s="78"/>
      <c r="Y36" s="79" t="s">
        <v>2262</v>
      </c>
      <c r="Z36" s="79" t="s">
        <v>147</v>
      </c>
      <c r="AA36" s="80" t="s">
        <v>41</v>
      </c>
      <c r="AB36" s="81">
        <v>0</v>
      </c>
    </row>
    <row r="37" spans="2:28" ht="15.75" customHeight="1" x14ac:dyDescent="0.2">
      <c r="B37" s="146"/>
      <c r="C37" s="137"/>
      <c r="D37" s="1"/>
      <c r="E37" s="29"/>
      <c r="H37" s="40"/>
      <c r="I37" s="25"/>
      <c r="J37" s="25"/>
      <c r="K37" s="25"/>
      <c r="L37" s="25"/>
      <c r="M37" s="25"/>
      <c r="N37" s="25"/>
      <c r="O37" s="25"/>
      <c r="P37" s="25"/>
      <c r="Q37" s="25"/>
      <c r="R37" s="143">
        <v>32</v>
      </c>
      <c r="S37" s="141" t="str" cm="1">
        <f t="array" ref="S37">INDEX(TallyDrinkNames, SMALL(IF($R$5=TallyDrinkType, ROW(TallyDrinkType)-ROW('Friday Spreadsheet CSV'!$E$3)+1), ROW(32:32)))</f>
        <v>Home Bargain Shuda Cola Cube Shot</v>
      </c>
      <c r="T37" s="25"/>
      <c r="U37" s="80" t="s">
        <v>2606</v>
      </c>
      <c r="V37" s="80" t="s">
        <v>6</v>
      </c>
      <c r="W37" s="80"/>
      <c r="X37" s="80"/>
      <c r="Y37" s="202" t="s">
        <v>2608</v>
      </c>
      <c r="Z37" s="202" t="s">
        <v>2609</v>
      </c>
      <c r="AA37" s="80" t="s">
        <v>41</v>
      </c>
      <c r="AB37" s="203">
        <v>0</v>
      </c>
    </row>
    <row r="38" spans="2:28" ht="15.75" customHeight="1" x14ac:dyDescent="0.2">
      <c r="B38" s="146"/>
      <c r="C38" s="137"/>
      <c r="D38" s="1"/>
      <c r="E38" s="29"/>
      <c r="H38" s="40"/>
      <c r="I38" s="25"/>
      <c r="J38" s="25"/>
      <c r="K38" s="25"/>
      <c r="L38" s="25"/>
      <c r="M38" s="25"/>
      <c r="N38" s="25"/>
      <c r="O38" s="25"/>
      <c r="P38" s="25"/>
      <c r="Q38" s="25"/>
      <c r="R38" s="143">
        <v>33</v>
      </c>
      <c r="S38" s="141" t="str" cm="1">
        <f t="array" ref="S38">INDEX(TallyDrinkNames, SMALL(IF($R$5=TallyDrinkType, ROW(TallyDrinkType)-ROW('Friday Spreadsheet CSV'!$E$3)+1), ROW(33:33)))</f>
        <v>Home Bargain Shuda Cola Cube Shot</v>
      </c>
      <c r="T38" s="25"/>
      <c r="U38" s="73" t="str" cm="1">
        <f t="array" ref="U38">INDEX(TallyDrinkNames,SMALL(IF(TallyScore=$AB38,ROW(TallyScore)-ROW('Friday Spreadsheet CSV'!$K$3)+1),COUNTIF($AB$36:$AB38,$AB38)))</f>
        <v>Corona Extra</v>
      </c>
      <c r="V38" s="73" t="str" cm="1">
        <f t="array" ref="V38">INDEX(TallyDrinkType,SMALL(IF(TallyScore=$AB38,ROW(TallyScore)-ROW('Friday Spreadsheet CSV'!$K$3)+1),COUNTIF($AB$36:$AB38,$AB38)))</f>
        <v>Beer</v>
      </c>
      <c r="W38" s="73" t="str" cm="1">
        <f t="array" ref="W38">INDEX(TallyMixer1,SMALL(IF(TallyScore=$AB38,ROW(TallyScore)-ROW('Friday Spreadsheet CSV'!$K$3)+1),COUNTIF($AB$36:$AB38,$AB38)))</f>
        <v/>
      </c>
      <c r="X38" s="73" t="str" cm="1">
        <f t="array" ref="X38">INDEX(TallyMixer2,SMALL(IF(TallyScore=$AB38,ROW(TallyScore)-ROW('Friday Spreadsheet CSV'!$K$3)+1),COUNTIF($AB$36:$AB38,$AB38)))</f>
        <v/>
      </c>
      <c r="Y38" s="73" t="str" cm="1">
        <f t="array" ref="Y38">INDEX(TallyRatingWord1,SMALL(IF(TallyScore=$AB38,ROW(TallyScore)-ROW('Friday Spreadsheet CSV'!$K$3)+1),COUNTIF($AB$36:$AB38,$AB38)))</f>
        <v>Self-Isolating</v>
      </c>
      <c r="Z38" s="73" t="str" cm="1">
        <f t="array" ref="Z38">INDEX(TallyRatingWord2,SMALL(IF(TallyScore=$AB38,ROW(TallyScore)-ROW('Friday Spreadsheet CSV'!$K$3)+1),COUNTIF($AB$36:$AB38,$AB38)))</f>
        <v>Epidemic</v>
      </c>
      <c r="AA38" s="73" t="str" cm="1">
        <f t="array" ref="AA38">INDEX(TallyPeopleNames,SMALL(IF(TallyScore=$AB38,ROW(TallyScore)-ROW('Friday Spreadsheet CSV'!$K$3)+1),COUNTIF($AB$36:$AB38,$AB38)))</f>
        <v>Lucy Englefield</v>
      </c>
      <c r="AB38" s="52">
        <f>SMALL(TallyScore,ROWS($AB$36:$AB38))</f>
        <v>0.5</v>
      </c>
    </row>
    <row r="39" spans="2:28" ht="15.75" customHeight="1" x14ac:dyDescent="0.2">
      <c r="B39" s="146"/>
      <c r="C39" s="137"/>
      <c r="D39" s="1"/>
      <c r="E39" s="29"/>
      <c r="H39" s="50"/>
      <c r="I39" s="50"/>
      <c r="J39" s="50"/>
      <c r="K39" s="50"/>
      <c r="L39" s="50"/>
      <c r="M39" s="50"/>
      <c r="N39" s="50"/>
      <c r="O39" s="50"/>
      <c r="P39" s="50"/>
      <c r="Q39" s="39"/>
      <c r="R39" s="143">
        <v>34</v>
      </c>
      <c r="S39" s="141" t="str" cm="1">
        <f t="array" ref="S39">INDEX(TallyDrinkNames, SMALL(IF($R$5=TallyDrinkType, ROW(TallyDrinkType)-ROW('Friday Spreadsheet CSV'!$E$3)+1), ROW(34:34)))</f>
        <v>Loki's Mead</v>
      </c>
      <c r="T39" s="25"/>
      <c r="U39" s="73" t="str" cm="1">
        <f t="array" ref="U39">INDEX(TallyDrinkNames,SMALL(IF(TallyScore=$AB39,ROW(TallyScore)-ROW('Friday Spreadsheet CSV'!$K$3)+1),COUNTIF($AB$36:$AB39,$AB39)))</f>
        <v>White Hag Farmhouse Saisson</v>
      </c>
      <c r="V39" s="73" t="str" cm="1">
        <f t="array" ref="V39">INDEX(TallyDrinkType,SMALL(IF(TallyScore=$AB39,ROW(TallyScore)-ROW('Friday Spreadsheet CSV'!$K$3)+1),COUNTIF($AB$36:$AB39,$AB39)))</f>
        <v>Beer</v>
      </c>
      <c r="W39" s="73" t="str" cm="1">
        <f t="array" ref="W39">INDEX(TallyMixer1,SMALL(IF(TallyScore=$AB39,ROW(TallyScore)-ROW('Friday Spreadsheet CSV'!$K$3)+1),COUNTIF($AB$36:$AB39,$AB39)))</f>
        <v/>
      </c>
      <c r="X39" s="73" t="str" cm="1">
        <f t="array" ref="X39">INDEX(TallyMixer2,SMALL(IF(TallyScore=$AB39,ROW(TallyScore)-ROW('Friday Spreadsheet CSV'!$K$3)+1),COUNTIF($AB$36:$AB39,$AB39)))</f>
        <v/>
      </c>
      <c r="Y39" s="73" t="str" cm="1">
        <f t="array" ref="Y39">INDEX(TallyRatingWord1,SMALL(IF(TallyScore=$AB39,ROW(TallyScore)-ROW('Friday Spreadsheet CSV'!$K$3)+1),COUNTIF($AB$36:$AB39,$AB39)))</f>
        <v>Undrinkable</v>
      </c>
      <c r="Z39" s="73" t="str" cm="1">
        <f t="array" ref="Z39">INDEX(TallyRatingWord2,SMALL(IF(TallyScore=$AB39,ROW(TallyScore)-ROW('Friday Spreadsheet CSV'!$K$3)+1),COUNTIF($AB$36:$AB39,$AB39)))</f>
        <v>Putrid</v>
      </c>
      <c r="AA39" s="73" t="str" cm="1">
        <f t="array" ref="AA39">INDEX(TallyPeopleNames,SMALL(IF(TallyScore=$AB39,ROW(TallyScore)-ROW('Friday Spreadsheet CSV'!$K$3)+1),COUNTIF($AB$36:$AB39,$AB39)))</f>
        <v>Joe Cuthbert</v>
      </c>
      <c r="AB39" s="52">
        <f>SMALL(TallyScore,ROWS($AB$36:$AB39))</f>
        <v>0.5</v>
      </c>
    </row>
    <row r="40" spans="2:28" ht="15.75" customHeight="1" x14ac:dyDescent="0.2">
      <c r="B40" s="146"/>
      <c r="C40" s="137"/>
      <c r="D40" s="1"/>
      <c r="E40" s="29"/>
      <c r="H40" s="24"/>
      <c r="I40" s="24"/>
      <c r="J40" s="24"/>
      <c r="K40" s="24"/>
      <c r="L40" s="24"/>
      <c r="M40" s="24"/>
      <c r="N40" s="24"/>
      <c r="O40" s="24"/>
      <c r="P40" s="24"/>
      <c r="Q40" s="24"/>
      <c r="R40" s="143">
        <v>35</v>
      </c>
      <c r="S40" s="141" t="str" cm="1">
        <f t="array" ref="S40">INDEX(TallyDrinkNames, SMALL(IF($R$5=TallyDrinkType, ROW(TallyDrinkType)-ROW('Friday Spreadsheet CSV'!$E$3)+1), ROW(35:35)))</f>
        <v>Home Bargain Shuda Berry Sour</v>
      </c>
      <c r="T40" s="49"/>
      <c r="U40" s="73" t="str" cm="1">
        <f t="array" ref="U40">INDEX(TallyDrinkNames,SMALL(IF(TallyScore=$AB40,ROW(TallyScore)-ROW('Friday Spreadsheet CSV'!$K$3)+1),COUNTIF($AB$36:$AB40,$AB40)))</f>
        <v>Sainsbury's White Rum</v>
      </c>
      <c r="V40" s="73" t="str" cm="1">
        <f t="array" ref="V40">INDEX(TallyDrinkType,SMALL(IF(TallyScore=$AB40,ROW(TallyScore)-ROW('Friday Spreadsheet CSV'!$K$3)+1),COUNTIF($AB$36:$AB40,$AB40)))</f>
        <v>Rum</v>
      </c>
      <c r="W40" s="73" t="str" cm="1">
        <f t="array" ref="W40">INDEX(TallyMixer1,SMALL(IF(TallyScore=$AB40,ROW(TallyScore)-ROW('Friday Spreadsheet CSV'!$K$3)+1),COUNTIF($AB$36:$AB40,$AB40)))</f>
        <v>Cranberry Juice</v>
      </c>
      <c r="X40" s="73" t="str" cm="1">
        <f t="array" ref="X40">INDEX(TallyMixer2,SMALL(IF(TallyScore=$AB40,ROW(TallyScore)-ROW('Friday Spreadsheet CSV'!$K$3)+1),COUNTIF($AB$36:$AB40,$AB40)))</f>
        <v/>
      </c>
      <c r="Y40" s="73" t="str" cm="1">
        <f t="array" ref="Y40">INDEX(TallyRatingWord1,SMALL(IF(TallyScore=$AB40,ROW(TallyScore)-ROW('Friday Spreadsheet CSV'!$K$3)+1),COUNTIF($AB$36:$AB40,$AB40)))</f>
        <v>Disagreeable</v>
      </c>
      <c r="Z40" s="73" t="str" cm="1">
        <f t="array" ref="Z40">INDEX(TallyRatingWord2,SMALL(IF(TallyScore=$AB40,ROW(TallyScore)-ROW('Friday Spreadsheet CSV'!$K$3)+1),COUNTIF($AB$36:$AB40,$AB40)))</f>
        <v>Vexatcious</v>
      </c>
      <c r="AA40" s="73" t="str" cm="1">
        <f t="array" ref="AA40">INDEX(TallyPeopleNames,SMALL(IF(TallyScore=$AB40,ROW(TallyScore)-ROW('Friday Spreadsheet CSV'!$K$3)+1),COUNTIF($AB$36:$AB40,$AB40)))</f>
        <v>Ross Savill</v>
      </c>
      <c r="AB40" s="52">
        <f>SMALL(TallyScore,ROWS($AB$36:$AB40))</f>
        <v>0.5</v>
      </c>
    </row>
    <row r="41" spans="2:28" ht="15.75" customHeight="1" x14ac:dyDescent="0.2">
      <c r="B41" s="146"/>
      <c r="C41" s="137"/>
      <c r="D41" s="1"/>
      <c r="E41" s="29"/>
      <c r="H41" s="41"/>
      <c r="I41" s="39"/>
      <c r="J41" s="39"/>
      <c r="K41" s="41"/>
      <c r="L41" s="41"/>
      <c r="M41" s="41"/>
      <c r="N41" s="41"/>
      <c r="O41" s="41"/>
      <c r="P41" s="41"/>
      <c r="Q41" s="39"/>
      <c r="R41" s="143">
        <v>36</v>
      </c>
      <c r="S41" s="141" t="str" cm="1">
        <f t="array" ref="S41">INDEX(TallyDrinkNames, SMALL(IF($R$5=TallyDrinkType, ROW(TallyDrinkType)-ROW('Friday Spreadsheet CSV'!$E$3)+1), ROW(36:36)))</f>
        <v>Home Bargain Shuda Blueberry Sours Shot</v>
      </c>
      <c r="T41" s="39"/>
      <c r="U41" s="73" t="str" cm="1">
        <f t="array" ref="U41">INDEX(TallyDrinkNames,SMALL(IF(TallyScore=$AB41,ROW(TallyScore)-ROW('Friday Spreadsheet CSV'!$K$3)+1),COUNTIF($AB$36:$AB41,$AB41)))</f>
        <v>Smirnoff Vodka</v>
      </c>
      <c r="V41" s="73" t="str" cm="1">
        <f t="array" ref="V41">INDEX(TallyDrinkType,SMALL(IF(TallyScore=$AB41,ROW(TallyScore)-ROW('Friday Spreadsheet CSV'!$K$3)+1),COUNTIF($AB$36:$AB41,$AB41)))</f>
        <v>Vodka</v>
      </c>
      <c r="W41" s="73" t="str" cm="1">
        <f t="array" ref="W41">INDEX(TallyMixer1,SMALL(IF(TallyScore=$AB41,ROW(TallyScore)-ROW('Friday Spreadsheet CSV'!$K$3)+1),COUNTIF($AB$36:$AB41,$AB41)))</f>
        <v/>
      </c>
      <c r="X41" s="73" t="str" cm="1">
        <f t="array" ref="X41">INDEX(TallyMixer2,SMALL(IF(TallyScore=$AB41,ROW(TallyScore)-ROW('Friday Spreadsheet CSV'!$K$3)+1),COUNTIF($AB$36:$AB41,$AB41)))</f>
        <v/>
      </c>
      <c r="Y41" s="73" t="str" cm="1">
        <f t="array" ref="Y41">INDEX(TallyRatingWord1,SMALL(IF(TallyScore=$AB41,ROW(TallyScore)-ROW('Friday Spreadsheet CSV'!$K$3)+1),COUNTIF($AB$36:$AB41,$AB41)))</f>
        <v>Crunk</v>
      </c>
      <c r="Z41" s="73" t="str" cm="1">
        <f t="array" ref="Z41">INDEX(TallyRatingWord2,SMALL(IF(TallyScore=$AB41,ROW(TallyScore)-ROW('Friday Spreadsheet CSV'!$K$3)+1),COUNTIF($AB$36:$AB41,$AB41)))</f>
        <v>Repulsive</v>
      </c>
      <c r="AA41" s="73" t="str" cm="1">
        <f t="array" ref="AA41">INDEX(TallyPeopleNames,SMALL(IF(TallyScore=$AB41,ROW(TallyScore)-ROW('Friday Spreadsheet CSV'!$K$3)+1),COUNTIF($AB$36:$AB41,$AB41)))</f>
        <v>Ross Savill</v>
      </c>
      <c r="AB41" s="52">
        <f>SMALL(TallyScore,ROWS($AB$36:$AB41))</f>
        <v>0.5</v>
      </c>
    </row>
    <row r="42" spans="2:28" ht="15.75" customHeight="1" x14ac:dyDescent="0.2">
      <c r="B42" s="146"/>
      <c r="C42" s="137"/>
      <c r="D42" s="1"/>
      <c r="E42" s="29"/>
      <c r="H42" s="39"/>
      <c r="I42" s="39"/>
      <c r="J42" s="39"/>
      <c r="K42" s="39"/>
      <c r="L42" s="39"/>
      <c r="M42" s="39"/>
      <c r="N42" s="39"/>
      <c r="O42" s="39"/>
      <c r="P42" s="39"/>
      <c r="Q42" s="39"/>
      <c r="R42" s="143">
        <v>37</v>
      </c>
      <c r="S42" s="141" t="str" cm="1">
        <f t="array" ref="S42">INDEX(TallyDrinkNames, SMALL(IF($R$5=TallyDrinkType, ROW(TallyDrinkType)-ROW('Friday Spreadsheet CSV'!$E$3)+1), ROW(37:37)))</f>
        <v>Home Bargain Shuda Cherry Sours Shot</v>
      </c>
      <c r="T42" s="25"/>
      <c r="U42" s="73" t="str" cm="1">
        <f t="array" ref="U42">INDEX(TallyDrinkNames,SMALL(IF(TallyScore=$AB42,ROW(TallyScore)-ROW('Friday Spreadsheet CSV'!$K$3)+1),COUNTIF($AB$36:$AB42,$AB42)))</f>
        <v>WKD Pink Gin</v>
      </c>
      <c r="V42" s="73" t="str" cm="1">
        <f t="array" ref="V42">INDEX(TallyDrinkType,SMALL(IF(TallyScore=$AB42,ROW(TallyScore)-ROW('Friday Spreadsheet CSV'!$K$3)+1),COUNTIF($AB$36:$AB42,$AB42)))</f>
        <v>Vodka</v>
      </c>
      <c r="W42" s="73" t="str" cm="1">
        <f t="array" ref="W42">INDEX(TallyMixer1,SMALL(IF(TallyScore=$AB42,ROW(TallyScore)-ROW('Friday Spreadsheet CSV'!$K$3)+1),COUNTIF($AB$36:$AB42,$AB42)))</f>
        <v/>
      </c>
      <c r="X42" s="73" t="str" cm="1">
        <f t="array" ref="X42">INDEX(TallyMixer2,SMALL(IF(TallyScore=$AB42,ROW(TallyScore)-ROW('Friday Spreadsheet CSV'!$K$3)+1),COUNTIF($AB$36:$AB42,$AB42)))</f>
        <v/>
      </c>
      <c r="Y42" s="73" t="str" cm="1">
        <f t="array" ref="Y42">INDEX(TallyRatingWord1,SMALL(IF(TallyScore=$AB42,ROW(TallyScore)-ROW('Friday Spreadsheet CSV'!$K$3)+1),COUNTIF($AB$36:$AB42,$AB42)))</f>
        <v>Sweet</v>
      </c>
      <c r="Z42" s="73" t="str" cm="1">
        <f t="array" ref="Z42">INDEX(TallyRatingWord2,SMALL(IF(TallyScore=$AB42,ROW(TallyScore)-ROW('Friday Spreadsheet CSV'!$K$3)+1),COUNTIF($AB$36:$AB42,$AB42)))</f>
        <v>Urine</v>
      </c>
      <c r="AA42" s="73" t="str" cm="1">
        <f t="array" ref="AA42">INDEX(TallyPeopleNames,SMALL(IF(TallyScore=$AB42,ROW(TallyScore)-ROW('Friday Spreadsheet CSV'!$K$3)+1),COUNTIF($AB$36:$AB42,$AB42)))</f>
        <v>Caroline Draper</v>
      </c>
      <c r="AB42" s="52">
        <f>SMALL(TallyScore,ROWS($AB$36:$AB42))</f>
        <v>0.5</v>
      </c>
    </row>
    <row r="43" spans="2:28" ht="15.75" customHeight="1" x14ac:dyDescent="0.2">
      <c r="B43" s="146"/>
      <c r="C43" s="137"/>
      <c r="D43" s="1"/>
      <c r="E43" s="29"/>
      <c r="H43" s="39"/>
      <c r="I43" s="39"/>
      <c r="J43" s="39"/>
      <c r="K43" s="39"/>
      <c r="L43" s="39"/>
      <c r="M43" s="39"/>
      <c r="N43" s="39"/>
      <c r="O43" s="39"/>
      <c r="P43" s="39"/>
      <c r="Q43" s="39"/>
      <c r="R43" s="143">
        <v>38</v>
      </c>
      <c r="S43" s="141" t="str" cm="1">
        <f t="array" ref="S43">INDEX(TallyDrinkNames, SMALL(IF($R$5=TallyDrinkType, ROW(TallyDrinkType)-ROW('Friday Spreadsheet CSV'!$E$3)+1), ROW(38:38)))</f>
        <v>Home Bargain Shuda Berry Sour</v>
      </c>
      <c r="T43" s="25"/>
      <c r="U43" s="73" t="str" cm="1">
        <f t="array" ref="U43">INDEX(TallyDrinkNames,SMALL(IF(TallyScore=$AB43,ROW(TallyScore)-ROW('Friday Spreadsheet CSV'!$K$3)+1),COUNTIF($AB$36:$AB43,$AB43)))</f>
        <v>Captain Morgan Dark Rum</v>
      </c>
      <c r="V43" s="73" t="str" cm="1">
        <f t="array" ref="V43">INDEX(TallyDrinkType,SMALL(IF(TallyScore=$AB43,ROW(TallyScore)-ROW('Friday Spreadsheet CSV'!$K$3)+1),COUNTIF($AB$36:$AB43,$AB43)))</f>
        <v>Rum</v>
      </c>
      <c r="W43" s="73" cm="1">
        <f t="array" ref="W43">INDEX(TallyMixer1,SMALL(IF(TallyScore=$AB43,ROW(TallyScore)-ROW('Friday Spreadsheet CSV'!$K$3)+1),COUNTIF($AB$36:$AB43,$AB43)))</f>
        <v>0</v>
      </c>
      <c r="X43" s="73" cm="1">
        <f t="array" ref="X43">INDEX(TallyMixer2,SMALL(IF(TallyScore=$AB43,ROW(TallyScore)-ROW('Friday Spreadsheet CSV'!$K$3)+1),COUNTIF($AB$36:$AB43,$AB43)))</f>
        <v>0</v>
      </c>
      <c r="Y43" s="73" t="str" cm="1">
        <f t="array" ref="Y43">INDEX(TallyRatingWord1,SMALL(IF(TallyScore=$AB43,ROW(TallyScore)-ROW('Friday Spreadsheet CSV'!$K$3)+1),COUNTIF($AB$36:$AB43,$AB43)))</f>
        <v>Vomitus</v>
      </c>
      <c r="Z43" s="73" t="str" cm="1">
        <f t="array" ref="Z43">INDEX(TallyRatingWord2,SMALL(IF(TallyScore=$AB43,ROW(TallyScore)-ROW('Friday Spreadsheet CSV'!$K$3)+1),COUNTIF($AB$36:$AB43,$AB43)))</f>
        <v>Devil-Cum</v>
      </c>
      <c r="AA43" s="73" t="str" cm="1">
        <f t="array" ref="AA43">INDEX(TallyPeopleNames,SMALL(IF(TallyScore=$AB43,ROW(TallyScore)-ROW('Friday Spreadsheet CSV'!$K$3)+1),COUNTIF($AB$36:$AB43,$AB43)))</f>
        <v>Sean Carey</v>
      </c>
      <c r="AB43" s="52">
        <f>SMALL(TallyScore,ROWS($AB$36:$AB43))</f>
        <v>0.5</v>
      </c>
    </row>
    <row r="44" spans="2:28" ht="15.75" customHeight="1" x14ac:dyDescent="0.2">
      <c r="B44" s="146"/>
      <c r="C44" s="137"/>
      <c r="D44" s="1"/>
      <c r="E44" s="29"/>
      <c r="H44" s="39"/>
      <c r="I44" s="39"/>
      <c r="J44" s="39"/>
      <c r="K44" s="39"/>
      <c r="L44" s="39"/>
      <c r="M44" s="39"/>
      <c r="N44" s="39"/>
      <c r="O44" s="39"/>
      <c r="P44" s="39"/>
      <c r="Q44" s="39"/>
      <c r="R44" s="143">
        <v>39</v>
      </c>
      <c r="S44" s="141" t="str" cm="1">
        <f t="array" ref="S44">INDEX(TallyDrinkNames, SMALL(IF($R$5=TallyDrinkType, ROW(TallyDrinkType)-ROW('Friday Spreadsheet CSV'!$E$3)+1), ROW(39:39)))</f>
        <v>Home Bargain Shuda Apple Sour</v>
      </c>
      <c r="T44" s="25"/>
      <c r="U44" s="73" t="str" cm="1">
        <f t="array" ref="U44">INDEX(TallyDrinkNames,SMALL(IF(TallyScore=$AB44,ROW(TallyScore)-ROW('Friday Spreadsheet CSV'!$K$3)+1),COUNTIF($AB$36:$AB44,$AB44)))</f>
        <v>Absolwent Vodka</v>
      </c>
      <c r="V44" s="73" t="str" cm="1">
        <f t="array" ref="V44">INDEX(TallyDrinkType,SMALL(IF(TallyScore=$AB44,ROW(TallyScore)-ROW('Friday Spreadsheet CSV'!$K$3)+1),COUNTIF($AB$36:$AB44,$AB44)))</f>
        <v>Vodka</v>
      </c>
      <c r="W44" s="73" cm="1">
        <f t="array" ref="W44">INDEX(TallyMixer1,SMALL(IF(TallyScore=$AB44,ROW(TallyScore)-ROW('Friday Spreadsheet CSV'!$K$3)+1),COUNTIF($AB$36:$AB44,$AB44)))</f>
        <v>0</v>
      </c>
      <c r="X44" s="73" cm="1">
        <f t="array" ref="X44">INDEX(TallyMixer2,SMALL(IF(TallyScore=$AB44,ROW(TallyScore)-ROW('Friday Spreadsheet CSV'!$K$3)+1),COUNTIF($AB$36:$AB44,$AB44)))</f>
        <v>0</v>
      </c>
      <c r="Y44" s="73" t="str" cm="1">
        <f t="array" ref="Y44">INDEX(TallyRatingWord1,SMALL(IF(TallyScore=$AB44,ROW(TallyScore)-ROW('Friday Spreadsheet CSV'!$K$3)+1),COUNTIF($AB$36:$AB44,$AB44)))</f>
        <v>Oh</v>
      </c>
      <c r="Z44" s="73" t="str" cm="1">
        <f t="array" ref="Z44">INDEX(TallyRatingWord2,SMALL(IF(TallyScore=$AB44,ROW(TallyScore)-ROW('Friday Spreadsheet CSV'!$K$3)+1),COUNTIF($AB$36:$AB44,$AB44)))</f>
        <v>Shit</v>
      </c>
      <c r="AA44" s="73" t="str" cm="1">
        <f t="array" ref="AA44">INDEX(TallyPeopleNames,SMALL(IF(TallyScore=$AB44,ROW(TallyScore)-ROW('Friday Spreadsheet CSV'!$K$3)+1),COUNTIF($AB$36:$AB44,$AB44)))</f>
        <v>Sean Carey</v>
      </c>
      <c r="AB44" s="52">
        <f>SMALL(TallyScore,ROWS($AB$36:$AB44))</f>
        <v>0.5</v>
      </c>
    </row>
    <row r="45" spans="2:28" ht="15.75" customHeight="1" x14ac:dyDescent="0.2">
      <c r="B45" s="146"/>
      <c r="C45" s="137"/>
      <c r="D45" s="1"/>
      <c r="E45" s="29"/>
      <c r="H45" s="39"/>
      <c r="I45" s="39"/>
      <c r="J45" s="39"/>
      <c r="K45" s="39"/>
      <c r="L45" s="39"/>
      <c r="M45" s="39"/>
      <c r="N45" s="39"/>
      <c r="O45" s="39"/>
      <c r="P45" s="39"/>
      <c r="Q45" s="39"/>
      <c r="R45" s="143">
        <v>40</v>
      </c>
      <c r="S45" s="141" t="str" cm="1">
        <f t="array" ref="S45">INDEX(TallyDrinkNames, SMALL(IF($R$5=TallyDrinkType, ROW(TallyDrinkType)-ROW('Friday Spreadsheet CSV'!$E$3)+1), ROW(40:40)))</f>
        <v xml:space="preserve">Cachaca 51 - Raspberry and Mint Caipriana </v>
      </c>
      <c r="T45" s="25"/>
      <c r="U45" s="73" t="str" cm="1">
        <f t="array" ref="U45">INDEX(TallyDrinkNames,SMALL(IF(TallyScore=$AB45,ROW(TallyScore)-ROW('Friday Spreadsheet CSV'!$K$3)+1),COUNTIF($AB$36:$AB45,$AB45)))</f>
        <v>Himbeere Blackforset Raspberry Liquour</v>
      </c>
      <c r="V45" s="73" t="str" cm="1">
        <f t="array" ref="V45">INDEX(TallyDrinkType,SMALL(IF(TallyScore=$AB45,ROW(TallyScore)-ROW('Friday Spreadsheet CSV'!$K$3)+1),COUNTIF($AB$36:$AB45,$AB45)))</f>
        <v>Liqueur</v>
      </c>
      <c r="W45" s="73" cm="1">
        <f t="array" ref="W45">INDEX(TallyMixer1,SMALL(IF(TallyScore=$AB45,ROW(TallyScore)-ROW('Friday Spreadsheet CSV'!$K$3)+1),COUNTIF($AB$36:$AB45,$AB45)))</f>
        <v>0</v>
      </c>
      <c r="X45" s="73" cm="1">
        <f t="array" ref="X45">INDEX(TallyMixer2,SMALL(IF(TallyScore=$AB45,ROW(TallyScore)-ROW('Friday Spreadsheet CSV'!$K$3)+1),COUNTIF($AB$36:$AB45,$AB45)))</f>
        <v>0</v>
      </c>
      <c r="Y45" s="73" t="str" cm="1">
        <f t="array" ref="Y45">INDEX(TallyRatingWord1,SMALL(IF(TallyScore=$AB45,ROW(TallyScore)-ROW('Friday Spreadsheet CSV'!$K$3)+1),COUNTIF($AB$36:$AB45,$AB45)))</f>
        <v>Vintage</v>
      </c>
      <c r="Z45" s="73" t="str" cm="1">
        <f t="array" ref="Z45">INDEX(TallyRatingWord2,SMALL(IF(TallyScore=$AB45,ROW(TallyScore)-ROW('Friday Spreadsheet CSV'!$K$3)+1),COUNTIF($AB$36:$AB45,$AB45)))</f>
        <v>Alcohol-Poisoning</v>
      </c>
      <c r="AA45" s="73" t="str" cm="1">
        <f t="array" ref="AA45">INDEX(TallyPeopleNames,SMALL(IF(TallyScore=$AB45,ROW(TallyScore)-ROW('Friday Spreadsheet CSV'!$K$3)+1),COUNTIF($AB$36:$AB45,$AB45)))</f>
        <v>Caroline Draper</v>
      </c>
      <c r="AB45" s="52">
        <f>SMALL(TallyScore,ROWS($AB$36:$AB45))</f>
        <v>0.5</v>
      </c>
    </row>
    <row r="46" spans="2:28" ht="15.75" customHeight="1" x14ac:dyDescent="0.2">
      <c r="B46" s="146"/>
      <c r="C46" s="137"/>
      <c r="D46" s="1"/>
      <c r="E46" s="29"/>
      <c r="H46" s="25"/>
      <c r="I46" s="25"/>
      <c r="J46" s="25"/>
      <c r="K46" s="25"/>
      <c r="L46" s="25"/>
      <c r="M46" s="25"/>
      <c r="N46" s="25"/>
      <c r="O46" s="25"/>
      <c r="P46" s="25"/>
      <c r="Q46" s="25"/>
      <c r="R46" s="143">
        <v>41</v>
      </c>
      <c r="S46" s="141" t="str" cm="1">
        <f t="array" ref="S46">INDEX(TallyDrinkNames, SMALL(IF($R$5=TallyDrinkType, ROW(TallyDrinkType)-ROW('Friday Spreadsheet CSV'!$E$3)+1), ROW(41:41)))</f>
        <v>Vivir Tequila</v>
      </c>
      <c r="T46" s="25"/>
      <c r="U46" s="73" t="str" cm="1">
        <f t="array" ref="U46">INDEX(TallyDrinkNames,SMALL(IF(TallyScore=$AB46,ROW(TallyScore)-ROW('Friday Spreadsheet CSV'!$K$3)+1),COUNTIF($AB$36:$AB46,$AB46)))</f>
        <v>Bols Corenwyn 1575 Gineva Dutch "Pre-Gin"</v>
      </c>
      <c r="V46" s="73" t="str" cm="1">
        <f t="array" ref="V46">INDEX(TallyDrinkType,SMALL(IF(TallyScore=$AB46,ROW(TallyScore)-ROW('Friday Spreadsheet CSV'!$K$3)+1),COUNTIF($AB$36:$AB46,$AB46)))</f>
        <v>Liqueur</v>
      </c>
      <c r="W46" s="73" cm="1">
        <f t="array" ref="W46">INDEX(TallyMixer1,SMALL(IF(TallyScore=$AB46,ROW(TallyScore)-ROW('Friday Spreadsheet CSV'!$K$3)+1),COUNTIF($AB$36:$AB46,$AB46)))</f>
        <v>0</v>
      </c>
      <c r="X46" s="73" cm="1">
        <f t="array" ref="X46">INDEX(TallyMixer2,SMALL(IF(TallyScore=$AB46,ROW(TallyScore)-ROW('Friday Spreadsheet CSV'!$K$3)+1),COUNTIF($AB$36:$AB46,$AB46)))</f>
        <v>0</v>
      </c>
      <c r="Y46" s="73" t="str" cm="1">
        <f t="array" ref="Y46">INDEX(TallyRatingWord1,SMALL(IF(TallyScore=$AB46,ROW(TallyScore)-ROW('Friday Spreadsheet CSV'!$K$3)+1),COUNTIF($AB$36:$AB46,$AB46)))</f>
        <v>Fuck</v>
      </c>
      <c r="Z46" s="73" t="str" cm="1">
        <f t="array" ref="Z46">INDEX(TallyRatingWord2,SMALL(IF(TallyScore=$AB46,ROW(TallyScore)-ROW('Friday Spreadsheet CSV'!$K$3)+1),COUNTIF($AB$36:$AB46,$AB46)))</f>
        <v>Me</v>
      </c>
      <c r="AA46" s="73" t="str" cm="1">
        <f t="array" ref="AA46">INDEX(TallyPeopleNames,SMALL(IF(TallyScore=$AB46,ROW(TallyScore)-ROW('Friday Spreadsheet CSV'!$K$3)+1),COUNTIF($AB$36:$AB46,$AB46)))</f>
        <v>Joe Cuthbert</v>
      </c>
      <c r="AB46" s="52">
        <f>SMALL(TallyScore,ROWS($AB$36:$AB46))</f>
        <v>0.5</v>
      </c>
    </row>
    <row r="47" spans="2:28" ht="15.75" customHeight="1" x14ac:dyDescent="0.2">
      <c r="B47" s="146"/>
      <c r="C47" s="137"/>
      <c r="D47" s="1"/>
      <c r="E47" s="29"/>
      <c r="H47" s="25"/>
      <c r="I47" s="25"/>
      <c r="J47" s="25"/>
      <c r="K47" s="25"/>
      <c r="L47" s="25"/>
      <c r="M47" s="25"/>
      <c r="N47" s="25"/>
      <c r="O47" s="25"/>
      <c r="P47" s="25"/>
      <c r="Q47" s="25"/>
      <c r="R47" s="143">
        <v>42</v>
      </c>
      <c r="S47" s="141" t="str" cm="1">
        <f t="array" ref="S47">INDEX(TallyDrinkNames, SMALL(IF($R$5=TallyDrinkType, ROW(TallyDrinkType)-ROW('Friday Spreadsheet CSV'!$E$3)+1), ROW(42:42)))</f>
        <v>Kopparberg Passionfruit Hard Seltzer</v>
      </c>
      <c r="T47" s="25"/>
      <c r="U47" s="73" t="str" cm="1">
        <f t="array" ref="U47">INDEX(TallyDrinkNames,SMALL(IF(TallyScore=$AB47,ROW(TallyScore)-ROW('Friday Spreadsheet CSV'!$K$3)+1),COUNTIF($AB$36:$AB47,$AB47)))</f>
        <v>O'Hara's Brewing White Haze IPA</v>
      </c>
      <c r="V47" s="73" t="str" cm="1">
        <f t="array" ref="V47">INDEX(TallyDrinkType,SMALL(IF(TallyScore=$AB47,ROW(TallyScore)-ROW('Friday Spreadsheet CSV'!$K$3)+1),COUNTIF($AB$36:$AB47,$AB47)))</f>
        <v>Beer</v>
      </c>
      <c r="W47" s="73" cm="1">
        <f t="array" ref="W47">INDEX(TallyMixer1,SMALL(IF(TallyScore=$AB47,ROW(TallyScore)-ROW('Friday Spreadsheet CSV'!$K$3)+1),COUNTIF($AB$36:$AB47,$AB47)))</f>
        <v>0</v>
      </c>
      <c r="X47" s="73" cm="1">
        <f t="array" ref="X47">INDEX(TallyMixer2,SMALL(IF(TallyScore=$AB47,ROW(TallyScore)-ROW('Friday Spreadsheet CSV'!$K$3)+1),COUNTIF($AB$36:$AB47,$AB47)))</f>
        <v>0</v>
      </c>
      <c r="Y47" s="73" t="str" cm="1">
        <f t="array" ref="Y47">INDEX(TallyRatingWord1,SMALL(IF(TallyScore=$AB47,ROW(TallyScore)-ROW('Friday Spreadsheet CSV'!$K$3)+1),COUNTIF($AB$36:$AB47,$AB47)))</f>
        <v>Irish</v>
      </c>
      <c r="Z47" s="73" t="str" cm="1">
        <f t="array" ref="Z47">INDEX(TallyRatingWord2,SMALL(IF(TallyScore=$AB47,ROW(TallyScore)-ROW('Friday Spreadsheet CSV'!$K$3)+1),COUNTIF($AB$36:$AB47,$AB47)))</f>
        <v>Terrorist</v>
      </c>
      <c r="AA47" s="73" t="str" cm="1">
        <f t="array" ref="AA47">INDEX(TallyPeopleNames,SMALL(IF(TallyScore=$AB47,ROW(TallyScore)-ROW('Friday Spreadsheet CSV'!$K$3)+1),COUNTIF($AB$36:$AB47,$AB47)))</f>
        <v>Sean Carey</v>
      </c>
      <c r="AB47" s="52">
        <f>SMALL(TallyScore,ROWS($AB$36:$AB47))</f>
        <v>0.5</v>
      </c>
    </row>
    <row r="48" spans="2:28" ht="15.75" customHeight="1" x14ac:dyDescent="0.2">
      <c r="B48" s="146"/>
      <c r="C48" s="137"/>
      <c r="D48" s="1"/>
      <c r="E48" s="29"/>
      <c r="H48" s="25"/>
      <c r="I48" s="25"/>
      <c r="J48" s="25"/>
      <c r="K48" s="25"/>
      <c r="L48" s="25"/>
      <c r="M48" s="25"/>
      <c r="N48" s="25"/>
      <c r="O48" s="25"/>
      <c r="P48" s="25"/>
      <c r="Q48" s="25"/>
      <c r="R48" s="143">
        <v>43</v>
      </c>
      <c r="S48" s="141" t="str" cm="1">
        <f t="array" ref="S48">INDEX(TallyDrinkNames, SMALL(IF($R$5=TallyDrinkType, ROW(TallyDrinkType)-ROW('Friday Spreadsheet CSV'!$E$3)+1), ROW(43:43)))</f>
        <v>Kopparberg Black Cherry Hard Seltzer</v>
      </c>
      <c r="T48" s="25"/>
      <c r="U48" s="73" t="str" cm="1">
        <f t="array" ref="U48">INDEX(TallyDrinkNames,SMALL(IF(TallyScore=$AB48,ROW(TallyScore)-ROW('Friday Spreadsheet CSV'!$K$3)+1),COUNTIF($AB$36:$AB48,$AB48)))</f>
        <v>Monkey Shoulder</v>
      </c>
      <c r="V48" s="73" t="str" cm="1">
        <f t="array" ref="V48">INDEX(TallyDrinkType,SMALL(IF(TallyScore=$AB48,ROW(TallyScore)-ROW('Friday Spreadsheet CSV'!$K$3)+1),COUNTIF($AB$36:$AB48,$AB48)))</f>
        <v>Whiskey</v>
      </c>
      <c r="W48" s="73" t="str" cm="1">
        <f t="array" ref="W48">INDEX(TallyMixer1,SMALL(IF(TallyScore=$AB48,ROW(TallyScore)-ROW('Friday Spreadsheet CSV'!$K$3)+1),COUNTIF($AB$36:$AB48,$AB48)))</f>
        <v>Two Drifters Spiced Rum</v>
      </c>
      <c r="X48" s="73" cm="1">
        <f t="array" ref="X48">INDEX(TallyMixer2,SMALL(IF(TallyScore=$AB48,ROW(TallyScore)-ROW('Friday Spreadsheet CSV'!$K$3)+1),COUNTIF($AB$36:$AB48,$AB48)))</f>
        <v>0</v>
      </c>
      <c r="Y48" s="73" t="str" cm="1">
        <f t="array" ref="Y48">INDEX(TallyRatingWord1,SMALL(IF(TallyScore=$AB48,ROW(TallyScore)-ROW('Friday Spreadsheet CSV'!$K$3)+1),COUNTIF($AB$36:$AB48,$AB48)))</f>
        <v>Unholy</v>
      </c>
      <c r="Z48" s="73" t="str" cm="1">
        <f t="array" ref="Z48">INDEX(TallyRatingWord2,SMALL(IF(TallyScore=$AB48,ROW(TallyScore)-ROW('Friday Spreadsheet CSV'!$K$3)+1),COUNTIF($AB$36:$AB48,$AB48)))</f>
        <v>Combination</v>
      </c>
      <c r="AA48" s="73" t="str" cm="1">
        <f t="array" ref="AA48">INDEX(TallyPeopleNames,SMALL(IF(TallyScore=$AB48,ROW(TallyScore)-ROW('Friday Spreadsheet CSV'!$K$3)+1),COUNTIF($AB$36:$AB48,$AB48)))</f>
        <v>Ross Savill</v>
      </c>
      <c r="AB48" s="52">
        <f>SMALL(TallyScore,ROWS($AB$36:$AB48))</f>
        <v>0.5</v>
      </c>
    </row>
    <row r="49" spans="2:28" ht="15.75" customHeight="1" x14ac:dyDescent="0.2">
      <c r="B49" s="146"/>
      <c r="C49" s="137"/>
      <c r="D49" s="1"/>
      <c r="E49" s="29"/>
      <c r="H49" s="25"/>
      <c r="I49" s="25"/>
      <c r="J49" s="25"/>
      <c r="K49" s="25"/>
      <c r="L49" s="25"/>
      <c r="M49" s="25"/>
      <c r="N49" s="25"/>
      <c r="O49" s="25"/>
      <c r="P49" s="25"/>
      <c r="Q49" s="25"/>
      <c r="R49" s="143">
        <v>44</v>
      </c>
      <c r="S49" s="141" t="str" cm="1">
        <f t="array" ref="S49">INDEX(TallyDrinkNames, SMALL(IF($R$5=TallyDrinkType, ROW(TallyDrinkType)-ROW('Friday Spreadsheet CSV'!$E$3)+1), ROW(44:44)))</f>
        <v>Mendis Old Arrack Coconut Spirit</v>
      </c>
      <c r="T49" s="25"/>
      <c r="U49" s="73" t="str" cm="1">
        <f t="array" ref="U49">INDEX(TallyDrinkNames,SMALL(IF(TallyScore=$AB49,ROW(TallyScore)-ROW('Friday Spreadsheet CSV'!$K$3)+1),COUNTIF($AB$36:$AB49,$AB49)))</f>
        <v>Malibu Rum</v>
      </c>
      <c r="V49" s="73" t="str" cm="1">
        <f t="array" ref="V49">INDEX(TallyDrinkType,SMALL(IF(TallyScore=$AB49,ROW(TallyScore)-ROW('Friday Spreadsheet CSV'!$K$3)+1),COUNTIF($AB$36:$AB49,$AB49)))</f>
        <v>Rum</v>
      </c>
      <c r="W49" s="73" t="str" cm="1">
        <f t="array" ref="W49">INDEX(TallyMixer1,SMALL(IF(TallyScore=$AB49,ROW(TallyScore)-ROW('Friday Spreadsheet CSV'!$K$3)+1),COUNTIF($AB$36:$AB49,$AB49)))</f>
        <v>Pineapple Juice</v>
      </c>
      <c r="X49" s="73" t="str" cm="1">
        <f t="array" ref="X49">INDEX(TallyMixer2,SMALL(IF(TallyScore=$AB49,ROW(TallyScore)-ROW('Friday Spreadsheet CSV'!$K$3)+1),COUNTIF($AB$36:$AB49,$AB49)))</f>
        <v/>
      </c>
      <c r="Y49" s="73" t="str" cm="1">
        <f t="array" ref="Y49">INDEX(TallyRatingWord1,SMALL(IF(TallyScore=$AB49,ROW(TallyScore)-ROW('Friday Spreadsheet CSV'!$K$3)+1),COUNTIF($AB$36:$AB49,$AB49)))</f>
        <v>Foul</v>
      </c>
      <c r="Z49" s="73" t="str" cm="1">
        <f t="array" ref="Z49">INDEX(TallyRatingWord2,SMALL(IF(TallyScore=$AB49,ROW(TallyScore)-ROW('Friday Spreadsheet CSV'!$K$3)+1),COUNTIF($AB$36:$AB49,$AB49)))</f>
        <v>Vomitty</v>
      </c>
      <c r="AA49" s="73" t="str" cm="1">
        <f t="array" ref="AA49">INDEX(TallyPeopleNames,SMALL(IF(TallyScore=$AB49,ROW(TallyScore)-ROW('Friday Spreadsheet CSV'!$K$3)+1),COUNTIF($AB$36:$AB49,$AB49)))</f>
        <v>Caroline Draper</v>
      </c>
      <c r="AB49" s="52">
        <f>SMALL(TallyScore,ROWS($AB$36:$AB49))</f>
        <v>1</v>
      </c>
    </row>
    <row r="50" spans="2:28" ht="15.75" customHeight="1" x14ac:dyDescent="0.2">
      <c r="B50" s="146"/>
      <c r="C50" s="137"/>
      <c r="D50" s="1"/>
      <c r="E50" s="29"/>
      <c r="H50" s="25"/>
      <c r="I50" s="25"/>
      <c r="J50" s="25"/>
      <c r="K50" s="25"/>
      <c r="L50" s="25"/>
      <c r="M50" s="25"/>
      <c r="N50" s="25"/>
      <c r="O50" s="25"/>
      <c r="P50" s="25"/>
      <c r="Q50" s="25"/>
      <c r="R50" s="143">
        <v>45</v>
      </c>
      <c r="S50" s="141" t="str" cm="1">
        <f t="array" ref="S50">INDEX(TallyDrinkNames, SMALL(IF($R$5=TallyDrinkType, ROW(TallyDrinkType)-ROW('Friday Spreadsheet CSV'!$E$3)+1), ROW(45:45)))</f>
        <v>Café Patrón Tequila</v>
      </c>
      <c r="T50" s="25"/>
      <c r="U50" s="73" t="str" cm="1">
        <f t="array" ref="U50">INDEX(TallyDrinkNames,SMALL(IF(TallyScore=$AB50,ROW(TallyScore)-ROW('Friday Spreadsheet CSV'!$K$3)+1),COUNTIF($AB$36:$AB50,$AB50)))</f>
        <v>Gordon's Gin</v>
      </c>
      <c r="V50" s="73" t="str" cm="1">
        <f t="array" ref="V50">INDEX(TallyDrinkType,SMALL(IF(TallyScore=$AB50,ROW(TallyScore)-ROW('Friday Spreadsheet CSV'!$K$3)+1),COUNTIF($AB$36:$AB50,$AB50)))</f>
        <v>Gin</v>
      </c>
      <c r="W50" s="73" t="str" cm="1">
        <f t="array" ref="W50">INDEX(TallyMixer1,SMALL(IF(TallyScore=$AB50,ROW(TallyScore)-ROW('Friday Spreadsheet CSV'!$K$3)+1),COUNTIF($AB$36:$AB50,$AB50)))</f>
        <v/>
      </c>
      <c r="X50" s="73" t="str" cm="1">
        <f t="array" ref="X50">INDEX(TallyMixer2,SMALL(IF(TallyScore=$AB50,ROW(TallyScore)-ROW('Friday Spreadsheet CSV'!$K$3)+1),COUNTIF($AB$36:$AB50,$AB50)))</f>
        <v/>
      </c>
      <c r="Y50" s="73" t="str" cm="1">
        <f t="array" ref="Y50">INDEX(TallyRatingWord1,SMALL(IF(TallyScore=$AB50,ROW(TallyScore)-ROW('Friday Spreadsheet CSV'!$K$3)+1),COUNTIF($AB$36:$AB50,$AB50)))</f>
        <v>Idiot</v>
      </c>
      <c r="Z50" s="73" t="str" cm="1">
        <f t="array" ref="Z50">INDEX(TallyRatingWord2,SMALL(IF(TallyScore=$AB50,ROW(TallyScore)-ROW('Friday Spreadsheet CSV'!$K$3)+1),COUNTIF($AB$36:$AB50,$AB50)))</f>
        <v>Drink</v>
      </c>
      <c r="AA50" s="73" t="str" cm="1">
        <f t="array" ref="AA50">INDEX(TallyPeopleNames,SMALL(IF(TallyScore=$AB50,ROW(TallyScore)-ROW('Friday Spreadsheet CSV'!$K$3)+1),COUNTIF($AB$36:$AB50,$AB50)))</f>
        <v>Ben Millier</v>
      </c>
      <c r="AB50" s="52">
        <f>SMALL(TallyScore,ROWS($AB$36:$AB50))</f>
        <v>1</v>
      </c>
    </row>
    <row r="51" spans="2:28" ht="15.75" customHeight="1" x14ac:dyDescent="0.2">
      <c r="B51" s="146"/>
      <c r="C51" s="137"/>
      <c r="D51" s="1"/>
      <c r="E51" s="29"/>
      <c r="H51" s="25"/>
      <c r="I51" s="25"/>
      <c r="J51" s="25"/>
      <c r="K51" s="25"/>
      <c r="L51" s="25"/>
      <c r="M51" s="25"/>
      <c r="N51" s="25"/>
      <c r="O51" s="25"/>
      <c r="P51" s="25"/>
      <c r="Q51" s="25"/>
      <c r="R51" s="143">
        <v>46</v>
      </c>
      <c r="S51" s="141" t="str" cm="1">
        <f t="array" ref="S51">INDEX(TallyDrinkNames, SMALL(IF($R$5=TallyDrinkType, ROW(TallyDrinkType)-ROW('Friday Spreadsheet CSV'!$E$3)+1), ROW(46:46)))</f>
        <v>Mendis Old Arrack Coconut Spirit</v>
      </c>
      <c r="T51" s="25"/>
      <c r="U51" s="73" t="str" cm="1">
        <f t="array" ref="U51">INDEX(TallyDrinkNames,SMALL(IF(TallyScore=$AB51,ROW(TallyScore)-ROW('Friday Spreadsheet CSV'!$K$3)+1),COUNTIF($AB$36:$AB51,$AB51)))</f>
        <v>Sainsbury's Pale Dry Fino Sherry</v>
      </c>
      <c r="V51" s="73" t="str" cm="1">
        <f t="array" ref="V51">INDEX(TallyDrinkType,SMALL(IF(TallyScore=$AB51,ROW(TallyScore)-ROW('Friday Spreadsheet CSV'!$K$3)+1),COUNTIF($AB$36:$AB51,$AB51)))</f>
        <v>Fortified Wine</v>
      </c>
      <c r="W51" s="73" t="str" cm="1">
        <f t="array" ref="W51">INDEX(TallyMixer1,SMALL(IF(TallyScore=$AB51,ROW(TallyScore)-ROW('Friday Spreadsheet CSV'!$K$3)+1),COUNTIF($AB$36:$AB51,$AB51)))</f>
        <v/>
      </c>
      <c r="X51" s="73" t="str" cm="1">
        <f t="array" ref="X51">INDEX(TallyMixer2,SMALL(IF(TallyScore=$AB51,ROW(TallyScore)-ROW('Friday Spreadsheet CSV'!$K$3)+1),COUNTIF($AB$36:$AB51,$AB51)))</f>
        <v/>
      </c>
      <c r="Y51" s="73" t="str" cm="1">
        <f t="array" ref="Y51">INDEX(TallyRatingWord1,SMALL(IF(TallyScore=$AB51,ROW(TallyScore)-ROW('Friday Spreadsheet CSV'!$K$3)+1),COUNTIF($AB$36:$AB51,$AB51)))</f>
        <v>Lingering</v>
      </c>
      <c r="Z51" s="73" t="str" cm="1">
        <f t="array" ref="Z51">INDEX(TallyRatingWord2,SMALL(IF(TallyScore=$AB51,ROW(TallyScore)-ROW('Friday Spreadsheet CSV'!$K$3)+1),COUNTIF($AB$36:$AB51,$AB51)))</f>
        <v>Abyss</v>
      </c>
      <c r="AA51" s="73" t="str" cm="1">
        <f t="array" ref="AA51">INDEX(TallyPeopleNames,SMALL(IF(TallyScore=$AB51,ROW(TallyScore)-ROW('Friday Spreadsheet CSV'!$K$3)+1),COUNTIF($AB$36:$AB51,$AB51)))</f>
        <v>Anthony Draper</v>
      </c>
      <c r="AB51" s="52">
        <f>SMALL(TallyScore,ROWS($AB$36:$AB51))</f>
        <v>1</v>
      </c>
    </row>
    <row r="52" spans="2:28" ht="15.75" customHeight="1" x14ac:dyDescent="0.2">
      <c r="B52" s="146"/>
      <c r="C52" s="137"/>
      <c r="D52" s="1"/>
      <c r="E52" s="29"/>
      <c r="H52" s="25"/>
      <c r="I52" s="25"/>
      <c r="J52" s="25"/>
      <c r="K52" s="25"/>
      <c r="L52" s="25"/>
      <c r="M52" s="25"/>
      <c r="N52" s="25"/>
      <c r="O52" s="25"/>
      <c r="P52" s="25"/>
      <c r="Q52" s="25"/>
      <c r="R52" s="143">
        <v>47</v>
      </c>
      <c r="S52" s="141" t="str" cm="1">
        <f t="array" ref="S52">INDEX(TallyDrinkNames, SMALL(IF($R$5=TallyDrinkType, ROW(TallyDrinkType)-ROW('Friday Spreadsheet CSV'!$E$3)+1), ROW(47:47)))</f>
        <v>Nordic Wolf Hard Seltzer Strawberry &amp; Lime</v>
      </c>
      <c r="T52" s="25"/>
      <c r="U52" s="73" t="str" cm="1">
        <f t="array" ref="U52">INDEX(TallyDrinkNames,SMALL(IF(TallyScore=$AB52,ROW(TallyScore)-ROW('Friday Spreadsheet CSV'!$K$3)+1),COUNTIF($AB$36:$AB52,$AB52)))</f>
        <v>Cool Shot Berry Burst</v>
      </c>
      <c r="V52" s="73" t="str" cm="1">
        <f t="array" ref="V52">INDEX(TallyDrinkType,SMALL(IF(TallyScore=$AB52,ROW(TallyScore)-ROW('Friday Spreadsheet CSV'!$K$3)+1),COUNTIF($AB$36:$AB52,$AB52)))</f>
        <v>Vodka</v>
      </c>
      <c r="W52" s="73" t="str" cm="1">
        <f t="array" ref="W52">INDEX(TallyMixer1,SMALL(IF(TallyScore=$AB52,ROW(TallyScore)-ROW('Friday Spreadsheet CSV'!$K$3)+1),COUNTIF($AB$36:$AB52,$AB52)))</f>
        <v/>
      </c>
      <c r="X52" s="73" t="str" cm="1">
        <f t="array" ref="X52">INDEX(TallyMixer2,SMALL(IF(TallyScore=$AB52,ROW(TallyScore)-ROW('Friday Spreadsheet CSV'!$K$3)+1),COUNTIF($AB$36:$AB52,$AB52)))</f>
        <v/>
      </c>
      <c r="Y52" s="73" t="str" cm="1">
        <f t="array" ref="Y52">INDEX(TallyRatingWord1,SMALL(IF(TallyScore=$AB52,ROW(TallyScore)-ROW('Friday Spreadsheet CSV'!$K$3)+1),COUNTIF($AB$36:$AB52,$AB52)))</f>
        <v>Unlawful</v>
      </c>
      <c r="Z52" s="73" t="str" cm="1">
        <f t="array" ref="Z52">INDEX(TallyRatingWord2,SMALL(IF(TallyScore=$AB52,ROW(TallyScore)-ROW('Friday Spreadsheet CSV'!$K$3)+1),COUNTIF($AB$36:$AB52,$AB52)))</f>
        <v>Heartbreaking</v>
      </c>
      <c r="AA52" s="73" t="str" cm="1">
        <f t="array" ref="AA52">INDEX(TallyPeopleNames,SMALL(IF(TallyScore=$AB52,ROW(TallyScore)-ROW('Friday Spreadsheet CSV'!$K$3)+1),COUNTIF($AB$36:$AB52,$AB52)))</f>
        <v>Sean Carey</v>
      </c>
      <c r="AB52" s="52">
        <f>SMALL(TallyScore,ROWS($AB$36:$AB52))</f>
        <v>1</v>
      </c>
    </row>
    <row r="53" spans="2:28" ht="15.75" customHeight="1" x14ac:dyDescent="0.2">
      <c r="B53" s="146"/>
      <c r="C53" s="137"/>
      <c r="D53" s="1"/>
      <c r="E53" s="29"/>
      <c r="H53" s="25"/>
      <c r="I53" s="25"/>
      <c r="J53" s="25"/>
      <c r="K53" s="25"/>
      <c r="L53" s="25"/>
      <c r="M53" s="25"/>
      <c r="N53" s="25"/>
      <c r="O53" s="25"/>
      <c r="P53" s="25"/>
      <c r="Q53" s="25"/>
      <c r="R53" s="143">
        <v>48</v>
      </c>
      <c r="S53" s="141" t="str" cm="1">
        <f t="array" ref="S53">INDEX(TallyDrinkNames, SMALL(IF($R$5=TallyDrinkType, ROW(TallyDrinkType)-ROW('Friday Spreadsheet CSV'!$E$3)+1), ROW(48:48)))</f>
        <v>Nordic Wolf Hard Seltzer Lemon</v>
      </c>
      <c r="T53" s="25"/>
      <c r="U53" s="73" t="str" cm="1">
        <f t="array" ref="U53">INDEX(TallyDrinkNames,SMALL(IF(TallyScore=$AB53,ROW(TallyScore)-ROW('Friday Spreadsheet CSV'!$K$3)+1),COUNTIF($AB$36:$AB53,$AB53)))</f>
        <v>Sipsmith Lemon Drizzle Gin</v>
      </c>
      <c r="V53" s="73" t="str" cm="1">
        <f t="array" ref="V53">INDEX(TallyDrinkType,SMALL(IF(TallyScore=$AB53,ROW(TallyScore)-ROW('Friday Spreadsheet CSV'!$K$3)+1),COUNTIF($AB$36:$AB53,$AB53)))</f>
        <v>Gin</v>
      </c>
      <c r="W53" s="73" t="str" cm="1">
        <f t="array" ref="W53">INDEX(TallyMixer1,SMALL(IF(TallyScore=$AB53,ROW(TallyScore)-ROW('Friday Spreadsheet CSV'!$K$3)+1),COUNTIF($AB$36:$AB53,$AB53)))</f>
        <v>Schweppes Tonic</v>
      </c>
      <c r="X53" s="73" t="str" cm="1">
        <f t="array" ref="X53">INDEX(TallyMixer2,SMALL(IF(TallyScore=$AB53,ROW(TallyScore)-ROW('Friday Spreadsheet CSV'!$K$3)+1),COUNTIF($AB$36:$AB53,$AB53)))</f>
        <v/>
      </c>
      <c r="Y53" s="73" t="str" cm="1">
        <f t="array" ref="Y53">INDEX(TallyRatingWord1,SMALL(IF(TallyScore=$AB53,ROW(TallyScore)-ROW('Friday Spreadsheet CSV'!$K$3)+1),COUNTIF($AB$36:$AB53,$AB53)))</f>
        <v>Unnecessarily</v>
      </c>
      <c r="Z53" s="73" t="str" cm="1">
        <f t="array" ref="Z53">INDEX(TallyRatingWord2,SMALL(IF(TallyScore=$AB53,ROW(TallyScore)-ROW('Friday Spreadsheet CSV'!$K$3)+1),COUNTIF($AB$36:$AB53,$AB53)))</f>
        <v>Saccharine</v>
      </c>
      <c r="AA53" s="73" t="str" cm="1">
        <f t="array" ref="AA53">INDEX(TallyPeopleNames,SMALL(IF(TallyScore=$AB53,ROW(TallyScore)-ROW('Friday Spreadsheet CSV'!$K$3)+1),COUNTIF($AB$36:$AB53,$AB53)))</f>
        <v>Nia Harman</v>
      </c>
      <c r="AB53" s="52">
        <f>SMALL(TallyScore,ROWS($AB$36:$AB53))</f>
        <v>1</v>
      </c>
    </row>
    <row r="54" spans="2:28" ht="15.75" customHeight="1" thickBot="1" x14ac:dyDescent="0.25">
      <c r="B54" s="146"/>
      <c r="C54" s="137"/>
      <c r="D54" s="1"/>
      <c r="E54" s="29"/>
      <c r="H54" s="25"/>
      <c r="I54" s="25"/>
      <c r="J54" s="25"/>
      <c r="K54" s="25"/>
      <c r="L54" s="25"/>
      <c r="M54" s="25"/>
      <c r="N54" s="25"/>
      <c r="O54" s="25"/>
      <c r="P54" s="25"/>
      <c r="Q54" s="25"/>
      <c r="R54" s="143">
        <v>49</v>
      </c>
      <c r="S54" s="141" t="str" cm="1">
        <f t="array" ref="S54">INDEX(TallyDrinkNames, SMALL(IF($R$5=TallyDrinkType, ROW(TallyDrinkType)-ROW('Friday Spreadsheet CSV'!$E$3)+1), ROW(49:49)))</f>
        <v>Paganini Grappa</v>
      </c>
      <c r="T54" s="25"/>
      <c r="U54" s="216" t="str" cm="1">
        <f t="array" ref="U54">INDEX(TallyDrinkNames,SMALL(IF(TallyScore=$AB54,ROW(TallyScore)-ROW('Friday Spreadsheet CSV'!$K$3)+1),COUNTIF($AB$36:$AB54,$AB54)))</f>
        <v>Bortolomiol Prosecco</v>
      </c>
      <c r="V54" s="216" t="str" cm="1">
        <f t="array" ref="V54">INDEX(TallyDrinkType,SMALL(IF(TallyScore=$AB54,ROW(TallyScore)-ROW('Friday Spreadsheet CSV'!$K$3)+1),COUNTIF($AB$36:$AB54,$AB54)))</f>
        <v>Wine</v>
      </c>
      <c r="W54" s="216" cm="1">
        <f t="array" ref="W54">INDEX(TallyMixer1,SMALL(IF(TallyScore=$AB54,ROW(TallyScore)-ROW('Friday Spreadsheet CSV'!$K$3)+1),COUNTIF($AB$36:$AB54,$AB54)))</f>
        <v>0</v>
      </c>
      <c r="X54" s="216" cm="1">
        <f t="array" ref="X54">INDEX(TallyMixer2,SMALL(IF(TallyScore=$AB54,ROW(TallyScore)-ROW('Friday Spreadsheet CSV'!$K$3)+1),COUNTIF($AB$36:$AB54,$AB54)))</f>
        <v>0</v>
      </c>
      <c r="Y54" s="216" t="str" cm="1">
        <f t="array" ref="Y54">INDEX(TallyRatingWord1,SMALL(IF(TallyScore=$AB54,ROW(TallyScore)-ROW('Friday Spreadsheet CSV'!$K$3)+1),COUNTIF($AB$36:$AB54,$AB54)))</f>
        <v>Effervescent</v>
      </c>
      <c r="Z54" s="216" t="str" cm="1">
        <f t="array" ref="Z54">INDEX(TallyRatingWord2,SMALL(IF(TallyScore=$AB54,ROW(TallyScore)-ROW('Friday Spreadsheet CSV'!$K$3)+1),COUNTIF($AB$36:$AB54,$AB54)))</f>
        <v>Compost</v>
      </c>
      <c r="AA54" s="216" t="str" cm="1">
        <f t="array" ref="AA54">INDEX(TallyPeopleNames,SMALL(IF(TallyScore=$AB54,ROW(TallyScore)-ROW('Friday Spreadsheet CSV'!$K$3)+1),COUNTIF($AB$36:$AB54,$AB54)))</f>
        <v>Helen Miles</v>
      </c>
      <c r="AB54" s="217">
        <f>SMALL(TallyScore,ROWS($AB$36:$AB54))</f>
        <v>1</v>
      </c>
    </row>
    <row r="55" spans="2:28" ht="15.75" customHeight="1" thickBot="1" x14ac:dyDescent="0.25">
      <c r="B55" s="146"/>
      <c r="C55" s="137"/>
      <c r="D55" s="1"/>
      <c r="E55" s="29"/>
      <c r="H55" s="25"/>
      <c r="I55" s="25"/>
      <c r="J55" s="25"/>
      <c r="K55" s="25"/>
      <c r="L55" s="25"/>
      <c r="M55" s="25"/>
      <c r="N55" s="25"/>
      <c r="O55" s="25"/>
      <c r="P55" s="25"/>
      <c r="Q55" s="25"/>
      <c r="R55" s="233">
        <v>50</v>
      </c>
      <c r="S55" s="234" t="str" cm="1">
        <f t="array" ref="S55">INDEX(TallyDrinkNames, SMALL(IF($R$5=TallyDrinkType, ROW(TallyDrinkType)-ROW('Friday Spreadsheet CSV'!$E$3)+1), ROW(50:50)))</f>
        <v>Paganini Grappa</v>
      </c>
      <c r="T55" s="25"/>
      <c r="U55" s="59"/>
      <c r="V55" s="59"/>
      <c r="W55" s="59"/>
      <c r="X55" s="59"/>
      <c r="Y55" s="59"/>
      <c r="Z55" s="45"/>
      <c r="AA55" s="45"/>
      <c r="AB55" s="45"/>
    </row>
    <row r="56" spans="2:28" ht="15.75" customHeight="1" x14ac:dyDescent="0.2">
      <c r="B56" s="146"/>
      <c r="C56" s="137"/>
      <c r="D56" s="1"/>
      <c r="E56" s="29"/>
      <c r="H56" s="25"/>
      <c r="I56" s="25"/>
      <c r="J56" s="25"/>
      <c r="K56" s="25"/>
      <c r="L56" s="25"/>
      <c r="M56" s="25"/>
      <c r="N56" s="25"/>
      <c r="O56" s="25"/>
      <c r="P56" s="25"/>
      <c r="Q56" s="25"/>
      <c r="R56" s="59"/>
      <c r="S56" s="59"/>
      <c r="T56" s="59"/>
      <c r="U56" s="59"/>
      <c r="V56" s="59"/>
      <c r="W56" s="59"/>
      <c r="X56" s="59"/>
      <c r="Y56" s="59"/>
    </row>
    <row r="57" spans="2:28" ht="15.75" customHeight="1" x14ac:dyDescent="0.2">
      <c r="B57" s="146"/>
      <c r="C57" s="137"/>
      <c r="D57" s="1"/>
      <c r="E57" s="29"/>
      <c r="H57" s="25"/>
      <c r="I57" s="25"/>
      <c r="J57" s="25"/>
      <c r="K57" s="25"/>
      <c r="L57" s="25"/>
      <c r="M57" s="25"/>
      <c r="N57" s="25"/>
      <c r="O57" s="25"/>
      <c r="P57" s="25"/>
      <c r="Q57" s="25"/>
      <c r="R57" s="59"/>
      <c r="S57" s="59"/>
      <c r="T57" s="59"/>
      <c r="X57" s="25"/>
      <c r="Y57" s="25"/>
    </row>
    <row r="58" spans="2:28" ht="15.75" customHeight="1" thickBot="1" x14ac:dyDescent="0.25">
      <c r="B58" s="136"/>
      <c r="C58" s="137"/>
      <c r="D58" s="1"/>
      <c r="E58" s="29"/>
      <c r="H58" s="25"/>
      <c r="I58" s="25"/>
      <c r="J58" s="25"/>
      <c r="K58" s="25"/>
      <c r="L58" s="25"/>
      <c r="M58" s="25"/>
      <c r="N58" s="25"/>
      <c r="O58" s="25"/>
      <c r="P58" s="25"/>
      <c r="Q58" s="25"/>
      <c r="T58" s="59"/>
    </row>
    <row r="59" spans="2:28" ht="43" thickBot="1" x14ac:dyDescent="0.25">
      <c r="B59" s="104" t="s">
        <v>1327</v>
      </c>
      <c r="C59" s="104" t="s">
        <v>6</v>
      </c>
      <c r="D59" s="104" t="s">
        <v>34</v>
      </c>
      <c r="E59" s="104" t="s">
        <v>42</v>
      </c>
      <c r="F59" s="104" t="s">
        <v>54</v>
      </c>
      <c r="G59" s="104" t="s">
        <v>12</v>
      </c>
      <c r="H59" s="104" t="s">
        <v>32</v>
      </c>
      <c r="I59" s="104" t="s">
        <v>36</v>
      </c>
      <c r="J59" s="104" t="s">
        <v>65</v>
      </c>
      <c r="K59" s="104" t="s">
        <v>48</v>
      </c>
      <c r="L59" s="104" t="s">
        <v>27</v>
      </c>
      <c r="M59" s="104" t="s">
        <v>90</v>
      </c>
      <c r="N59" s="104" t="s">
        <v>190</v>
      </c>
      <c r="O59" s="104" t="s">
        <v>1332</v>
      </c>
      <c r="Q59" s="25"/>
      <c r="R59" s="25"/>
      <c r="S59" s="25"/>
    </row>
    <row r="60" spans="2:28" ht="21" thickBot="1" x14ac:dyDescent="0.25">
      <c r="B60" s="106">
        <v>43917</v>
      </c>
      <c r="C60" s="121">
        <f t="shared" ref="C60:C74" si="3">INDEX(WeeklyDrinkIncrease,MATCH($C$59,WeeklyDrinkIncreaseName,0),MATCH($B60,ByWeekWeeks,0))</f>
        <v>2</v>
      </c>
      <c r="D60" s="121">
        <f t="shared" ref="D60:D84" si="4">INDEX(WeeklyDrinkIncrease,MATCH($D$59,WeeklyDrinkIncreaseName,0),MATCH($B60,ByWeekWeeks,0))</f>
        <v>0</v>
      </c>
      <c r="E60" s="121">
        <f t="shared" ref="E60:E84" si="5">INDEX(WeeklyDrinkIncrease,MATCH($E$59,WeeklyDrinkIncreaseName,0),MATCH($B60,ByWeekWeeks,0))</f>
        <v>2</v>
      </c>
      <c r="F60" s="121">
        <f t="shared" ref="F60:F84" si="6">INDEX(WeeklyDrinkIncrease,MATCH($F$59,WeeklyDrinkIncreaseName,0),MATCH($B60,ByWeekWeeks,0))</f>
        <v>0</v>
      </c>
      <c r="G60" s="121">
        <f t="shared" ref="G60:G84" si="7">INDEX(WeeklyDrinkIncrease,MATCH($G$59,WeeklyDrinkIncreaseName,0),MATCH($B60,ByWeekWeeks,0))</f>
        <v>8</v>
      </c>
      <c r="H60" s="121">
        <f t="shared" ref="H60:H84" si="8">INDEX(WeeklyDrinkIncrease,MATCH($H$59,WeeklyDrinkIncreaseName,0),MATCH($B60,ByWeekWeeks,0))</f>
        <v>2</v>
      </c>
      <c r="I60" s="121">
        <f t="shared" ref="I60:I84" si="9">INDEX(WeeklyDrinkIncrease,MATCH($I$59,WeeklyDrinkIncreaseName,0),MATCH($B60,ByWeekWeeks,0))</f>
        <v>4</v>
      </c>
      <c r="J60" s="121">
        <f t="shared" ref="J60:J84" si="10">INDEX(WeeklyDrinkIncrease,MATCH($J$59,WeeklyDrinkIncreaseName,0),MATCH($B60,ByWeekWeeks,0))</f>
        <v>1</v>
      </c>
      <c r="K60" s="121">
        <f t="shared" ref="K60:K74" si="11">INDEX(WeeklyDrinkIncrease,MATCH($K$59,WeeklyDrinkIncreaseName,0),MATCH($B60,ByWeekWeeks,0))</f>
        <v>1</v>
      </c>
      <c r="L60" s="121">
        <f t="shared" ref="L60:L84" si="12">INDEX(WeeklyDrinkIncrease,MATCH($L$59,WeeklyDrinkIncreaseName,0),MATCH($B60,ByWeekWeeks,0))</f>
        <v>8</v>
      </c>
      <c r="M60" s="121">
        <f t="shared" ref="M60:M84" si="13">INDEX(WeeklyDrinkIncrease,MATCH($M$59,WeeklyDrinkIncreaseName,0),MATCH($B60,ByWeekWeeks,0))</f>
        <v>1</v>
      </c>
      <c r="N60" s="121">
        <f t="shared" ref="N60:N84" si="14">INDEX(WeeklyDrinkIncrease,MATCH($N$59,WeeklyDrinkIncreaseName,0),MATCH($B60,ByWeekWeeks,0))</f>
        <v>2</v>
      </c>
      <c r="O60" s="121">
        <f>SUM($C60:$N60)</f>
        <v>31</v>
      </c>
      <c r="Q60" s="25"/>
      <c r="R60" s="25"/>
      <c r="S60" s="25"/>
    </row>
    <row r="61" spans="2:28" ht="21" thickBot="1" x14ac:dyDescent="0.25">
      <c r="B61" s="106">
        <v>43924</v>
      </c>
      <c r="C61" s="121">
        <f t="shared" si="3"/>
        <v>8</v>
      </c>
      <c r="D61" s="121">
        <f t="shared" si="4"/>
        <v>0</v>
      </c>
      <c r="E61" s="121">
        <f t="shared" si="5"/>
        <v>3</v>
      </c>
      <c r="F61" s="121">
        <f t="shared" si="6"/>
        <v>0</v>
      </c>
      <c r="G61" s="121">
        <f t="shared" si="7"/>
        <v>10</v>
      </c>
      <c r="H61" s="121">
        <f t="shared" si="8"/>
        <v>4</v>
      </c>
      <c r="I61" s="121">
        <f t="shared" si="9"/>
        <v>5</v>
      </c>
      <c r="J61" s="121">
        <f t="shared" si="10"/>
        <v>5</v>
      </c>
      <c r="K61" s="121">
        <f t="shared" si="11"/>
        <v>1</v>
      </c>
      <c r="L61" s="121">
        <f t="shared" si="12"/>
        <v>11</v>
      </c>
      <c r="M61" s="121">
        <f t="shared" si="13"/>
        <v>2</v>
      </c>
      <c r="N61" s="121">
        <f t="shared" si="14"/>
        <v>3</v>
      </c>
      <c r="O61" s="121">
        <f t="shared" ref="O61:O84" si="15">SUM($C61:$N61)</f>
        <v>52</v>
      </c>
      <c r="Q61" s="25"/>
      <c r="R61" s="25"/>
      <c r="S61" s="25"/>
    </row>
    <row r="62" spans="2:28" ht="21" customHeight="1" thickBot="1" x14ac:dyDescent="0.25">
      <c r="B62" s="106">
        <v>43931</v>
      </c>
      <c r="C62" s="121">
        <f t="shared" si="3"/>
        <v>30</v>
      </c>
      <c r="D62" s="121">
        <f t="shared" si="4"/>
        <v>8</v>
      </c>
      <c r="E62" s="121">
        <f t="shared" si="5"/>
        <v>6</v>
      </c>
      <c r="F62" s="121">
        <f t="shared" si="6"/>
        <v>2</v>
      </c>
      <c r="G62" s="121">
        <f t="shared" si="7"/>
        <v>12</v>
      </c>
      <c r="H62" s="121">
        <f t="shared" si="8"/>
        <v>8</v>
      </c>
      <c r="I62" s="121">
        <f t="shared" si="9"/>
        <v>8</v>
      </c>
      <c r="J62" s="121">
        <f t="shared" si="10"/>
        <v>9</v>
      </c>
      <c r="K62" s="121">
        <f t="shared" si="11"/>
        <v>2</v>
      </c>
      <c r="L62" s="121">
        <f t="shared" si="12"/>
        <v>16</v>
      </c>
      <c r="M62" s="121">
        <f t="shared" si="13"/>
        <v>3</v>
      </c>
      <c r="N62" s="121">
        <f t="shared" si="14"/>
        <v>7</v>
      </c>
      <c r="O62" s="121">
        <f t="shared" si="15"/>
        <v>111</v>
      </c>
      <c r="Q62" s="25"/>
      <c r="R62" s="25"/>
      <c r="S62" s="25"/>
    </row>
    <row r="63" spans="2:28" ht="21" customHeight="1" thickBot="1" x14ac:dyDescent="0.25">
      <c r="B63" s="106">
        <v>43938</v>
      </c>
      <c r="C63" s="121">
        <f t="shared" si="3"/>
        <v>57</v>
      </c>
      <c r="D63" s="121">
        <f t="shared" si="4"/>
        <v>13</v>
      </c>
      <c r="E63" s="121">
        <f t="shared" si="5"/>
        <v>9</v>
      </c>
      <c r="F63" s="121">
        <f t="shared" si="6"/>
        <v>3</v>
      </c>
      <c r="G63" s="121">
        <f t="shared" si="7"/>
        <v>21</v>
      </c>
      <c r="H63" s="121">
        <f t="shared" si="8"/>
        <v>9</v>
      </c>
      <c r="I63" s="121">
        <f t="shared" si="9"/>
        <v>12</v>
      </c>
      <c r="J63" s="121">
        <f t="shared" si="10"/>
        <v>15</v>
      </c>
      <c r="K63" s="121">
        <f t="shared" si="11"/>
        <v>2</v>
      </c>
      <c r="L63" s="121">
        <f t="shared" si="12"/>
        <v>18</v>
      </c>
      <c r="M63" s="121">
        <f t="shared" si="13"/>
        <v>6</v>
      </c>
      <c r="N63" s="121">
        <f t="shared" si="14"/>
        <v>10</v>
      </c>
      <c r="O63" s="121">
        <f t="shared" si="15"/>
        <v>175</v>
      </c>
      <c r="Q63" s="25"/>
      <c r="R63" s="25"/>
      <c r="S63" s="25"/>
    </row>
    <row r="64" spans="2:28" ht="21" customHeight="1" thickBot="1" x14ac:dyDescent="0.25">
      <c r="B64" s="106">
        <v>43945</v>
      </c>
      <c r="C64" s="121">
        <f t="shared" si="3"/>
        <v>86</v>
      </c>
      <c r="D64" s="121">
        <f t="shared" si="4"/>
        <v>25</v>
      </c>
      <c r="E64" s="121">
        <f t="shared" si="5"/>
        <v>11</v>
      </c>
      <c r="F64" s="121">
        <f t="shared" si="6"/>
        <v>3</v>
      </c>
      <c r="G64" s="121">
        <f t="shared" si="7"/>
        <v>29</v>
      </c>
      <c r="H64" s="121">
        <f t="shared" si="8"/>
        <v>18</v>
      </c>
      <c r="I64" s="121">
        <f t="shared" si="9"/>
        <v>12</v>
      </c>
      <c r="J64" s="121">
        <f t="shared" si="10"/>
        <v>24</v>
      </c>
      <c r="K64" s="121">
        <f t="shared" si="11"/>
        <v>2</v>
      </c>
      <c r="L64" s="121">
        <f t="shared" si="12"/>
        <v>18</v>
      </c>
      <c r="M64" s="121">
        <f t="shared" si="13"/>
        <v>9</v>
      </c>
      <c r="N64" s="121">
        <f t="shared" si="14"/>
        <v>12</v>
      </c>
      <c r="O64" s="121">
        <f t="shared" si="15"/>
        <v>249</v>
      </c>
      <c r="Q64" s="45"/>
      <c r="R64" s="25"/>
      <c r="S64" s="25"/>
    </row>
    <row r="65" spans="2:19" ht="21" customHeight="1" thickBot="1" x14ac:dyDescent="0.25">
      <c r="B65" s="106">
        <v>43952</v>
      </c>
      <c r="C65" s="121">
        <f t="shared" si="3"/>
        <v>108</v>
      </c>
      <c r="D65" s="121">
        <f t="shared" si="4"/>
        <v>40</v>
      </c>
      <c r="E65" s="121">
        <f t="shared" si="5"/>
        <v>12</v>
      </c>
      <c r="F65" s="121">
        <f t="shared" si="6"/>
        <v>5</v>
      </c>
      <c r="G65" s="121">
        <f t="shared" si="7"/>
        <v>37</v>
      </c>
      <c r="H65" s="121">
        <f t="shared" si="8"/>
        <v>22</v>
      </c>
      <c r="I65" s="121">
        <f t="shared" si="9"/>
        <v>18</v>
      </c>
      <c r="J65" s="121">
        <f t="shared" si="10"/>
        <v>26</v>
      </c>
      <c r="K65" s="121">
        <f t="shared" si="11"/>
        <v>2</v>
      </c>
      <c r="L65" s="121">
        <f t="shared" si="12"/>
        <v>19</v>
      </c>
      <c r="M65" s="121">
        <f t="shared" si="13"/>
        <v>12</v>
      </c>
      <c r="N65" s="121">
        <f t="shared" si="14"/>
        <v>12</v>
      </c>
      <c r="O65" s="121">
        <f t="shared" si="15"/>
        <v>313</v>
      </c>
      <c r="Q65" s="45"/>
      <c r="R65" s="25"/>
      <c r="S65" s="25"/>
    </row>
    <row r="66" spans="2:19" ht="21" customHeight="1" thickBot="1" x14ac:dyDescent="0.2">
      <c r="B66" s="106">
        <v>43959</v>
      </c>
      <c r="C66" s="121">
        <f t="shared" si="3"/>
        <v>137</v>
      </c>
      <c r="D66" s="121">
        <f t="shared" si="4"/>
        <v>42</v>
      </c>
      <c r="E66" s="121">
        <f t="shared" si="5"/>
        <v>13</v>
      </c>
      <c r="F66" s="121">
        <f t="shared" si="6"/>
        <v>5</v>
      </c>
      <c r="G66" s="121">
        <f t="shared" si="7"/>
        <v>43</v>
      </c>
      <c r="H66" s="121">
        <f t="shared" si="8"/>
        <v>30</v>
      </c>
      <c r="I66" s="121">
        <f t="shared" si="9"/>
        <v>23</v>
      </c>
      <c r="J66" s="121">
        <f t="shared" si="10"/>
        <v>41</v>
      </c>
      <c r="K66" s="121">
        <f t="shared" si="11"/>
        <v>3</v>
      </c>
      <c r="L66" s="121">
        <f t="shared" si="12"/>
        <v>26</v>
      </c>
      <c r="M66" s="121">
        <f t="shared" si="13"/>
        <v>13</v>
      </c>
      <c r="N66" s="121">
        <f t="shared" si="14"/>
        <v>12</v>
      </c>
      <c r="O66" s="121">
        <f t="shared" si="15"/>
        <v>388</v>
      </c>
    </row>
    <row r="67" spans="2:19" ht="21" customHeight="1" thickBot="1" x14ac:dyDescent="0.2">
      <c r="B67" s="106">
        <v>43966</v>
      </c>
      <c r="C67" s="121">
        <f t="shared" si="3"/>
        <v>180</v>
      </c>
      <c r="D67" s="121">
        <f t="shared" si="4"/>
        <v>54</v>
      </c>
      <c r="E67" s="121">
        <f t="shared" si="5"/>
        <v>15</v>
      </c>
      <c r="F67" s="121">
        <f t="shared" si="6"/>
        <v>7</v>
      </c>
      <c r="G67" s="121">
        <f t="shared" si="7"/>
        <v>53</v>
      </c>
      <c r="H67" s="121">
        <f t="shared" si="8"/>
        <v>38</v>
      </c>
      <c r="I67" s="121">
        <f t="shared" si="9"/>
        <v>29</v>
      </c>
      <c r="J67" s="121">
        <f t="shared" si="10"/>
        <v>49</v>
      </c>
      <c r="K67" s="121">
        <f t="shared" si="11"/>
        <v>3</v>
      </c>
      <c r="L67" s="121">
        <f t="shared" si="12"/>
        <v>34</v>
      </c>
      <c r="M67" s="121">
        <f t="shared" si="13"/>
        <v>14</v>
      </c>
      <c r="N67" s="121">
        <f t="shared" si="14"/>
        <v>13</v>
      </c>
      <c r="O67" s="121">
        <f t="shared" si="15"/>
        <v>489</v>
      </c>
    </row>
    <row r="68" spans="2:19" ht="21" customHeight="1" thickBot="1" x14ac:dyDescent="0.2">
      <c r="B68" s="106">
        <v>43973</v>
      </c>
      <c r="C68" s="121">
        <f t="shared" si="3"/>
        <v>222</v>
      </c>
      <c r="D68" s="121">
        <f t="shared" si="4"/>
        <v>59</v>
      </c>
      <c r="E68" s="121">
        <f t="shared" si="5"/>
        <v>16</v>
      </c>
      <c r="F68" s="121">
        <f t="shared" si="6"/>
        <v>7</v>
      </c>
      <c r="G68" s="121">
        <f t="shared" si="7"/>
        <v>58</v>
      </c>
      <c r="H68" s="121">
        <f t="shared" si="8"/>
        <v>44</v>
      </c>
      <c r="I68" s="121">
        <f t="shared" si="9"/>
        <v>34</v>
      </c>
      <c r="J68" s="121">
        <f t="shared" si="10"/>
        <v>55</v>
      </c>
      <c r="K68" s="121">
        <f t="shared" si="11"/>
        <v>3</v>
      </c>
      <c r="L68" s="121">
        <f t="shared" si="12"/>
        <v>42</v>
      </c>
      <c r="M68" s="121">
        <f t="shared" si="13"/>
        <v>14</v>
      </c>
      <c r="N68" s="121">
        <f t="shared" si="14"/>
        <v>17</v>
      </c>
      <c r="O68" s="121">
        <f t="shared" si="15"/>
        <v>571</v>
      </c>
    </row>
    <row r="69" spans="2:19" ht="21" customHeight="1" thickBot="1" x14ac:dyDescent="0.2">
      <c r="B69" s="106">
        <v>43980</v>
      </c>
      <c r="C69" s="121">
        <f t="shared" si="3"/>
        <v>263</v>
      </c>
      <c r="D69" s="121">
        <f t="shared" si="4"/>
        <v>67</v>
      </c>
      <c r="E69" s="121">
        <f t="shared" si="5"/>
        <v>23</v>
      </c>
      <c r="F69" s="121">
        <f t="shared" si="6"/>
        <v>11</v>
      </c>
      <c r="G69" s="121">
        <f t="shared" si="7"/>
        <v>66</v>
      </c>
      <c r="H69" s="121">
        <f t="shared" si="8"/>
        <v>52</v>
      </c>
      <c r="I69" s="121">
        <f t="shared" si="9"/>
        <v>37</v>
      </c>
      <c r="J69" s="121">
        <f t="shared" si="10"/>
        <v>71</v>
      </c>
      <c r="K69" s="121">
        <f t="shared" si="11"/>
        <v>3</v>
      </c>
      <c r="L69" s="121">
        <f t="shared" si="12"/>
        <v>48</v>
      </c>
      <c r="M69" s="121">
        <f t="shared" si="13"/>
        <v>14</v>
      </c>
      <c r="N69" s="121">
        <f t="shared" si="14"/>
        <v>20</v>
      </c>
      <c r="O69" s="121">
        <f t="shared" si="15"/>
        <v>675</v>
      </c>
    </row>
    <row r="70" spans="2:19" ht="21" customHeight="1" thickBot="1" x14ac:dyDescent="0.2">
      <c r="B70" s="106">
        <v>43987</v>
      </c>
      <c r="C70" s="121">
        <f t="shared" si="3"/>
        <v>307</v>
      </c>
      <c r="D70" s="121">
        <f t="shared" si="4"/>
        <v>76</v>
      </c>
      <c r="E70" s="121">
        <f t="shared" si="5"/>
        <v>25</v>
      </c>
      <c r="F70" s="121">
        <f t="shared" si="6"/>
        <v>11</v>
      </c>
      <c r="G70" s="121">
        <f t="shared" si="7"/>
        <v>71</v>
      </c>
      <c r="H70" s="121">
        <f t="shared" si="8"/>
        <v>58</v>
      </c>
      <c r="I70" s="121">
        <f t="shared" si="9"/>
        <v>40</v>
      </c>
      <c r="J70" s="121">
        <f t="shared" si="10"/>
        <v>76</v>
      </c>
      <c r="K70" s="121">
        <f t="shared" si="11"/>
        <v>3</v>
      </c>
      <c r="L70" s="121">
        <f t="shared" si="12"/>
        <v>55</v>
      </c>
      <c r="M70" s="121">
        <f t="shared" si="13"/>
        <v>15</v>
      </c>
      <c r="N70" s="121">
        <f t="shared" si="14"/>
        <v>21</v>
      </c>
      <c r="O70" s="121">
        <f t="shared" si="15"/>
        <v>758</v>
      </c>
    </row>
    <row r="71" spans="2:19" ht="21" customHeight="1" thickBot="1" x14ac:dyDescent="0.2">
      <c r="B71" s="106">
        <v>43994</v>
      </c>
      <c r="C71" s="121">
        <f t="shared" si="3"/>
        <v>367</v>
      </c>
      <c r="D71" s="121">
        <f t="shared" si="4"/>
        <v>80</v>
      </c>
      <c r="E71" s="121">
        <f t="shared" si="5"/>
        <v>29</v>
      </c>
      <c r="F71" s="121">
        <f t="shared" si="6"/>
        <v>11</v>
      </c>
      <c r="G71" s="121">
        <f t="shared" si="7"/>
        <v>78</v>
      </c>
      <c r="H71" s="121">
        <f t="shared" si="8"/>
        <v>72</v>
      </c>
      <c r="I71" s="121">
        <f t="shared" si="9"/>
        <v>46</v>
      </c>
      <c r="J71" s="121">
        <f t="shared" si="10"/>
        <v>81</v>
      </c>
      <c r="K71" s="121">
        <f t="shared" si="11"/>
        <v>3</v>
      </c>
      <c r="L71" s="121">
        <f t="shared" si="12"/>
        <v>62</v>
      </c>
      <c r="M71" s="121">
        <f t="shared" si="13"/>
        <v>15</v>
      </c>
      <c r="N71" s="121">
        <f t="shared" si="14"/>
        <v>24</v>
      </c>
      <c r="O71" s="121">
        <f t="shared" si="15"/>
        <v>868</v>
      </c>
    </row>
    <row r="72" spans="2:19" ht="21" customHeight="1" thickBot="1" x14ac:dyDescent="0.2">
      <c r="B72" s="106">
        <v>44001</v>
      </c>
      <c r="C72" s="121">
        <f t="shared" si="3"/>
        <v>394</v>
      </c>
      <c r="D72" s="121">
        <f t="shared" si="4"/>
        <v>90</v>
      </c>
      <c r="E72" s="121">
        <f t="shared" si="5"/>
        <v>33</v>
      </c>
      <c r="F72" s="121">
        <f t="shared" si="6"/>
        <v>12</v>
      </c>
      <c r="G72" s="121">
        <f t="shared" si="7"/>
        <v>84</v>
      </c>
      <c r="H72" s="121">
        <f t="shared" si="8"/>
        <v>86</v>
      </c>
      <c r="I72" s="121">
        <f t="shared" si="9"/>
        <v>50</v>
      </c>
      <c r="J72" s="121">
        <f t="shared" si="10"/>
        <v>90</v>
      </c>
      <c r="K72" s="121">
        <f t="shared" si="11"/>
        <v>3</v>
      </c>
      <c r="L72" s="121">
        <f t="shared" si="12"/>
        <v>66</v>
      </c>
      <c r="M72" s="121">
        <f t="shared" si="13"/>
        <v>15</v>
      </c>
      <c r="N72" s="121">
        <f t="shared" si="14"/>
        <v>28</v>
      </c>
      <c r="O72" s="121">
        <f t="shared" si="15"/>
        <v>951</v>
      </c>
    </row>
    <row r="73" spans="2:19" ht="21" customHeight="1" thickBot="1" x14ac:dyDescent="0.2">
      <c r="B73" s="106">
        <v>44008</v>
      </c>
      <c r="C73" s="121">
        <f t="shared" si="3"/>
        <v>429</v>
      </c>
      <c r="D73" s="121">
        <f t="shared" si="4"/>
        <v>105</v>
      </c>
      <c r="E73" s="121">
        <f t="shared" si="5"/>
        <v>51</v>
      </c>
      <c r="F73" s="121">
        <f t="shared" si="6"/>
        <v>12</v>
      </c>
      <c r="G73" s="121">
        <f t="shared" si="7"/>
        <v>99</v>
      </c>
      <c r="H73" s="121">
        <f t="shared" si="8"/>
        <v>91</v>
      </c>
      <c r="I73" s="121">
        <f t="shared" si="9"/>
        <v>55</v>
      </c>
      <c r="J73" s="121">
        <f t="shared" si="10"/>
        <v>100</v>
      </c>
      <c r="K73" s="121">
        <f t="shared" si="11"/>
        <v>4</v>
      </c>
      <c r="L73" s="121">
        <f t="shared" si="12"/>
        <v>72</v>
      </c>
      <c r="M73" s="121">
        <f t="shared" si="13"/>
        <v>15</v>
      </c>
      <c r="N73" s="121">
        <f t="shared" si="14"/>
        <v>31</v>
      </c>
      <c r="O73" s="121">
        <f t="shared" si="15"/>
        <v>1064</v>
      </c>
    </row>
    <row r="74" spans="2:19" ht="21" thickBot="1" x14ac:dyDescent="0.2">
      <c r="B74" s="106">
        <v>44015</v>
      </c>
      <c r="C74" s="121">
        <f t="shared" si="3"/>
        <v>449</v>
      </c>
      <c r="D74" s="121">
        <f t="shared" si="4"/>
        <v>120</v>
      </c>
      <c r="E74" s="121">
        <f t="shared" si="5"/>
        <v>56</v>
      </c>
      <c r="F74" s="121">
        <f t="shared" si="6"/>
        <v>13</v>
      </c>
      <c r="G74" s="121">
        <f t="shared" si="7"/>
        <v>100</v>
      </c>
      <c r="H74" s="121">
        <f t="shared" si="8"/>
        <v>95</v>
      </c>
      <c r="I74" s="121">
        <f t="shared" si="9"/>
        <v>56</v>
      </c>
      <c r="J74" s="121">
        <f t="shared" si="10"/>
        <v>101</v>
      </c>
      <c r="K74" s="121">
        <f t="shared" si="11"/>
        <v>4</v>
      </c>
      <c r="L74" s="121">
        <f t="shared" si="12"/>
        <v>73</v>
      </c>
      <c r="M74" s="121">
        <f t="shared" si="13"/>
        <v>23</v>
      </c>
      <c r="N74" s="121">
        <f t="shared" si="14"/>
        <v>38</v>
      </c>
      <c r="O74" s="121">
        <f t="shared" si="15"/>
        <v>1128</v>
      </c>
    </row>
    <row r="75" spans="2:19" ht="21" thickBot="1" x14ac:dyDescent="0.2">
      <c r="B75" s="106">
        <v>44022</v>
      </c>
      <c r="C75" s="121">
        <f t="shared" ref="C75:C84" si="16">INDEX(WeeklyDrinkIncrease,MATCH($C$59,WeeklyDrinkIncreaseName,0),MATCH($B75,ByWeekWeeks,0))</f>
        <v>467</v>
      </c>
      <c r="D75" s="121">
        <f t="shared" si="4"/>
        <v>128</v>
      </c>
      <c r="E75" s="121">
        <f t="shared" si="5"/>
        <v>58</v>
      </c>
      <c r="F75" s="121">
        <f t="shared" si="6"/>
        <v>13</v>
      </c>
      <c r="G75" s="121">
        <f t="shared" si="7"/>
        <v>102</v>
      </c>
      <c r="H75" s="121">
        <f t="shared" si="8"/>
        <v>98</v>
      </c>
      <c r="I75" s="121">
        <f t="shared" si="9"/>
        <v>57</v>
      </c>
      <c r="J75" s="121">
        <f t="shared" si="10"/>
        <v>106</v>
      </c>
      <c r="K75" s="121">
        <f t="shared" ref="K75:K84" si="17">INDEX(WeeklyDrinkIncrease,MATCH($K$59,WeeklyDrinkIncreaseName,0),MATCH($B75,ByWeekWeeks,0))</f>
        <v>4</v>
      </c>
      <c r="L75" s="121">
        <f t="shared" si="12"/>
        <v>74</v>
      </c>
      <c r="M75" s="121">
        <f t="shared" si="13"/>
        <v>23</v>
      </c>
      <c r="N75" s="121">
        <f t="shared" si="14"/>
        <v>41</v>
      </c>
      <c r="O75" s="121">
        <f t="shared" si="15"/>
        <v>1171</v>
      </c>
    </row>
    <row r="76" spans="2:19" ht="21" thickBot="1" x14ac:dyDescent="0.2">
      <c r="B76" s="106">
        <v>44029</v>
      </c>
      <c r="C76" s="121">
        <f t="shared" si="16"/>
        <v>477</v>
      </c>
      <c r="D76" s="121">
        <f t="shared" si="4"/>
        <v>143</v>
      </c>
      <c r="E76" s="121">
        <f t="shared" si="5"/>
        <v>65</v>
      </c>
      <c r="F76" s="121">
        <f t="shared" si="6"/>
        <v>14</v>
      </c>
      <c r="G76" s="121">
        <f t="shared" si="7"/>
        <v>106</v>
      </c>
      <c r="H76" s="121">
        <f t="shared" si="8"/>
        <v>98</v>
      </c>
      <c r="I76" s="121">
        <f t="shared" si="9"/>
        <v>57</v>
      </c>
      <c r="J76" s="121">
        <f t="shared" si="10"/>
        <v>106</v>
      </c>
      <c r="K76" s="121">
        <f t="shared" si="17"/>
        <v>4</v>
      </c>
      <c r="L76" s="121">
        <f t="shared" si="12"/>
        <v>75</v>
      </c>
      <c r="M76" s="121">
        <f t="shared" si="13"/>
        <v>24</v>
      </c>
      <c r="N76" s="121">
        <f t="shared" si="14"/>
        <v>46</v>
      </c>
      <c r="O76" s="121">
        <f t="shared" si="15"/>
        <v>1215</v>
      </c>
    </row>
    <row r="77" spans="2:19" ht="21" thickBot="1" x14ac:dyDescent="0.2">
      <c r="B77" s="106">
        <v>44036</v>
      </c>
      <c r="C77" s="121">
        <f t="shared" si="16"/>
        <v>481</v>
      </c>
      <c r="D77" s="121">
        <f t="shared" si="4"/>
        <v>146</v>
      </c>
      <c r="E77" s="121">
        <f t="shared" si="5"/>
        <v>66</v>
      </c>
      <c r="F77" s="121">
        <f t="shared" si="6"/>
        <v>14</v>
      </c>
      <c r="G77" s="121">
        <f t="shared" si="7"/>
        <v>107</v>
      </c>
      <c r="H77" s="121">
        <f t="shared" si="8"/>
        <v>99</v>
      </c>
      <c r="I77" s="121">
        <f t="shared" si="9"/>
        <v>57</v>
      </c>
      <c r="J77" s="121">
        <f t="shared" si="10"/>
        <v>106</v>
      </c>
      <c r="K77" s="121">
        <f t="shared" si="17"/>
        <v>4</v>
      </c>
      <c r="L77" s="121">
        <f t="shared" si="12"/>
        <v>77</v>
      </c>
      <c r="M77" s="121">
        <f t="shared" si="13"/>
        <v>24</v>
      </c>
      <c r="N77" s="121">
        <f t="shared" si="14"/>
        <v>46</v>
      </c>
      <c r="O77" s="121">
        <f t="shared" si="15"/>
        <v>1227</v>
      </c>
    </row>
    <row r="78" spans="2:19" ht="21" thickBot="1" x14ac:dyDescent="0.2">
      <c r="B78" s="106">
        <v>44043</v>
      </c>
      <c r="C78" s="121">
        <f t="shared" si="16"/>
        <v>489</v>
      </c>
      <c r="D78" s="121">
        <f t="shared" si="4"/>
        <v>152</v>
      </c>
      <c r="E78" s="121">
        <f t="shared" si="5"/>
        <v>71</v>
      </c>
      <c r="F78" s="121">
        <f t="shared" si="6"/>
        <v>14</v>
      </c>
      <c r="G78" s="121">
        <f t="shared" si="7"/>
        <v>109</v>
      </c>
      <c r="H78" s="121">
        <f t="shared" si="8"/>
        <v>99</v>
      </c>
      <c r="I78" s="121">
        <f t="shared" si="9"/>
        <v>59</v>
      </c>
      <c r="J78" s="121">
        <f t="shared" si="10"/>
        <v>110</v>
      </c>
      <c r="K78" s="121">
        <f t="shared" si="17"/>
        <v>5</v>
      </c>
      <c r="L78" s="121">
        <f t="shared" si="12"/>
        <v>79</v>
      </c>
      <c r="M78" s="121">
        <f t="shared" si="13"/>
        <v>24</v>
      </c>
      <c r="N78" s="121">
        <f t="shared" si="14"/>
        <v>48</v>
      </c>
      <c r="O78" s="121">
        <f t="shared" si="15"/>
        <v>1259</v>
      </c>
    </row>
    <row r="79" spans="2:19" ht="21" thickBot="1" x14ac:dyDescent="0.2">
      <c r="B79" s="106">
        <v>44050</v>
      </c>
      <c r="C79" s="121">
        <f t="shared" si="16"/>
        <v>511</v>
      </c>
      <c r="D79" s="121">
        <f t="shared" si="4"/>
        <v>154</v>
      </c>
      <c r="E79" s="121">
        <f t="shared" si="5"/>
        <v>72</v>
      </c>
      <c r="F79" s="121">
        <f t="shared" si="6"/>
        <v>15</v>
      </c>
      <c r="G79" s="121">
        <f t="shared" si="7"/>
        <v>112</v>
      </c>
      <c r="H79" s="121">
        <f t="shared" si="8"/>
        <v>99</v>
      </c>
      <c r="I79" s="121">
        <f t="shared" si="9"/>
        <v>62</v>
      </c>
      <c r="J79" s="121">
        <f t="shared" si="10"/>
        <v>113</v>
      </c>
      <c r="K79" s="121">
        <f t="shared" si="17"/>
        <v>5</v>
      </c>
      <c r="L79" s="121">
        <f t="shared" si="12"/>
        <v>81</v>
      </c>
      <c r="M79" s="121">
        <f t="shared" si="13"/>
        <v>24</v>
      </c>
      <c r="N79" s="121">
        <f t="shared" si="14"/>
        <v>50</v>
      </c>
      <c r="O79" s="121">
        <f t="shared" si="15"/>
        <v>1298</v>
      </c>
    </row>
    <row r="80" spans="2:19" ht="21" thickBot="1" x14ac:dyDescent="0.2">
      <c r="B80" s="106">
        <v>44057</v>
      </c>
      <c r="C80" s="121">
        <f t="shared" si="16"/>
        <v>518</v>
      </c>
      <c r="D80" s="121">
        <f t="shared" si="4"/>
        <v>163</v>
      </c>
      <c r="E80" s="121">
        <f t="shared" si="5"/>
        <v>77</v>
      </c>
      <c r="F80" s="121">
        <f t="shared" si="6"/>
        <v>17</v>
      </c>
      <c r="G80" s="121">
        <f t="shared" si="7"/>
        <v>113</v>
      </c>
      <c r="H80" s="121">
        <f t="shared" si="8"/>
        <v>99</v>
      </c>
      <c r="I80" s="121">
        <f t="shared" si="9"/>
        <v>63</v>
      </c>
      <c r="J80" s="121">
        <f t="shared" si="10"/>
        <v>116</v>
      </c>
      <c r="K80" s="121">
        <f t="shared" si="17"/>
        <v>8</v>
      </c>
      <c r="L80" s="121">
        <f t="shared" si="12"/>
        <v>84</v>
      </c>
      <c r="M80" s="121">
        <f t="shared" si="13"/>
        <v>24</v>
      </c>
      <c r="N80" s="121">
        <f t="shared" si="14"/>
        <v>50</v>
      </c>
      <c r="O80" s="121">
        <f t="shared" si="15"/>
        <v>1332</v>
      </c>
    </row>
    <row r="81" spans="2:15" ht="21" thickBot="1" x14ac:dyDescent="0.2">
      <c r="B81" s="106">
        <v>44064</v>
      </c>
      <c r="C81" s="121">
        <f t="shared" si="16"/>
        <v>530</v>
      </c>
      <c r="D81" s="121">
        <f t="shared" si="4"/>
        <v>165</v>
      </c>
      <c r="E81" s="121">
        <f t="shared" si="5"/>
        <v>80</v>
      </c>
      <c r="F81" s="121">
        <f t="shared" si="6"/>
        <v>23</v>
      </c>
      <c r="G81" s="121">
        <f t="shared" si="7"/>
        <v>115</v>
      </c>
      <c r="H81" s="121">
        <f t="shared" si="8"/>
        <v>99</v>
      </c>
      <c r="I81" s="121">
        <f t="shared" si="9"/>
        <v>64</v>
      </c>
      <c r="J81" s="121">
        <f t="shared" si="10"/>
        <v>118</v>
      </c>
      <c r="K81" s="121">
        <f t="shared" si="17"/>
        <v>8</v>
      </c>
      <c r="L81" s="121">
        <f t="shared" si="12"/>
        <v>85</v>
      </c>
      <c r="M81" s="121">
        <f t="shared" si="13"/>
        <v>24</v>
      </c>
      <c r="N81" s="121">
        <f t="shared" si="14"/>
        <v>51</v>
      </c>
      <c r="O81" s="121">
        <f t="shared" si="15"/>
        <v>1362</v>
      </c>
    </row>
    <row r="82" spans="2:15" ht="21" thickBot="1" x14ac:dyDescent="0.2">
      <c r="B82" s="106">
        <v>44071</v>
      </c>
      <c r="C82" s="121">
        <f t="shared" si="16"/>
        <v>538</v>
      </c>
      <c r="D82" s="121">
        <f t="shared" si="4"/>
        <v>171</v>
      </c>
      <c r="E82" s="121">
        <f t="shared" si="5"/>
        <v>82</v>
      </c>
      <c r="F82" s="121">
        <f t="shared" si="6"/>
        <v>23</v>
      </c>
      <c r="G82" s="121">
        <f t="shared" si="7"/>
        <v>120</v>
      </c>
      <c r="H82" s="121">
        <f t="shared" si="8"/>
        <v>100</v>
      </c>
      <c r="I82" s="121">
        <f t="shared" si="9"/>
        <v>67</v>
      </c>
      <c r="J82" s="121">
        <f t="shared" si="10"/>
        <v>119</v>
      </c>
      <c r="K82" s="121">
        <f t="shared" si="17"/>
        <v>8</v>
      </c>
      <c r="L82" s="121">
        <f t="shared" si="12"/>
        <v>91</v>
      </c>
      <c r="M82" s="121">
        <f t="shared" si="13"/>
        <v>24</v>
      </c>
      <c r="N82" s="121">
        <f t="shared" si="14"/>
        <v>57</v>
      </c>
      <c r="O82" s="121">
        <f t="shared" si="15"/>
        <v>1400</v>
      </c>
    </row>
    <row r="83" spans="2:15" ht="21" thickBot="1" x14ac:dyDescent="0.2">
      <c r="B83" s="106">
        <v>44078</v>
      </c>
      <c r="C83" s="121">
        <f t="shared" si="16"/>
        <v>564</v>
      </c>
      <c r="D83" s="121">
        <f t="shared" si="4"/>
        <v>180</v>
      </c>
      <c r="E83" s="121">
        <f t="shared" si="5"/>
        <v>87</v>
      </c>
      <c r="F83" s="121">
        <f t="shared" si="6"/>
        <v>23</v>
      </c>
      <c r="G83" s="121">
        <f t="shared" si="7"/>
        <v>122</v>
      </c>
      <c r="H83" s="121">
        <f t="shared" si="8"/>
        <v>104</v>
      </c>
      <c r="I83" s="121">
        <f t="shared" si="9"/>
        <v>67</v>
      </c>
      <c r="J83" s="121">
        <f t="shared" si="10"/>
        <v>121</v>
      </c>
      <c r="K83" s="121">
        <f t="shared" si="17"/>
        <v>8</v>
      </c>
      <c r="L83" s="121">
        <f t="shared" si="12"/>
        <v>94</v>
      </c>
      <c r="M83" s="121">
        <f t="shared" si="13"/>
        <v>24</v>
      </c>
      <c r="N83" s="121">
        <f t="shared" si="14"/>
        <v>59</v>
      </c>
      <c r="O83" s="121">
        <f t="shared" si="15"/>
        <v>1453</v>
      </c>
    </row>
    <row r="84" spans="2:15" ht="21" thickBot="1" x14ac:dyDescent="0.2">
      <c r="B84" s="106">
        <v>44085</v>
      </c>
      <c r="C84" s="121">
        <f t="shared" si="16"/>
        <v>576</v>
      </c>
      <c r="D84" s="121">
        <f t="shared" si="4"/>
        <v>186</v>
      </c>
      <c r="E84" s="121">
        <f t="shared" si="5"/>
        <v>90</v>
      </c>
      <c r="F84" s="121">
        <f t="shared" si="6"/>
        <v>23</v>
      </c>
      <c r="G84" s="121">
        <f t="shared" si="7"/>
        <v>127</v>
      </c>
      <c r="H84" s="121">
        <f t="shared" si="8"/>
        <v>104</v>
      </c>
      <c r="I84" s="121">
        <f t="shared" si="9"/>
        <v>68</v>
      </c>
      <c r="J84" s="121">
        <f t="shared" si="10"/>
        <v>121</v>
      </c>
      <c r="K84" s="121">
        <f t="shared" si="17"/>
        <v>8</v>
      </c>
      <c r="L84" s="121">
        <f t="shared" si="12"/>
        <v>96</v>
      </c>
      <c r="M84" s="121">
        <f t="shared" si="13"/>
        <v>24</v>
      </c>
      <c r="N84" s="121">
        <f t="shared" si="14"/>
        <v>59</v>
      </c>
      <c r="O84" s="121">
        <f t="shared" si="15"/>
        <v>1482</v>
      </c>
    </row>
    <row r="85" spans="2:15" ht="15.75" customHeight="1" x14ac:dyDescent="0.2">
      <c r="B85" s="136"/>
      <c r="C85" s="137"/>
      <c r="D85" s="148"/>
      <c r="E85" s="148"/>
      <c r="F85" s="148"/>
      <c r="G85" s="148"/>
      <c r="H85" s="45"/>
      <c r="I85" s="45"/>
      <c r="M85" s="25"/>
    </row>
    <row r="86" spans="2:15" ht="15.75" customHeight="1" x14ac:dyDescent="0.2">
      <c r="B86" s="136"/>
      <c r="C86" s="137"/>
      <c r="D86" s="1"/>
      <c r="E86" s="29"/>
      <c r="F86" s="44"/>
      <c r="G86" s="44"/>
      <c r="H86" s="45"/>
      <c r="I86" s="45"/>
      <c r="M86" s="25"/>
    </row>
    <row r="87" spans="2:15" ht="15.75" customHeight="1" x14ac:dyDescent="0.2">
      <c r="B87" s="136"/>
      <c r="C87" s="137"/>
      <c r="D87" s="1"/>
      <c r="E87" s="29"/>
      <c r="F87" s="44"/>
      <c r="G87" s="44"/>
      <c r="H87" s="45"/>
      <c r="I87" s="45"/>
      <c r="M87" s="25"/>
    </row>
    <row r="88" spans="2:15" ht="15.75" customHeight="1" x14ac:dyDescent="0.2">
      <c r="B88" s="136"/>
      <c r="C88" s="137"/>
      <c r="D88" s="1"/>
      <c r="E88" s="29"/>
      <c r="F88" s="45"/>
      <c r="G88" s="45"/>
      <c r="H88" s="45"/>
      <c r="I88" s="45"/>
      <c r="M88" s="25"/>
    </row>
    <row r="89" spans="2:15" ht="15.75" customHeight="1" x14ac:dyDescent="0.2">
      <c r="B89" s="136"/>
      <c r="C89" s="137"/>
      <c r="D89" s="1"/>
      <c r="E89" s="29"/>
      <c r="F89" s="45"/>
      <c r="G89" s="45"/>
      <c r="H89" s="45"/>
      <c r="I89" s="45"/>
      <c r="M89" s="25"/>
    </row>
    <row r="90" spans="2:15" ht="15.75" customHeight="1" x14ac:dyDescent="0.2">
      <c r="B90" s="136"/>
      <c r="C90" s="137"/>
      <c r="D90" s="1"/>
      <c r="E90" s="29"/>
      <c r="F90" s="45"/>
      <c r="G90" s="45"/>
      <c r="H90" s="45"/>
      <c r="I90" s="45"/>
      <c r="M90" s="25"/>
    </row>
    <row r="91" spans="2:15" ht="15.75" customHeight="1" x14ac:dyDescent="0.2">
      <c r="B91" s="136"/>
      <c r="C91" s="137"/>
      <c r="D91" s="1"/>
      <c r="E91" s="29"/>
      <c r="F91" s="45"/>
      <c r="G91" s="45"/>
      <c r="H91" s="45"/>
      <c r="I91" s="45"/>
      <c r="M91" s="25"/>
    </row>
    <row r="92" spans="2:15" ht="15.75" customHeight="1" x14ac:dyDescent="0.2">
      <c r="B92" s="136"/>
      <c r="C92" s="137"/>
      <c r="D92" s="1"/>
      <c r="E92" s="29"/>
      <c r="M92" s="25"/>
    </row>
    <row r="93" spans="2:15" ht="15.75" customHeight="1" x14ac:dyDescent="0.2">
      <c r="B93" s="136"/>
      <c r="C93" s="137"/>
      <c r="D93" s="1"/>
      <c r="E93" s="29"/>
      <c r="M93" s="25"/>
    </row>
    <row r="94" spans="2:15" ht="15.75" customHeight="1" x14ac:dyDescent="0.2">
      <c r="B94" s="136"/>
      <c r="C94" s="137"/>
      <c r="D94" s="1"/>
      <c r="E94" s="29"/>
      <c r="M94" s="25"/>
    </row>
    <row r="95" spans="2:15" ht="15.75" customHeight="1" x14ac:dyDescent="0.2">
      <c r="B95" s="136"/>
      <c r="C95" s="137"/>
      <c r="D95" s="1"/>
      <c r="E95" s="29"/>
      <c r="M95" s="25"/>
    </row>
    <row r="96" spans="2:15" ht="15.75" customHeight="1" x14ac:dyDescent="0.2">
      <c r="B96" s="136"/>
      <c r="C96" s="137"/>
      <c r="D96" s="1"/>
      <c r="E96" s="29"/>
      <c r="M96" s="25"/>
    </row>
    <row r="97" spans="2:13" ht="15.75" customHeight="1" x14ac:dyDescent="0.2">
      <c r="B97" s="136"/>
      <c r="C97" s="137"/>
      <c r="D97" s="1"/>
      <c r="E97" s="29"/>
      <c r="M97" s="25"/>
    </row>
    <row r="98" spans="2:13" ht="15.75" customHeight="1" x14ac:dyDescent="0.2">
      <c r="B98" s="136"/>
      <c r="C98" s="137"/>
      <c r="D98" s="1"/>
      <c r="E98" s="29"/>
      <c r="M98" s="25"/>
    </row>
    <row r="99" spans="2:13" ht="15.75" customHeight="1" x14ac:dyDescent="0.2">
      <c r="B99" s="136"/>
      <c r="C99" s="137"/>
      <c r="D99" s="1"/>
      <c r="E99" s="29"/>
      <c r="M99" s="25"/>
    </row>
    <row r="100" spans="2:13" ht="15.75" customHeight="1" x14ac:dyDescent="0.2">
      <c r="B100" s="136"/>
      <c r="C100" s="137"/>
      <c r="D100" s="1"/>
      <c r="E100" s="29"/>
      <c r="M100" s="25"/>
    </row>
    <row r="101" spans="2:13" ht="15.75" customHeight="1" x14ac:dyDescent="0.2">
      <c r="B101" s="136"/>
      <c r="C101" s="137"/>
      <c r="D101" s="1"/>
      <c r="M101" s="25"/>
    </row>
    <row r="102" spans="2:13" ht="15.75" customHeight="1" x14ac:dyDescent="0.2">
      <c r="B102" s="136"/>
      <c r="C102" s="137"/>
      <c r="D102" s="1"/>
      <c r="M102" s="25"/>
    </row>
    <row r="103" spans="2:13" ht="15.75" customHeight="1" x14ac:dyDescent="0.2">
      <c r="B103" s="136"/>
      <c r="C103" s="137"/>
      <c r="D103" s="1"/>
      <c r="M103" s="25"/>
    </row>
    <row r="104" spans="2:13" ht="15.75" customHeight="1" x14ac:dyDescent="0.2">
      <c r="D104" s="1"/>
      <c r="M104" s="25"/>
    </row>
    <row r="105" spans="2:13" ht="15.75" customHeight="1" x14ac:dyDescent="0.2">
      <c r="D105" s="1"/>
      <c r="M105" s="25"/>
    </row>
    <row r="106" spans="2:13" ht="15.75" customHeight="1" x14ac:dyDescent="0.2">
      <c r="D106" s="1"/>
      <c r="M106" s="25"/>
    </row>
    <row r="107" spans="2:13" ht="15.75" customHeight="1" x14ac:dyDescent="0.2">
      <c r="D107" s="1"/>
      <c r="M107" s="25"/>
    </row>
    <row r="108" spans="2:13" ht="15.75" customHeight="1" x14ac:dyDescent="0.2">
      <c r="D108" s="1"/>
      <c r="M108" s="25"/>
    </row>
    <row r="109" spans="2:13" ht="15.75" customHeight="1" x14ac:dyDescent="0.2">
      <c r="D109" s="1"/>
      <c r="M109" s="25"/>
    </row>
    <row r="110" spans="2:13" ht="15.75" customHeight="1" x14ac:dyDescent="0.2">
      <c r="D110" s="1"/>
      <c r="M110" s="25"/>
    </row>
    <row r="111" spans="2:13" ht="15.75" customHeight="1" x14ac:dyDescent="0.2">
      <c r="D111" s="1"/>
      <c r="M111" s="25"/>
    </row>
    <row r="112" spans="2:13" ht="15.75" customHeight="1" x14ac:dyDescent="0.2">
      <c r="D112" s="1"/>
      <c r="M112" s="25"/>
    </row>
    <row r="113" spans="4:13" ht="15.75" customHeight="1" x14ac:dyDescent="0.2">
      <c r="D113" s="1"/>
      <c r="M113" s="25"/>
    </row>
    <row r="114" spans="4:13" ht="15.75" customHeight="1" x14ac:dyDescent="0.2">
      <c r="D114" s="1"/>
      <c r="M114" s="25"/>
    </row>
    <row r="115" spans="4:13" ht="15.75" customHeight="1" x14ac:dyDescent="0.2">
      <c r="D115" s="1"/>
      <c r="M115" s="25"/>
    </row>
    <row r="116" spans="4:13" ht="15.75" customHeight="1" x14ac:dyDescent="0.2">
      <c r="D116" s="1"/>
      <c r="M116" s="25"/>
    </row>
    <row r="117" spans="4:13" ht="15.75" customHeight="1" x14ac:dyDescent="0.2">
      <c r="D117" s="1"/>
      <c r="M117" s="25"/>
    </row>
    <row r="118" spans="4:13" ht="15.75" customHeight="1" x14ac:dyDescent="0.2">
      <c r="D118" s="1"/>
      <c r="M118" s="25"/>
    </row>
    <row r="119" spans="4:13" ht="15.75" customHeight="1" x14ac:dyDescent="0.2">
      <c r="D119" s="1"/>
      <c r="M119" s="25"/>
    </row>
    <row r="120" spans="4:13" ht="15.75" customHeight="1" x14ac:dyDescent="0.2">
      <c r="D120" s="1"/>
      <c r="M120" s="25"/>
    </row>
    <row r="121" spans="4:13" ht="15.75" customHeight="1" x14ac:dyDescent="0.2">
      <c r="D121" s="1"/>
      <c r="M121" s="25"/>
    </row>
    <row r="122" spans="4:13" ht="15.75" customHeight="1" x14ac:dyDescent="0.2">
      <c r="D122" s="1"/>
      <c r="M122" s="25"/>
    </row>
    <row r="123" spans="4:13" ht="15.75" customHeight="1" x14ac:dyDescent="0.2">
      <c r="D123" s="1"/>
      <c r="M123" s="25"/>
    </row>
    <row r="124" spans="4:13" ht="15.75" customHeight="1" x14ac:dyDescent="0.2">
      <c r="D124" s="1"/>
      <c r="M124" s="25"/>
    </row>
    <row r="125" spans="4:13" ht="15.75" customHeight="1" x14ac:dyDescent="0.2">
      <c r="D125" s="1"/>
      <c r="M125" s="25"/>
    </row>
    <row r="126" spans="4:13" ht="15.75" customHeight="1" x14ac:dyDescent="0.2">
      <c r="D126" s="1"/>
      <c r="M126" s="25"/>
    </row>
    <row r="127" spans="4:13" ht="15.75" customHeight="1" x14ac:dyDescent="0.2">
      <c r="D127" s="1"/>
      <c r="M127" s="25"/>
    </row>
    <row r="128" spans="4:13" ht="15.75" customHeight="1" x14ac:dyDescent="0.2">
      <c r="D128" s="1"/>
      <c r="M128" s="25"/>
    </row>
    <row r="129" spans="4:13" ht="15.75" customHeight="1" x14ac:dyDescent="0.2">
      <c r="D129" s="1"/>
      <c r="M129" s="25"/>
    </row>
    <row r="130" spans="4:13" ht="15.75" customHeight="1" x14ac:dyDescent="0.2">
      <c r="D130" s="1"/>
      <c r="M130" s="25"/>
    </row>
    <row r="131" spans="4:13" ht="15.75" customHeight="1" x14ac:dyDescent="0.2">
      <c r="D131" s="1"/>
      <c r="M131" s="25"/>
    </row>
    <row r="132" spans="4:13" ht="15.75" customHeight="1" x14ac:dyDescent="0.2">
      <c r="D132" s="1"/>
      <c r="M132" s="25"/>
    </row>
    <row r="133" spans="4:13" ht="15.75" customHeight="1" x14ac:dyDescent="0.2">
      <c r="D133" s="1"/>
      <c r="M133" s="25"/>
    </row>
    <row r="134" spans="4:13" ht="15.75" customHeight="1" x14ac:dyDescent="0.2">
      <c r="D134" s="1"/>
      <c r="M134" s="25"/>
    </row>
    <row r="135" spans="4:13" ht="15.75" customHeight="1" x14ac:dyDescent="0.2">
      <c r="D135" s="1"/>
      <c r="M135" s="25"/>
    </row>
    <row r="136" spans="4:13" ht="15.75" customHeight="1" x14ac:dyDescent="0.2">
      <c r="D136" s="1"/>
      <c r="M136" s="25"/>
    </row>
    <row r="137" spans="4:13" ht="15.75" customHeight="1" x14ac:dyDescent="0.2">
      <c r="D137" s="1"/>
      <c r="M137" s="25"/>
    </row>
    <row r="138" spans="4:13" ht="15.75" customHeight="1" x14ac:dyDescent="0.2">
      <c r="D138" s="1"/>
      <c r="M138" s="25"/>
    </row>
    <row r="139" spans="4:13" ht="15.75" customHeight="1" x14ac:dyDescent="0.2">
      <c r="D139" s="1"/>
      <c r="M139" s="25"/>
    </row>
    <row r="140" spans="4:13" ht="15.75" customHeight="1" x14ac:dyDescent="0.2">
      <c r="D140" s="1"/>
      <c r="M140" s="25"/>
    </row>
    <row r="141" spans="4:13" ht="15.75" customHeight="1" x14ac:dyDescent="0.2">
      <c r="D141" s="1"/>
      <c r="M141" s="25"/>
    </row>
    <row r="142" spans="4:13" ht="15.75" customHeight="1" x14ac:dyDescent="0.2">
      <c r="D142" s="1"/>
      <c r="M142" s="25"/>
    </row>
    <row r="143" spans="4:13" ht="15.75" customHeight="1" x14ac:dyDescent="0.2">
      <c r="D143" s="1"/>
      <c r="M143" s="25"/>
    </row>
    <row r="144" spans="4:13" ht="15.75" customHeight="1" x14ac:dyDescent="0.2">
      <c r="D144" s="1"/>
      <c r="M144" s="25"/>
    </row>
    <row r="145" spans="4:13" ht="15.75" customHeight="1" x14ac:dyDescent="0.2">
      <c r="D145" s="1"/>
      <c r="M145" s="25"/>
    </row>
    <row r="146" spans="4:13" ht="15.75" customHeight="1" x14ac:dyDescent="0.2">
      <c r="D146" s="1"/>
      <c r="M146" s="25"/>
    </row>
    <row r="147" spans="4:13" ht="15.75" customHeight="1" x14ac:dyDescent="0.2">
      <c r="D147" s="1"/>
      <c r="M147" s="25"/>
    </row>
    <row r="148" spans="4:13" ht="15.75" customHeight="1" x14ac:dyDescent="0.2">
      <c r="D148" s="1"/>
      <c r="M148" s="25"/>
    </row>
    <row r="149" spans="4:13" ht="15.75" customHeight="1" x14ac:dyDescent="0.2">
      <c r="D149" s="1"/>
      <c r="M149" s="25"/>
    </row>
    <row r="150" spans="4:13" ht="15.75" customHeight="1" x14ac:dyDescent="0.2">
      <c r="D150" s="1"/>
      <c r="M150" s="25"/>
    </row>
    <row r="151" spans="4:13" ht="15.75" customHeight="1" x14ac:dyDescent="0.2">
      <c r="D151" s="1"/>
      <c r="M151" s="25"/>
    </row>
    <row r="152" spans="4:13" ht="15.75" customHeight="1" x14ac:dyDescent="0.2">
      <c r="D152" s="1"/>
      <c r="M152" s="25"/>
    </row>
    <row r="153" spans="4:13" ht="15.75" customHeight="1" x14ac:dyDescent="0.2">
      <c r="D153" s="1"/>
      <c r="M153" s="25"/>
    </row>
    <row r="154" spans="4:13" ht="15.75" customHeight="1" x14ac:dyDescent="0.2">
      <c r="D154" s="1"/>
      <c r="M154" s="25"/>
    </row>
    <row r="155" spans="4:13" ht="15.75" customHeight="1" x14ac:dyDescent="0.2">
      <c r="D155" s="1"/>
      <c r="M155" s="25"/>
    </row>
    <row r="156" spans="4:13" ht="15.75" customHeight="1" x14ac:dyDescent="0.2">
      <c r="D156" s="1"/>
      <c r="M156" s="25"/>
    </row>
    <row r="157" spans="4:13" ht="15.75" customHeight="1" x14ac:dyDescent="0.2">
      <c r="D157" s="1"/>
      <c r="M157" s="25"/>
    </row>
    <row r="158" spans="4:13" ht="15.75" customHeight="1" x14ac:dyDescent="0.2">
      <c r="D158" s="1"/>
      <c r="M158" s="25"/>
    </row>
    <row r="159" spans="4:13" ht="15.75" customHeight="1" x14ac:dyDescent="0.2">
      <c r="D159" s="1"/>
      <c r="M159" s="25"/>
    </row>
    <row r="160" spans="4:13" ht="15.75" customHeight="1" x14ac:dyDescent="0.2">
      <c r="D160" s="1"/>
      <c r="M160" s="25"/>
    </row>
    <row r="161" spans="4:13" ht="15.75" customHeight="1" x14ac:dyDescent="0.2">
      <c r="D161" s="1"/>
      <c r="M161" s="25"/>
    </row>
    <row r="162" spans="4:13" ht="15.75" customHeight="1" x14ac:dyDescent="0.2">
      <c r="D162" s="1"/>
      <c r="M162" s="25"/>
    </row>
    <row r="163" spans="4:13" ht="15.75" customHeight="1" x14ac:dyDescent="0.2">
      <c r="D163" s="1"/>
      <c r="M163" s="25"/>
    </row>
    <row r="164" spans="4:13" ht="15.75" customHeight="1" x14ac:dyDescent="0.2">
      <c r="D164" s="1"/>
      <c r="M164" s="25"/>
    </row>
    <row r="165" spans="4:13" ht="15.75" customHeight="1" x14ac:dyDescent="0.2">
      <c r="D165" s="1"/>
      <c r="M165" s="25"/>
    </row>
    <row r="166" spans="4:13" ht="15.75" customHeight="1" x14ac:dyDescent="0.2">
      <c r="D166" s="1"/>
      <c r="M166" s="25"/>
    </row>
    <row r="167" spans="4:13" ht="15.75" customHeight="1" x14ac:dyDescent="0.2">
      <c r="D167" s="1"/>
      <c r="M167" s="25"/>
    </row>
    <row r="168" spans="4:13" ht="15.75" customHeight="1" x14ac:dyDescent="0.2">
      <c r="D168" s="1"/>
      <c r="M168" s="25"/>
    </row>
    <row r="169" spans="4:13" ht="15.75" customHeight="1" x14ac:dyDescent="0.2">
      <c r="D169" s="1"/>
      <c r="M169" s="25"/>
    </row>
    <row r="170" spans="4:13" ht="15.75" customHeight="1" x14ac:dyDescent="0.2">
      <c r="D170" s="1"/>
      <c r="M170" s="25"/>
    </row>
    <row r="171" spans="4:13" ht="15.75" customHeight="1" x14ac:dyDescent="0.2">
      <c r="D171" s="1"/>
      <c r="M171" s="25"/>
    </row>
    <row r="172" spans="4:13" ht="15.75" customHeight="1" x14ac:dyDescent="0.2">
      <c r="D172" s="1"/>
      <c r="M172" s="25"/>
    </row>
    <row r="173" spans="4:13" ht="15.75" customHeight="1" x14ac:dyDescent="0.2">
      <c r="D173" s="1"/>
      <c r="M173" s="25"/>
    </row>
    <row r="174" spans="4:13" ht="15.75" customHeight="1" x14ac:dyDescent="0.2">
      <c r="D174" s="1"/>
      <c r="M174" s="25"/>
    </row>
    <row r="175" spans="4:13" ht="15.75" customHeight="1" x14ac:dyDescent="0.2">
      <c r="D175" s="1"/>
      <c r="M175" s="25"/>
    </row>
    <row r="176" spans="4:13" ht="15.75" customHeight="1" x14ac:dyDescent="0.2">
      <c r="D176" s="1"/>
      <c r="M176" s="25"/>
    </row>
    <row r="177" spans="4:13" ht="15.75" customHeight="1" x14ac:dyDescent="0.2">
      <c r="D177" s="1"/>
      <c r="M177" s="25"/>
    </row>
    <row r="178" spans="4:13" ht="15.75" customHeight="1" x14ac:dyDescent="0.2">
      <c r="D178" s="1"/>
      <c r="M178" s="25"/>
    </row>
    <row r="179" spans="4:13" ht="15.75" customHeight="1" x14ac:dyDescent="0.2">
      <c r="D179" s="1"/>
      <c r="M179" s="25"/>
    </row>
    <row r="180" spans="4:13" ht="15.75" customHeight="1" x14ac:dyDescent="0.2">
      <c r="D180" s="1"/>
      <c r="M180" s="25"/>
    </row>
    <row r="181" spans="4:13" ht="15.75" customHeight="1" x14ac:dyDescent="0.2">
      <c r="D181" s="1"/>
      <c r="M181" s="25"/>
    </row>
    <row r="182" spans="4:13" ht="15.75" customHeight="1" x14ac:dyDescent="0.2">
      <c r="D182" s="1"/>
      <c r="M182" s="25"/>
    </row>
    <row r="183" spans="4:13" ht="15.75" customHeight="1" x14ac:dyDescent="0.2">
      <c r="D183" s="1"/>
      <c r="M183" s="25"/>
    </row>
    <row r="184" spans="4:13" ht="15.75" customHeight="1" x14ac:dyDescent="0.2">
      <c r="D184" s="1"/>
      <c r="M184" s="25"/>
    </row>
    <row r="185" spans="4:13" ht="15.75" customHeight="1" x14ac:dyDescent="0.2">
      <c r="D185" s="1"/>
      <c r="M185" s="25"/>
    </row>
    <row r="186" spans="4:13" ht="15.75" customHeight="1" x14ac:dyDescent="0.2">
      <c r="D186" s="1"/>
      <c r="M186" s="25"/>
    </row>
    <row r="187" spans="4:13" ht="15.75" customHeight="1" x14ac:dyDescent="0.2">
      <c r="D187" s="1"/>
      <c r="M187" s="25"/>
    </row>
    <row r="188" spans="4:13" ht="15.75" customHeight="1" x14ac:dyDescent="0.2">
      <c r="D188" s="1"/>
      <c r="M188" s="25"/>
    </row>
    <row r="189" spans="4:13" ht="15.75" customHeight="1" x14ac:dyDescent="0.2">
      <c r="D189" s="1"/>
      <c r="M189" s="25"/>
    </row>
    <row r="190" spans="4:13" ht="15.75" customHeight="1" x14ac:dyDescent="0.2">
      <c r="D190" s="1"/>
      <c r="M190" s="25"/>
    </row>
    <row r="191" spans="4:13" ht="15.75" customHeight="1" x14ac:dyDescent="0.2">
      <c r="D191" s="1"/>
      <c r="M191" s="25"/>
    </row>
    <row r="192" spans="4:13" ht="15.75" customHeight="1" x14ac:dyDescent="0.2">
      <c r="D192" s="1"/>
      <c r="M192" s="25"/>
    </row>
    <row r="193" spans="4:13" ht="15.75" customHeight="1" x14ac:dyDescent="0.2">
      <c r="D193" s="1"/>
      <c r="M193" s="25"/>
    </row>
    <row r="194" spans="4:13" ht="15.75" customHeight="1" x14ac:dyDescent="0.2">
      <c r="D194" s="1"/>
      <c r="M194" s="25"/>
    </row>
    <row r="195" spans="4:13" ht="15.75" customHeight="1" x14ac:dyDescent="0.2">
      <c r="D195" s="1"/>
      <c r="M195" s="25"/>
    </row>
    <row r="196" spans="4:13" ht="15.75" customHeight="1" x14ac:dyDescent="0.2">
      <c r="D196" s="1"/>
      <c r="M196" s="25"/>
    </row>
    <row r="197" spans="4:13" ht="15.75" customHeight="1" x14ac:dyDescent="0.2">
      <c r="D197" s="1"/>
      <c r="M197" s="25"/>
    </row>
    <row r="198" spans="4:13" ht="15.75" customHeight="1" x14ac:dyDescent="0.2">
      <c r="D198" s="1"/>
      <c r="M198" s="25"/>
    </row>
    <row r="199" spans="4:13" ht="15.75" customHeight="1" x14ac:dyDescent="0.2">
      <c r="D199" s="1"/>
      <c r="M199" s="25"/>
    </row>
    <row r="200" spans="4:13" ht="15.75" customHeight="1" x14ac:dyDescent="0.15">
      <c r="D200" s="1"/>
    </row>
    <row r="201" spans="4:13" ht="15.75" customHeight="1" x14ac:dyDescent="0.15">
      <c r="D201" s="1"/>
    </row>
    <row r="202" spans="4:13" ht="15.75" customHeight="1" x14ac:dyDescent="0.15">
      <c r="D202" s="1"/>
    </row>
    <row r="203" spans="4:13" ht="15.75" customHeight="1" x14ac:dyDescent="0.15">
      <c r="D203" s="1"/>
    </row>
    <row r="204" spans="4:13" ht="15.75" customHeight="1" x14ac:dyDescent="0.15">
      <c r="D204" s="1"/>
    </row>
    <row r="205" spans="4:13" ht="15.75" customHeight="1" x14ac:dyDescent="0.15">
      <c r="D205" s="1"/>
    </row>
    <row r="206" spans="4:13" ht="15.75" customHeight="1" x14ac:dyDescent="0.15">
      <c r="D206" s="1"/>
    </row>
    <row r="207" spans="4:13" ht="15.75" customHeight="1" x14ac:dyDescent="0.15">
      <c r="D207" s="1"/>
    </row>
    <row r="208" spans="4:13" ht="15.75" customHeight="1" x14ac:dyDescent="0.15">
      <c r="D208" s="1"/>
    </row>
    <row r="209" spans="4:4" ht="15.75" customHeight="1" x14ac:dyDescent="0.15">
      <c r="D209" s="1"/>
    </row>
    <row r="210" spans="4:4" ht="15.75" customHeight="1" x14ac:dyDescent="0.15">
      <c r="D210" s="1"/>
    </row>
    <row r="211" spans="4:4" ht="15.75" customHeight="1" x14ac:dyDescent="0.15">
      <c r="D211" s="1"/>
    </row>
    <row r="212" spans="4:4" ht="15.75" customHeight="1" x14ac:dyDescent="0.15">
      <c r="D212" s="1"/>
    </row>
    <row r="213" spans="4:4" ht="15.75" customHeight="1" x14ac:dyDescent="0.15">
      <c r="D213" s="1"/>
    </row>
    <row r="214" spans="4:4" ht="15.75" customHeight="1" x14ac:dyDescent="0.15">
      <c r="D214" s="1"/>
    </row>
    <row r="215" spans="4:4" ht="15.75" customHeight="1" x14ac:dyDescent="0.15">
      <c r="D215" s="1"/>
    </row>
    <row r="216" spans="4:4" ht="15.75" customHeight="1" x14ac:dyDescent="0.15">
      <c r="D216" s="1"/>
    </row>
    <row r="217" spans="4:4" ht="15.75" customHeight="1" x14ac:dyDescent="0.15">
      <c r="D217" s="1"/>
    </row>
    <row r="218" spans="4:4" ht="15.75" customHeight="1" x14ac:dyDescent="0.15">
      <c r="D218" s="1"/>
    </row>
    <row r="219" spans="4:4" ht="15.75" customHeight="1" x14ac:dyDescent="0.15">
      <c r="D219" s="1"/>
    </row>
    <row r="220" spans="4:4" ht="15.75" customHeight="1" x14ac:dyDescent="0.15">
      <c r="D220" s="1"/>
    </row>
    <row r="221" spans="4:4" ht="15.75" customHeight="1" x14ac:dyDescent="0.15">
      <c r="D221" s="1"/>
    </row>
    <row r="222" spans="4:4" ht="15.75" customHeight="1" x14ac:dyDescent="0.15">
      <c r="D222" s="1"/>
    </row>
    <row r="223" spans="4:4" ht="15.75" customHeight="1" x14ac:dyDescent="0.15">
      <c r="D223" s="1"/>
    </row>
    <row r="224" spans="4:4" ht="15.75" customHeight="1" x14ac:dyDescent="0.15">
      <c r="D224" s="1"/>
    </row>
    <row r="225" spans="4:4" ht="15.75" customHeight="1" x14ac:dyDescent="0.15">
      <c r="D225" s="1"/>
    </row>
    <row r="226" spans="4:4" ht="15.75" customHeight="1" x14ac:dyDescent="0.15">
      <c r="D226" s="1"/>
    </row>
    <row r="227" spans="4:4" ht="15.75" customHeight="1" x14ac:dyDescent="0.15">
      <c r="D227" s="1"/>
    </row>
    <row r="228" spans="4:4" ht="15.75" customHeight="1" x14ac:dyDescent="0.15">
      <c r="D228" s="1"/>
    </row>
    <row r="229" spans="4:4" ht="15.75" customHeight="1" x14ac:dyDescent="0.15">
      <c r="D229" s="1"/>
    </row>
    <row r="230" spans="4:4" ht="15.75" customHeight="1" x14ac:dyDescent="0.15">
      <c r="D230" s="1"/>
    </row>
    <row r="231" spans="4:4" ht="15.75" customHeight="1" x14ac:dyDescent="0.15">
      <c r="D231" s="1"/>
    </row>
    <row r="232" spans="4:4" ht="15.75" customHeight="1" x14ac:dyDescent="0.15">
      <c r="D232" s="1"/>
    </row>
    <row r="233" spans="4:4" ht="15.75" customHeight="1" x14ac:dyDescent="0.15">
      <c r="D233" s="1"/>
    </row>
    <row r="234" spans="4:4" ht="15.75" customHeight="1" x14ac:dyDescent="0.15">
      <c r="D234" s="1"/>
    </row>
    <row r="235" spans="4:4" ht="15.75" customHeight="1" x14ac:dyDescent="0.15">
      <c r="D235" s="1"/>
    </row>
    <row r="236" spans="4:4" ht="15.75" customHeight="1" x14ac:dyDescent="0.15">
      <c r="D236" s="1"/>
    </row>
    <row r="237" spans="4:4" ht="15.75" customHeight="1" x14ac:dyDescent="0.15">
      <c r="D237" s="1"/>
    </row>
    <row r="238" spans="4:4" ht="15.75" customHeight="1" x14ac:dyDescent="0.15">
      <c r="D238" s="1"/>
    </row>
    <row r="239" spans="4:4" ht="15.75" customHeight="1" x14ac:dyDescent="0.15">
      <c r="D239" s="1"/>
    </row>
    <row r="240" spans="4:4" ht="15.75" customHeight="1" x14ac:dyDescent="0.15">
      <c r="D240" s="1"/>
    </row>
    <row r="241" spans="4:4" ht="15.75" customHeight="1" x14ac:dyDescent="0.15">
      <c r="D241" s="1"/>
    </row>
    <row r="242" spans="4:4" ht="15.75" customHeight="1" x14ac:dyDescent="0.15">
      <c r="D242" s="1"/>
    </row>
    <row r="243" spans="4:4" ht="15.75" customHeight="1" x14ac:dyDescent="0.15">
      <c r="D243" s="1"/>
    </row>
    <row r="244" spans="4:4" ht="15.75" customHeight="1" x14ac:dyDescent="0.15">
      <c r="D244" s="1"/>
    </row>
    <row r="245" spans="4:4" ht="15.75" customHeight="1" x14ac:dyDescent="0.15">
      <c r="D245" s="1"/>
    </row>
    <row r="246" spans="4:4" ht="15.75" customHeight="1" x14ac:dyDescent="0.15">
      <c r="D246" s="1"/>
    </row>
    <row r="247" spans="4:4" ht="15.75" customHeight="1" x14ac:dyDescent="0.15">
      <c r="D247" s="1"/>
    </row>
    <row r="248" spans="4:4" ht="15.75" customHeight="1" x14ac:dyDescent="0.15">
      <c r="D248" s="1"/>
    </row>
    <row r="249" spans="4:4" ht="15.75" customHeight="1" x14ac:dyDescent="0.15">
      <c r="D249" s="1"/>
    </row>
    <row r="250" spans="4:4" ht="15.75" customHeight="1" x14ac:dyDescent="0.15">
      <c r="D250" s="1"/>
    </row>
    <row r="251" spans="4:4" ht="15.75" customHeight="1" x14ac:dyDescent="0.15">
      <c r="D251" s="1"/>
    </row>
    <row r="252" spans="4:4" ht="15.75" customHeight="1" x14ac:dyDescent="0.15">
      <c r="D252" s="1"/>
    </row>
    <row r="253" spans="4:4" ht="15.75" customHeight="1" x14ac:dyDescent="0.15">
      <c r="D253" s="1"/>
    </row>
    <row r="254" spans="4:4" ht="15.75" customHeight="1" x14ac:dyDescent="0.15">
      <c r="D254" s="1"/>
    </row>
    <row r="255" spans="4:4" ht="15.75" customHeight="1" x14ac:dyDescent="0.15">
      <c r="D255" s="1"/>
    </row>
    <row r="256" spans="4:4" ht="15.75" customHeight="1" x14ac:dyDescent="0.15">
      <c r="D256" s="1"/>
    </row>
    <row r="257" spans="4:4" ht="15.75" customHeight="1" x14ac:dyDescent="0.15">
      <c r="D257" s="1"/>
    </row>
    <row r="258" spans="4:4" ht="15.75" customHeight="1" x14ac:dyDescent="0.15">
      <c r="D258" s="1"/>
    </row>
    <row r="259" spans="4:4" ht="15.75" customHeight="1" x14ac:dyDescent="0.15">
      <c r="D259" s="1"/>
    </row>
    <row r="260" spans="4:4" ht="15.75" customHeight="1" x14ac:dyDescent="0.15">
      <c r="D260" s="1"/>
    </row>
    <row r="261" spans="4:4" ht="15.75" customHeight="1" x14ac:dyDescent="0.15">
      <c r="D261" s="1"/>
    </row>
    <row r="262" spans="4:4" ht="15.75" customHeight="1" x14ac:dyDescent="0.15">
      <c r="D262" s="1"/>
    </row>
    <row r="263" spans="4:4" ht="15.75" customHeight="1" x14ac:dyDescent="0.15">
      <c r="D263" s="1"/>
    </row>
    <row r="264" spans="4:4" ht="15.75" customHeight="1" x14ac:dyDescent="0.15">
      <c r="D264" s="1"/>
    </row>
    <row r="265" spans="4:4" ht="15.75" customHeight="1" x14ac:dyDescent="0.15">
      <c r="D265" s="1"/>
    </row>
    <row r="266" spans="4:4" ht="15.75" customHeight="1" x14ac:dyDescent="0.15">
      <c r="D266" s="1"/>
    </row>
    <row r="267" spans="4:4" ht="15.75" customHeight="1" x14ac:dyDescent="0.15">
      <c r="D267" s="1"/>
    </row>
    <row r="268" spans="4:4" ht="15.75" customHeight="1" x14ac:dyDescent="0.15">
      <c r="D268" s="1"/>
    </row>
    <row r="269" spans="4:4" ht="15.75" customHeight="1" x14ac:dyDescent="0.15">
      <c r="D269" s="1"/>
    </row>
    <row r="270" spans="4:4" ht="15.75" customHeight="1" x14ac:dyDescent="0.15">
      <c r="D270" s="1"/>
    </row>
    <row r="271" spans="4:4" ht="15.75" customHeight="1" x14ac:dyDescent="0.15">
      <c r="D271" s="1"/>
    </row>
    <row r="272" spans="4:4" ht="15.75" customHeight="1" x14ac:dyDescent="0.15">
      <c r="D272" s="1"/>
    </row>
    <row r="273" spans="4:4" ht="15.75" customHeight="1" x14ac:dyDescent="0.15">
      <c r="D273" s="1"/>
    </row>
    <row r="274" spans="4:4" ht="15.75" customHeight="1" x14ac:dyDescent="0.15">
      <c r="D274" s="1"/>
    </row>
    <row r="275" spans="4:4" ht="15.75" customHeight="1" x14ac:dyDescent="0.15">
      <c r="D275" s="1"/>
    </row>
    <row r="276" spans="4:4" ht="15.75" customHeight="1" x14ac:dyDescent="0.15">
      <c r="D276" s="1"/>
    </row>
    <row r="277" spans="4:4" ht="15.75" customHeight="1" x14ac:dyDescent="0.15">
      <c r="D277" s="1"/>
    </row>
    <row r="278" spans="4:4" ht="15.75" customHeight="1" x14ac:dyDescent="0.15">
      <c r="D278" s="1"/>
    </row>
    <row r="279" spans="4:4" ht="15.75" customHeight="1" x14ac:dyDescent="0.15">
      <c r="D279" s="1"/>
    </row>
    <row r="280" spans="4:4" ht="15.75" customHeight="1" x14ac:dyDescent="0.15">
      <c r="D280" s="1"/>
    </row>
    <row r="281" spans="4:4" ht="15.75" customHeight="1" x14ac:dyDescent="0.15">
      <c r="D281" s="1"/>
    </row>
    <row r="282" spans="4:4" ht="15.75" customHeight="1" x14ac:dyDescent="0.15">
      <c r="D282" s="1"/>
    </row>
    <row r="283" spans="4:4" ht="15.75" customHeight="1" x14ac:dyDescent="0.15">
      <c r="D283" s="1"/>
    </row>
    <row r="284" spans="4:4" ht="15.75" customHeight="1" x14ac:dyDescent="0.15">
      <c r="D284" s="1"/>
    </row>
    <row r="285" spans="4:4" ht="15.75" customHeight="1" x14ac:dyDescent="0.15">
      <c r="D285" s="1"/>
    </row>
    <row r="286" spans="4:4" ht="15.75" customHeight="1" x14ac:dyDescent="0.15">
      <c r="D286" s="1"/>
    </row>
    <row r="287" spans="4:4" ht="15.75" customHeight="1" x14ac:dyDescent="0.15">
      <c r="D287" s="1"/>
    </row>
    <row r="288" spans="4:4" ht="15.75" customHeight="1" x14ac:dyDescent="0.15">
      <c r="D288" s="1"/>
    </row>
    <row r="289" spans="4:4" ht="15.75" customHeight="1" x14ac:dyDescent="0.15">
      <c r="D289" s="1"/>
    </row>
    <row r="290" spans="4:4" ht="15.75" customHeight="1" x14ac:dyDescent="0.15">
      <c r="D290" s="1"/>
    </row>
    <row r="291" spans="4:4" ht="15.75" customHeight="1" x14ac:dyDescent="0.15">
      <c r="D291" s="1"/>
    </row>
    <row r="292" spans="4:4" ht="15.75" customHeight="1" x14ac:dyDescent="0.15">
      <c r="D292" s="1"/>
    </row>
    <row r="293" spans="4:4" ht="15.75" customHeight="1" x14ac:dyDescent="0.15">
      <c r="D293" s="1"/>
    </row>
    <row r="294" spans="4:4" ht="15.75" customHeight="1" x14ac:dyDescent="0.15">
      <c r="D294" s="1"/>
    </row>
    <row r="295" spans="4:4" ht="15.75" customHeight="1" x14ac:dyDescent="0.15">
      <c r="D295" s="1"/>
    </row>
    <row r="296" spans="4:4" ht="15.75" customHeight="1" x14ac:dyDescent="0.15">
      <c r="D296" s="1"/>
    </row>
    <row r="297" spans="4:4" ht="15.75" customHeight="1" x14ac:dyDescent="0.15">
      <c r="D297" s="1"/>
    </row>
    <row r="298" spans="4:4" ht="15.75" customHeight="1" x14ac:dyDescent="0.15">
      <c r="D298" s="1"/>
    </row>
    <row r="299" spans="4:4" ht="15.75" customHeight="1" x14ac:dyDescent="0.15">
      <c r="D299" s="1"/>
    </row>
    <row r="300" spans="4:4" ht="15.75" customHeight="1" x14ac:dyDescent="0.15">
      <c r="D300" s="1"/>
    </row>
    <row r="301" spans="4:4" ht="15.75" customHeight="1" x14ac:dyDescent="0.15">
      <c r="D301" s="1"/>
    </row>
    <row r="302" spans="4:4" ht="15.75" customHeight="1" x14ac:dyDescent="0.15">
      <c r="D302" s="1"/>
    </row>
    <row r="303" spans="4:4" ht="15.75" customHeight="1" x14ac:dyDescent="0.15">
      <c r="D303" s="1"/>
    </row>
    <row r="304" spans="4:4" ht="15.75" customHeight="1" x14ac:dyDescent="0.15">
      <c r="D304" s="1"/>
    </row>
    <row r="305" spans="4:4" ht="15.75" customHeight="1" x14ac:dyDescent="0.15">
      <c r="D305" s="1"/>
    </row>
    <row r="306" spans="4:4" ht="15.75" customHeight="1" x14ac:dyDescent="0.15">
      <c r="D306" s="1"/>
    </row>
    <row r="307" spans="4:4" ht="15.75" customHeight="1" x14ac:dyDescent="0.15">
      <c r="D307" s="1"/>
    </row>
    <row r="308" spans="4:4" ht="15.75" customHeight="1" x14ac:dyDescent="0.15">
      <c r="D308" s="1"/>
    </row>
    <row r="309" spans="4:4" ht="15.75" customHeight="1" x14ac:dyDescent="0.15">
      <c r="D309" s="1"/>
    </row>
    <row r="310" spans="4:4" ht="15.75" customHeight="1" x14ac:dyDescent="0.15">
      <c r="D310" s="1"/>
    </row>
    <row r="311" spans="4:4" ht="15.75" customHeight="1" x14ac:dyDescent="0.15">
      <c r="D311" s="1"/>
    </row>
    <row r="312" spans="4:4" ht="15.75" customHeight="1" x14ac:dyDescent="0.15">
      <c r="D312" s="1"/>
    </row>
    <row r="313" spans="4:4" ht="15.75" customHeight="1" x14ac:dyDescent="0.15">
      <c r="D313" s="1"/>
    </row>
    <row r="314" spans="4:4" ht="15.75" customHeight="1" x14ac:dyDescent="0.15">
      <c r="D314" s="1"/>
    </row>
    <row r="315" spans="4:4" ht="15.75" customHeight="1" x14ac:dyDescent="0.15">
      <c r="D315" s="1"/>
    </row>
    <row r="316" spans="4:4" ht="15.75" customHeight="1" x14ac:dyDescent="0.15">
      <c r="D316" s="1"/>
    </row>
    <row r="317" spans="4:4" ht="15.75" customHeight="1" x14ac:dyDescent="0.15">
      <c r="D317" s="1"/>
    </row>
    <row r="318" spans="4:4" ht="15.75" customHeight="1" x14ac:dyDescent="0.15">
      <c r="D318" s="1"/>
    </row>
    <row r="319" spans="4:4" ht="15.75" customHeight="1" x14ac:dyDescent="0.15">
      <c r="D319" s="1"/>
    </row>
    <row r="320" spans="4:4" ht="15.75" customHeight="1" x14ac:dyDescent="0.15">
      <c r="D320" s="1"/>
    </row>
    <row r="321" spans="4:4" ht="15.75" customHeight="1" x14ac:dyDescent="0.15">
      <c r="D321" s="1"/>
    </row>
    <row r="322" spans="4:4" ht="15.75" customHeight="1" x14ac:dyDescent="0.15">
      <c r="D322" s="1"/>
    </row>
    <row r="323" spans="4:4" ht="15.75" customHeight="1" x14ac:dyDescent="0.15">
      <c r="D323" s="1"/>
    </row>
    <row r="324" spans="4:4" ht="15.75" customHeight="1" x14ac:dyDescent="0.15">
      <c r="D324" s="1"/>
    </row>
    <row r="325" spans="4:4" ht="15.75" customHeight="1" x14ac:dyDescent="0.15">
      <c r="D325" s="1"/>
    </row>
    <row r="326" spans="4:4" ht="15.75" customHeight="1" x14ac:dyDescent="0.15">
      <c r="D326" s="1"/>
    </row>
    <row r="327" spans="4:4" ht="15.75" customHeight="1" x14ac:dyDescent="0.15">
      <c r="D327" s="1"/>
    </row>
    <row r="328" spans="4:4" ht="15.75" customHeight="1" x14ac:dyDescent="0.15">
      <c r="D328" s="1"/>
    </row>
    <row r="329" spans="4:4" ht="15.75" customHeight="1" x14ac:dyDescent="0.15">
      <c r="D329" s="1"/>
    </row>
    <row r="330" spans="4:4" ht="15.75" customHeight="1" x14ac:dyDescent="0.15">
      <c r="D330" s="1"/>
    </row>
    <row r="331" spans="4:4" ht="15.75" customHeight="1" x14ac:dyDescent="0.15">
      <c r="D331" s="1"/>
    </row>
    <row r="332" spans="4:4" ht="15.75" customHeight="1" x14ac:dyDescent="0.15">
      <c r="D332" s="1"/>
    </row>
    <row r="333" spans="4:4" ht="15.75" customHeight="1" x14ac:dyDescent="0.15">
      <c r="D333" s="1"/>
    </row>
    <row r="334" spans="4:4" ht="15.75" customHeight="1" x14ac:dyDescent="0.15">
      <c r="D334" s="1"/>
    </row>
    <row r="335" spans="4:4" ht="15.75" customHeight="1" x14ac:dyDescent="0.15">
      <c r="D335" s="1"/>
    </row>
    <row r="336" spans="4:4" ht="15.75" customHeight="1" x14ac:dyDescent="0.15">
      <c r="D336" s="1"/>
    </row>
    <row r="337" spans="4:4" ht="15.75" customHeight="1" x14ac:dyDescent="0.15">
      <c r="D337" s="1"/>
    </row>
    <row r="338" spans="4:4" ht="15.75" customHeight="1" x14ac:dyDescent="0.15">
      <c r="D338" s="1"/>
    </row>
    <row r="339" spans="4:4" ht="15.75" customHeight="1" x14ac:dyDescent="0.15">
      <c r="D339" s="1"/>
    </row>
    <row r="340" spans="4:4" ht="15.75" customHeight="1" x14ac:dyDescent="0.15">
      <c r="D340" s="1"/>
    </row>
    <row r="341" spans="4:4" ht="15.75" customHeight="1" x14ac:dyDescent="0.15">
      <c r="D341" s="1"/>
    </row>
    <row r="342" spans="4:4" ht="15.75" customHeight="1" x14ac:dyDescent="0.15">
      <c r="D342" s="1"/>
    </row>
    <row r="343" spans="4:4" ht="15.75" customHeight="1" x14ac:dyDescent="0.15">
      <c r="D343" s="1"/>
    </row>
    <row r="344" spans="4:4" ht="15.75" customHeight="1" x14ac:dyDescent="0.15">
      <c r="D344" s="1"/>
    </row>
    <row r="345" spans="4:4" ht="15.75" customHeight="1" x14ac:dyDescent="0.15">
      <c r="D345" s="1"/>
    </row>
    <row r="346" spans="4:4" ht="15.75" customHeight="1" x14ac:dyDescent="0.15">
      <c r="D346" s="1"/>
    </row>
    <row r="347" spans="4:4" ht="15.75" customHeight="1" x14ac:dyDescent="0.15">
      <c r="D347" s="1"/>
    </row>
    <row r="348" spans="4:4" ht="15.75" customHeight="1" x14ac:dyDescent="0.15">
      <c r="D348" s="1"/>
    </row>
    <row r="349" spans="4:4" ht="15.75" customHeight="1" x14ac:dyDescent="0.15">
      <c r="D349" s="1"/>
    </row>
    <row r="350" spans="4:4" ht="15.75" customHeight="1" x14ac:dyDescent="0.15">
      <c r="D350" s="1"/>
    </row>
    <row r="351" spans="4:4" ht="15.75" customHeight="1" x14ac:dyDescent="0.15">
      <c r="D351" s="1"/>
    </row>
    <row r="352" spans="4:4" ht="15.75" customHeight="1" x14ac:dyDescent="0.15">
      <c r="D352" s="1"/>
    </row>
    <row r="353" spans="4:4" ht="15.75" customHeight="1" x14ac:dyDescent="0.15">
      <c r="D353" s="1"/>
    </row>
    <row r="354" spans="4:4" ht="15.75" customHeight="1" x14ac:dyDescent="0.15">
      <c r="D354" s="1"/>
    </row>
    <row r="355" spans="4:4" ht="15.75" customHeight="1" x14ac:dyDescent="0.15">
      <c r="D355" s="1"/>
    </row>
    <row r="356" spans="4:4" ht="15.75" customHeight="1" x14ac:dyDescent="0.15">
      <c r="D356" s="1"/>
    </row>
    <row r="357" spans="4:4" ht="15.75" customHeight="1" x14ac:dyDescent="0.15">
      <c r="D357" s="1"/>
    </row>
    <row r="358" spans="4:4" ht="15.75" customHeight="1" x14ac:dyDescent="0.15">
      <c r="D358" s="1"/>
    </row>
    <row r="359" spans="4:4" ht="15.75" customHeight="1" x14ac:dyDescent="0.15">
      <c r="D359" s="1"/>
    </row>
    <row r="360" spans="4:4" ht="15.75" customHeight="1" x14ac:dyDescent="0.15">
      <c r="D360" s="1"/>
    </row>
    <row r="361" spans="4:4" ht="15.75" customHeight="1" x14ac:dyDescent="0.15">
      <c r="D361" s="1"/>
    </row>
    <row r="362" spans="4:4" ht="15.75" customHeight="1" x14ac:dyDescent="0.15">
      <c r="D362" s="1"/>
    </row>
    <row r="363" spans="4:4" ht="15.75" customHeight="1" x14ac:dyDescent="0.15">
      <c r="D363" s="1"/>
    </row>
    <row r="364" spans="4:4" ht="15.75" customHeight="1" x14ac:dyDescent="0.15">
      <c r="D364" s="1"/>
    </row>
    <row r="365" spans="4:4" ht="15.75" customHeight="1" x14ac:dyDescent="0.15">
      <c r="D365" s="1"/>
    </row>
    <row r="366" spans="4:4" ht="15.75" customHeight="1" x14ac:dyDescent="0.15">
      <c r="D366" s="1"/>
    </row>
    <row r="367" spans="4:4" ht="15.75" customHeight="1" x14ac:dyDescent="0.15">
      <c r="D367" s="1"/>
    </row>
    <row r="368" spans="4:4" ht="15.75" customHeight="1" x14ac:dyDescent="0.15">
      <c r="D368" s="1"/>
    </row>
    <row r="369" spans="4:4" ht="15.75" customHeight="1" x14ac:dyDescent="0.15">
      <c r="D369" s="1"/>
    </row>
    <row r="370" spans="4:4" ht="15.75" customHeight="1" x14ac:dyDescent="0.15">
      <c r="D370" s="1"/>
    </row>
    <row r="371" spans="4:4" ht="15.75" customHeight="1" x14ac:dyDescent="0.15">
      <c r="D371" s="1"/>
    </row>
    <row r="372" spans="4:4" ht="15.75" customHeight="1" x14ac:dyDescent="0.15">
      <c r="D372" s="1"/>
    </row>
    <row r="373" spans="4:4" ht="15.75" customHeight="1" x14ac:dyDescent="0.15">
      <c r="D373" s="1"/>
    </row>
    <row r="374" spans="4:4" ht="15.75" customHeight="1" x14ac:dyDescent="0.15">
      <c r="D374" s="1"/>
    </row>
    <row r="375" spans="4:4" ht="15.75" customHeight="1" x14ac:dyDescent="0.15">
      <c r="D375" s="1"/>
    </row>
    <row r="376" spans="4:4" ht="15.75" customHeight="1" x14ac:dyDescent="0.15">
      <c r="D376" s="1"/>
    </row>
    <row r="377" spans="4:4" ht="15.75" customHeight="1" x14ac:dyDescent="0.15">
      <c r="D377" s="1"/>
    </row>
    <row r="378" spans="4:4" ht="15.75" customHeight="1" x14ac:dyDescent="0.15">
      <c r="D378" s="1"/>
    </row>
    <row r="379" spans="4:4" ht="15.75" customHeight="1" x14ac:dyDescent="0.15">
      <c r="D379" s="1"/>
    </row>
    <row r="380" spans="4:4" ht="15.75" customHeight="1" x14ac:dyDescent="0.15">
      <c r="D380" s="1"/>
    </row>
    <row r="381" spans="4:4" ht="15.75" customHeight="1" x14ac:dyDescent="0.15">
      <c r="D381" s="1"/>
    </row>
    <row r="382" spans="4:4" ht="15.75" customHeight="1" x14ac:dyDescent="0.15">
      <c r="D382" s="1"/>
    </row>
    <row r="383" spans="4:4" ht="15.75" customHeight="1" x14ac:dyDescent="0.15">
      <c r="D383" s="1"/>
    </row>
    <row r="384" spans="4:4" ht="15.75" customHeight="1" x14ac:dyDescent="0.15">
      <c r="D384" s="1"/>
    </row>
    <row r="385" spans="4:4" ht="15.75" customHeight="1" x14ac:dyDescent="0.15">
      <c r="D385" s="1"/>
    </row>
    <row r="386" spans="4:4" ht="15.75" customHeight="1" x14ac:dyDescent="0.15">
      <c r="D386" s="1"/>
    </row>
    <row r="387" spans="4:4" ht="15.75" customHeight="1" x14ac:dyDescent="0.15">
      <c r="D387" s="1"/>
    </row>
    <row r="388" spans="4:4" ht="15.75" customHeight="1" x14ac:dyDescent="0.15">
      <c r="D388" s="1"/>
    </row>
    <row r="389" spans="4:4" ht="15.75" customHeight="1" x14ac:dyDescent="0.15">
      <c r="D389" s="1"/>
    </row>
    <row r="390" spans="4:4" ht="15.75" customHeight="1" x14ac:dyDescent="0.15">
      <c r="D390" s="1"/>
    </row>
    <row r="391" spans="4:4" ht="15.75" customHeight="1" x14ac:dyDescent="0.15">
      <c r="D391" s="1"/>
    </row>
    <row r="392" spans="4:4" ht="15.75" customHeight="1" x14ac:dyDescent="0.15">
      <c r="D392" s="1"/>
    </row>
    <row r="393" spans="4:4" ht="15.75" customHeight="1" x14ac:dyDescent="0.15">
      <c r="D393" s="1"/>
    </row>
    <row r="394" spans="4:4" ht="15.75" customHeight="1" x14ac:dyDescent="0.15">
      <c r="D394" s="1"/>
    </row>
    <row r="395" spans="4:4" ht="15.75" customHeight="1" x14ac:dyDescent="0.15">
      <c r="D395" s="1"/>
    </row>
    <row r="396" spans="4:4" ht="15.75" customHeight="1" x14ac:dyDescent="0.15">
      <c r="D396" s="1"/>
    </row>
    <row r="397" spans="4:4" ht="15.75" customHeight="1" x14ac:dyDescent="0.15">
      <c r="D397" s="1"/>
    </row>
    <row r="398" spans="4:4" ht="15.75" customHeight="1" x14ac:dyDescent="0.15">
      <c r="D398" s="1"/>
    </row>
    <row r="399" spans="4:4" ht="15.75" customHeight="1" x14ac:dyDescent="0.15">
      <c r="D399" s="1"/>
    </row>
    <row r="400" spans="4:4" ht="15.75" customHeight="1" x14ac:dyDescent="0.15">
      <c r="D400" s="1"/>
    </row>
    <row r="401" spans="4:4" ht="15.75" customHeight="1" x14ac:dyDescent="0.15">
      <c r="D401" s="1"/>
    </row>
    <row r="402" spans="4:4" ht="15.75" customHeight="1" x14ac:dyDescent="0.15">
      <c r="D402" s="1"/>
    </row>
    <row r="403" spans="4:4" ht="15.75" customHeight="1" x14ac:dyDescent="0.15">
      <c r="D403" s="1"/>
    </row>
    <row r="404" spans="4:4" ht="15.75" customHeight="1" x14ac:dyDescent="0.15">
      <c r="D404" s="1"/>
    </row>
    <row r="405" spans="4:4" ht="15.75" customHeight="1" x14ac:dyDescent="0.15">
      <c r="D405" s="1"/>
    </row>
    <row r="406" spans="4:4" ht="15.75" customHeight="1" x14ac:dyDescent="0.15">
      <c r="D406" s="1"/>
    </row>
    <row r="407" spans="4:4" ht="15.75" customHeight="1" x14ac:dyDescent="0.15">
      <c r="D407" s="1"/>
    </row>
    <row r="408" spans="4:4" ht="15.75" customHeight="1" x14ac:dyDescent="0.15">
      <c r="D408" s="1"/>
    </row>
    <row r="409" spans="4:4" ht="15.75" customHeight="1" x14ac:dyDescent="0.15">
      <c r="D409" s="1"/>
    </row>
    <row r="410" spans="4:4" ht="15.75" customHeight="1" x14ac:dyDescent="0.15">
      <c r="D410" s="1"/>
    </row>
    <row r="411" spans="4:4" ht="15.75" customHeight="1" x14ac:dyDescent="0.15">
      <c r="D411" s="1"/>
    </row>
    <row r="412" spans="4:4" ht="15.75" customHeight="1" x14ac:dyDescent="0.15">
      <c r="D412" s="1"/>
    </row>
    <row r="413" spans="4:4" ht="15.75" customHeight="1" x14ac:dyDescent="0.15">
      <c r="D413" s="1"/>
    </row>
    <row r="414" spans="4:4" ht="15.75" customHeight="1" x14ac:dyDescent="0.15">
      <c r="D414" s="1"/>
    </row>
    <row r="415" spans="4:4" ht="15.75" customHeight="1" x14ac:dyDescent="0.15">
      <c r="D415" s="1"/>
    </row>
    <row r="416" spans="4:4" ht="15.75" customHeight="1" x14ac:dyDescent="0.15">
      <c r="D416" s="1"/>
    </row>
    <row r="417" spans="4:4" ht="15.75" customHeight="1" x14ac:dyDescent="0.15">
      <c r="D417" s="1"/>
    </row>
    <row r="418" spans="4:4" ht="15.75" customHeight="1" x14ac:dyDescent="0.15">
      <c r="D418" s="1"/>
    </row>
    <row r="419" spans="4:4" ht="15.75" customHeight="1" x14ac:dyDescent="0.15">
      <c r="D419" s="1"/>
    </row>
    <row r="420" spans="4:4" ht="15.75" customHeight="1" x14ac:dyDescent="0.15">
      <c r="D420" s="1"/>
    </row>
    <row r="421" spans="4:4" ht="15.75" customHeight="1" x14ac:dyDescent="0.15">
      <c r="D421" s="1"/>
    </row>
    <row r="422" spans="4:4" ht="15.75" customHeight="1" x14ac:dyDescent="0.15">
      <c r="D422" s="1"/>
    </row>
    <row r="423" spans="4:4" ht="15.75" customHeight="1" x14ac:dyDescent="0.15">
      <c r="D423" s="1"/>
    </row>
    <row r="424" spans="4:4" ht="15.75" customHeight="1" x14ac:dyDescent="0.15">
      <c r="D424" s="1"/>
    </row>
    <row r="425" spans="4:4" ht="15.75" customHeight="1" x14ac:dyDescent="0.15">
      <c r="D425" s="1"/>
    </row>
    <row r="426" spans="4:4" ht="15.75" customHeight="1" x14ac:dyDescent="0.15">
      <c r="D426" s="1"/>
    </row>
    <row r="427" spans="4:4" ht="15.75" customHeight="1" x14ac:dyDescent="0.15">
      <c r="D427" s="1"/>
    </row>
    <row r="428" spans="4:4" ht="15.75" customHeight="1" x14ac:dyDescent="0.15">
      <c r="D428" s="1"/>
    </row>
    <row r="429" spans="4:4" ht="15.75" customHeight="1" x14ac:dyDescent="0.15">
      <c r="D429" s="1"/>
    </row>
    <row r="430" spans="4:4" ht="15.75" customHeight="1" x14ac:dyDescent="0.15">
      <c r="D430" s="1"/>
    </row>
    <row r="431" spans="4:4" ht="15.75" customHeight="1" x14ac:dyDescent="0.15">
      <c r="D431" s="1"/>
    </row>
    <row r="432" spans="4:4" ht="15.75" customHeight="1" x14ac:dyDescent="0.15">
      <c r="D432" s="1"/>
    </row>
    <row r="433" spans="4:4" ht="15.75" customHeight="1" x14ac:dyDescent="0.15">
      <c r="D433" s="1"/>
    </row>
    <row r="434" spans="4:4" ht="15.75" customHeight="1" x14ac:dyDescent="0.15">
      <c r="D434" s="1"/>
    </row>
    <row r="435" spans="4:4" ht="15.75" customHeight="1" x14ac:dyDescent="0.15">
      <c r="D435" s="1"/>
    </row>
    <row r="436" spans="4:4" ht="15.75" customHeight="1" x14ac:dyDescent="0.15">
      <c r="D436" s="1"/>
    </row>
    <row r="437" spans="4:4" ht="15.75" customHeight="1" x14ac:dyDescent="0.15">
      <c r="D437" s="1"/>
    </row>
    <row r="438" spans="4:4" ht="15.75" customHeight="1" x14ac:dyDescent="0.15">
      <c r="D438" s="1"/>
    </row>
    <row r="439" spans="4:4" ht="15.75" customHeight="1" x14ac:dyDescent="0.15">
      <c r="D439" s="1"/>
    </row>
    <row r="440" spans="4:4" ht="15.75" customHeight="1" x14ac:dyDescent="0.15">
      <c r="D440" s="1"/>
    </row>
    <row r="441" spans="4:4" ht="15.75" customHeight="1" x14ac:dyDescent="0.15">
      <c r="D441" s="1"/>
    </row>
    <row r="442" spans="4:4" ht="15.75" customHeight="1" x14ac:dyDescent="0.15">
      <c r="D442" s="1"/>
    </row>
    <row r="443" spans="4:4" ht="15.75" customHeight="1" x14ac:dyDescent="0.15">
      <c r="D443" s="1"/>
    </row>
    <row r="444" spans="4:4" ht="15.75" customHeight="1" x14ac:dyDescent="0.15">
      <c r="D444" s="1"/>
    </row>
    <row r="445" spans="4:4" ht="15.75" customHeight="1" x14ac:dyDescent="0.15">
      <c r="D445" s="1"/>
    </row>
    <row r="446" spans="4:4" ht="15.75" customHeight="1" x14ac:dyDescent="0.15">
      <c r="D446" s="1"/>
    </row>
    <row r="447" spans="4:4" ht="15.75" customHeight="1" x14ac:dyDescent="0.15">
      <c r="D447" s="1"/>
    </row>
    <row r="448" spans="4:4" ht="15.75" customHeight="1" x14ac:dyDescent="0.15">
      <c r="D448" s="1"/>
    </row>
    <row r="449" spans="4:4" ht="15.75" customHeight="1" x14ac:dyDescent="0.15">
      <c r="D449" s="1"/>
    </row>
    <row r="450" spans="4:4" ht="15.75" customHeight="1" x14ac:dyDescent="0.15">
      <c r="D450" s="1"/>
    </row>
    <row r="451" spans="4:4" ht="15.75" customHeight="1" x14ac:dyDescent="0.15">
      <c r="D451" s="1"/>
    </row>
    <row r="452" spans="4:4" ht="15.75" customHeight="1" x14ac:dyDescent="0.15">
      <c r="D452" s="1"/>
    </row>
    <row r="453" spans="4:4" ht="15.75" customHeight="1" x14ac:dyDescent="0.15">
      <c r="D453" s="1"/>
    </row>
    <row r="454" spans="4:4" ht="15.75" customHeight="1" x14ac:dyDescent="0.15">
      <c r="D454" s="1"/>
    </row>
    <row r="455" spans="4:4" ht="15.75" customHeight="1" x14ac:dyDescent="0.15">
      <c r="D455" s="1"/>
    </row>
    <row r="456" spans="4:4" ht="15.75" customHeight="1" x14ac:dyDescent="0.15">
      <c r="D456" s="1"/>
    </row>
    <row r="457" spans="4:4" ht="15.75" customHeight="1" x14ac:dyDescent="0.15">
      <c r="D457" s="1"/>
    </row>
    <row r="458" spans="4:4" ht="15.75" customHeight="1" x14ac:dyDescent="0.15">
      <c r="D458" s="1"/>
    </row>
    <row r="459" spans="4:4" ht="15.75" customHeight="1" x14ac:dyDescent="0.15">
      <c r="D459" s="1"/>
    </row>
    <row r="460" spans="4:4" ht="15.75" customHeight="1" x14ac:dyDescent="0.15">
      <c r="D460" s="1"/>
    </row>
    <row r="461" spans="4:4" ht="15.75" customHeight="1" x14ac:dyDescent="0.15">
      <c r="D461" s="1"/>
    </row>
    <row r="462" spans="4:4" ht="15.75" customHeight="1" x14ac:dyDescent="0.15">
      <c r="D462" s="1"/>
    </row>
    <row r="463" spans="4:4" ht="15.75" customHeight="1" x14ac:dyDescent="0.15">
      <c r="D463" s="1"/>
    </row>
    <row r="464" spans="4:4" ht="15.75" customHeight="1" x14ac:dyDescent="0.15">
      <c r="D464" s="1"/>
    </row>
    <row r="465" spans="4:4" ht="15.75" customHeight="1" x14ac:dyDescent="0.15">
      <c r="D465" s="1"/>
    </row>
    <row r="466" spans="4:4" ht="15.75" customHeight="1" x14ac:dyDescent="0.15">
      <c r="D466" s="1"/>
    </row>
    <row r="467" spans="4:4" ht="15.75" customHeight="1" x14ac:dyDescent="0.15">
      <c r="D467" s="1"/>
    </row>
    <row r="468" spans="4:4" ht="15.75" customHeight="1" x14ac:dyDescent="0.15">
      <c r="D468" s="1"/>
    </row>
    <row r="469" spans="4:4" ht="15.75" customHeight="1" x14ac:dyDescent="0.15">
      <c r="D469" s="1"/>
    </row>
    <row r="470" spans="4:4" ht="15.75" customHeight="1" x14ac:dyDescent="0.15">
      <c r="D470" s="1"/>
    </row>
    <row r="471" spans="4:4" ht="15.75" customHeight="1" x14ac:dyDescent="0.15">
      <c r="D471" s="1"/>
    </row>
    <row r="472" spans="4:4" ht="15.75" customHeight="1" x14ac:dyDescent="0.15">
      <c r="D472" s="1"/>
    </row>
    <row r="473" spans="4:4" ht="15.75" customHeight="1" x14ac:dyDescent="0.15">
      <c r="D473" s="1"/>
    </row>
    <row r="474" spans="4:4" ht="15.75" customHeight="1" x14ac:dyDescent="0.15">
      <c r="D474" s="1"/>
    </row>
    <row r="475" spans="4:4" ht="15.75" customHeight="1" x14ac:dyDescent="0.15">
      <c r="D475" s="1"/>
    </row>
    <row r="476" spans="4:4" ht="15.75" customHeight="1" x14ac:dyDescent="0.15">
      <c r="D476" s="1"/>
    </row>
    <row r="477" spans="4:4" ht="15.75" customHeight="1" x14ac:dyDescent="0.15">
      <c r="D477" s="1"/>
    </row>
    <row r="478" spans="4:4" ht="15.75" customHeight="1" x14ac:dyDescent="0.15">
      <c r="D478" s="1"/>
    </row>
    <row r="479" spans="4:4" ht="15.75" customHeight="1" x14ac:dyDescent="0.15">
      <c r="D479" s="1"/>
    </row>
    <row r="480" spans="4:4" ht="15.75" customHeight="1" x14ac:dyDescent="0.15">
      <c r="D480" s="1"/>
    </row>
    <row r="481" spans="4:4" ht="15.75" customHeight="1" x14ac:dyDescent="0.15">
      <c r="D481" s="1"/>
    </row>
    <row r="482" spans="4:4" ht="15.75" customHeight="1" x14ac:dyDescent="0.15">
      <c r="D482" s="1"/>
    </row>
    <row r="483" spans="4:4" ht="15.75" customHeight="1" x14ac:dyDescent="0.15">
      <c r="D483" s="1"/>
    </row>
    <row r="484" spans="4:4" ht="15.75" customHeight="1" x14ac:dyDescent="0.15">
      <c r="D484" s="1"/>
    </row>
    <row r="485" spans="4:4" ht="15.75" customHeight="1" x14ac:dyDescent="0.15">
      <c r="D485" s="1"/>
    </row>
    <row r="486" spans="4:4" ht="15.75" customHeight="1" x14ac:dyDescent="0.15">
      <c r="D486" s="1"/>
    </row>
    <row r="487" spans="4:4" ht="15.75" customHeight="1" x14ac:dyDescent="0.15">
      <c r="D487" s="1"/>
    </row>
    <row r="488" spans="4:4" ht="15.75" customHeight="1" x14ac:dyDescent="0.15">
      <c r="D488" s="1"/>
    </row>
    <row r="489" spans="4:4" ht="15.75" customHeight="1" x14ac:dyDescent="0.15">
      <c r="D489" s="1"/>
    </row>
    <row r="490" spans="4:4" ht="15.75" customHeight="1" x14ac:dyDescent="0.15">
      <c r="D490" s="1"/>
    </row>
    <row r="491" spans="4:4" ht="15.75" customHeight="1" x14ac:dyDescent="0.15">
      <c r="D491" s="1"/>
    </row>
    <row r="492" spans="4:4" ht="15.75" customHeight="1" x14ac:dyDescent="0.15">
      <c r="D492" s="1"/>
    </row>
    <row r="493" spans="4:4" ht="15.75" customHeight="1" x14ac:dyDescent="0.15">
      <c r="D493" s="1"/>
    </row>
    <row r="494" spans="4:4" ht="15.75" customHeight="1" x14ac:dyDescent="0.15">
      <c r="D494" s="1"/>
    </row>
    <row r="495" spans="4:4" ht="15.75" customHeight="1" x14ac:dyDescent="0.15">
      <c r="D495" s="1"/>
    </row>
    <row r="496" spans="4:4" ht="15.75" customHeight="1" x14ac:dyDescent="0.15">
      <c r="D496" s="1"/>
    </row>
    <row r="497" spans="4:4" ht="15.75" customHeight="1" x14ac:dyDescent="0.15">
      <c r="D497" s="1"/>
    </row>
    <row r="498" spans="4:4" ht="15.75" customHeight="1" x14ac:dyDescent="0.15">
      <c r="D498" s="1"/>
    </row>
    <row r="499" spans="4:4" ht="15.75" customHeight="1" x14ac:dyDescent="0.15">
      <c r="D499" s="1"/>
    </row>
    <row r="500" spans="4:4" ht="15.75" customHeight="1" x14ac:dyDescent="0.15">
      <c r="D500" s="1"/>
    </row>
    <row r="501" spans="4:4" ht="15.75" customHeight="1" x14ac:dyDescent="0.15">
      <c r="D501" s="1"/>
    </row>
    <row r="502" spans="4:4" ht="15.75" customHeight="1" x14ac:dyDescent="0.15">
      <c r="D502" s="1"/>
    </row>
    <row r="503" spans="4:4" ht="15.75" customHeight="1" x14ac:dyDescent="0.15">
      <c r="D503" s="1"/>
    </row>
    <row r="504" spans="4:4" ht="15.75" customHeight="1" x14ac:dyDescent="0.15">
      <c r="D504" s="1"/>
    </row>
    <row r="505" spans="4:4" ht="15.75" customHeight="1" x14ac:dyDescent="0.15">
      <c r="D505" s="1"/>
    </row>
    <row r="506" spans="4:4" ht="15.75" customHeight="1" x14ac:dyDescent="0.15">
      <c r="D506" s="1"/>
    </row>
    <row r="507" spans="4:4" ht="15.75" customHeight="1" x14ac:dyDescent="0.15">
      <c r="D507" s="1"/>
    </row>
    <row r="508" spans="4:4" ht="15.75" customHeight="1" x14ac:dyDescent="0.15">
      <c r="D508" s="1"/>
    </row>
    <row r="509" spans="4:4" ht="15.75" customHeight="1" x14ac:dyDescent="0.15">
      <c r="D509" s="1"/>
    </row>
    <row r="510" spans="4:4" ht="15.75" customHeight="1" x14ac:dyDescent="0.15">
      <c r="D510" s="1"/>
    </row>
    <row r="511" spans="4:4" ht="15.75" customHeight="1" x14ac:dyDescent="0.15">
      <c r="D511" s="1"/>
    </row>
    <row r="512" spans="4:4" ht="15.75" customHeight="1" x14ac:dyDescent="0.15">
      <c r="D512" s="1"/>
    </row>
    <row r="513" spans="4:4" ht="15.75" customHeight="1" x14ac:dyDescent="0.15">
      <c r="D513" s="1"/>
    </row>
    <row r="514" spans="4:4" ht="15.75" customHeight="1" x14ac:dyDescent="0.15">
      <c r="D514" s="1"/>
    </row>
    <row r="515" spans="4:4" ht="15.75" customHeight="1" x14ac:dyDescent="0.15">
      <c r="D515" s="1"/>
    </row>
    <row r="516" spans="4:4" ht="15.75" customHeight="1" x14ac:dyDescent="0.15">
      <c r="D516" s="1"/>
    </row>
    <row r="517" spans="4:4" ht="15.75" customHeight="1" x14ac:dyDescent="0.15">
      <c r="D517" s="1"/>
    </row>
    <row r="518" spans="4:4" ht="15.75" customHeight="1" x14ac:dyDescent="0.15">
      <c r="D518" s="1"/>
    </row>
    <row r="519" spans="4:4" ht="15.75" customHeight="1" x14ac:dyDescent="0.15">
      <c r="D519" s="1"/>
    </row>
    <row r="520" spans="4:4" ht="15.75" customHeight="1" x14ac:dyDescent="0.15">
      <c r="D520" s="1"/>
    </row>
    <row r="521" spans="4:4" ht="15.75" customHeight="1" x14ac:dyDescent="0.15">
      <c r="D521" s="1"/>
    </row>
    <row r="522" spans="4:4" ht="15.75" customHeight="1" x14ac:dyDescent="0.15">
      <c r="D522" s="1"/>
    </row>
    <row r="523" spans="4:4" ht="15.75" customHeight="1" x14ac:dyDescent="0.15">
      <c r="D523" s="1"/>
    </row>
    <row r="524" spans="4:4" ht="15.75" customHeight="1" x14ac:dyDescent="0.15">
      <c r="D524" s="1"/>
    </row>
    <row r="525" spans="4:4" ht="15.75" customHeight="1" x14ac:dyDescent="0.15">
      <c r="D525" s="1"/>
    </row>
    <row r="526" spans="4:4" ht="15.75" customHeight="1" x14ac:dyDescent="0.15">
      <c r="D526" s="1"/>
    </row>
    <row r="527" spans="4:4" ht="15.75" customHeight="1" x14ac:dyDescent="0.15">
      <c r="D527" s="1"/>
    </row>
    <row r="528" spans="4:4" ht="15.75" customHeight="1" x14ac:dyDescent="0.15">
      <c r="D528" s="1"/>
    </row>
    <row r="529" spans="4:4" ht="15.75" customHeight="1" x14ac:dyDescent="0.15">
      <c r="D529" s="1"/>
    </row>
    <row r="530" spans="4:4" ht="15.75" customHeight="1" x14ac:dyDescent="0.15">
      <c r="D530" s="1"/>
    </row>
    <row r="531" spans="4:4" ht="15.75" customHeight="1" x14ac:dyDescent="0.15">
      <c r="D531" s="1"/>
    </row>
    <row r="532" spans="4:4" ht="15.75" customHeight="1" x14ac:dyDescent="0.15">
      <c r="D532" s="1"/>
    </row>
    <row r="533" spans="4:4" ht="15.75" customHeight="1" x14ac:dyDescent="0.15">
      <c r="D533" s="1"/>
    </row>
    <row r="534" spans="4:4" ht="15.75" customHeight="1" x14ac:dyDescent="0.15">
      <c r="D534" s="1"/>
    </row>
    <row r="535" spans="4:4" ht="15.75" customHeight="1" x14ac:dyDescent="0.15">
      <c r="D535" s="1"/>
    </row>
    <row r="536" spans="4:4" ht="15.75" customHeight="1" x14ac:dyDescent="0.15">
      <c r="D536" s="1"/>
    </row>
    <row r="537" spans="4:4" ht="15.75" customHeight="1" x14ac:dyDescent="0.15">
      <c r="D537" s="1"/>
    </row>
    <row r="538" spans="4:4" ht="15.75" customHeight="1" x14ac:dyDescent="0.15">
      <c r="D538" s="1"/>
    </row>
    <row r="539" spans="4:4" ht="15.75" customHeight="1" x14ac:dyDescent="0.15">
      <c r="D539" s="1"/>
    </row>
    <row r="540" spans="4:4" ht="15.75" customHeight="1" x14ac:dyDescent="0.15">
      <c r="D540" s="1"/>
    </row>
    <row r="541" spans="4:4" ht="15.75" customHeight="1" x14ac:dyDescent="0.15">
      <c r="D541" s="1"/>
    </row>
    <row r="542" spans="4:4" ht="15.75" customHeight="1" x14ac:dyDescent="0.15">
      <c r="D542" s="1"/>
    </row>
    <row r="543" spans="4:4" ht="15.75" customHeight="1" x14ac:dyDescent="0.15">
      <c r="D543" s="1"/>
    </row>
    <row r="544" spans="4:4" ht="15.75" customHeight="1" x14ac:dyDescent="0.15">
      <c r="D544" s="1"/>
    </row>
    <row r="545" spans="4:4" ht="15.75" customHeight="1" x14ac:dyDescent="0.15">
      <c r="D545" s="1"/>
    </row>
    <row r="546" spans="4:4" ht="15.75" customHeight="1" x14ac:dyDescent="0.15">
      <c r="D546" s="1"/>
    </row>
    <row r="547" spans="4:4" ht="15.75" customHeight="1" x14ac:dyDescent="0.15">
      <c r="D547" s="1"/>
    </row>
    <row r="548" spans="4:4" ht="15.75" customHeight="1" x14ac:dyDescent="0.15">
      <c r="D548" s="1"/>
    </row>
    <row r="549" spans="4:4" ht="15.75" customHeight="1" x14ac:dyDescent="0.15">
      <c r="D549" s="1"/>
    </row>
    <row r="550" spans="4:4" ht="15.75" customHeight="1" x14ac:dyDescent="0.15">
      <c r="D550" s="1"/>
    </row>
    <row r="551" spans="4:4" ht="15.75" customHeight="1" x14ac:dyDescent="0.15">
      <c r="D551" s="1"/>
    </row>
    <row r="552" spans="4:4" ht="15.75" customHeight="1" x14ac:dyDescent="0.15">
      <c r="D552" s="1"/>
    </row>
    <row r="553" spans="4:4" ht="15.75" customHeight="1" x14ac:dyDescent="0.15">
      <c r="D553" s="1"/>
    </row>
    <row r="554" spans="4:4" ht="15.75" customHeight="1" x14ac:dyDescent="0.15">
      <c r="D554" s="1"/>
    </row>
    <row r="555" spans="4:4" ht="15.75" customHeight="1" x14ac:dyDescent="0.15">
      <c r="D555" s="1"/>
    </row>
    <row r="556" spans="4:4" ht="15.75" customHeight="1" x14ac:dyDescent="0.15">
      <c r="D556" s="1"/>
    </row>
    <row r="557" spans="4:4" ht="15.75" customHeight="1" x14ac:dyDescent="0.15">
      <c r="D557" s="1"/>
    </row>
    <row r="558" spans="4:4" ht="15.75" customHeight="1" x14ac:dyDescent="0.15">
      <c r="D558" s="1"/>
    </row>
    <row r="559" spans="4:4" ht="15.75" customHeight="1" x14ac:dyDescent="0.15">
      <c r="D559" s="1"/>
    </row>
    <row r="560" spans="4:4" ht="15.75" customHeight="1" x14ac:dyDescent="0.15">
      <c r="D560" s="1"/>
    </row>
    <row r="561" spans="4:4" ht="15.75" customHeight="1" x14ac:dyDescent="0.15">
      <c r="D561" s="1"/>
    </row>
    <row r="562" spans="4:4" ht="15.75" customHeight="1" x14ac:dyDescent="0.15">
      <c r="D562" s="1"/>
    </row>
    <row r="563" spans="4:4" ht="15.75" customHeight="1" x14ac:dyDescent="0.15">
      <c r="D563" s="1"/>
    </row>
    <row r="564" spans="4:4" ht="15.75" customHeight="1" x14ac:dyDescent="0.15">
      <c r="D564" s="1"/>
    </row>
    <row r="565" spans="4:4" ht="15.75" customHeight="1" x14ac:dyDescent="0.15">
      <c r="D565" s="1"/>
    </row>
    <row r="566" spans="4:4" ht="15.75" customHeight="1" x14ac:dyDescent="0.15">
      <c r="D566" s="1"/>
    </row>
    <row r="567" spans="4:4" ht="15.75" customHeight="1" x14ac:dyDescent="0.15">
      <c r="D567" s="1"/>
    </row>
    <row r="568" spans="4:4" ht="15.75" customHeight="1" x14ac:dyDescent="0.15">
      <c r="D568" s="1"/>
    </row>
    <row r="569" spans="4:4" ht="15.75" customHeight="1" x14ac:dyDescent="0.15">
      <c r="D569" s="1"/>
    </row>
    <row r="570" spans="4:4" ht="15.75" customHeight="1" x14ac:dyDescent="0.15">
      <c r="D570" s="1"/>
    </row>
    <row r="571" spans="4:4" ht="15.75" customHeight="1" x14ac:dyDescent="0.15">
      <c r="D571" s="1"/>
    </row>
    <row r="572" spans="4:4" ht="15.75" customHeight="1" x14ac:dyDescent="0.15">
      <c r="D572" s="1"/>
    </row>
    <row r="573" spans="4:4" ht="15.75" customHeight="1" x14ac:dyDescent="0.15">
      <c r="D573" s="1"/>
    </row>
    <row r="574" spans="4:4" ht="15.75" customHeight="1" x14ac:dyDescent="0.15">
      <c r="D574" s="1"/>
    </row>
    <row r="575" spans="4:4" ht="15.75" customHeight="1" x14ac:dyDescent="0.15">
      <c r="D575" s="1"/>
    </row>
    <row r="576" spans="4:4" ht="15.75" customHeight="1" x14ac:dyDescent="0.15">
      <c r="D576" s="1"/>
    </row>
    <row r="577" spans="4:4" ht="15.75" customHeight="1" x14ac:dyDescent="0.15">
      <c r="D577" s="1"/>
    </row>
    <row r="578" spans="4:4" ht="15.75" customHeight="1" x14ac:dyDescent="0.15">
      <c r="D578" s="1"/>
    </row>
    <row r="579" spans="4:4" ht="15.75" customHeight="1" x14ac:dyDescent="0.15">
      <c r="D579" s="1"/>
    </row>
    <row r="580" spans="4:4" ht="15.75" customHeight="1" x14ac:dyDescent="0.15">
      <c r="D580" s="1"/>
    </row>
    <row r="581" spans="4:4" ht="15.75" customHeight="1" x14ac:dyDescent="0.15">
      <c r="D581" s="1"/>
    </row>
    <row r="582" spans="4:4" ht="15.75" customHeight="1" x14ac:dyDescent="0.15">
      <c r="D582" s="1"/>
    </row>
    <row r="583" spans="4:4" ht="15.75" customHeight="1" x14ac:dyDescent="0.15">
      <c r="D583" s="1"/>
    </row>
    <row r="584" spans="4:4" ht="15.75" customHeight="1" x14ac:dyDescent="0.15">
      <c r="D584" s="1"/>
    </row>
    <row r="585" spans="4:4" ht="15.75" customHeight="1" x14ac:dyDescent="0.15">
      <c r="D585" s="1"/>
    </row>
    <row r="586" spans="4:4" ht="15.75" customHeight="1" x14ac:dyDescent="0.15">
      <c r="D586" s="1"/>
    </row>
    <row r="587" spans="4:4" ht="15.75" customHeight="1" x14ac:dyDescent="0.15">
      <c r="D587" s="1"/>
    </row>
    <row r="588" spans="4:4" ht="15.75" customHeight="1" x14ac:dyDescent="0.15">
      <c r="D588" s="1"/>
    </row>
    <row r="589" spans="4:4" ht="15.75" customHeight="1" x14ac:dyDescent="0.15">
      <c r="D589" s="1"/>
    </row>
    <row r="590" spans="4:4" ht="15.75" customHeight="1" x14ac:dyDescent="0.15">
      <c r="D590" s="1"/>
    </row>
    <row r="591" spans="4:4" ht="15.75" customHeight="1" x14ac:dyDescent="0.15">
      <c r="D591" s="1"/>
    </row>
    <row r="592" spans="4:4" ht="15.75" customHeight="1" x14ac:dyDescent="0.15">
      <c r="D592" s="1"/>
    </row>
    <row r="593" spans="4:4" ht="15.75" customHeight="1" x14ac:dyDescent="0.15">
      <c r="D593" s="1"/>
    </row>
    <row r="594" spans="4:4" ht="15.75" customHeight="1" x14ac:dyDescent="0.15">
      <c r="D594" s="1"/>
    </row>
    <row r="595" spans="4:4" ht="15.75" customHeight="1" x14ac:dyDescent="0.15">
      <c r="D595" s="1"/>
    </row>
    <row r="596" spans="4:4" ht="15.75" customHeight="1" x14ac:dyDescent="0.15">
      <c r="D596" s="1"/>
    </row>
    <row r="597" spans="4:4" ht="15.75" customHeight="1" x14ac:dyDescent="0.15">
      <c r="D597" s="1"/>
    </row>
    <row r="598" spans="4:4" ht="15.75" customHeight="1" x14ac:dyDescent="0.15">
      <c r="D598" s="1"/>
    </row>
    <row r="599" spans="4:4" ht="15.75" customHeight="1" x14ac:dyDescent="0.15">
      <c r="D599" s="1"/>
    </row>
    <row r="600" spans="4:4" ht="15.75" customHeight="1" x14ac:dyDescent="0.15">
      <c r="D600" s="1"/>
    </row>
    <row r="601" spans="4:4" ht="15.75" customHeight="1" x14ac:dyDescent="0.15">
      <c r="D601" s="1"/>
    </row>
    <row r="602" spans="4:4" ht="15.75" customHeight="1" x14ac:dyDescent="0.15">
      <c r="D602" s="1"/>
    </row>
    <row r="603" spans="4:4" ht="15.75" customHeight="1" x14ac:dyDescent="0.15">
      <c r="D603" s="1"/>
    </row>
    <row r="604" spans="4:4" ht="15.75" customHeight="1" x14ac:dyDescent="0.15">
      <c r="D604" s="1"/>
    </row>
    <row r="605" spans="4:4" ht="15.75" customHeight="1" x14ac:dyDescent="0.15">
      <c r="D605" s="1"/>
    </row>
    <row r="606" spans="4:4" ht="15.75" customHeight="1" x14ac:dyDescent="0.15">
      <c r="D606" s="1"/>
    </row>
    <row r="607" spans="4:4" ht="15.75" customHeight="1" x14ac:dyDescent="0.15">
      <c r="D607" s="1"/>
    </row>
    <row r="608" spans="4:4" ht="15.75" customHeight="1" x14ac:dyDescent="0.15">
      <c r="D608" s="1"/>
    </row>
    <row r="609" spans="4:4" ht="15.75" customHeight="1" x14ac:dyDescent="0.15">
      <c r="D609" s="1"/>
    </row>
    <row r="610" spans="4:4" ht="15.75" customHeight="1" x14ac:dyDescent="0.15">
      <c r="D610" s="1"/>
    </row>
    <row r="611" spans="4:4" ht="15.75" customHeight="1" x14ac:dyDescent="0.15">
      <c r="D611" s="1"/>
    </row>
    <row r="612" spans="4:4" ht="15.75" customHeight="1" x14ac:dyDescent="0.15">
      <c r="D612" s="1"/>
    </row>
    <row r="613" spans="4:4" ht="15.75" customHeight="1" x14ac:dyDescent="0.15">
      <c r="D613" s="1"/>
    </row>
    <row r="614" spans="4:4" ht="15.75" customHeight="1" x14ac:dyDescent="0.15">
      <c r="D614" s="1"/>
    </row>
    <row r="615" spans="4:4" ht="15.75" customHeight="1" x14ac:dyDescent="0.15">
      <c r="D615" s="1"/>
    </row>
    <row r="616" spans="4:4" ht="15.75" customHeight="1" x14ac:dyDescent="0.15">
      <c r="D616" s="1"/>
    </row>
    <row r="617" spans="4:4" ht="15.75" customHeight="1" x14ac:dyDescent="0.15">
      <c r="D617" s="1"/>
    </row>
    <row r="618" spans="4:4" ht="15.75" customHeight="1" x14ac:dyDescent="0.15">
      <c r="D618" s="1"/>
    </row>
    <row r="619" spans="4:4" ht="15.75" customHeight="1" x14ac:dyDescent="0.15">
      <c r="D619" s="1"/>
    </row>
    <row r="620" spans="4:4" ht="15.75" customHeight="1" x14ac:dyDescent="0.15">
      <c r="D620" s="1"/>
    </row>
    <row r="621" spans="4:4" ht="15.75" customHeight="1" x14ac:dyDescent="0.15">
      <c r="D621" s="1"/>
    </row>
    <row r="622" spans="4:4" ht="15.75" customHeight="1" x14ac:dyDescent="0.15">
      <c r="D622" s="1"/>
    </row>
    <row r="623" spans="4:4" ht="15.75" customHeight="1" x14ac:dyDescent="0.15">
      <c r="D623" s="1"/>
    </row>
    <row r="624" spans="4:4" ht="15.75" customHeight="1" x14ac:dyDescent="0.15">
      <c r="D624" s="1"/>
    </row>
    <row r="625" spans="4:4" ht="15.75" customHeight="1" x14ac:dyDescent="0.15">
      <c r="D625" s="1"/>
    </row>
    <row r="626" spans="4:4" ht="15.75" customHeight="1" x14ac:dyDescent="0.15">
      <c r="D626" s="1"/>
    </row>
    <row r="627" spans="4:4" ht="15.75" customHeight="1" x14ac:dyDescent="0.15">
      <c r="D627" s="1"/>
    </row>
    <row r="628" spans="4:4" ht="15.75" customHeight="1" x14ac:dyDescent="0.15">
      <c r="D628" s="1"/>
    </row>
    <row r="629" spans="4:4" ht="15.75" customHeight="1" x14ac:dyDescent="0.15">
      <c r="D629" s="1"/>
    </row>
    <row r="630" spans="4:4" ht="15.75" customHeight="1" x14ac:dyDescent="0.15">
      <c r="D630" s="1"/>
    </row>
    <row r="631" spans="4:4" ht="15.75" customHeight="1" x14ac:dyDescent="0.15">
      <c r="D631" s="1"/>
    </row>
    <row r="632" spans="4:4" ht="15.75" customHeight="1" x14ac:dyDescent="0.15">
      <c r="D632" s="1"/>
    </row>
    <row r="633" spans="4:4" ht="15.75" customHeight="1" x14ac:dyDescent="0.15">
      <c r="D633" s="1"/>
    </row>
    <row r="634" spans="4:4" ht="15.75" customHeight="1" x14ac:dyDescent="0.15">
      <c r="D634" s="1"/>
    </row>
    <row r="635" spans="4:4" ht="15.75" customHeight="1" x14ac:dyDescent="0.15">
      <c r="D635" s="1"/>
    </row>
    <row r="636" spans="4:4" ht="15.75" customHeight="1" x14ac:dyDescent="0.15">
      <c r="D636" s="1"/>
    </row>
    <row r="637" spans="4:4" ht="15.75" customHeight="1" x14ac:dyDescent="0.15">
      <c r="D637" s="1"/>
    </row>
    <row r="638" spans="4:4" ht="15.75" customHeight="1" x14ac:dyDescent="0.15">
      <c r="D638" s="1"/>
    </row>
    <row r="639" spans="4:4" ht="15.75" customHeight="1" x14ac:dyDescent="0.15">
      <c r="D639" s="1"/>
    </row>
    <row r="640" spans="4:4" ht="15.75" customHeight="1" x14ac:dyDescent="0.15">
      <c r="D640" s="1"/>
    </row>
    <row r="641" spans="4:4" ht="15.75" customHeight="1" x14ac:dyDescent="0.15">
      <c r="D641" s="1"/>
    </row>
    <row r="642" spans="4:4" ht="15.75" customHeight="1" x14ac:dyDescent="0.15">
      <c r="D642" s="1"/>
    </row>
    <row r="643" spans="4:4" ht="15.75" customHeight="1" x14ac:dyDescent="0.15">
      <c r="D643" s="1"/>
    </row>
    <row r="644" spans="4:4" ht="15.75" customHeight="1" x14ac:dyDescent="0.15">
      <c r="D644" s="1"/>
    </row>
    <row r="645" spans="4:4" ht="15.75" customHeight="1" x14ac:dyDescent="0.15">
      <c r="D645" s="1"/>
    </row>
    <row r="646" spans="4:4" ht="15.75" customHeight="1" x14ac:dyDescent="0.15">
      <c r="D646" s="1"/>
    </row>
    <row r="647" spans="4:4" ht="15.75" customHeight="1" x14ac:dyDescent="0.15">
      <c r="D647" s="1"/>
    </row>
    <row r="648" spans="4:4" ht="15.75" customHeight="1" x14ac:dyDescent="0.15">
      <c r="D648" s="1"/>
    </row>
    <row r="649" spans="4:4" ht="15.75" customHeight="1" x14ac:dyDescent="0.15">
      <c r="D649" s="1"/>
    </row>
    <row r="650" spans="4:4" ht="15.75" customHeight="1" x14ac:dyDescent="0.15">
      <c r="D650" s="1"/>
    </row>
    <row r="651" spans="4:4" ht="15.75" customHeight="1" x14ac:dyDescent="0.15">
      <c r="D651" s="1"/>
    </row>
    <row r="652" spans="4:4" ht="15.75" customHeight="1" x14ac:dyDescent="0.15">
      <c r="D652" s="1"/>
    </row>
    <row r="653" spans="4:4" ht="15.75" customHeight="1" x14ac:dyDescent="0.15">
      <c r="D653" s="1"/>
    </row>
    <row r="654" spans="4:4" ht="15.75" customHeight="1" x14ac:dyDescent="0.15">
      <c r="D654" s="1"/>
    </row>
    <row r="655" spans="4:4" ht="15.75" customHeight="1" x14ac:dyDescent="0.15">
      <c r="D655" s="1"/>
    </row>
    <row r="656" spans="4:4" ht="15.75" customHeight="1" x14ac:dyDescent="0.15">
      <c r="D656" s="1"/>
    </row>
    <row r="657" spans="4:4" ht="15.75" customHeight="1" x14ac:dyDescent="0.15">
      <c r="D657" s="1"/>
    </row>
    <row r="658" spans="4:4" ht="15.75" customHeight="1" x14ac:dyDescent="0.15">
      <c r="D658" s="1"/>
    </row>
    <row r="659" spans="4:4" ht="15.75" customHeight="1" x14ac:dyDescent="0.15">
      <c r="D659" s="1"/>
    </row>
    <row r="660" spans="4:4" ht="15.75" customHeight="1" x14ac:dyDescent="0.15">
      <c r="D660" s="1"/>
    </row>
    <row r="661" spans="4:4" ht="15.75" customHeight="1" x14ac:dyDescent="0.15">
      <c r="D661" s="1"/>
    </row>
    <row r="662" spans="4:4" ht="15.75" customHeight="1" x14ac:dyDescent="0.15">
      <c r="D662" s="1"/>
    </row>
    <row r="663" spans="4:4" ht="15.75" customHeight="1" x14ac:dyDescent="0.15">
      <c r="D663" s="1"/>
    </row>
    <row r="664" spans="4:4" ht="15.75" customHeight="1" x14ac:dyDescent="0.15">
      <c r="D664" s="1"/>
    </row>
    <row r="665" spans="4:4" ht="15.75" customHeight="1" x14ac:dyDescent="0.15">
      <c r="D665" s="1"/>
    </row>
    <row r="666" spans="4:4" ht="15.75" customHeight="1" x14ac:dyDescent="0.15">
      <c r="D666" s="1"/>
    </row>
    <row r="667" spans="4:4" ht="15.75" customHeight="1" x14ac:dyDescent="0.15">
      <c r="D667" s="1"/>
    </row>
    <row r="668" spans="4:4" ht="15.75" customHeight="1" x14ac:dyDescent="0.15">
      <c r="D668" s="1"/>
    </row>
    <row r="669" spans="4:4" ht="15.75" customHeight="1" x14ac:dyDescent="0.15">
      <c r="D669" s="1"/>
    </row>
    <row r="670" spans="4:4" ht="15.75" customHeight="1" x14ac:dyDescent="0.15">
      <c r="D670" s="1"/>
    </row>
    <row r="671" spans="4:4" ht="15.75" customHeight="1" x14ac:dyDescent="0.15">
      <c r="D671" s="1"/>
    </row>
    <row r="672" spans="4:4" ht="15.75" customHeight="1" x14ac:dyDescent="0.15">
      <c r="D672" s="1"/>
    </row>
    <row r="673" spans="4:4" ht="15.75" customHeight="1" x14ac:dyDescent="0.15">
      <c r="D673" s="1"/>
    </row>
    <row r="674" spans="4:4" ht="15.75" customHeight="1" x14ac:dyDescent="0.15">
      <c r="D674" s="1"/>
    </row>
    <row r="675" spans="4:4" ht="15.75" customHeight="1" x14ac:dyDescent="0.15">
      <c r="D675" s="1"/>
    </row>
    <row r="676" spans="4:4" ht="15.75" customHeight="1" x14ac:dyDescent="0.15">
      <c r="D676" s="1"/>
    </row>
    <row r="677" spans="4:4" ht="15.75" customHeight="1" x14ac:dyDescent="0.15">
      <c r="D677" s="1"/>
    </row>
    <row r="678" spans="4:4" ht="15.75" customHeight="1" x14ac:dyDescent="0.15">
      <c r="D678" s="1"/>
    </row>
    <row r="679" spans="4:4" ht="15.75" customHeight="1" x14ac:dyDescent="0.15">
      <c r="D679" s="1"/>
    </row>
    <row r="680" spans="4:4" ht="15.75" customHeight="1" x14ac:dyDescent="0.15">
      <c r="D680" s="1"/>
    </row>
    <row r="681" spans="4:4" ht="15.75" customHeight="1" x14ac:dyDescent="0.15">
      <c r="D681" s="1"/>
    </row>
    <row r="682" spans="4:4" ht="15.75" customHeight="1" x14ac:dyDescent="0.15">
      <c r="D682" s="1"/>
    </row>
    <row r="683" spans="4:4" ht="15.75" customHeight="1" x14ac:dyDescent="0.15">
      <c r="D683" s="1"/>
    </row>
    <row r="684" spans="4:4" ht="15.75" customHeight="1" x14ac:dyDescent="0.15">
      <c r="D684" s="1"/>
    </row>
    <row r="685" spans="4:4" ht="15.75" customHeight="1" x14ac:dyDescent="0.15">
      <c r="D685" s="1"/>
    </row>
    <row r="686" spans="4:4" ht="15.75" customHeight="1" x14ac:dyDescent="0.15">
      <c r="D686" s="1"/>
    </row>
    <row r="687" spans="4:4" ht="15.75" customHeight="1" x14ac:dyDescent="0.15">
      <c r="D687" s="1"/>
    </row>
    <row r="688" spans="4:4" ht="15.75" customHeight="1" x14ac:dyDescent="0.15">
      <c r="D688" s="1"/>
    </row>
    <row r="689" spans="4:4" ht="15.75" customHeight="1" x14ac:dyDescent="0.15">
      <c r="D689" s="1"/>
    </row>
    <row r="690" spans="4:4" ht="15.75" customHeight="1" x14ac:dyDescent="0.15">
      <c r="D690" s="1"/>
    </row>
    <row r="691" spans="4:4" ht="15.75" customHeight="1" x14ac:dyDescent="0.15">
      <c r="D691" s="1"/>
    </row>
    <row r="692" spans="4:4" ht="15.75" customHeight="1" x14ac:dyDescent="0.15">
      <c r="D692" s="1"/>
    </row>
    <row r="693" spans="4:4" ht="15.75" customHeight="1" x14ac:dyDescent="0.15">
      <c r="D693" s="1"/>
    </row>
    <row r="694" spans="4:4" ht="15.75" customHeight="1" x14ac:dyDescent="0.15">
      <c r="D694" s="1"/>
    </row>
    <row r="695" spans="4:4" ht="15.75" customHeight="1" x14ac:dyDescent="0.15">
      <c r="D695" s="1"/>
    </row>
    <row r="696" spans="4:4" ht="15.75" customHeight="1" x14ac:dyDescent="0.15">
      <c r="D696" s="1"/>
    </row>
    <row r="697" spans="4:4" ht="15.75" customHeight="1" x14ac:dyDescent="0.15">
      <c r="D697" s="1"/>
    </row>
    <row r="698" spans="4:4" ht="15.75" customHeight="1" x14ac:dyDescent="0.15">
      <c r="D698" s="1"/>
    </row>
    <row r="699" spans="4:4" ht="15.75" customHeight="1" x14ac:dyDescent="0.15">
      <c r="D699" s="1"/>
    </row>
    <row r="700" spans="4:4" ht="15.75" customHeight="1" x14ac:dyDescent="0.15">
      <c r="D700" s="1"/>
    </row>
    <row r="701" spans="4:4" ht="15.75" customHeight="1" x14ac:dyDescent="0.15">
      <c r="D701" s="1"/>
    </row>
    <row r="702" spans="4:4" ht="15.75" customHeight="1" x14ac:dyDescent="0.15">
      <c r="D702" s="1"/>
    </row>
    <row r="703" spans="4:4" ht="15.75" customHeight="1" x14ac:dyDescent="0.15">
      <c r="D703" s="1"/>
    </row>
    <row r="704" spans="4:4" ht="15.75" customHeight="1" x14ac:dyDescent="0.15">
      <c r="D704" s="1"/>
    </row>
    <row r="705" spans="4:4" ht="15.75" customHeight="1" x14ac:dyDescent="0.15">
      <c r="D705" s="1"/>
    </row>
    <row r="706" spans="4:4" ht="15.75" customHeight="1" x14ac:dyDescent="0.15">
      <c r="D706" s="1"/>
    </row>
    <row r="707" spans="4:4" ht="15.75" customHeight="1" x14ac:dyDescent="0.15">
      <c r="D707" s="1"/>
    </row>
    <row r="708" spans="4:4" ht="15.75" customHeight="1" x14ac:dyDescent="0.15">
      <c r="D708" s="1"/>
    </row>
    <row r="709" spans="4:4" ht="15.75" customHeight="1" x14ac:dyDescent="0.15">
      <c r="D709" s="1"/>
    </row>
    <row r="710" spans="4:4" ht="15.75" customHeight="1" x14ac:dyDescent="0.15">
      <c r="D710" s="1"/>
    </row>
    <row r="711" spans="4:4" ht="15.75" customHeight="1" x14ac:dyDescent="0.15">
      <c r="D711" s="1"/>
    </row>
    <row r="712" spans="4:4" ht="15.75" customHeight="1" x14ac:dyDescent="0.15">
      <c r="D712" s="1"/>
    </row>
    <row r="713" spans="4:4" ht="15.75" customHeight="1" x14ac:dyDescent="0.15">
      <c r="D713" s="1"/>
    </row>
    <row r="714" spans="4:4" ht="15.75" customHeight="1" x14ac:dyDescent="0.15">
      <c r="D714" s="1"/>
    </row>
    <row r="715" spans="4:4" ht="15.75" customHeight="1" x14ac:dyDescent="0.15">
      <c r="D715" s="1"/>
    </row>
    <row r="716" spans="4:4" ht="15.75" customHeight="1" x14ac:dyDescent="0.15">
      <c r="D716" s="1"/>
    </row>
    <row r="717" spans="4:4" ht="15.75" customHeight="1" x14ac:dyDescent="0.15">
      <c r="D717" s="1"/>
    </row>
    <row r="718" spans="4:4" ht="15.75" customHeight="1" x14ac:dyDescent="0.15">
      <c r="D718" s="1"/>
    </row>
    <row r="719" spans="4:4" ht="15.75" customHeight="1" x14ac:dyDescent="0.15">
      <c r="D719" s="1"/>
    </row>
    <row r="720" spans="4:4" ht="15.75" customHeight="1" x14ac:dyDescent="0.15">
      <c r="D720" s="1"/>
    </row>
    <row r="721" spans="4:4" ht="15.75" customHeight="1" x14ac:dyDescent="0.15">
      <c r="D721" s="1"/>
    </row>
    <row r="722" spans="4:4" ht="15.75" customHeight="1" x14ac:dyDescent="0.15">
      <c r="D722" s="1"/>
    </row>
    <row r="723" spans="4:4" ht="15.75" customHeight="1" x14ac:dyDescent="0.15">
      <c r="D723" s="1"/>
    </row>
    <row r="724" spans="4:4" ht="15.75" customHeight="1" x14ac:dyDescent="0.15">
      <c r="D724" s="1"/>
    </row>
    <row r="725" spans="4:4" ht="15.75" customHeight="1" x14ac:dyDescent="0.15">
      <c r="D725" s="1"/>
    </row>
    <row r="726" spans="4:4" ht="15.75" customHeight="1" x14ac:dyDescent="0.15">
      <c r="D726" s="1"/>
    </row>
    <row r="727" spans="4:4" ht="15.75" customHeight="1" x14ac:dyDescent="0.15">
      <c r="D727" s="1"/>
    </row>
    <row r="728" spans="4:4" ht="15.75" customHeight="1" x14ac:dyDescent="0.15">
      <c r="D728" s="1"/>
    </row>
    <row r="729" spans="4:4" ht="15.75" customHeight="1" x14ac:dyDescent="0.15">
      <c r="D729" s="1"/>
    </row>
    <row r="730" spans="4:4" ht="15.75" customHeight="1" x14ac:dyDescent="0.15">
      <c r="D730" s="1"/>
    </row>
    <row r="731" spans="4:4" ht="15.75" customHeight="1" x14ac:dyDescent="0.15">
      <c r="D731" s="1"/>
    </row>
    <row r="732" spans="4:4" ht="15.75" customHeight="1" x14ac:dyDescent="0.15">
      <c r="D732" s="1"/>
    </row>
    <row r="733" spans="4:4" ht="15.75" customHeight="1" x14ac:dyDescent="0.15">
      <c r="D733" s="1"/>
    </row>
    <row r="734" spans="4:4" ht="15.75" customHeight="1" x14ac:dyDescent="0.15">
      <c r="D734" s="1"/>
    </row>
    <row r="735" spans="4:4" ht="15.75" customHeight="1" x14ac:dyDescent="0.15">
      <c r="D735" s="1"/>
    </row>
    <row r="736" spans="4:4" ht="15.75" customHeight="1" x14ac:dyDescent="0.15">
      <c r="D736" s="1"/>
    </row>
    <row r="737" spans="4:4" ht="15.75" customHeight="1" x14ac:dyDescent="0.15">
      <c r="D737" s="1"/>
    </row>
    <row r="738" spans="4:4" ht="15.75" customHeight="1" x14ac:dyDescent="0.15">
      <c r="D738" s="1"/>
    </row>
    <row r="739" spans="4:4" ht="15.75" customHeight="1" x14ac:dyDescent="0.15">
      <c r="D739" s="1"/>
    </row>
    <row r="740" spans="4:4" ht="15.75" customHeight="1" x14ac:dyDescent="0.15">
      <c r="D740" s="1"/>
    </row>
    <row r="741" spans="4:4" ht="15.75" customHeight="1" x14ac:dyDescent="0.15">
      <c r="D741" s="1"/>
    </row>
    <row r="742" spans="4:4" ht="15.75" customHeight="1" x14ac:dyDescent="0.15">
      <c r="D742" s="1"/>
    </row>
    <row r="743" spans="4:4" ht="15.75" customHeight="1" x14ac:dyDescent="0.15">
      <c r="D743" s="1"/>
    </row>
    <row r="744" spans="4:4" ht="15.75" customHeight="1" x14ac:dyDescent="0.15">
      <c r="D744" s="1"/>
    </row>
    <row r="745" spans="4:4" ht="15.75" customHeight="1" x14ac:dyDescent="0.15">
      <c r="D745" s="1"/>
    </row>
    <row r="746" spans="4:4" ht="15.75" customHeight="1" x14ac:dyDescent="0.15">
      <c r="D746" s="1"/>
    </row>
    <row r="747" spans="4:4" ht="15.75" customHeight="1" x14ac:dyDescent="0.15">
      <c r="D747" s="1"/>
    </row>
    <row r="748" spans="4:4" ht="15.75" customHeight="1" x14ac:dyDescent="0.15">
      <c r="D748" s="1"/>
    </row>
    <row r="749" spans="4:4" ht="15.75" customHeight="1" x14ac:dyDescent="0.15">
      <c r="D749" s="1"/>
    </row>
    <row r="750" spans="4:4" ht="15.75" customHeight="1" x14ac:dyDescent="0.15">
      <c r="D750" s="1"/>
    </row>
    <row r="751" spans="4:4" ht="15.75" customHeight="1" x14ac:dyDescent="0.15">
      <c r="D751" s="1"/>
    </row>
    <row r="752" spans="4:4" ht="15.75" customHeight="1" x14ac:dyDescent="0.15">
      <c r="D752" s="1"/>
    </row>
    <row r="753" spans="4:4" ht="15.75" customHeight="1" x14ac:dyDescent="0.15">
      <c r="D753" s="1"/>
    </row>
    <row r="754" spans="4:4" ht="15.75" customHeight="1" x14ac:dyDescent="0.15">
      <c r="D754" s="1"/>
    </row>
    <row r="755" spans="4:4" ht="15.75" customHeight="1" x14ac:dyDescent="0.15">
      <c r="D755" s="1"/>
    </row>
    <row r="756" spans="4:4" ht="15.75" customHeight="1" x14ac:dyDescent="0.15">
      <c r="D756" s="1"/>
    </row>
    <row r="757" spans="4:4" ht="15.75" customHeight="1" x14ac:dyDescent="0.15">
      <c r="D757" s="1"/>
    </row>
    <row r="758" spans="4:4" ht="15.75" customHeight="1" x14ac:dyDescent="0.15">
      <c r="D758" s="1"/>
    </row>
    <row r="759" spans="4:4" ht="15.75" customHeight="1" x14ac:dyDescent="0.15">
      <c r="D759" s="1"/>
    </row>
    <row r="760" spans="4:4" ht="15.75" customHeight="1" x14ac:dyDescent="0.15">
      <c r="D760" s="1"/>
    </row>
    <row r="761" spans="4:4" ht="15.75" customHeight="1" x14ac:dyDescent="0.15">
      <c r="D761" s="1"/>
    </row>
    <row r="762" spans="4:4" ht="15.75" customHeight="1" x14ac:dyDescent="0.15">
      <c r="D762" s="1"/>
    </row>
    <row r="763" spans="4:4" ht="15.75" customHeight="1" x14ac:dyDescent="0.15">
      <c r="D763" s="1"/>
    </row>
    <row r="764" spans="4:4" ht="15.75" customHeight="1" x14ac:dyDescent="0.15">
      <c r="D764" s="1"/>
    </row>
    <row r="765" spans="4:4" ht="15.75" customHeight="1" x14ac:dyDescent="0.15">
      <c r="D765" s="1"/>
    </row>
    <row r="766" spans="4:4" ht="15.75" customHeight="1" x14ac:dyDescent="0.15">
      <c r="D766" s="1"/>
    </row>
    <row r="767" spans="4:4" ht="15.75" customHeight="1" x14ac:dyDescent="0.15">
      <c r="D767" s="1"/>
    </row>
    <row r="768" spans="4:4" ht="15.75" customHeight="1" x14ac:dyDescent="0.15">
      <c r="D768" s="1"/>
    </row>
    <row r="769" spans="4:4" ht="15.75" customHeight="1" x14ac:dyDescent="0.15">
      <c r="D769" s="1"/>
    </row>
    <row r="770" spans="4:4" ht="15.75" customHeight="1" x14ac:dyDescent="0.15">
      <c r="D770" s="1"/>
    </row>
    <row r="771" spans="4:4" ht="15.75" customHeight="1" x14ac:dyDescent="0.15">
      <c r="D771" s="1"/>
    </row>
    <row r="772" spans="4:4" ht="15.75" customHeight="1" x14ac:dyDescent="0.15">
      <c r="D772" s="1"/>
    </row>
    <row r="773" spans="4:4" ht="15.75" customHeight="1" x14ac:dyDescent="0.15">
      <c r="D773" s="1"/>
    </row>
    <row r="774" spans="4:4" ht="15.75" customHeight="1" x14ac:dyDescent="0.15">
      <c r="D774" s="1"/>
    </row>
    <row r="775" spans="4:4" ht="15.75" customHeight="1" x14ac:dyDescent="0.15">
      <c r="D775" s="1"/>
    </row>
    <row r="776" spans="4:4" ht="15.75" customHeight="1" x14ac:dyDescent="0.15">
      <c r="D776" s="1"/>
    </row>
    <row r="777" spans="4:4" ht="15.75" customHeight="1" x14ac:dyDescent="0.15">
      <c r="D777" s="1"/>
    </row>
    <row r="778" spans="4:4" ht="15.75" customHeight="1" x14ac:dyDescent="0.15">
      <c r="D778" s="1"/>
    </row>
    <row r="779" spans="4:4" ht="15.75" customHeight="1" x14ac:dyDescent="0.15">
      <c r="D779" s="1"/>
    </row>
    <row r="780" spans="4:4" ht="15.75" customHeight="1" x14ac:dyDescent="0.15">
      <c r="D780" s="1"/>
    </row>
    <row r="781" spans="4:4" ht="15.75" customHeight="1" x14ac:dyDescent="0.15">
      <c r="D781" s="1"/>
    </row>
    <row r="782" spans="4:4" ht="15.75" customHeight="1" x14ac:dyDescent="0.15">
      <c r="D782" s="1"/>
    </row>
    <row r="783" spans="4:4" ht="15.75" customHeight="1" x14ac:dyDescent="0.15">
      <c r="D783" s="1"/>
    </row>
    <row r="784" spans="4:4" ht="15.75" customHeight="1" x14ac:dyDescent="0.15">
      <c r="D784" s="1"/>
    </row>
    <row r="785" spans="4:4" ht="15.75" customHeight="1" x14ac:dyDescent="0.15">
      <c r="D785" s="1"/>
    </row>
    <row r="786" spans="4:4" ht="15.75" customHeight="1" x14ac:dyDescent="0.15">
      <c r="D786" s="1"/>
    </row>
    <row r="787" spans="4:4" ht="15.75" customHeight="1" x14ac:dyDescent="0.15">
      <c r="D787" s="1"/>
    </row>
    <row r="788" spans="4:4" ht="15.75" customHeight="1" x14ac:dyDescent="0.15">
      <c r="D788" s="1"/>
    </row>
    <row r="789" spans="4:4" ht="15.75" customHeight="1" x14ac:dyDescent="0.15">
      <c r="D789" s="1"/>
    </row>
    <row r="790" spans="4:4" ht="15.75" customHeight="1" x14ac:dyDescent="0.15">
      <c r="D790" s="1"/>
    </row>
    <row r="791" spans="4:4" ht="15.75" customHeight="1" x14ac:dyDescent="0.15">
      <c r="D791" s="1"/>
    </row>
    <row r="792" spans="4:4" ht="15.75" customHeight="1" x14ac:dyDescent="0.15">
      <c r="D792" s="1"/>
    </row>
    <row r="793" spans="4:4" ht="15.75" customHeight="1" x14ac:dyDescent="0.15">
      <c r="D793" s="1"/>
    </row>
    <row r="794" spans="4:4" ht="15.75" customHeight="1" x14ac:dyDescent="0.15">
      <c r="D794" s="1"/>
    </row>
    <row r="795" spans="4:4" ht="15.75" customHeight="1" x14ac:dyDescent="0.15">
      <c r="D795" s="1"/>
    </row>
    <row r="796" spans="4:4" ht="15.75" customHeight="1" x14ac:dyDescent="0.15">
      <c r="D796" s="1"/>
    </row>
    <row r="797" spans="4:4" ht="15.75" customHeight="1" x14ac:dyDescent="0.15">
      <c r="D797" s="1"/>
    </row>
    <row r="798" spans="4:4" ht="15.75" customHeight="1" x14ac:dyDescent="0.15">
      <c r="D798" s="1"/>
    </row>
    <row r="799" spans="4:4" ht="15.75" customHeight="1" x14ac:dyDescent="0.15">
      <c r="D799" s="1"/>
    </row>
    <row r="800" spans="4:4" ht="15.75" customHeight="1" x14ac:dyDescent="0.15">
      <c r="D800" s="1"/>
    </row>
    <row r="801" spans="4:4" ht="15.75" customHeight="1" x14ac:dyDescent="0.15">
      <c r="D801" s="1"/>
    </row>
    <row r="802" spans="4:4" ht="15.75" customHeight="1" x14ac:dyDescent="0.15">
      <c r="D802" s="1"/>
    </row>
    <row r="803" spans="4:4" ht="15.75" customHeight="1" x14ac:dyDescent="0.15">
      <c r="D803" s="1"/>
    </row>
    <row r="804" spans="4:4" ht="15.75" customHeight="1" x14ac:dyDescent="0.15">
      <c r="D804" s="1"/>
    </row>
    <row r="805" spans="4:4" ht="15.75" customHeight="1" x14ac:dyDescent="0.15">
      <c r="D805" s="1"/>
    </row>
    <row r="806" spans="4:4" ht="15.75" customHeight="1" x14ac:dyDescent="0.15">
      <c r="D806" s="1"/>
    </row>
    <row r="807" spans="4:4" ht="15.75" customHeight="1" x14ac:dyDescent="0.15">
      <c r="D807" s="1"/>
    </row>
    <row r="808" spans="4:4" ht="15.75" customHeight="1" x14ac:dyDescent="0.15">
      <c r="D808" s="1"/>
    </row>
    <row r="809" spans="4:4" ht="15.75" customHeight="1" x14ac:dyDescent="0.15">
      <c r="D809" s="1"/>
    </row>
    <row r="810" spans="4:4" ht="15.75" customHeight="1" x14ac:dyDescent="0.15">
      <c r="D810" s="1"/>
    </row>
    <row r="811" spans="4:4" ht="15.75" customHeight="1" x14ac:dyDescent="0.15">
      <c r="D811" s="1"/>
    </row>
    <row r="812" spans="4:4" ht="15.75" customHeight="1" x14ac:dyDescent="0.15">
      <c r="D812" s="1"/>
    </row>
    <row r="813" spans="4:4" ht="15.75" customHeight="1" x14ac:dyDescent="0.15">
      <c r="D813" s="1"/>
    </row>
    <row r="814" spans="4:4" ht="15.75" customHeight="1" x14ac:dyDescent="0.15">
      <c r="D814" s="1"/>
    </row>
    <row r="815" spans="4:4" ht="15.75" customHeight="1" x14ac:dyDescent="0.15">
      <c r="D815" s="1"/>
    </row>
    <row r="816" spans="4:4" ht="15.75" customHeight="1" x14ac:dyDescent="0.15">
      <c r="D816" s="1"/>
    </row>
    <row r="817" spans="4:4" ht="15.75" customHeight="1" x14ac:dyDescent="0.15">
      <c r="D817" s="1"/>
    </row>
    <row r="818" spans="4:4" ht="15.75" customHeight="1" x14ac:dyDescent="0.15">
      <c r="D818" s="1"/>
    </row>
    <row r="819" spans="4:4" ht="15.75" customHeight="1" x14ac:dyDescent="0.15">
      <c r="D819" s="1"/>
    </row>
    <row r="820" spans="4:4" ht="15.75" customHeight="1" x14ac:dyDescent="0.15">
      <c r="D820" s="1"/>
    </row>
    <row r="821" spans="4:4" ht="15.75" customHeight="1" x14ac:dyDescent="0.15">
      <c r="D821" s="1"/>
    </row>
    <row r="822" spans="4:4" ht="15.75" customHeight="1" x14ac:dyDescent="0.15">
      <c r="D822" s="1"/>
    </row>
    <row r="823" spans="4:4" ht="15.75" customHeight="1" x14ac:dyDescent="0.15">
      <c r="D823" s="1"/>
    </row>
    <row r="824" spans="4:4" ht="15.75" customHeight="1" x14ac:dyDescent="0.15">
      <c r="D824" s="1"/>
    </row>
    <row r="825" spans="4:4" ht="15.75" customHeight="1" x14ac:dyDescent="0.15">
      <c r="D825" s="1"/>
    </row>
    <row r="826" spans="4:4" ht="15.75" customHeight="1" x14ac:dyDescent="0.15">
      <c r="D826" s="1"/>
    </row>
    <row r="827" spans="4:4" ht="15.75" customHeight="1" x14ac:dyDescent="0.15">
      <c r="D827" s="1"/>
    </row>
    <row r="828" spans="4:4" ht="15.75" customHeight="1" x14ac:dyDescent="0.15">
      <c r="D828" s="1"/>
    </row>
    <row r="829" spans="4:4" ht="15.75" customHeight="1" x14ac:dyDescent="0.15">
      <c r="D829" s="1"/>
    </row>
    <row r="830" spans="4:4" ht="15.75" customHeight="1" x14ac:dyDescent="0.15">
      <c r="D830" s="1"/>
    </row>
    <row r="831" spans="4:4" ht="15.75" customHeight="1" x14ac:dyDescent="0.15">
      <c r="D831" s="1"/>
    </row>
    <row r="832" spans="4:4" ht="15.75" customHeight="1" x14ac:dyDescent="0.15">
      <c r="D832" s="1"/>
    </row>
    <row r="833" spans="4:4" ht="15.75" customHeight="1" x14ac:dyDescent="0.15">
      <c r="D833" s="1"/>
    </row>
    <row r="834" spans="4:4" ht="15.75" customHeight="1" x14ac:dyDescent="0.15">
      <c r="D834" s="1"/>
    </row>
    <row r="835" spans="4:4" ht="15.75" customHeight="1" x14ac:dyDescent="0.15">
      <c r="D835" s="1"/>
    </row>
    <row r="836" spans="4:4" ht="15.75" customHeight="1" x14ac:dyDescent="0.15">
      <c r="D836" s="1"/>
    </row>
    <row r="837" spans="4:4" ht="15.75" customHeight="1" x14ac:dyDescent="0.15">
      <c r="D837" s="1"/>
    </row>
    <row r="838" spans="4:4" ht="15.75" customHeight="1" x14ac:dyDescent="0.15">
      <c r="D838" s="1"/>
    </row>
    <row r="839" spans="4:4" ht="15.75" customHeight="1" x14ac:dyDescent="0.15">
      <c r="D839" s="1"/>
    </row>
    <row r="840" spans="4:4" ht="15.75" customHeight="1" x14ac:dyDescent="0.15">
      <c r="D840" s="1"/>
    </row>
    <row r="841" spans="4:4" ht="15.75" customHeight="1" x14ac:dyDescent="0.15">
      <c r="D841" s="1"/>
    </row>
    <row r="842" spans="4:4" ht="15.75" customHeight="1" x14ac:dyDescent="0.15">
      <c r="D842" s="1"/>
    </row>
    <row r="843" spans="4:4" ht="15.75" customHeight="1" x14ac:dyDescent="0.15">
      <c r="D843" s="1"/>
    </row>
    <row r="844" spans="4:4" ht="15.75" customHeight="1" x14ac:dyDescent="0.15">
      <c r="D844" s="1"/>
    </row>
    <row r="845" spans="4:4" ht="15.75" customHeight="1" x14ac:dyDescent="0.15">
      <c r="D845" s="1"/>
    </row>
    <row r="846" spans="4:4" ht="15.75" customHeight="1" x14ac:dyDescent="0.15">
      <c r="D846" s="1"/>
    </row>
    <row r="847" spans="4:4" ht="15.75" customHeight="1" x14ac:dyDescent="0.15">
      <c r="D847" s="1"/>
    </row>
    <row r="848" spans="4:4" ht="15.75" customHeight="1" x14ac:dyDescent="0.15">
      <c r="D848" s="1"/>
    </row>
    <row r="849" spans="4:4" ht="15.75" customHeight="1" x14ac:dyDescent="0.15">
      <c r="D849" s="1"/>
    </row>
    <row r="850" spans="4:4" ht="15.75" customHeight="1" x14ac:dyDescent="0.15">
      <c r="D850" s="1"/>
    </row>
    <row r="851" spans="4:4" ht="15.75" customHeight="1" x14ac:dyDescent="0.15">
      <c r="D851" s="1"/>
    </row>
    <row r="852" spans="4:4" ht="15.75" customHeight="1" x14ac:dyDescent="0.15">
      <c r="D852" s="1"/>
    </row>
    <row r="853" spans="4:4" ht="15.75" customHeight="1" x14ac:dyDescent="0.15">
      <c r="D853" s="1"/>
    </row>
    <row r="854" spans="4:4" ht="15.75" customHeight="1" x14ac:dyDescent="0.15">
      <c r="D854" s="1"/>
    </row>
    <row r="855" spans="4:4" ht="15.75" customHeight="1" x14ac:dyDescent="0.15">
      <c r="D855" s="1"/>
    </row>
    <row r="856" spans="4:4" ht="15.75" customHeight="1" x14ac:dyDescent="0.15">
      <c r="D856" s="1"/>
    </row>
    <row r="857" spans="4:4" ht="15.75" customHeight="1" x14ac:dyDescent="0.15">
      <c r="D857" s="1"/>
    </row>
    <row r="858" spans="4:4" ht="15.75" customHeight="1" x14ac:dyDescent="0.15">
      <c r="D858" s="1"/>
    </row>
    <row r="859" spans="4:4" ht="15.75" customHeight="1" x14ac:dyDescent="0.15">
      <c r="D859" s="1"/>
    </row>
    <row r="860" spans="4:4" ht="15.75" customHeight="1" x14ac:dyDescent="0.15">
      <c r="D860" s="1"/>
    </row>
    <row r="861" spans="4:4" ht="15.75" customHeight="1" x14ac:dyDescent="0.15">
      <c r="D861" s="1"/>
    </row>
    <row r="862" spans="4:4" ht="15.75" customHeight="1" x14ac:dyDescent="0.15">
      <c r="D862" s="1"/>
    </row>
    <row r="863" spans="4:4" ht="15.75" customHeight="1" x14ac:dyDescent="0.15">
      <c r="D863" s="1"/>
    </row>
    <row r="864" spans="4:4" ht="15.75" customHeight="1" x14ac:dyDescent="0.15">
      <c r="D864" s="1"/>
    </row>
    <row r="865" spans="4:4" ht="15.75" customHeight="1" x14ac:dyDescent="0.15">
      <c r="D865" s="1"/>
    </row>
    <row r="866" spans="4:4" ht="15.75" customHeight="1" x14ac:dyDescent="0.15">
      <c r="D866" s="1"/>
    </row>
    <row r="867" spans="4:4" ht="15.75" customHeight="1" x14ac:dyDescent="0.15">
      <c r="D867" s="1"/>
    </row>
    <row r="868" spans="4:4" ht="15.75" customHeight="1" x14ac:dyDescent="0.15">
      <c r="D868" s="1"/>
    </row>
    <row r="869" spans="4:4" ht="15.75" customHeight="1" x14ac:dyDescent="0.15">
      <c r="D869" s="1"/>
    </row>
    <row r="870" spans="4:4" ht="15.75" customHeight="1" x14ac:dyDescent="0.15">
      <c r="D870" s="1"/>
    </row>
    <row r="871" spans="4:4" ht="15.75" customHeight="1" x14ac:dyDescent="0.15">
      <c r="D871" s="1"/>
    </row>
    <row r="872" spans="4:4" ht="15.75" customHeight="1" x14ac:dyDescent="0.15">
      <c r="D872" s="1"/>
    </row>
    <row r="873" spans="4:4" ht="15.75" customHeight="1" x14ac:dyDescent="0.15">
      <c r="D873" s="1"/>
    </row>
    <row r="874" spans="4:4" ht="15.75" customHeight="1" x14ac:dyDescent="0.15">
      <c r="D874" s="1"/>
    </row>
    <row r="875" spans="4:4" ht="15.75" customHeight="1" x14ac:dyDescent="0.15">
      <c r="D875" s="1"/>
    </row>
    <row r="876" spans="4:4" ht="15.75" customHeight="1" x14ac:dyDescent="0.15">
      <c r="D876" s="1"/>
    </row>
    <row r="877" spans="4:4" ht="15.75" customHeight="1" x14ac:dyDescent="0.15">
      <c r="D877" s="1"/>
    </row>
    <row r="878" spans="4:4" ht="15.75" customHeight="1" x14ac:dyDescent="0.15">
      <c r="D878" s="1"/>
    </row>
    <row r="879" spans="4:4" ht="15.75" customHeight="1" x14ac:dyDescent="0.15">
      <c r="D879" s="1"/>
    </row>
    <row r="880" spans="4:4" ht="15.75" customHeight="1" x14ac:dyDescent="0.15">
      <c r="D880" s="1"/>
    </row>
    <row r="881" spans="4:4" ht="15.75" customHeight="1" x14ac:dyDescent="0.15">
      <c r="D881" s="1"/>
    </row>
    <row r="882" spans="4:4" ht="15.75" customHeight="1" x14ac:dyDescent="0.15">
      <c r="D882" s="1"/>
    </row>
    <row r="883" spans="4:4" ht="15.75" customHeight="1" x14ac:dyDescent="0.15">
      <c r="D883" s="1"/>
    </row>
    <row r="884" spans="4:4" ht="15.75" customHeight="1" x14ac:dyDescent="0.15">
      <c r="D884" s="1"/>
    </row>
    <row r="885" spans="4:4" ht="15.75" customHeight="1" x14ac:dyDescent="0.15">
      <c r="D885" s="1"/>
    </row>
    <row r="886" spans="4:4" ht="15.75" customHeight="1" x14ac:dyDescent="0.15">
      <c r="D886" s="1"/>
    </row>
    <row r="887" spans="4:4" ht="15.75" customHeight="1" x14ac:dyDescent="0.15">
      <c r="D887" s="1"/>
    </row>
    <row r="888" spans="4:4" ht="15.75" customHeight="1" x14ac:dyDescent="0.15">
      <c r="D888" s="1"/>
    </row>
    <row r="889" spans="4:4" ht="15.75" customHeight="1" x14ac:dyDescent="0.15">
      <c r="D889" s="1"/>
    </row>
    <row r="890" spans="4:4" ht="15.75" customHeight="1" x14ac:dyDescent="0.15">
      <c r="D890" s="1"/>
    </row>
    <row r="891" spans="4:4" ht="15.75" customHeight="1" x14ac:dyDescent="0.15">
      <c r="D891" s="1"/>
    </row>
    <row r="892" spans="4:4" ht="15.75" customHeight="1" x14ac:dyDescent="0.15">
      <c r="D892" s="1"/>
    </row>
    <row r="893" spans="4:4" ht="15.75" customHeight="1" x14ac:dyDescent="0.15">
      <c r="D893" s="1"/>
    </row>
    <row r="894" spans="4:4" ht="15.75" customHeight="1" x14ac:dyDescent="0.15">
      <c r="D894" s="1"/>
    </row>
    <row r="895" spans="4:4" ht="15.75" customHeight="1" x14ac:dyDescent="0.15">
      <c r="D895" s="1"/>
    </row>
    <row r="896" spans="4:4" ht="15.75" customHeight="1" x14ac:dyDescent="0.15">
      <c r="D896" s="1"/>
    </row>
    <row r="897" spans="4:4" ht="15.75" customHeight="1" x14ac:dyDescent="0.15">
      <c r="D897" s="1"/>
    </row>
    <row r="898" spans="4:4" ht="15.75" customHeight="1" x14ac:dyDescent="0.15">
      <c r="D898" s="1"/>
    </row>
    <row r="899" spans="4:4" ht="15.75" customHeight="1" x14ac:dyDescent="0.15">
      <c r="D899" s="1"/>
    </row>
    <row r="900" spans="4:4" ht="15.75" customHeight="1" x14ac:dyDescent="0.15">
      <c r="D900" s="1"/>
    </row>
    <row r="901" spans="4:4" ht="15.75" customHeight="1" x14ac:dyDescent="0.15">
      <c r="D901" s="1"/>
    </row>
    <row r="902" spans="4:4" ht="15.75" customHeight="1" x14ac:dyDescent="0.15">
      <c r="D902" s="1"/>
    </row>
    <row r="903" spans="4:4" ht="15.75" customHeight="1" x14ac:dyDescent="0.15">
      <c r="D903" s="1"/>
    </row>
    <row r="904" spans="4:4" ht="15.75" customHeight="1" x14ac:dyDescent="0.15">
      <c r="D904" s="1"/>
    </row>
    <row r="905" spans="4:4" ht="15.75" customHeight="1" x14ac:dyDescent="0.15">
      <c r="D905" s="1"/>
    </row>
    <row r="906" spans="4:4" ht="15.75" customHeight="1" x14ac:dyDescent="0.15">
      <c r="D906" s="1"/>
    </row>
    <row r="907" spans="4:4" ht="15.75" customHeight="1" x14ac:dyDescent="0.15">
      <c r="D907" s="1"/>
    </row>
    <row r="908" spans="4:4" ht="15.75" customHeight="1" x14ac:dyDescent="0.15">
      <c r="D908" s="1"/>
    </row>
    <row r="909" spans="4:4" ht="15.75" customHeight="1" x14ac:dyDescent="0.15">
      <c r="D909" s="1"/>
    </row>
    <row r="910" spans="4:4" ht="15.75" customHeight="1" x14ac:dyDescent="0.15">
      <c r="D910" s="1"/>
    </row>
    <row r="911" spans="4:4" ht="15.75" customHeight="1" x14ac:dyDescent="0.15">
      <c r="D911" s="1"/>
    </row>
    <row r="912" spans="4:4" ht="15.75" customHeight="1" x14ac:dyDescent="0.15">
      <c r="D912" s="1"/>
    </row>
    <row r="913" spans="4:4" ht="15.75" customHeight="1" x14ac:dyDescent="0.15">
      <c r="D913" s="1"/>
    </row>
    <row r="914" spans="4:4" ht="15.75" customHeight="1" x14ac:dyDescent="0.15">
      <c r="D914" s="1"/>
    </row>
    <row r="915" spans="4:4" ht="15.75" customHeight="1" x14ac:dyDescent="0.15">
      <c r="D915" s="1"/>
    </row>
    <row r="916" spans="4:4" ht="15.75" customHeight="1" x14ac:dyDescent="0.15">
      <c r="D916" s="1"/>
    </row>
    <row r="917" spans="4:4" ht="15.75" customHeight="1" x14ac:dyDescent="0.15">
      <c r="D917" s="1"/>
    </row>
    <row r="918" spans="4:4" ht="15.75" customHeight="1" x14ac:dyDescent="0.15">
      <c r="D918" s="1"/>
    </row>
    <row r="919" spans="4:4" ht="15.75" customHeight="1" x14ac:dyDescent="0.15">
      <c r="D919" s="1"/>
    </row>
    <row r="920" spans="4:4" ht="15.75" customHeight="1" x14ac:dyDescent="0.15">
      <c r="D920" s="1"/>
    </row>
    <row r="921" spans="4:4" ht="15.75" customHeight="1" x14ac:dyDescent="0.15">
      <c r="D921" s="1"/>
    </row>
    <row r="922" spans="4:4" ht="15.75" customHeight="1" x14ac:dyDescent="0.15">
      <c r="D922" s="1"/>
    </row>
    <row r="923" spans="4:4" ht="15.75" customHeight="1" x14ac:dyDescent="0.15">
      <c r="D923" s="1"/>
    </row>
    <row r="924" spans="4:4" ht="15.75" customHeight="1" x14ac:dyDescent="0.15">
      <c r="D924" s="1"/>
    </row>
    <row r="925" spans="4:4" ht="15.75" customHeight="1" x14ac:dyDescent="0.15">
      <c r="D925" s="1"/>
    </row>
    <row r="926" spans="4:4" ht="15.75" customHeight="1" x14ac:dyDescent="0.15">
      <c r="D926" s="1"/>
    </row>
    <row r="927" spans="4:4" ht="15.75" customHeight="1" x14ac:dyDescent="0.15">
      <c r="D927" s="1"/>
    </row>
    <row r="928" spans="4:4" ht="15.75" customHeight="1" x14ac:dyDescent="0.15">
      <c r="D928" s="1"/>
    </row>
    <row r="929" spans="4:4" ht="15.75" customHeight="1" x14ac:dyDescent="0.15">
      <c r="D929" s="1"/>
    </row>
    <row r="930" spans="4:4" ht="15.75" customHeight="1" x14ac:dyDescent="0.15">
      <c r="D930" s="1"/>
    </row>
    <row r="931" spans="4:4" ht="15.75" customHeight="1" x14ac:dyDescent="0.15">
      <c r="D931" s="1"/>
    </row>
    <row r="932" spans="4:4" ht="15.75" customHeight="1" x14ac:dyDescent="0.15">
      <c r="D932" s="1"/>
    </row>
    <row r="933" spans="4:4" ht="15.75" customHeight="1" x14ac:dyDescent="0.15">
      <c r="D933" s="1"/>
    </row>
    <row r="934" spans="4:4" ht="15.75" customHeight="1" x14ac:dyDescent="0.15">
      <c r="D934" s="1"/>
    </row>
    <row r="935" spans="4:4" ht="15.75" customHeight="1" x14ac:dyDescent="0.15">
      <c r="D935" s="1"/>
    </row>
    <row r="936" spans="4:4" ht="15.75" customHeight="1" x14ac:dyDescent="0.15">
      <c r="D936" s="1"/>
    </row>
    <row r="937" spans="4:4" ht="15.75" customHeight="1" x14ac:dyDescent="0.15">
      <c r="D937" s="1"/>
    </row>
    <row r="938" spans="4:4" ht="15.75" customHeight="1" x14ac:dyDescent="0.15">
      <c r="D938" s="1"/>
    </row>
    <row r="939" spans="4:4" ht="15.75" customHeight="1" x14ac:dyDescent="0.15">
      <c r="D939" s="1"/>
    </row>
    <row r="940" spans="4:4" ht="15.75" customHeight="1" x14ac:dyDescent="0.15">
      <c r="D940" s="1"/>
    </row>
    <row r="941" spans="4:4" ht="15.75" customHeight="1" x14ac:dyDescent="0.15">
      <c r="D941" s="1"/>
    </row>
    <row r="942" spans="4:4" ht="15.75" customHeight="1" x14ac:dyDescent="0.15">
      <c r="D942" s="1"/>
    </row>
    <row r="943" spans="4:4" ht="15.75" customHeight="1" x14ac:dyDescent="0.15">
      <c r="D943" s="1"/>
    </row>
    <row r="944" spans="4:4" ht="15.75" customHeight="1" x14ac:dyDescent="0.15">
      <c r="D944" s="1"/>
    </row>
    <row r="945" spans="4:4" ht="15.75" customHeight="1" x14ac:dyDescent="0.15">
      <c r="D945" s="1"/>
    </row>
    <row r="946" spans="4:4" ht="15.75" customHeight="1" x14ac:dyDescent="0.15">
      <c r="D946" s="1"/>
    </row>
    <row r="947" spans="4:4" ht="15.75" customHeight="1" x14ac:dyDescent="0.15">
      <c r="D947" s="1"/>
    </row>
    <row r="948" spans="4:4" ht="15.75" customHeight="1" x14ac:dyDescent="0.15">
      <c r="D948" s="1"/>
    </row>
    <row r="949" spans="4:4" ht="15.75" customHeight="1" x14ac:dyDescent="0.15">
      <c r="D949" s="1"/>
    </row>
    <row r="950" spans="4:4" ht="15.75" customHeight="1" x14ac:dyDescent="0.15">
      <c r="D950" s="1"/>
    </row>
    <row r="951" spans="4:4" ht="15.75" customHeight="1" x14ac:dyDescent="0.15">
      <c r="D951" s="1"/>
    </row>
    <row r="952" spans="4:4" ht="15.75" customHeight="1" x14ac:dyDescent="0.15">
      <c r="D952" s="1"/>
    </row>
    <row r="953" spans="4:4" ht="15.75" customHeight="1" x14ac:dyDescent="0.15">
      <c r="D953" s="1"/>
    </row>
    <row r="954" spans="4:4" ht="15.75" customHeight="1" x14ac:dyDescent="0.15">
      <c r="D954" s="1"/>
    </row>
    <row r="955" spans="4:4" ht="15.75" customHeight="1" x14ac:dyDescent="0.15">
      <c r="D955" s="1"/>
    </row>
    <row r="956" spans="4:4" ht="15.75" customHeight="1" x14ac:dyDescent="0.15">
      <c r="D956" s="1"/>
    </row>
    <row r="957" spans="4:4" ht="15.75" customHeight="1" x14ac:dyDescent="0.15">
      <c r="D957" s="1"/>
    </row>
    <row r="958" spans="4:4" ht="15.75" customHeight="1" x14ac:dyDescent="0.15">
      <c r="D958" s="1"/>
    </row>
    <row r="959" spans="4:4" ht="15.75" customHeight="1" x14ac:dyDescent="0.15">
      <c r="D959" s="1"/>
    </row>
    <row r="960" spans="4:4" ht="15.75" customHeight="1" x14ac:dyDescent="0.15">
      <c r="D960" s="1"/>
    </row>
    <row r="961" spans="4:4" ht="15.75" customHeight="1" x14ac:dyDescent="0.15">
      <c r="D961" s="1"/>
    </row>
    <row r="962" spans="4:4" ht="15.75" customHeight="1" x14ac:dyDescent="0.15">
      <c r="D962" s="1"/>
    </row>
    <row r="963" spans="4:4" ht="15.75" customHeight="1" x14ac:dyDescent="0.15">
      <c r="D963" s="1"/>
    </row>
    <row r="964" spans="4:4" ht="15.75" customHeight="1" x14ac:dyDescent="0.15">
      <c r="D964" s="1"/>
    </row>
    <row r="965" spans="4:4" ht="15.75" customHeight="1" x14ac:dyDescent="0.15">
      <c r="D965" s="1"/>
    </row>
    <row r="966" spans="4:4" ht="15.75" customHeight="1" x14ac:dyDescent="0.15">
      <c r="D966" s="1"/>
    </row>
    <row r="967" spans="4:4" ht="15.75" customHeight="1" x14ac:dyDescent="0.15">
      <c r="D967" s="1"/>
    </row>
    <row r="968" spans="4:4" ht="15.75" customHeight="1" x14ac:dyDescent="0.15">
      <c r="D968" s="1"/>
    </row>
    <row r="969" spans="4:4" ht="15.75" customHeight="1" x14ac:dyDescent="0.15">
      <c r="D969" s="1"/>
    </row>
    <row r="970" spans="4:4" ht="15.75" customHeight="1" x14ac:dyDescent="0.15">
      <c r="D970" s="1"/>
    </row>
    <row r="971" spans="4:4" ht="15.75" customHeight="1" x14ac:dyDescent="0.15">
      <c r="D971" s="1"/>
    </row>
    <row r="972" spans="4:4" ht="15.75" customHeight="1" x14ac:dyDescent="0.15">
      <c r="D972" s="1"/>
    </row>
    <row r="973" spans="4:4" ht="15.75" customHeight="1" x14ac:dyDescent="0.15">
      <c r="D973" s="1"/>
    </row>
    <row r="974" spans="4:4" ht="15.75" customHeight="1" x14ac:dyDescent="0.15">
      <c r="D974" s="1"/>
    </row>
    <row r="975" spans="4:4" ht="15.75" customHeight="1" x14ac:dyDescent="0.15">
      <c r="D975" s="1"/>
    </row>
    <row r="976" spans="4:4" ht="15.75" customHeight="1" x14ac:dyDescent="0.15">
      <c r="D976" s="1"/>
    </row>
    <row r="977" spans="4:4" ht="15.75" customHeight="1" x14ac:dyDescent="0.15">
      <c r="D977" s="1"/>
    </row>
    <row r="978" spans="4:4" ht="15.75" customHeight="1" x14ac:dyDescent="0.15">
      <c r="D978" s="1"/>
    </row>
    <row r="979" spans="4:4" ht="15.75" customHeight="1" x14ac:dyDescent="0.15">
      <c r="D979" s="1"/>
    </row>
    <row r="980" spans="4:4" ht="15.75" customHeight="1" x14ac:dyDescent="0.15">
      <c r="D980" s="1"/>
    </row>
    <row r="981" spans="4:4" ht="15.75" customHeight="1" x14ac:dyDescent="0.15">
      <c r="D981" s="1"/>
    </row>
    <row r="982" spans="4:4" ht="15.75" customHeight="1" x14ac:dyDescent="0.15">
      <c r="D982" s="1"/>
    </row>
    <row r="983" spans="4:4" ht="15.75" customHeight="1" x14ac:dyDescent="0.15">
      <c r="D983" s="1"/>
    </row>
    <row r="984" spans="4:4" ht="15.75" customHeight="1" x14ac:dyDescent="0.15">
      <c r="D984" s="1"/>
    </row>
    <row r="985" spans="4:4" ht="15.75" customHeight="1" x14ac:dyDescent="0.15">
      <c r="D985" s="1"/>
    </row>
    <row r="986" spans="4:4" ht="15.75" customHeight="1" x14ac:dyDescent="0.15">
      <c r="D986" s="1"/>
    </row>
    <row r="987" spans="4:4" ht="15.75" customHeight="1" x14ac:dyDescent="0.15">
      <c r="D987" s="1"/>
    </row>
    <row r="988" spans="4:4" ht="15.75" customHeight="1" x14ac:dyDescent="0.15">
      <c r="D988" s="1"/>
    </row>
    <row r="989" spans="4:4" ht="15.75" customHeight="1" x14ac:dyDescent="0.15">
      <c r="D989" s="1"/>
    </row>
    <row r="990" spans="4:4" ht="15.75" customHeight="1" x14ac:dyDescent="0.15">
      <c r="D990" s="1"/>
    </row>
    <row r="991" spans="4:4" ht="15.75" customHeight="1" x14ac:dyDescent="0.15">
      <c r="D991" s="1"/>
    </row>
    <row r="992" spans="4:4" ht="15.75" customHeight="1" x14ac:dyDescent="0.15">
      <c r="D992" s="1"/>
    </row>
    <row r="993" spans="4:4" ht="15.75" customHeight="1" x14ac:dyDescent="0.15">
      <c r="D993" s="1"/>
    </row>
    <row r="994" spans="4:4" ht="15.75" customHeight="1" x14ac:dyDescent="0.15">
      <c r="D994" s="1"/>
    </row>
    <row r="995" spans="4:4" ht="15.75" customHeight="1" x14ac:dyDescent="0.15">
      <c r="D995" s="1"/>
    </row>
    <row r="996" spans="4:4" ht="15.75" customHeight="1" x14ac:dyDescent="0.15">
      <c r="D996" s="1"/>
    </row>
    <row r="997" spans="4:4" ht="15.75" customHeight="1" x14ac:dyDescent="0.15">
      <c r="D997" s="1"/>
    </row>
    <row r="998" spans="4:4" ht="15.75" customHeight="1" x14ac:dyDescent="0.15">
      <c r="D998" s="1"/>
    </row>
    <row r="999" spans="4:4" ht="15.75" customHeight="1" x14ac:dyDescent="0.15">
      <c r="D999" s="1"/>
    </row>
  </sheetData>
  <conditionalFormatting sqref="T1:U1 W34:X34 T56:T59 U55:U57 T76:T1048576 U74:U1048576">
    <cfRule type="cellIs" dxfId="1" priority="2" operator="equal">
      <formula>0</formula>
    </cfRule>
  </conditionalFormatting>
  <conditionalFormatting sqref="T1:U1 W36:X36">
    <cfRule type="cellIs" dxfId="0" priority="1" operator="equal">
      <formula>0</formula>
    </cfRule>
  </conditionalFormatting>
  <dataValidations count="1">
    <dataValidation type="list" allowBlank="1" showInputMessage="1" showErrorMessage="1" sqref="G3" xr:uid="{FA8D0EA6-74B0-7C49-B364-77B3BB265D6F}">
      <formula1>$B$2:$B$14</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xr:uid="{AD6C93FB-43CA-9F47-89A2-67696AD4C071}">
          <x14:formula1>
            <xm:f>People!$B$3:$B$27</xm:f>
          </x14:formula1>
          <xm:sqref>Y36:Z36 K41:O41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7A7C4-E2B1-E74C-A8D6-964CBADC419F}">
  <dimension ref="B1:T50"/>
  <sheetViews>
    <sheetView topLeftCell="A2" zoomScaleNormal="100" workbookViewId="0">
      <selection activeCell="A18" sqref="A18:XFD18"/>
    </sheetView>
  </sheetViews>
  <sheetFormatPr baseColWidth="10" defaultRowHeight="14" x14ac:dyDescent="0.15"/>
  <cols>
    <col min="1" max="1" width="4.1640625" customWidth="1"/>
    <col min="2" max="2" width="22" bestFit="1" customWidth="1"/>
    <col min="3" max="17" width="12.83203125" customWidth="1"/>
    <col min="18" max="18" width="13.5" customWidth="1"/>
    <col min="19" max="19" width="19.83203125" customWidth="1"/>
    <col min="20" max="20" width="18.83203125" customWidth="1"/>
  </cols>
  <sheetData>
    <row r="1" spans="2:20" ht="15" thickBot="1" x14ac:dyDescent="0.2"/>
    <row r="2" spans="2:20" s="22" customFormat="1" ht="106" thickBot="1" x14ac:dyDescent="0.2">
      <c r="B2" s="149" t="s">
        <v>1</v>
      </c>
      <c r="C2" s="150" t="s">
        <v>6</v>
      </c>
      <c r="D2" s="150" t="s">
        <v>34</v>
      </c>
      <c r="E2" s="150" t="s">
        <v>42</v>
      </c>
      <c r="F2" s="150" t="s">
        <v>54</v>
      </c>
      <c r="G2" s="150" t="s">
        <v>12</v>
      </c>
      <c r="H2" s="150" t="s">
        <v>32</v>
      </c>
      <c r="I2" s="150" t="s">
        <v>36</v>
      </c>
      <c r="J2" s="150" t="s">
        <v>65</v>
      </c>
      <c r="K2" s="150" t="s">
        <v>48</v>
      </c>
      <c r="L2" s="150" t="s">
        <v>27</v>
      </c>
      <c r="M2" s="150" t="s">
        <v>90</v>
      </c>
      <c r="N2" s="150" t="s">
        <v>190</v>
      </c>
      <c r="O2" s="150"/>
      <c r="P2" s="150" t="s">
        <v>140</v>
      </c>
      <c r="R2" s="244" t="s">
        <v>3294</v>
      </c>
      <c r="S2" s="245" t="s">
        <v>3292</v>
      </c>
      <c r="T2" s="246" t="s">
        <v>3293</v>
      </c>
    </row>
    <row r="3" spans="2:20" ht="18" x14ac:dyDescent="0.2">
      <c r="B3" s="97" t="s">
        <v>26</v>
      </c>
      <c r="C3" s="98">
        <f t="shared" ref="C3:N12" si="0">COUNTIFS(TallyPeopleNames,$B3, TallyDrinkType,C$2)</f>
        <v>27</v>
      </c>
      <c r="D3" s="98">
        <f t="shared" si="0"/>
        <v>93</v>
      </c>
      <c r="E3" s="98">
        <f t="shared" si="0"/>
        <v>15</v>
      </c>
      <c r="F3" s="98">
        <f t="shared" si="0"/>
        <v>0</v>
      </c>
      <c r="G3" s="98">
        <f t="shared" si="0"/>
        <v>3</v>
      </c>
      <c r="H3" s="98">
        <f t="shared" si="0"/>
        <v>15</v>
      </c>
      <c r="I3" s="98">
        <f t="shared" si="0"/>
        <v>3</v>
      </c>
      <c r="J3" s="98">
        <f t="shared" si="0"/>
        <v>13</v>
      </c>
      <c r="K3" s="98">
        <f t="shared" si="0"/>
        <v>1</v>
      </c>
      <c r="L3" s="98">
        <f t="shared" si="0"/>
        <v>13</v>
      </c>
      <c r="M3" s="98">
        <f t="shared" si="0"/>
        <v>0</v>
      </c>
      <c r="N3" s="98">
        <f t="shared" si="0"/>
        <v>5</v>
      </c>
      <c r="O3" s="98"/>
      <c r="P3" s="99">
        <f t="shared" ref="P3:P28" si="1">SUM($C3:$N3)</f>
        <v>188</v>
      </c>
      <c r="Q3" s="98"/>
      <c r="R3" s="247">
        <f>SUM($C3:$D3)</f>
        <v>120</v>
      </c>
      <c r="S3" s="248" cm="1">
        <f t="array" ref="S3">SUM(SUMIFS(TallyABV, TallyPeopleNames,$B3,TallyDrinkType,{"Beer","Cider"}))</f>
        <v>5.82</v>
      </c>
      <c r="T3" s="249">
        <f>$S3/$R3*100</f>
        <v>4.8500000000000005</v>
      </c>
    </row>
    <row r="4" spans="2:20" ht="18" x14ac:dyDescent="0.2">
      <c r="B4" s="100" t="s">
        <v>35</v>
      </c>
      <c r="C4" s="98">
        <f t="shared" si="0"/>
        <v>91</v>
      </c>
      <c r="D4" s="98">
        <f t="shared" si="0"/>
        <v>3</v>
      </c>
      <c r="E4" s="98">
        <f t="shared" si="0"/>
        <v>5</v>
      </c>
      <c r="F4" s="98">
        <f t="shared" si="0"/>
        <v>3</v>
      </c>
      <c r="G4" s="98">
        <f t="shared" si="0"/>
        <v>17</v>
      </c>
      <c r="H4" s="98">
        <f t="shared" si="0"/>
        <v>13</v>
      </c>
      <c r="I4" s="98">
        <f t="shared" si="0"/>
        <v>9</v>
      </c>
      <c r="J4" s="98">
        <f t="shared" si="0"/>
        <v>6</v>
      </c>
      <c r="K4" s="98">
        <f t="shared" si="0"/>
        <v>1</v>
      </c>
      <c r="L4" s="98">
        <f t="shared" si="0"/>
        <v>12</v>
      </c>
      <c r="M4" s="98">
        <f t="shared" si="0"/>
        <v>3</v>
      </c>
      <c r="N4" s="98">
        <f t="shared" si="0"/>
        <v>6</v>
      </c>
      <c r="O4" s="98"/>
      <c r="P4" s="101">
        <f t="shared" si="1"/>
        <v>169</v>
      </c>
      <c r="Q4" s="98"/>
      <c r="R4" s="247">
        <f t="shared" ref="R4:R28" si="2">SUM($C4:$D4)</f>
        <v>94</v>
      </c>
      <c r="S4" s="250" cm="1">
        <f t="array" ref="S4">SUM(SUMIFS(TallyABV, TallyPeopleNames,$B4,TallyDrinkType,{"Beer","Cider"}))</f>
        <v>4.5380000000000003</v>
      </c>
      <c r="T4" s="249">
        <f t="shared" ref="T4:T28" si="3">$S4/$R4*100</f>
        <v>4.8276595744680861</v>
      </c>
    </row>
    <row r="5" spans="2:20" ht="18" x14ac:dyDescent="0.2">
      <c r="B5" s="100" t="s">
        <v>18</v>
      </c>
      <c r="C5" s="98">
        <f t="shared" si="0"/>
        <v>47</v>
      </c>
      <c r="D5" s="98">
        <f t="shared" si="0"/>
        <v>10</v>
      </c>
      <c r="E5" s="98">
        <f t="shared" si="0"/>
        <v>5</v>
      </c>
      <c r="F5" s="98">
        <f t="shared" si="0"/>
        <v>2</v>
      </c>
      <c r="G5" s="98">
        <f t="shared" si="0"/>
        <v>22</v>
      </c>
      <c r="H5" s="98">
        <f t="shared" si="0"/>
        <v>7</v>
      </c>
      <c r="I5" s="98">
        <f t="shared" si="0"/>
        <v>14</v>
      </c>
      <c r="J5" s="98">
        <f t="shared" si="0"/>
        <v>6</v>
      </c>
      <c r="K5" s="98">
        <f t="shared" si="0"/>
        <v>1</v>
      </c>
      <c r="L5" s="98">
        <f t="shared" si="0"/>
        <v>22</v>
      </c>
      <c r="M5" s="98">
        <f t="shared" si="0"/>
        <v>5</v>
      </c>
      <c r="N5" s="98">
        <f t="shared" si="0"/>
        <v>9</v>
      </c>
      <c r="O5" s="98"/>
      <c r="P5" s="101">
        <f t="shared" si="1"/>
        <v>150</v>
      </c>
      <c r="Q5" s="98"/>
      <c r="R5" s="247">
        <f t="shared" si="2"/>
        <v>57</v>
      </c>
      <c r="S5" s="250" cm="1">
        <f t="array" ref="S5">SUM(SUMIFS(TallyABV, TallyPeopleNames,$B5,TallyDrinkType,{"Beer","Cider"}))</f>
        <v>3.1809999999999992</v>
      </c>
      <c r="T5" s="249">
        <f t="shared" si="3"/>
        <v>5.5807017543859629</v>
      </c>
    </row>
    <row r="6" spans="2:20" ht="18" x14ac:dyDescent="0.2">
      <c r="B6" s="100" t="s">
        <v>45</v>
      </c>
      <c r="C6" s="98">
        <f t="shared" si="0"/>
        <v>88</v>
      </c>
      <c r="D6" s="98">
        <f t="shared" si="0"/>
        <v>2</v>
      </c>
      <c r="E6" s="98">
        <f t="shared" si="0"/>
        <v>8</v>
      </c>
      <c r="F6" s="98">
        <f t="shared" si="0"/>
        <v>1</v>
      </c>
      <c r="G6" s="98">
        <f t="shared" si="0"/>
        <v>6</v>
      </c>
      <c r="H6" s="98">
        <f t="shared" si="0"/>
        <v>4</v>
      </c>
      <c r="I6" s="98">
        <f t="shared" si="0"/>
        <v>0</v>
      </c>
      <c r="J6" s="98">
        <f t="shared" si="0"/>
        <v>25</v>
      </c>
      <c r="K6" s="98">
        <f t="shared" si="0"/>
        <v>1</v>
      </c>
      <c r="L6" s="98">
        <f t="shared" si="0"/>
        <v>1</v>
      </c>
      <c r="M6" s="98">
        <f t="shared" si="0"/>
        <v>0</v>
      </c>
      <c r="N6" s="98">
        <f t="shared" si="0"/>
        <v>2</v>
      </c>
      <c r="O6" s="98"/>
      <c r="P6" s="101">
        <f t="shared" si="1"/>
        <v>138</v>
      </c>
      <c r="Q6" s="98"/>
      <c r="R6" s="247">
        <f t="shared" si="2"/>
        <v>90</v>
      </c>
      <c r="S6" s="250" cm="1">
        <f t="array" ref="S6">SUM(SUMIFS(TallyABV, TallyPeopleNames,$B6,TallyDrinkType,{"Beer","Cider"}))</f>
        <v>5.1789999999999994</v>
      </c>
      <c r="T6" s="249">
        <f t="shared" si="3"/>
        <v>5.7544444444444443</v>
      </c>
    </row>
    <row r="7" spans="2:20" ht="18" x14ac:dyDescent="0.2">
      <c r="B7" s="100" t="s">
        <v>38</v>
      </c>
      <c r="C7" s="98">
        <f t="shared" si="0"/>
        <v>89</v>
      </c>
      <c r="D7" s="98">
        <f t="shared" si="0"/>
        <v>4</v>
      </c>
      <c r="E7" s="98">
        <f t="shared" si="0"/>
        <v>10</v>
      </c>
      <c r="F7" s="98">
        <f t="shared" si="0"/>
        <v>5</v>
      </c>
      <c r="G7" s="98">
        <f t="shared" si="0"/>
        <v>5</v>
      </c>
      <c r="H7" s="98">
        <f t="shared" si="0"/>
        <v>2</v>
      </c>
      <c r="I7" s="98">
        <f t="shared" si="0"/>
        <v>6</v>
      </c>
      <c r="J7" s="98">
        <f t="shared" si="0"/>
        <v>1</v>
      </c>
      <c r="K7" s="98">
        <f t="shared" si="0"/>
        <v>1</v>
      </c>
      <c r="L7" s="98">
        <f t="shared" si="0"/>
        <v>4</v>
      </c>
      <c r="M7" s="98">
        <f t="shared" si="0"/>
        <v>1</v>
      </c>
      <c r="N7" s="98">
        <f t="shared" si="0"/>
        <v>7</v>
      </c>
      <c r="O7" s="98"/>
      <c r="P7" s="101">
        <f t="shared" si="1"/>
        <v>135</v>
      </c>
      <c r="Q7" s="98"/>
      <c r="R7" s="247">
        <f t="shared" si="2"/>
        <v>93</v>
      </c>
      <c r="S7" s="250" cm="1">
        <f t="array" ref="S7">SUM(SUMIFS(TallyABV, TallyPeopleNames,$B7,TallyDrinkType,{"Beer","Cider"}))</f>
        <v>4.3429999999999991</v>
      </c>
      <c r="T7" s="249">
        <f t="shared" si="3"/>
        <v>4.6698924731182787</v>
      </c>
    </row>
    <row r="8" spans="2:20" ht="18" x14ac:dyDescent="0.2">
      <c r="B8" s="100" t="s">
        <v>41</v>
      </c>
      <c r="C8" s="98">
        <f t="shared" si="0"/>
        <v>26</v>
      </c>
      <c r="D8" s="98">
        <f t="shared" si="0"/>
        <v>31</v>
      </c>
      <c r="E8" s="98">
        <f t="shared" si="0"/>
        <v>2</v>
      </c>
      <c r="F8" s="98">
        <f t="shared" si="0"/>
        <v>1</v>
      </c>
      <c r="G8" s="98">
        <f t="shared" si="0"/>
        <v>15</v>
      </c>
      <c r="H8" s="98">
        <f t="shared" si="0"/>
        <v>10</v>
      </c>
      <c r="I8" s="98">
        <f t="shared" si="0"/>
        <v>4</v>
      </c>
      <c r="J8" s="98">
        <f t="shared" si="0"/>
        <v>10</v>
      </c>
      <c r="K8" s="98">
        <f t="shared" si="0"/>
        <v>0</v>
      </c>
      <c r="L8" s="98">
        <f t="shared" si="0"/>
        <v>5</v>
      </c>
      <c r="M8" s="98">
        <f t="shared" si="0"/>
        <v>4</v>
      </c>
      <c r="N8" s="98">
        <f t="shared" si="0"/>
        <v>13</v>
      </c>
      <c r="O8" s="98"/>
      <c r="P8" s="101">
        <f t="shared" si="1"/>
        <v>121</v>
      </c>
      <c r="Q8" s="98"/>
      <c r="R8" s="247">
        <f t="shared" si="2"/>
        <v>57</v>
      </c>
      <c r="S8" s="250" cm="1">
        <f t="array" ref="S8">SUM(SUMIFS(TallyABV, TallyPeopleNames,$B8,TallyDrinkType,{"Beer","Cider"}))</f>
        <v>2.9620000000000006</v>
      </c>
      <c r="T8" s="249">
        <f t="shared" si="3"/>
        <v>5.196491228070176</v>
      </c>
    </row>
    <row r="9" spans="2:20" ht="18" x14ac:dyDescent="0.2">
      <c r="B9" s="100" t="s">
        <v>361</v>
      </c>
      <c r="C9" s="98">
        <f t="shared" si="0"/>
        <v>21</v>
      </c>
      <c r="D9" s="98">
        <f t="shared" si="0"/>
        <v>37</v>
      </c>
      <c r="E9" s="98">
        <f t="shared" si="0"/>
        <v>2</v>
      </c>
      <c r="F9" s="98">
        <f t="shared" si="0"/>
        <v>1</v>
      </c>
      <c r="G9" s="98">
        <f t="shared" si="0"/>
        <v>6</v>
      </c>
      <c r="H9" s="98">
        <f t="shared" si="0"/>
        <v>21</v>
      </c>
      <c r="I9" s="98">
        <f t="shared" si="0"/>
        <v>6</v>
      </c>
      <c r="J9" s="98">
        <f t="shared" si="0"/>
        <v>12</v>
      </c>
      <c r="K9" s="98">
        <f t="shared" si="0"/>
        <v>0</v>
      </c>
      <c r="L9" s="98">
        <f t="shared" si="0"/>
        <v>2</v>
      </c>
      <c r="M9" s="98">
        <f t="shared" si="0"/>
        <v>1</v>
      </c>
      <c r="N9" s="98">
        <f t="shared" si="0"/>
        <v>2</v>
      </c>
      <c r="O9" s="98"/>
      <c r="P9" s="101">
        <f t="shared" si="1"/>
        <v>111</v>
      </c>
      <c r="Q9" s="98"/>
      <c r="R9" s="247">
        <f t="shared" si="2"/>
        <v>58</v>
      </c>
      <c r="S9" s="250" cm="1">
        <f t="array" ref="S9">SUM(SUMIFS(TallyABV, TallyPeopleNames,$B9,TallyDrinkType,{"Beer","Cider"}))</f>
        <v>2.9890000000000008</v>
      </c>
      <c r="T9" s="249">
        <f t="shared" si="3"/>
        <v>5.1534482758620701</v>
      </c>
    </row>
    <row r="10" spans="2:20" ht="18" x14ac:dyDescent="0.2">
      <c r="B10" s="30" t="s">
        <v>73</v>
      </c>
      <c r="C10" s="98">
        <f t="shared" si="0"/>
        <v>51</v>
      </c>
      <c r="D10" s="98">
        <f t="shared" si="0"/>
        <v>0</v>
      </c>
      <c r="E10" s="98">
        <f t="shared" si="0"/>
        <v>1</v>
      </c>
      <c r="F10" s="98">
        <f t="shared" si="0"/>
        <v>0</v>
      </c>
      <c r="G10" s="98">
        <f t="shared" si="0"/>
        <v>6</v>
      </c>
      <c r="H10" s="98">
        <f t="shared" si="0"/>
        <v>4</v>
      </c>
      <c r="I10" s="98">
        <f t="shared" si="0"/>
        <v>1</v>
      </c>
      <c r="J10" s="98">
        <f t="shared" si="0"/>
        <v>32</v>
      </c>
      <c r="K10" s="98">
        <f t="shared" si="0"/>
        <v>0</v>
      </c>
      <c r="L10" s="98">
        <f t="shared" si="0"/>
        <v>10</v>
      </c>
      <c r="M10" s="98">
        <f t="shared" si="0"/>
        <v>1</v>
      </c>
      <c r="N10" s="98">
        <f t="shared" si="0"/>
        <v>3</v>
      </c>
      <c r="O10" s="98"/>
      <c r="P10" s="101">
        <f t="shared" si="1"/>
        <v>109</v>
      </c>
      <c r="Q10" s="98"/>
      <c r="R10" s="247">
        <f t="shared" si="2"/>
        <v>51</v>
      </c>
      <c r="S10" s="250" cm="1">
        <f t="array" ref="S10">SUM(SUMIFS(TallyABV, TallyPeopleNames,$B10,TallyDrinkType,{"Beer","Cider"}))</f>
        <v>3.3959999999999995</v>
      </c>
      <c r="T10" s="249">
        <f t="shared" si="3"/>
        <v>6.6588235294117641</v>
      </c>
    </row>
    <row r="11" spans="2:20" ht="18" x14ac:dyDescent="0.2">
      <c r="B11" s="100" t="s">
        <v>61</v>
      </c>
      <c r="C11" s="98">
        <f t="shared" si="0"/>
        <v>48</v>
      </c>
      <c r="D11" s="98">
        <f t="shared" si="0"/>
        <v>2</v>
      </c>
      <c r="E11" s="98">
        <f t="shared" si="0"/>
        <v>5</v>
      </c>
      <c r="F11" s="98">
        <f t="shared" si="0"/>
        <v>2</v>
      </c>
      <c r="G11" s="98">
        <f t="shared" si="0"/>
        <v>9</v>
      </c>
      <c r="H11" s="98">
        <f t="shared" si="0"/>
        <v>12</v>
      </c>
      <c r="I11" s="98">
        <f t="shared" si="0"/>
        <v>4</v>
      </c>
      <c r="J11" s="98">
        <f t="shared" si="0"/>
        <v>6</v>
      </c>
      <c r="K11" s="98">
        <f t="shared" si="0"/>
        <v>1</v>
      </c>
      <c r="L11" s="98">
        <f t="shared" si="0"/>
        <v>12</v>
      </c>
      <c r="M11" s="98">
        <f t="shared" si="0"/>
        <v>2</v>
      </c>
      <c r="N11" s="98">
        <f t="shared" si="0"/>
        <v>5</v>
      </c>
      <c r="O11" s="98"/>
      <c r="P11" s="101">
        <f t="shared" si="1"/>
        <v>108</v>
      </c>
      <c r="Q11" s="98"/>
      <c r="R11" s="247">
        <f t="shared" si="2"/>
        <v>50</v>
      </c>
      <c r="S11" s="250" cm="1">
        <f t="array" ref="S11">SUM(SUMIFS(TallyABV, TallyPeopleNames,$B11,TallyDrinkType,{"Beer","Cider"}))</f>
        <v>2.5620000000000012</v>
      </c>
      <c r="T11" s="249">
        <f t="shared" si="3"/>
        <v>5.1240000000000023</v>
      </c>
    </row>
    <row r="12" spans="2:20" ht="18" x14ac:dyDescent="0.2">
      <c r="B12" s="30" t="s">
        <v>420</v>
      </c>
      <c r="C12" s="98">
        <f t="shared" si="0"/>
        <v>29</v>
      </c>
      <c r="D12" s="98">
        <f t="shared" si="0"/>
        <v>0</v>
      </c>
      <c r="E12" s="98">
        <f t="shared" si="0"/>
        <v>1</v>
      </c>
      <c r="F12" s="98">
        <f t="shared" si="0"/>
        <v>2</v>
      </c>
      <c r="G12" s="98">
        <f t="shared" si="0"/>
        <v>2</v>
      </c>
      <c r="H12" s="98">
        <f t="shared" si="0"/>
        <v>5</v>
      </c>
      <c r="I12" s="98">
        <f t="shared" si="0"/>
        <v>4</v>
      </c>
      <c r="J12" s="98">
        <f t="shared" si="0"/>
        <v>1</v>
      </c>
      <c r="K12" s="98">
        <f t="shared" si="0"/>
        <v>0</v>
      </c>
      <c r="L12" s="98">
        <f t="shared" si="0"/>
        <v>4</v>
      </c>
      <c r="M12" s="98">
        <f t="shared" si="0"/>
        <v>0</v>
      </c>
      <c r="N12" s="98">
        <f t="shared" si="0"/>
        <v>0</v>
      </c>
      <c r="O12" s="98"/>
      <c r="P12" s="101">
        <f t="shared" si="1"/>
        <v>48</v>
      </c>
      <c r="Q12" s="98"/>
      <c r="R12" s="247">
        <f t="shared" si="2"/>
        <v>29</v>
      </c>
      <c r="S12" s="250" cm="1">
        <f t="array" ref="S12">SUM(SUMIFS(TallyABV, TallyPeopleNames,$B12,TallyDrinkType,{"Beer","Cider"}))</f>
        <v>1.4850000000000003</v>
      </c>
      <c r="T12" s="249">
        <f t="shared" si="3"/>
        <v>5.1206896551724146</v>
      </c>
    </row>
    <row r="13" spans="2:20" ht="18" x14ac:dyDescent="0.2">
      <c r="B13" s="30" t="s">
        <v>189</v>
      </c>
      <c r="C13" s="98">
        <f t="shared" ref="C13:N22" si="4">COUNTIFS(TallyPeopleNames,$B13, TallyDrinkType,C$2)</f>
        <v>13</v>
      </c>
      <c r="D13" s="98">
        <f t="shared" si="4"/>
        <v>0</v>
      </c>
      <c r="E13" s="98">
        <f t="shared" si="4"/>
        <v>16</v>
      </c>
      <c r="F13" s="98">
        <f t="shared" si="4"/>
        <v>2</v>
      </c>
      <c r="G13" s="98">
        <f t="shared" si="4"/>
        <v>4</v>
      </c>
      <c r="H13" s="98">
        <f t="shared" si="4"/>
        <v>0</v>
      </c>
      <c r="I13" s="98">
        <f t="shared" si="4"/>
        <v>2</v>
      </c>
      <c r="J13" s="98">
        <f t="shared" si="4"/>
        <v>0</v>
      </c>
      <c r="K13" s="98">
        <f t="shared" si="4"/>
        <v>1</v>
      </c>
      <c r="L13" s="98">
        <f t="shared" si="4"/>
        <v>4</v>
      </c>
      <c r="M13" s="98">
        <f t="shared" si="4"/>
        <v>0</v>
      </c>
      <c r="N13" s="98">
        <f t="shared" si="4"/>
        <v>0</v>
      </c>
      <c r="O13" s="98"/>
      <c r="P13" s="101">
        <f t="shared" si="1"/>
        <v>42</v>
      </c>
      <c r="Q13" s="98"/>
      <c r="R13" s="247">
        <f t="shared" si="2"/>
        <v>13</v>
      </c>
      <c r="S13" s="250" cm="1">
        <f t="array" ref="S13">SUM(SUMIFS(TallyABV, TallyPeopleNames,$B13,TallyDrinkType,{"Beer","Cider"}))</f>
        <v>0.56399999999999995</v>
      </c>
      <c r="T13" s="249">
        <f t="shared" si="3"/>
        <v>4.3384615384615381</v>
      </c>
    </row>
    <row r="14" spans="2:20" ht="18" x14ac:dyDescent="0.2">
      <c r="B14" s="30" t="s">
        <v>179</v>
      </c>
      <c r="C14" s="98">
        <f t="shared" si="4"/>
        <v>23</v>
      </c>
      <c r="D14" s="98">
        <f t="shared" si="4"/>
        <v>0</v>
      </c>
      <c r="E14" s="98">
        <f t="shared" si="4"/>
        <v>0</v>
      </c>
      <c r="F14" s="98">
        <f t="shared" si="4"/>
        <v>0</v>
      </c>
      <c r="G14" s="98">
        <f t="shared" si="4"/>
        <v>1</v>
      </c>
      <c r="H14" s="98">
        <f t="shared" si="4"/>
        <v>2</v>
      </c>
      <c r="I14" s="98">
        <f t="shared" si="4"/>
        <v>6</v>
      </c>
      <c r="J14" s="98">
        <f t="shared" si="4"/>
        <v>0</v>
      </c>
      <c r="K14" s="98">
        <f t="shared" si="4"/>
        <v>0</v>
      </c>
      <c r="L14" s="98">
        <f t="shared" si="4"/>
        <v>2</v>
      </c>
      <c r="M14" s="98">
        <f t="shared" si="4"/>
        <v>0</v>
      </c>
      <c r="N14" s="98">
        <f t="shared" si="4"/>
        <v>2</v>
      </c>
      <c r="O14" s="98"/>
      <c r="P14" s="101">
        <f t="shared" si="1"/>
        <v>36</v>
      </c>
      <c r="Q14" s="98"/>
      <c r="R14" s="247">
        <f t="shared" si="2"/>
        <v>23</v>
      </c>
      <c r="S14" s="250" cm="1">
        <f t="array" ref="S14">SUM(SUMIFS(TallyABV, TallyPeopleNames,$B14,TallyDrinkType,{"Beer","Cider"}))</f>
        <v>1.2190000000000001</v>
      </c>
      <c r="T14" s="249">
        <f t="shared" si="3"/>
        <v>5.3000000000000007</v>
      </c>
    </row>
    <row r="15" spans="2:20" ht="18" x14ac:dyDescent="0.2">
      <c r="B15" s="100" t="s">
        <v>1120</v>
      </c>
      <c r="C15" s="98">
        <f t="shared" si="4"/>
        <v>2</v>
      </c>
      <c r="D15" s="98">
        <f t="shared" si="4"/>
        <v>0</v>
      </c>
      <c r="E15" s="98">
        <f t="shared" si="4"/>
        <v>6</v>
      </c>
      <c r="F15" s="98">
        <f t="shared" si="4"/>
        <v>1</v>
      </c>
      <c r="G15" s="98">
        <f t="shared" si="4"/>
        <v>4</v>
      </c>
      <c r="H15" s="98">
        <f t="shared" si="4"/>
        <v>1</v>
      </c>
      <c r="I15" s="98">
        <f t="shared" si="4"/>
        <v>3</v>
      </c>
      <c r="J15" s="98">
        <f t="shared" si="4"/>
        <v>1</v>
      </c>
      <c r="K15" s="98">
        <f t="shared" si="4"/>
        <v>1</v>
      </c>
      <c r="L15" s="98">
        <f t="shared" si="4"/>
        <v>1</v>
      </c>
      <c r="M15" s="98">
        <f t="shared" si="4"/>
        <v>0</v>
      </c>
      <c r="N15" s="98">
        <f t="shared" si="4"/>
        <v>1</v>
      </c>
      <c r="O15" s="98"/>
      <c r="P15" s="101">
        <f t="shared" si="1"/>
        <v>21</v>
      </c>
      <c r="Q15" s="98"/>
      <c r="R15" s="247">
        <f t="shared" si="2"/>
        <v>2</v>
      </c>
      <c r="S15" s="250" cm="1">
        <f t="array" ref="S15">SUM(SUMIFS(TallyABV, TallyPeopleNames,$B15,TallyDrinkType,{"Beer","Cider"}))</f>
        <v>0.09</v>
      </c>
      <c r="T15" s="249">
        <f t="shared" si="3"/>
        <v>4.5</v>
      </c>
    </row>
    <row r="16" spans="2:20" ht="18" x14ac:dyDescent="0.2">
      <c r="B16" s="30" t="s">
        <v>75</v>
      </c>
      <c r="C16" s="98">
        <f t="shared" si="4"/>
        <v>3</v>
      </c>
      <c r="D16" s="98">
        <f t="shared" si="4"/>
        <v>1</v>
      </c>
      <c r="E16" s="98">
        <f t="shared" si="4"/>
        <v>2</v>
      </c>
      <c r="F16" s="98">
        <f t="shared" si="4"/>
        <v>0</v>
      </c>
      <c r="G16" s="98">
        <f t="shared" si="4"/>
        <v>11</v>
      </c>
      <c r="H16" s="98">
        <f t="shared" si="4"/>
        <v>0</v>
      </c>
      <c r="I16" s="98">
        <f t="shared" si="4"/>
        <v>0</v>
      </c>
      <c r="J16" s="98">
        <f t="shared" si="4"/>
        <v>2</v>
      </c>
      <c r="K16" s="98">
        <f t="shared" si="4"/>
        <v>0</v>
      </c>
      <c r="L16" s="98">
        <f t="shared" si="4"/>
        <v>0</v>
      </c>
      <c r="M16" s="98">
        <f t="shared" si="4"/>
        <v>0</v>
      </c>
      <c r="N16" s="98">
        <f t="shared" si="4"/>
        <v>0</v>
      </c>
      <c r="O16" s="98"/>
      <c r="P16" s="101">
        <f t="shared" si="1"/>
        <v>19</v>
      </c>
      <c r="Q16" s="98"/>
      <c r="R16" s="247">
        <f t="shared" si="2"/>
        <v>4</v>
      </c>
      <c r="S16" s="250" cm="1">
        <f t="array" ref="S16">SUM(SUMIFS(TallyABV, TallyPeopleNames,$B16,TallyDrinkType,{"Beer","Cider"}))</f>
        <v>0.20799999999999996</v>
      </c>
      <c r="T16" s="249">
        <f t="shared" si="3"/>
        <v>5.1999999999999993</v>
      </c>
    </row>
    <row r="17" spans="2:20" ht="18" x14ac:dyDescent="0.2">
      <c r="B17" s="100" t="s">
        <v>9</v>
      </c>
      <c r="C17" s="98">
        <f t="shared" si="4"/>
        <v>1</v>
      </c>
      <c r="D17" s="98">
        <f t="shared" si="4"/>
        <v>2</v>
      </c>
      <c r="E17" s="98">
        <f t="shared" si="4"/>
        <v>1</v>
      </c>
      <c r="F17" s="98">
        <f t="shared" si="4"/>
        <v>0</v>
      </c>
      <c r="G17" s="98">
        <f t="shared" si="4"/>
        <v>10</v>
      </c>
      <c r="H17" s="98">
        <f t="shared" si="4"/>
        <v>0</v>
      </c>
      <c r="I17" s="98">
        <f t="shared" si="4"/>
        <v>1</v>
      </c>
      <c r="J17" s="98">
        <f t="shared" si="4"/>
        <v>1</v>
      </c>
      <c r="K17" s="98">
        <f t="shared" si="4"/>
        <v>0</v>
      </c>
      <c r="L17" s="98">
        <f t="shared" si="4"/>
        <v>1</v>
      </c>
      <c r="M17" s="98">
        <f t="shared" si="4"/>
        <v>1</v>
      </c>
      <c r="N17" s="98">
        <f t="shared" si="4"/>
        <v>0</v>
      </c>
      <c r="O17" s="98"/>
      <c r="P17" s="101">
        <f t="shared" si="1"/>
        <v>18</v>
      </c>
      <c r="Q17" s="98"/>
      <c r="R17" s="247">
        <f t="shared" si="2"/>
        <v>3</v>
      </c>
      <c r="S17" s="250" cm="1">
        <f t="array" ref="S17">SUM(SUMIFS(TallyABV, TallyPeopleNames,$B17,TallyDrinkType,{"Beer","Cider"}))</f>
        <v>0.152</v>
      </c>
      <c r="T17" s="249">
        <f t="shared" si="3"/>
        <v>5.0666666666666664</v>
      </c>
    </row>
    <row r="18" spans="2:20" ht="18" x14ac:dyDescent="0.2">
      <c r="B18" s="30" t="s">
        <v>421</v>
      </c>
      <c r="C18" s="98">
        <f t="shared" si="4"/>
        <v>2</v>
      </c>
      <c r="D18" s="98">
        <f t="shared" si="4"/>
        <v>1</v>
      </c>
      <c r="E18" s="98">
        <f t="shared" si="4"/>
        <v>1</v>
      </c>
      <c r="F18" s="98">
        <f t="shared" si="4"/>
        <v>2</v>
      </c>
      <c r="G18" s="98">
        <f t="shared" si="4"/>
        <v>1</v>
      </c>
      <c r="H18" s="98">
        <f t="shared" si="4"/>
        <v>2</v>
      </c>
      <c r="I18" s="98">
        <f t="shared" si="4"/>
        <v>0</v>
      </c>
      <c r="J18" s="98">
        <f t="shared" si="4"/>
        <v>1</v>
      </c>
      <c r="K18" s="98">
        <f t="shared" si="4"/>
        <v>0</v>
      </c>
      <c r="L18" s="98">
        <f t="shared" si="4"/>
        <v>2</v>
      </c>
      <c r="M18" s="98">
        <f t="shared" si="4"/>
        <v>0</v>
      </c>
      <c r="N18" s="98">
        <f t="shared" si="4"/>
        <v>0</v>
      </c>
      <c r="O18" s="98"/>
      <c r="P18" s="101">
        <f t="shared" si="1"/>
        <v>12</v>
      </c>
      <c r="Q18" s="98"/>
      <c r="R18" s="247">
        <f t="shared" si="2"/>
        <v>3</v>
      </c>
      <c r="S18" s="250" cm="1">
        <f t="array" ref="S18">SUM(SUMIFS(TallyABV, TallyPeopleNames,$B18,TallyDrinkType,{"Beer","Cider"}))</f>
        <v>0.14299999999999999</v>
      </c>
      <c r="T18" s="249">
        <f t="shared" si="3"/>
        <v>4.7666666666666666</v>
      </c>
    </row>
    <row r="19" spans="2:20" ht="18" x14ac:dyDescent="0.2">
      <c r="B19" s="100" t="s">
        <v>50</v>
      </c>
      <c r="C19" s="98">
        <f t="shared" si="4"/>
        <v>1</v>
      </c>
      <c r="D19" s="98">
        <f t="shared" si="4"/>
        <v>0</v>
      </c>
      <c r="E19" s="98">
        <f t="shared" si="4"/>
        <v>2</v>
      </c>
      <c r="F19" s="98">
        <f t="shared" si="4"/>
        <v>0</v>
      </c>
      <c r="G19" s="98">
        <f t="shared" si="4"/>
        <v>4</v>
      </c>
      <c r="H19" s="98">
        <f t="shared" si="4"/>
        <v>0</v>
      </c>
      <c r="I19" s="98">
        <f t="shared" si="4"/>
        <v>0</v>
      </c>
      <c r="J19" s="98">
        <f t="shared" si="4"/>
        <v>3</v>
      </c>
      <c r="K19" s="98">
        <f t="shared" si="4"/>
        <v>0</v>
      </c>
      <c r="L19" s="98">
        <f t="shared" si="4"/>
        <v>0</v>
      </c>
      <c r="M19" s="98">
        <f t="shared" si="4"/>
        <v>1</v>
      </c>
      <c r="N19" s="98">
        <f t="shared" si="4"/>
        <v>0</v>
      </c>
      <c r="O19" s="98"/>
      <c r="P19" s="101">
        <f t="shared" si="1"/>
        <v>11</v>
      </c>
      <c r="Q19" s="98"/>
      <c r="R19" s="247">
        <f t="shared" si="2"/>
        <v>1</v>
      </c>
      <c r="S19" s="250" cm="1">
        <f t="array" ref="S19">SUM(SUMIFS(TallyABV, TallyPeopleNames,$B19,TallyDrinkType,{"Beer","Cider"}))</f>
        <v>0.06</v>
      </c>
      <c r="T19" s="249">
        <f t="shared" si="3"/>
        <v>6</v>
      </c>
    </row>
    <row r="20" spans="2:20" ht="18" x14ac:dyDescent="0.2">
      <c r="B20" s="100" t="s">
        <v>67</v>
      </c>
      <c r="C20" s="98">
        <f t="shared" si="4"/>
        <v>3</v>
      </c>
      <c r="D20" s="98">
        <f t="shared" si="4"/>
        <v>0</v>
      </c>
      <c r="E20" s="98">
        <f t="shared" si="4"/>
        <v>3</v>
      </c>
      <c r="F20" s="98">
        <f t="shared" si="4"/>
        <v>0</v>
      </c>
      <c r="G20" s="98">
        <f t="shared" si="4"/>
        <v>0</v>
      </c>
      <c r="H20" s="98">
        <f t="shared" si="4"/>
        <v>0</v>
      </c>
      <c r="I20" s="98">
        <f t="shared" si="4"/>
        <v>1</v>
      </c>
      <c r="J20" s="98">
        <f t="shared" si="4"/>
        <v>0</v>
      </c>
      <c r="K20" s="98">
        <f t="shared" si="4"/>
        <v>0</v>
      </c>
      <c r="L20" s="98">
        <f t="shared" si="4"/>
        <v>0</v>
      </c>
      <c r="M20" s="98">
        <f t="shared" si="4"/>
        <v>2</v>
      </c>
      <c r="N20" s="98">
        <f t="shared" si="4"/>
        <v>0</v>
      </c>
      <c r="O20" s="98"/>
      <c r="P20" s="101">
        <f t="shared" si="1"/>
        <v>9</v>
      </c>
      <c r="Q20" s="98"/>
      <c r="R20" s="247">
        <f t="shared" si="2"/>
        <v>3</v>
      </c>
      <c r="S20" s="250" cm="1">
        <f t="array" ref="S20">SUM(SUMIFS(TallyABV, TallyPeopleNames,$B20,TallyDrinkType,{"Beer","Cider"}))</f>
        <v>0.14300000000000002</v>
      </c>
      <c r="T20" s="249">
        <f t="shared" si="3"/>
        <v>4.7666666666666666</v>
      </c>
    </row>
    <row r="21" spans="2:20" ht="18" x14ac:dyDescent="0.2">
      <c r="B21" s="100" t="s">
        <v>690</v>
      </c>
      <c r="C21" s="98">
        <f t="shared" si="4"/>
        <v>5</v>
      </c>
      <c r="D21" s="98">
        <f t="shared" si="4"/>
        <v>0</v>
      </c>
      <c r="E21" s="98">
        <f t="shared" si="4"/>
        <v>0</v>
      </c>
      <c r="F21" s="98">
        <f t="shared" si="4"/>
        <v>0</v>
      </c>
      <c r="G21" s="98">
        <f t="shared" si="4"/>
        <v>1</v>
      </c>
      <c r="H21" s="98">
        <f t="shared" si="4"/>
        <v>1</v>
      </c>
      <c r="I21" s="98">
        <f t="shared" si="4"/>
        <v>2</v>
      </c>
      <c r="J21" s="98">
        <f t="shared" si="4"/>
        <v>0</v>
      </c>
      <c r="K21" s="98">
        <f t="shared" si="4"/>
        <v>0</v>
      </c>
      <c r="L21" s="98">
        <f t="shared" si="4"/>
        <v>0</v>
      </c>
      <c r="M21" s="98">
        <f t="shared" si="4"/>
        <v>0</v>
      </c>
      <c r="N21" s="98">
        <f t="shared" si="4"/>
        <v>0</v>
      </c>
      <c r="O21" s="98"/>
      <c r="P21" s="101">
        <f t="shared" si="1"/>
        <v>9</v>
      </c>
      <c r="Q21" s="98"/>
      <c r="R21" s="247">
        <f t="shared" si="2"/>
        <v>5</v>
      </c>
      <c r="S21" s="250" cm="1">
        <f t="array" ref="S21">SUM(SUMIFS(TallyABV, TallyPeopleNames,$B21,TallyDrinkType,{"Beer","Cider"}))</f>
        <v>0.26500000000000001</v>
      </c>
      <c r="T21" s="249">
        <f t="shared" si="3"/>
        <v>5.3000000000000007</v>
      </c>
    </row>
    <row r="22" spans="2:20" ht="18" x14ac:dyDescent="0.2">
      <c r="B22" s="100" t="s">
        <v>687</v>
      </c>
      <c r="C22" s="98">
        <f t="shared" si="4"/>
        <v>4</v>
      </c>
      <c r="D22" s="98">
        <f t="shared" si="4"/>
        <v>0</v>
      </c>
      <c r="E22" s="98">
        <f t="shared" si="4"/>
        <v>0</v>
      </c>
      <c r="F22" s="98">
        <f t="shared" si="4"/>
        <v>0</v>
      </c>
      <c r="G22" s="98">
        <f t="shared" si="4"/>
        <v>0</v>
      </c>
      <c r="H22" s="98">
        <f t="shared" si="4"/>
        <v>2</v>
      </c>
      <c r="I22" s="98">
        <f t="shared" si="4"/>
        <v>1</v>
      </c>
      <c r="J22" s="98">
        <f t="shared" si="4"/>
        <v>0</v>
      </c>
      <c r="K22" s="98">
        <f t="shared" si="4"/>
        <v>0</v>
      </c>
      <c r="L22" s="98">
        <f t="shared" si="4"/>
        <v>0</v>
      </c>
      <c r="M22" s="98">
        <f t="shared" si="4"/>
        <v>0</v>
      </c>
      <c r="N22" s="98">
        <f t="shared" si="4"/>
        <v>0</v>
      </c>
      <c r="O22" s="98"/>
      <c r="P22" s="101">
        <f t="shared" si="1"/>
        <v>7</v>
      </c>
      <c r="Q22" s="98"/>
      <c r="R22" s="247">
        <f t="shared" si="2"/>
        <v>4</v>
      </c>
      <c r="S22" s="250" cm="1">
        <f t="array" ref="S22">SUM(SUMIFS(TallyABV, TallyPeopleNames,$B22,TallyDrinkType,{"Beer","Cider"}))</f>
        <v>0.18100000000000002</v>
      </c>
      <c r="T22" s="249">
        <f t="shared" si="3"/>
        <v>4.5250000000000004</v>
      </c>
    </row>
    <row r="23" spans="2:20" ht="18" x14ac:dyDescent="0.2">
      <c r="B23" s="100" t="s">
        <v>822</v>
      </c>
      <c r="C23" s="98">
        <f t="shared" ref="C23:N28" si="5">COUNTIFS(TallyPeopleNames,$B23, TallyDrinkType,C$2)</f>
        <v>0</v>
      </c>
      <c r="D23" s="98">
        <f t="shared" si="5"/>
        <v>0</v>
      </c>
      <c r="E23" s="98">
        <f t="shared" si="5"/>
        <v>0</v>
      </c>
      <c r="F23" s="98">
        <f t="shared" si="5"/>
        <v>0</v>
      </c>
      <c r="G23" s="98">
        <f t="shared" si="5"/>
        <v>0</v>
      </c>
      <c r="H23" s="98">
        <f t="shared" si="5"/>
        <v>3</v>
      </c>
      <c r="I23" s="98">
        <f t="shared" si="5"/>
        <v>0</v>
      </c>
      <c r="J23" s="98">
        <f t="shared" si="5"/>
        <v>1</v>
      </c>
      <c r="K23" s="98">
        <f t="shared" si="5"/>
        <v>0</v>
      </c>
      <c r="L23" s="98">
        <f t="shared" si="5"/>
        <v>0</v>
      </c>
      <c r="M23" s="98">
        <f t="shared" si="5"/>
        <v>0</v>
      </c>
      <c r="N23" s="98">
        <f t="shared" si="5"/>
        <v>0</v>
      </c>
      <c r="O23" s="98"/>
      <c r="P23" s="101">
        <f t="shared" si="1"/>
        <v>4</v>
      </c>
      <c r="Q23" s="98"/>
      <c r="R23" s="247">
        <f t="shared" si="2"/>
        <v>0</v>
      </c>
      <c r="S23" s="250" cm="1">
        <f t="array" ref="S23">SUM(SUMIFS(TallyABV, TallyPeopleNames,$B23,TallyDrinkType,{"Beer","Cider"}))</f>
        <v>0</v>
      </c>
      <c r="T23" s="249" t="e">
        <f t="shared" si="3"/>
        <v>#DIV/0!</v>
      </c>
    </row>
    <row r="24" spans="2:20" ht="18" x14ac:dyDescent="0.2">
      <c r="B24" s="100" t="s">
        <v>996</v>
      </c>
      <c r="C24" s="98">
        <f t="shared" si="5"/>
        <v>0</v>
      </c>
      <c r="D24" s="98">
        <f t="shared" si="5"/>
        <v>0</v>
      </c>
      <c r="E24" s="98">
        <f t="shared" si="5"/>
        <v>1</v>
      </c>
      <c r="F24" s="98">
        <f t="shared" si="5"/>
        <v>0</v>
      </c>
      <c r="G24" s="98">
        <f t="shared" si="5"/>
        <v>0</v>
      </c>
      <c r="H24" s="98">
        <f t="shared" si="5"/>
        <v>0</v>
      </c>
      <c r="I24" s="98">
        <f t="shared" si="5"/>
        <v>1</v>
      </c>
      <c r="J24" s="98">
        <f t="shared" si="5"/>
        <v>0</v>
      </c>
      <c r="K24" s="98">
        <f t="shared" si="5"/>
        <v>0</v>
      </c>
      <c r="L24" s="98">
        <f t="shared" si="5"/>
        <v>1</v>
      </c>
      <c r="M24" s="98">
        <f t="shared" si="5"/>
        <v>0</v>
      </c>
      <c r="N24" s="98">
        <f t="shared" si="5"/>
        <v>1</v>
      </c>
      <c r="O24" s="98"/>
      <c r="P24" s="101">
        <f t="shared" si="1"/>
        <v>4</v>
      </c>
      <c r="Q24" s="98"/>
      <c r="R24" s="247">
        <f t="shared" si="2"/>
        <v>0</v>
      </c>
      <c r="S24" s="250" cm="1">
        <f t="array" ref="S24">SUM(SUMIFS(TallyABV, TallyPeopleNames,$B24,TallyDrinkType,{"Beer","Cider"}))</f>
        <v>0</v>
      </c>
      <c r="T24" s="249" t="e">
        <f t="shared" si="3"/>
        <v>#DIV/0!</v>
      </c>
    </row>
    <row r="25" spans="2:20" ht="18" x14ac:dyDescent="0.2">
      <c r="B25" s="100" t="s">
        <v>1019</v>
      </c>
      <c r="C25" s="98">
        <f t="shared" si="5"/>
        <v>2</v>
      </c>
      <c r="D25" s="98">
        <f t="shared" si="5"/>
        <v>0</v>
      </c>
      <c r="E25" s="98">
        <f t="shared" si="5"/>
        <v>0</v>
      </c>
      <c r="F25" s="98">
        <f t="shared" si="5"/>
        <v>0</v>
      </c>
      <c r="G25" s="98">
        <f t="shared" si="5"/>
        <v>0</v>
      </c>
      <c r="H25" s="98">
        <f t="shared" si="5"/>
        <v>0</v>
      </c>
      <c r="I25" s="98">
        <f t="shared" si="5"/>
        <v>0</v>
      </c>
      <c r="J25" s="98">
        <f t="shared" si="5"/>
        <v>0</v>
      </c>
      <c r="K25" s="98">
        <f t="shared" si="5"/>
        <v>0</v>
      </c>
      <c r="L25" s="98">
        <f t="shared" si="5"/>
        <v>0</v>
      </c>
      <c r="M25" s="98">
        <f t="shared" si="5"/>
        <v>0</v>
      </c>
      <c r="N25" s="98">
        <f t="shared" si="5"/>
        <v>2</v>
      </c>
      <c r="O25" s="98"/>
      <c r="P25" s="101">
        <f t="shared" si="1"/>
        <v>4</v>
      </c>
      <c r="Q25" s="98"/>
      <c r="R25" s="247">
        <f t="shared" si="2"/>
        <v>2</v>
      </c>
      <c r="S25" s="250" cm="1">
        <f t="array" ref="S25">SUM(SUMIFS(TallyABV, TallyPeopleNames,$B25,TallyDrinkType,{"Beer","Cider"}))</f>
        <v>9.1999999999999998E-2</v>
      </c>
      <c r="T25" s="249">
        <f t="shared" si="3"/>
        <v>4.5999999999999996</v>
      </c>
    </row>
    <row r="26" spans="2:20" ht="18" x14ac:dyDescent="0.2">
      <c r="B26" s="30" t="s">
        <v>79</v>
      </c>
      <c r="C26" s="98">
        <f t="shared" si="5"/>
        <v>0</v>
      </c>
      <c r="D26" s="98">
        <f t="shared" si="5"/>
        <v>0</v>
      </c>
      <c r="E26" s="98">
        <f t="shared" si="5"/>
        <v>0</v>
      </c>
      <c r="F26" s="98">
        <f t="shared" si="5"/>
        <v>0</v>
      </c>
      <c r="G26" s="98">
        <f t="shared" si="5"/>
        <v>0</v>
      </c>
      <c r="H26" s="98">
        <f t="shared" si="5"/>
        <v>0</v>
      </c>
      <c r="I26" s="98">
        <f t="shared" si="5"/>
        <v>0</v>
      </c>
      <c r="J26" s="98">
        <f t="shared" si="5"/>
        <v>0</v>
      </c>
      <c r="K26" s="98">
        <f t="shared" si="5"/>
        <v>0</v>
      </c>
      <c r="L26" s="98">
        <f t="shared" si="5"/>
        <v>0</v>
      </c>
      <c r="M26" s="98">
        <f t="shared" si="5"/>
        <v>1</v>
      </c>
      <c r="N26" s="98">
        <f t="shared" si="5"/>
        <v>1</v>
      </c>
      <c r="O26" s="98"/>
      <c r="P26" s="101">
        <f t="shared" si="1"/>
        <v>2</v>
      </c>
      <c r="Q26" s="98"/>
      <c r="R26" s="247">
        <f t="shared" si="2"/>
        <v>0</v>
      </c>
      <c r="S26" s="250" cm="1">
        <f t="array" ref="S26">SUM(SUMIFS(TallyABV, TallyPeopleNames,$B26,TallyDrinkType,{"Beer","Cider"}))</f>
        <v>0</v>
      </c>
      <c r="T26" s="249" t="e">
        <f t="shared" si="3"/>
        <v>#DIV/0!</v>
      </c>
    </row>
    <row r="27" spans="2:20" ht="18" x14ac:dyDescent="0.2">
      <c r="B27" s="30" t="s">
        <v>409</v>
      </c>
      <c r="C27" s="98">
        <f t="shared" si="5"/>
        <v>0</v>
      </c>
      <c r="D27" s="98">
        <f t="shared" si="5"/>
        <v>0</v>
      </c>
      <c r="E27" s="98">
        <f t="shared" si="5"/>
        <v>0</v>
      </c>
      <c r="F27" s="98">
        <f t="shared" si="5"/>
        <v>0</v>
      </c>
      <c r="G27" s="98">
        <f t="shared" si="5"/>
        <v>0</v>
      </c>
      <c r="H27" s="98">
        <f t="shared" si="5"/>
        <v>0</v>
      </c>
      <c r="I27" s="98">
        <f t="shared" si="5"/>
        <v>0</v>
      </c>
      <c r="J27" s="98">
        <f t="shared" si="5"/>
        <v>0</v>
      </c>
      <c r="K27" s="98">
        <f t="shared" si="5"/>
        <v>0</v>
      </c>
      <c r="L27" s="98">
        <f t="shared" si="5"/>
        <v>0</v>
      </c>
      <c r="M27" s="98">
        <f t="shared" si="5"/>
        <v>1</v>
      </c>
      <c r="N27" s="98">
        <f t="shared" si="5"/>
        <v>0</v>
      </c>
      <c r="O27" s="98"/>
      <c r="P27" s="101">
        <f t="shared" si="1"/>
        <v>1</v>
      </c>
      <c r="Q27" s="98"/>
      <c r="R27" s="247">
        <f t="shared" si="2"/>
        <v>0</v>
      </c>
      <c r="S27" s="250" cm="1">
        <f t="array" ref="S27">SUM(SUMIFS(TallyABV, TallyPeopleNames,$B27,TallyDrinkType,{"Beer","Cider"}))</f>
        <v>0</v>
      </c>
      <c r="T27" s="249" t="e">
        <f t="shared" si="3"/>
        <v>#DIV/0!</v>
      </c>
    </row>
    <row r="28" spans="2:20" ht="19" thickBot="1" x14ac:dyDescent="0.25">
      <c r="B28" s="31" t="s">
        <v>424</v>
      </c>
      <c r="C28" s="131">
        <f t="shared" si="5"/>
        <v>0</v>
      </c>
      <c r="D28" s="102">
        <f t="shared" si="5"/>
        <v>0</v>
      </c>
      <c r="E28" s="102">
        <f t="shared" si="5"/>
        <v>0</v>
      </c>
      <c r="F28" s="102">
        <f t="shared" si="5"/>
        <v>0</v>
      </c>
      <c r="G28" s="102">
        <f t="shared" si="5"/>
        <v>0</v>
      </c>
      <c r="H28" s="102">
        <f t="shared" si="5"/>
        <v>0</v>
      </c>
      <c r="I28" s="102">
        <f t="shared" si="5"/>
        <v>0</v>
      </c>
      <c r="J28" s="102">
        <f t="shared" si="5"/>
        <v>0</v>
      </c>
      <c r="K28" s="102">
        <f t="shared" si="5"/>
        <v>0</v>
      </c>
      <c r="L28" s="102">
        <f t="shared" si="5"/>
        <v>0</v>
      </c>
      <c r="M28" s="102">
        <f t="shared" si="5"/>
        <v>1</v>
      </c>
      <c r="N28" s="102">
        <f t="shared" si="5"/>
        <v>0</v>
      </c>
      <c r="O28" s="102"/>
      <c r="P28" s="103">
        <f t="shared" si="1"/>
        <v>1</v>
      </c>
      <c r="Q28" s="98"/>
      <c r="R28" s="251">
        <f t="shared" si="2"/>
        <v>0</v>
      </c>
      <c r="S28" s="252" cm="1">
        <f t="array" ref="S28">SUM(SUMIFS(TallyABV, TallyPeopleNames,$B28,TallyDrinkType,{"Beer","Cider"}))</f>
        <v>0</v>
      </c>
      <c r="T28" s="253" t="e">
        <f t="shared" si="3"/>
        <v>#DIV/0!</v>
      </c>
    </row>
    <row r="30" spans="2:20" ht="20" x14ac:dyDescent="0.15">
      <c r="B30" s="151"/>
      <c r="C30" s="152"/>
      <c r="D30" s="152"/>
      <c r="E30" s="152"/>
      <c r="F30" s="152"/>
      <c r="G30" s="152"/>
      <c r="H30" s="152"/>
    </row>
    <row r="31" spans="2:20" x14ac:dyDescent="0.15">
      <c r="B31" s="50"/>
      <c r="C31" s="136"/>
      <c r="D31" s="50"/>
      <c r="E31" s="50"/>
      <c r="F31" s="50"/>
      <c r="G31" s="50"/>
      <c r="H31" s="50"/>
    </row>
    <row r="32" spans="2:20" x14ac:dyDescent="0.15">
      <c r="B32" s="50"/>
      <c r="C32" s="50"/>
      <c r="D32" s="50"/>
      <c r="E32" s="50"/>
      <c r="F32" s="50"/>
      <c r="G32" s="50"/>
      <c r="H32" s="50"/>
    </row>
    <row r="33" spans="2:8" x14ac:dyDescent="0.15">
      <c r="B33" s="50"/>
      <c r="C33" s="50"/>
      <c r="D33" s="50"/>
      <c r="E33" s="50"/>
      <c r="F33" s="50"/>
      <c r="G33" s="50"/>
      <c r="H33" s="50"/>
    </row>
    <row r="34" spans="2:8" x14ac:dyDescent="0.15">
      <c r="B34" s="50"/>
      <c r="C34" s="50"/>
      <c r="D34" s="50"/>
      <c r="E34" s="50"/>
      <c r="F34" s="50"/>
      <c r="G34" s="50"/>
      <c r="H34" s="50"/>
    </row>
    <row r="35" spans="2:8" x14ac:dyDescent="0.15">
      <c r="B35" s="50"/>
      <c r="C35" s="50"/>
      <c r="D35" s="50"/>
      <c r="E35" s="50"/>
      <c r="F35" s="50"/>
      <c r="G35" s="50"/>
      <c r="H35" s="50"/>
    </row>
    <row r="36" spans="2:8" x14ac:dyDescent="0.15">
      <c r="B36" s="50"/>
      <c r="C36" s="50"/>
      <c r="D36" s="50"/>
      <c r="E36" s="50"/>
      <c r="F36" s="50"/>
      <c r="G36" s="50"/>
      <c r="H36" s="50"/>
    </row>
    <row r="37" spans="2:8" x14ac:dyDescent="0.15">
      <c r="B37" s="50"/>
      <c r="C37" s="50"/>
      <c r="D37" s="50"/>
      <c r="E37" s="50"/>
      <c r="F37" s="50"/>
      <c r="G37" s="50"/>
      <c r="H37" s="50"/>
    </row>
    <row r="38" spans="2:8" x14ac:dyDescent="0.15">
      <c r="B38" s="50"/>
      <c r="C38" s="50"/>
      <c r="D38" s="50"/>
      <c r="E38" s="50"/>
      <c r="F38" s="50"/>
      <c r="G38" s="50"/>
      <c r="H38" s="50"/>
    </row>
    <row r="39" spans="2:8" x14ac:dyDescent="0.15">
      <c r="B39" s="50"/>
      <c r="C39" s="50"/>
      <c r="D39" s="50"/>
      <c r="E39" s="50"/>
      <c r="F39" s="50"/>
      <c r="G39" s="50"/>
      <c r="H39" s="50"/>
    </row>
    <row r="40" spans="2:8" x14ac:dyDescent="0.15">
      <c r="B40" s="50"/>
      <c r="C40" s="50"/>
      <c r="D40" s="50"/>
      <c r="E40" s="50"/>
      <c r="F40" s="50"/>
      <c r="G40" s="50"/>
      <c r="H40" s="50"/>
    </row>
    <row r="41" spans="2:8" x14ac:dyDescent="0.15">
      <c r="B41" s="50"/>
      <c r="C41" s="50"/>
      <c r="D41" s="50"/>
      <c r="E41" s="50"/>
      <c r="F41" s="50"/>
      <c r="G41" s="50"/>
      <c r="H41" s="50"/>
    </row>
    <row r="42" spans="2:8" x14ac:dyDescent="0.15">
      <c r="B42" s="50"/>
      <c r="C42" s="50"/>
      <c r="D42" s="50"/>
      <c r="E42" s="50"/>
      <c r="F42" s="50"/>
      <c r="G42" s="50"/>
      <c r="H42" s="50"/>
    </row>
    <row r="43" spans="2:8" x14ac:dyDescent="0.15">
      <c r="B43" s="50"/>
      <c r="C43" s="50"/>
      <c r="D43" s="50"/>
      <c r="E43" s="50"/>
      <c r="F43" s="50"/>
      <c r="G43" s="50"/>
      <c r="H43" s="50"/>
    </row>
    <row r="44" spans="2:8" x14ac:dyDescent="0.15">
      <c r="B44" s="50"/>
      <c r="C44" s="50"/>
      <c r="D44" s="50"/>
      <c r="E44" s="50"/>
      <c r="F44" s="50"/>
      <c r="G44" s="50"/>
      <c r="H44" s="50"/>
    </row>
    <row r="45" spans="2:8" x14ac:dyDescent="0.15">
      <c r="B45" s="50"/>
      <c r="C45" s="50"/>
      <c r="D45" s="50"/>
      <c r="E45" s="50"/>
      <c r="F45" s="50"/>
      <c r="G45" s="50"/>
      <c r="H45" s="50"/>
    </row>
    <row r="46" spans="2:8" x14ac:dyDescent="0.15">
      <c r="B46" s="50"/>
      <c r="C46" s="50"/>
      <c r="D46" s="50"/>
      <c r="E46" s="50"/>
      <c r="F46" s="50"/>
      <c r="G46" s="50"/>
      <c r="H46" s="50"/>
    </row>
    <row r="47" spans="2:8" x14ac:dyDescent="0.15">
      <c r="B47" s="50"/>
      <c r="C47" s="50"/>
      <c r="D47" s="50"/>
      <c r="E47" s="50"/>
      <c r="F47" s="50"/>
      <c r="G47" s="50"/>
      <c r="H47" s="50"/>
    </row>
    <row r="48" spans="2:8" x14ac:dyDescent="0.15">
      <c r="B48" s="50"/>
      <c r="C48" s="50"/>
      <c r="D48" s="50"/>
      <c r="E48" s="50"/>
      <c r="F48" s="50"/>
      <c r="G48" s="50"/>
      <c r="H48" s="50"/>
    </row>
    <row r="49" spans="2:8" x14ac:dyDescent="0.15">
      <c r="B49" s="50"/>
      <c r="C49" s="50"/>
      <c r="D49" s="50"/>
      <c r="E49" s="50"/>
      <c r="F49" s="50"/>
      <c r="G49" s="50"/>
      <c r="H49" s="50"/>
    </row>
    <row r="50" spans="2:8" x14ac:dyDescent="0.15">
      <c r="B50" s="50"/>
      <c r="C50" s="50"/>
      <c r="D50" s="50"/>
      <c r="E50" s="50"/>
      <c r="F50" s="50"/>
      <c r="G50" s="50"/>
      <c r="H50" s="50"/>
    </row>
  </sheetData>
  <sortState xmlns:xlrd2="http://schemas.microsoft.com/office/spreadsheetml/2017/richdata2" ref="B3:P28">
    <sortCondition descending="1" ref="P3:P28"/>
  </sortState>
  <conditionalFormatting sqref="O3:O28">
    <cfRule type="dataBar" priority="20">
      <dataBar>
        <cfvo type="min"/>
        <cfvo type="max"/>
        <color rgb="FF63C384"/>
      </dataBar>
      <extLst>
        <ext xmlns:x14="http://schemas.microsoft.com/office/spreadsheetml/2009/9/main" uri="{B025F937-C7B1-47D3-B67F-A62EFF666E3E}">
          <x14:id>{7F809571-755B-B541-9809-A5626B3BFAF2}</x14:id>
        </ext>
      </extLst>
    </cfRule>
  </conditionalFormatting>
  <conditionalFormatting sqref="P3:Q28">
    <cfRule type="dataBar" priority="19">
      <dataBar>
        <cfvo type="min"/>
        <cfvo type="max"/>
        <color rgb="FF63C384"/>
      </dataBar>
      <extLst>
        <ext xmlns:x14="http://schemas.microsoft.com/office/spreadsheetml/2009/9/main" uri="{B025F937-C7B1-47D3-B67F-A62EFF666E3E}">
          <x14:id>{641D3B68-3CE6-9B4F-B9E0-F8EE5622BC96}</x14:id>
        </ext>
      </extLst>
    </cfRule>
  </conditionalFormatting>
  <conditionalFormatting sqref="C3:N28">
    <cfRule type="dataBar" priority="18">
      <dataBar>
        <cfvo type="min"/>
        <cfvo type="max"/>
        <color rgb="FF63C384"/>
      </dataBar>
      <extLst>
        <ext xmlns:x14="http://schemas.microsoft.com/office/spreadsheetml/2009/9/main" uri="{B025F937-C7B1-47D3-B67F-A62EFF666E3E}">
          <x14:id>{832512E9-4E51-794B-A80D-F7D4C77C0F44}</x14:id>
        </ext>
      </extLst>
    </cfRule>
  </conditionalFormatting>
  <conditionalFormatting sqref="C3:N28">
    <cfRule type="dataBar" priority="17">
      <dataBar>
        <cfvo type="min"/>
        <cfvo type="max"/>
        <color rgb="FF63C384"/>
      </dataBar>
      <extLst>
        <ext xmlns:x14="http://schemas.microsoft.com/office/spreadsheetml/2009/9/main" uri="{B025F937-C7B1-47D3-B67F-A62EFF666E3E}">
          <x14:id>{F0D0DA10-036D-2B46-8C6B-AB8689959368}</x14:id>
        </ext>
      </extLst>
    </cfRule>
  </conditionalFormatting>
  <conditionalFormatting sqref="C28:N28">
    <cfRule type="dataBar" priority="16">
      <dataBar>
        <cfvo type="min"/>
        <cfvo type="max"/>
        <color rgb="FF63C384"/>
      </dataBar>
      <extLst>
        <ext xmlns:x14="http://schemas.microsoft.com/office/spreadsheetml/2009/9/main" uri="{B025F937-C7B1-47D3-B67F-A62EFF666E3E}">
          <x14:id>{324317C5-1E78-154C-B5AB-6AC28BB383B9}</x14:id>
        </ext>
      </extLst>
    </cfRule>
  </conditionalFormatting>
  <conditionalFormatting sqref="C4:N4 E5:E25 N3:N28">
    <cfRule type="dataBar" priority="15">
      <dataBar>
        <cfvo type="min"/>
        <cfvo type="max"/>
        <color rgb="FF63C384"/>
      </dataBar>
      <extLst>
        <ext xmlns:x14="http://schemas.microsoft.com/office/spreadsheetml/2009/9/main" uri="{B025F937-C7B1-47D3-B67F-A62EFF666E3E}">
          <x14:id>{289909C4-005A-DE44-A673-16AC96314784}</x14:id>
        </ext>
      </extLst>
    </cfRule>
  </conditionalFormatting>
  <conditionalFormatting sqref="C5:N5">
    <cfRule type="dataBar" priority="14">
      <dataBar>
        <cfvo type="min"/>
        <cfvo type="max"/>
        <color rgb="FF63C384"/>
      </dataBar>
      <extLst>
        <ext xmlns:x14="http://schemas.microsoft.com/office/spreadsheetml/2009/9/main" uri="{B025F937-C7B1-47D3-B67F-A62EFF666E3E}">
          <x14:id>{B5DFC6C0-76A9-E54A-88F1-341568D5EAE4}</x14:id>
        </ext>
      </extLst>
    </cfRule>
  </conditionalFormatting>
  <conditionalFormatting sqref="C6:N6">
    <cfRule type="dataBar" priority="13">
      <dataBar>
        <cfvo type="min"/>
        <cfvo type="max"/>
        <color rgb="FF63C384"/>
      </dataBar>
      <extLst>
        <ext xmlns:x14="http://schemas.microsoft.com/office/spreadsheetml/2009/9/main" uri="{B025F937-C7B1-47D3-B67F-A62EFF666E3E}">
          <x14:id>{0179AFE2-688A-DC46-8F07-C8D4FC3720CA}</x14:id>
        </ext>
      </extLst>
    </cfRule>
  </conditionalFormatting>
  <conditionalFormatting sqref="C3:C28">
    <cfRule type="dataBar" priority="12">
      <dataBar>
        <cfvo type="min"/>
        <cfvo type="max"/>
        <color rgb="FF63C384"/>
      </dataBar>
      <extLst>
        <ext xmlns:x14="http://schemas.microsoft.com/office/spreadsheetml/2009/9/main" uri="{B025F937-C7B1-47D3-B67F-A62EFF666E3E}">
          <x14:id>{E1556FCD-A90B-204D-9CD1-B160BABAC074}</x14:id>
        </ext>
      </extLst>
    </cfRule>
  </conditionalFormatting>
  <conditionalFormatting sqref="D3:D28">
    <cfRule type="dataBar" priority="11">
      <dataBar>
        <cfvo type="min"/>
        <cfvo type="max"/>
        <color rgb="FF63C384"/>
      </dataBar>
      <extLst>
        <ext xmlns:x14="http://schemas.microsoft.com/office/spreadsheetml/2009/9/main" uri="{B025F937-C7B1-47D3-B67F-A62EFF666E3E}">
          <x14:id>{DE1D8F49-9999-B74E-BE2A-AD0381B63067}</x14:id>
        </ext>
      </extLst>
    </cfRule>
  </conditionalFormatting>
  <conditionalFormatting sqref="E3:E28">
    <cfRule type="dataBar" priority="10">
      <dataBar>
        <cfvo type="min"/>
        <cfvo type="max"/>
        <color rgb="FF63C384"/>
      </dataBar>
      <extLst>
        <ext xmlns:x14="http://schemas.microsoft.com/office/spreadsheetml/2009/9/main" uri="{B025F937-C7B1-47D3-B67F-A62EFF666E3E}">
          <x14:id>{D43373B9-08DC-0C47-BCC3-A905584074BD}</x14:id>
        </ext>
      </extLst>
    </cfRule>
  </conditionalFormatting>
  <conditionalFormatting sqref="F3:F28">
    <cfRule type="dataBar" priority="9">
      <dataBar>
        <cfvo type="min"/>
        <cfvo type="max"/>
        <color rgb="FF63C384"/>
      </dataBar>
      <extLst>
        <ext xmlns:x14="http://schemas.microsoft.com/office/spreadsheetml/2009/9/main" uri="{B025F937-C7B1-47D3-B67F-A62EFF666E3E}">
          <x14:id>{00E5FFAC-4A16-2541-8DA9-91AA9774FF1B}</x14:id>
        </ext>
      </extLst>
    </cfRule>
  </conditionalFormatting>
  <conditionalFormatting sqref="G3:G28">
    <cfRule type="dataBar" priority="8">
      <dataBar>
        <cfvo type="min"/>
        <cfvo type="max"/>
        <color rgb="FF63C384"/>
      </dataBar>
      <extLst>
        <ext xmlns:x14="http://schemas.microsoft.com/office/spreadsheetml/2009/9/main" uri="{B025F937-C7B1-47D3-B67F-A62EFF666E3E}">
          <x14:id>{14B3D929-0610-7747-94AC-EB83D55A402C}</x14:id>
        </ext>
      </extLst>
    </cfRule>
  </conditionalFormatting>
  <conditionalFormatting sqref="H3:H28">
    <cfRule type="dataBar" priority="7">
      <dataBar>
        <cfvo type="min"/>
        <cfvo type="max"/>
        <color rgb="FF63C384"/>
      </dataBar>
      <extLst>
        <ext xmlns:x14="http://schemas.microsoft.com/office/spreadsheetml/2009/9/main" uri="{B025F937-C7B1-47D3-B67F-A62EFF666E3E}">
          <x14:id>{928BD263-09E1-3547-BEA9-5579E410120C}</x14:id>
        </ext>
      </extLst>
    </cfRule>
  </conditionalFormatting>
  <conditionalFormatting sqref="I3:I28">
    <cfRule type="dataBar" priority="6">
      <dataBar>
        <cfvo type="min"/>
        <cfvo type="max"/>
        <color rgb="FF63C384"/>
      </dataBar>
      <extLst>
        <ext xmlns:x14="http://schemas.microsoft.com/office/spreadsheetml/2009/9/main" uri="{B025F937-C7B1-47D3-B67F-A62EFF666E3E}">
          <x14:id>{C1FB4139-1DE1-DE44-9F2E-9C1C412F4132}</x14:id>
        </ext>
      </extLst>
    </cfRule>
  </conditionalFormatting>
  <conditionalFormatting sqref="J3:J28">
    <cfRule type="dataBar" priority="5">
      <dataBar>
        <cfvo type="min"/>
        <cfvo type="max"/>
        <color rgb="FF63C384"/>
      </dataBar>
      <extLst>
        <ext xmlns:x14="http://schemas.microsoft.com/office/spreadsheetml/2009/9/main" uri="{B025F937-C7B1-47D3-B67F-A62EFF666E3E}">
          <x14:id>{74FC586B-D374-D944-824B-2EFC0CE6F88D}</x14:id>
        </ext>
      </extLst>
    </cfRule>
  </conditionalFormatting>
  <conditionalFormatting sqref="K3:K28">
    <cfRule type="dataBar" priority="4">
      <dataBar>
        <cfvo type="min"/>
        <cfvo type="max"/>
        <color rgb="FF63C384"/>
      </dataBar>
      <extLst>
        <ext xmlns:x14="http://schemas.microsoft.com/office/spreadsheetml/2009/9/main" uri="{B025F937-C7B1-47D3-B67F-A62EFF666E3E}">
          <x14:id>{80071805-64CF-E84F-B602-2E2F1F34700D}</x14:id>
        </ext>
      </extLst>
    </cfRule>
  </conditionalFormatting>
  <conditionalFormatting sqref="L3:L28">
    <cfRule type="dataBar" priority="3">
      <dataBar>
        <cfvo type="min"/>
        <cfvo type="max"/>
        <color rgb="FF63C384"/>
      </dataBar>
      <extLst>
        <ext xmlns:x14="http://schemas.microsoft.com/office/spreadsheetml/2009/9/main" uri="{B025F937-C7B1-47D3-B67F-A62EFF666E3E}">
          <x14:id>{BF698EBE-2FD2-C54D-8D22-5AA57AFF15A5}</x14:id>
        </ext>
      </extLst>
    </cfRule>
  </conditionalFormatting>
  <conditionalFormatting sqref="M3:M28">
    <cfRule type="dataBar" priority="2">
      <dataBar>
        <cfvo type="min"/>
        <cfvo type="max"/>
        <color rgb="FF63C384"/>
      </dataBar>
      <extLst>
        <ext xmlns:x14="http://schemas.microsoft.com/office/spreadsheetml/2009/9/main" uri="{B025F937-C7B1-47D3-B67F-A62EFF666E3E}">
          <x14:id>{CF947DA2-F2BE-EE42-8F8D-854A1C9E4B2C}</x14:id>
        </ext>
      </extLst>
    </cfRule>
  </conditionalFormatting>
  <conditionalFormatting sqref="N3:N28">
    <cfRule type="dataBar" priority="1">
      <dataBar>
        <cfvo type="min"/>
        <cfvo type="max"/>
        <color rgb="FF63C384"/>
      </dataBar>
      <extLst>
        <ext xmlns:x14="http://schemas.microsoft.com/office/spreadsheetml/2009/9/main" uri="{B025F937-C7B1-47D3-B67F-A62EFF666E3E}">
          <x14:id>{B43180CA-6220-2846-AA30-A7015A7A1DF9}</x14:id>
        </ext>
      </extLst>
    </cfRule>
  </conditionalFormatting>
  <dataValidations count="3">
    <dataValidation type="list" allowBlank="1" sqref="B22:B26" xr:uid="{7179362B-9D9B-8B4D-9E97-813F0B7F4469}">
      <formula1>$B$3:$B$27</formula1>
    </dataValidation>
    <dataValidation type="list" allowBlank="1" showInputMessage="1" showErrorMessage="1" promptTitle="Person" sqref="B31" xr:uid="{1555C051-6F0F-CC4D-985B-A35A504D734B}">
      <formula1>$B$2:$B$28</formula1>
    </dataValidation>
    <dataValidation type="list" allowBlank="1" showInputMessage="1" showErrorMessage="1" sqref="B32" xr:uid="{E462F16C-9C41-CC41-9D21-6C062A80DFE0}">
      <formula1>$B$2:$N$2</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F809571-755B-B541-9809-A5626B3BFAF2}">
            <x14:dataBar minLength="0" maxLength="100" border="1" negativeBarBorderColorSameAsPositive="0">
              <x14:cfvo type="autoMin"/>
              <x14:cfvo type="autoMax"/>
              <x14:borderColor rgb="FF63C384"/>
              <x14:negativeFillColor rgb="FFFF0000"/>
              <x14:negativeBorderColor rgb="FFFF0000"/>
              <x14:axisColor rgb="FF000000"/>
            </x14:dataBar>
          </x14:cfRule>
          <xm:sqref>O3:O28</xm:sqref>
        </x14:conditionalFormatting>
        <x14:conditionalFormatting xmlns:xm="http://schemas.microsoft.com/office/excel/2006/main">
          <x14:cfRule type="dataBar" id="{641D3B68-3CE6-9B4F-B9E0-F8EE5622BC96}">
            <x14:dataBar minLength="0" maxLength="100" border="1" negativeBarBorderColorSameAsPositive="0">
              <x14:cfvo type="autoMin"/>
              <x14:cfvo type="autoMax"/>
              <x14:borderColor rgb="FF63C384"/>
              <x14:negativeFillColor rgb="FFFF0000"/>
              <x14:negativeBorderColor rgb="FFFF0000"/>
              <x14:axisColor rgb="FF000000"/>
            </x14:dataBar>
          </x14:cfRule>
          <xm:sqref>P3:Q28</xm:sqref>
        </x14:conditionalFormatting>
        <x14:conditionalFormatting xmlns:xm="http://schemas.microsoft.com/office/excel/2006/main">
          <x14:cfRule type="dataBar" id="{832512E9-4E51-794B-A80D-F7D4C77C0F44}">
            <x14:dataBar minLength="0" maxLength="100" border="1" negativeBarBorderColorSameAsPositive="0">
              <x14:cfvo type="autoMin"/>
              <x14:cfvo type="autoMax"/>
              <x14:borderColor rgb="FF63C384"/>
              <x14:negativeFillColor rgb="FFFF0000"/>
              <x14:negativeBorderColor rgb="FFFF0000"/>
              <x14:axisColor rgb="FF000000"/>
            </x14:dataBar>
          </x14:cfRule>
          <xm:sqref>C3:N28</xm:sqref>
        </x14:conditionalFormatting>
        <x14:conditionalFormatting xmlns:xm="http://schemas.microsoft.com/office/excel/2006/main">
          <x14:cfRule type="dataBar" id="{F0D0DA10-036D-2B46-8C6B-AB8689959368}">
            <x14:dataBar minLength="0" maxLength="100" border="1" negativeBarBorderColorSameAsPositive="0">
              <x14:cfvo type="autoMin"/>
              <x14:cfvo type="autoMax"/>
              <x14:borderColor rgb="FF63C384"/>
              <x14:negativeFillColor rgb="FFFF0000"/>
              <x14:negativeBorderColor rgb="FFFF0000"/>
              <x14:axisColor rgb="FF000000"/>
            </x14:dataBar>
          </x14:cfRule>
          <xm:sqref>C3:N28</xm:sqref>
        </x14:conditionalFormatting>
        <x14:conditionalFormatting xmlns:xm="http://schemas.microsoft.com/office/excel/2006/main">
          <x14:cfRule type="dataBar" id="{324317C5-1E78-154C-B5AB-6AC28BB383B9}">
            <x14:dataBar minLength="0" maxLength="100" border="1" negativeBarBorderColorSameAsPositive="0">
              <x14:cfvo type="autoMin"/>
              <x14:cfvo type="autoMax"/>
              <x14:borderColor rgb="FF63C384"/>
              <x14:negativeFillColor rgb="FFFF0000"/>
              <x14:negativeBorderColor rgb="FFFF0000"/>
              <x14:axisColor rgb="FF000000"/>
            </x14:dataBar>
          </x14:cfRule>
          <xm:sqref>C28:N28</xm:sqref>
        </x14:conditionalFormatting>
        <x14:conditionalFormatting xmlns:xm="http://schemas.microsoft.com/office/excel/2006/main">
          <x14:cfRule type="dataBar" id="{289909C4-005A-DE44-A673-16AC96314784}">
            <x14:dataBar minLength="0" maxLength="100" border="1" negativeBarBorderColorSameAsPositive="0">
              <x14:cfvo type="autoMin"/>
              <x14:cfvo type="autoMax"/>
              <x14:borderColor rgb="FF63C384"/>
              <x14:negativeFillColor rgb="FFFF0000"/>
              <x14:negativeBorderColor rgb="FFFF0000"/>
              <x14:axisColor rgb="FF000000"/>
            </x14:dataBar>
          </x14:cfRule>
          <xm:sqref>C4:N4 E5:E25 N3:N28</xm:sqref>
        </x14:conditionalFormatting>
        <x14:conditionalFormatting xmlns:xm="http://schemas.microsoft.com/office/excel/2006/main">
          <x14:cfRule type="dataBar" id="{B5DFC6C0-76A9-E54A-88F1-341568D5EAE4}">
            <x14:dataBar minLength="0" maxLength="100" border="1" negativeBarBorderColorSameAsPositive="0">
              <x14:cfvo type="autoMin"/>
              <x14:cfvo type="autoMax"/>
              <x14:borderColor rgb="FF63C384"/>
              <x14:negativeFillColor rgb="FFFF0000"/>
              <x14:negativeBorderColor rgb="FFFF0000"/>
              <x14:axisColor rgb="FF000000"/>
            </x14:dataBar>
          </x14:cfRule>
          <xm:sqref>C5:N5</xm:sqref>
        </x14:conditionalFormatting>
        <x14:conditionalFormatting xmlns:xm="http://schemas.microsoft.com/office/excel/2006/main">
          <x14:cfRule type="dataBar" id="{0179AFE2-688A-DC46-8F07-C8D4FC3720CA}">
            <x14:dataBar minLength="0" maxLength="100" border="1" negativeBarBorderColorSameAsPositive="0">
              <x14:cfvo type="autoMin"/>
              <x14:cfvo type="autoMax"/>
              <x14:borderColor rgb="FF63C384"/>
              <x14:negativeFillColor rgb="FFFF0000"/>
              <x14:negativeBorderColor rgb="FFFF0000"/>
              <x14:axisColor rgb="FF000000"/>
            </x14:dataBar>
          </x14:cfRule>
          <xm:sqref>C6:N6</xm:sqref>
        </x14:conditionalFormatting>
        <x14:conditionalFormatting xmlns:xm="http://schemas.microsoft.com/office/excel/2006/main">
          <x14:cfRule type="dataBar" id="{E1556FCD-A90B-204D-9CD1-B160BABAC074}">
            <x14:dataBar minLength="0" maxLength="100" border="1" negativeBarBorderColorSameAsPositive="0">
              <x14:cfvo type="autoMin"/>
              <x14:cfvo type="autoMax"/>
              <x14:borderColor rgb="FF63C384"/>
              <x14:negativeFillColor rgb="FFFF0000"/>
              <x14:negativeBorderColor rgb="FFFF0000"/>
              <x14:axisColor rgb="FF000000"/>
            </x14:dataBar>
          </x14:cfRule>
          <xm:sqref>C3:C28</xm:sqref>
        </x14:conditionalFormatting>
        <x14:conditionalFormatting xmlns:xm="http://schemas.microsoft.com/office/excel/2006/main">
          <x14:cfRule type="dataBar" id="{DE1D8F49-9999-B74E-BE2A-AD0381B63067}">
            <x14:dataBar minLength="0" maxLength="100" border="1" negativeBarBorderColorSameAsPositive="0">
              <x14:cfvo type="autoMin"/>
              <x14:cfvo type="autoMax"/>
              <x14:borderColor rgb="FF63C384"/>
              <x14:negativeFillColor rgb="FFFF0000"/>
              <x14:negativeBorderColor rgb="FFFF0000"/>
              <x14:axisColor rgb="FF000000"/>
            </x14:dataBar>
          </x14:cfRule>
          <xm:sqref>D3:D28</xm:sqref>
        </x14:conditionalFormatting>
        <x14:conditionalFormatting xmlns:xm="http://schemas.microsoft.com/office/excel/2006/main">
          <x14:cfRule type="dataBar" id="{D43373B9-08DC-0C47-BCC3-A905584074BD}">
            <x14:dataBar minLength="0" maxLength="100" border="1" negativeBarBorderColorSameAsPositive="0">
              <x14:cfvo type="autoMin"/>
              <x14:cfvo type="autoMax"/>
              <x14:borderColor rgb="FF63C384"/>
              <x14:negativeFillColor rgb="FFFF0000"/>
              <x14:negativeBorderColor rgb="FFFF0000"/>
              <x14:axisColor rgb="FF000000"/>
            </x14:dataBar>
          </x14:cfRule>
          <xm:sqref>E3:E28</xm:sqref>
        </x14:conditionalFormatting>
        <x14:conditionalFormatting xmlns:xm="http://schemas.microsoft.com/office/excel/2006/main">
          <x14:cfRule type="dataBar" id="{00E5FFAC-4A16-2541-8DA9-91AA9774FF1B}">
            <x14:dataBar minLength="0" maxLength="100" border="1" negativeBarBorderColorSameAsPositive="0">
              <x14:cfvo type="autoMin"/>
              <x14:cfvo type="autoMax"/>
              <x14:borderColor rgb="FF63C384"/>
              <x14:negativeFillColor rgb="FFFF0000"/>
              <x14:negativeBorderColor rgb="FFFF0000"/>
              <x14:axisColor rgb="FF000000"/>
            </x14:dataBar>
          </x14:cfRule>
          <xm:sqref>F3:F28</xm:sqref>
        </x14:conditionalFormatting>
        <x14:conditionalFormatting xmlns:xm="http://schemas.microsoft.com/office/excel/2006/main">
          <x14:cfRule type="dataBar" id="{14B3D929-0610-7747-94AC-EB83D55A402C}">
            <x14:dataBar minLength="0" maxLength="100" border="1" negativeBarBorderColorSameAsPositive="0">
              <x14:cfvo type="autoMin"/>
              <x14:cfvo type="autoMax"/>
              <x14:borderColor rgb="FF63C384"/>
              <x14:negativeFillColor rgb="FFFF0000"/>
              <x14:negativeBorderColor rgb="FFFF0000"/>
              <x14:axisColor rgb="FF000000"/>
            </x14:dataBar>
          </x14:cfRule>
          <xm:sqref>G3:G28</xm:sqref>
        </x14:conditionalFormatting>
        <x14:conditionalFormatting xmlns:xm="http://schemas.microsoft.com/office/excel/2006/main">
          <x14:cfRule type="dataBar" id="{928BD263-09E1-3547-BEA9-5579E410120C}">
            <x14:dataBar minLength="0" maxLength="100" border="1" negativeBarBorderColorSameAsPositive="0">
              <x14:cfvo type="autoMin"/>
              <x14:cfvo type="autoMax"/>
              <x14:borderColor rgb="FF63C384"/>
              <x14:negativeFillColor rgb="FFFF0000"/>
              <x14:negativeBorderColor rgb="FFFF0000"/>
              <x14:axisColor rgb="FF000000"/>
            </x14:dataBar>
          </x14:cfRule>
          <xm:sqref>H3:H28</xm:sqref>
        </x14:conditionalFormatting>
        <x14:conditionalFormatting xmlns:xm="http://schemas.microsoft.com/office/excel/2006/main">
          <x14:cfRule type="dataBar" id="{C1FB4139-1DE1-DE44-9F2E-9C1C412F4132}">
            <x14:dataBar minLength="0" maxLength="100" border="1" negativeBarBorderColorSameAsPositive="0">
              <x14:cfvo type="autoMin"/>
              <x14:cfvo type="autoMax"/>
              <x14:borderColor rgb="FF63C384"/>
              <x14:negativeFillColor rgb="FFFF0000"/>
              <x14:negativeBorderColor rgb="FFFF0000"/>
              <x14:axisColor rgb="FF000000"/>
            </x14:dataBar>
          </x14:cfRule>
          <xm:sqref>I3:I28</xm:sqref>
        </x14:conditionalFormatting>
        <x14:conditionalFormatting xmlns:xm="http://schemas.microsoft.com/office/excel/2006/main">
          <x14:cfRule type="dataBar" id="{74FC586B-D374-D944-824B-2EFC0CE6F88D}">
            <x14:dataBar minLength="0" maxLength="100" border="1" negativeBarBorderColorSameAsPositive="0">
              <x14:cfvo type="autoMin"/>
              <x14:cfvo type="autoMax"/>
              <x14:borderColor rgb="FF63C384"/>
              <x14:negativeFillColor rgb="FFFF0000"/>
              <x14:negativeBorderColor rgb="FFFF0000"/>
              <x14:axisColor rgb="FF000000"/>
            </x14:dataBar>
          </x14:cfRule>
          <xm:sqref>J3:J28</xm:sqref>
        </x14:conditionalFormatting>
        <x14:conditionalFormatting xmlns:xm="http://schemas.microsoft.com/office/excel/2006/main">
          <x14:cfRule type="dataBar" id="{80071805-64CF-E84F-B602-2E2F1F34700D}">
            <x14:dataBar minLength="0" maxLength="100" border="1" negativeBarBorderColorSameAsPositive="0">
              <x14:cfvo type="autoMin"/>
              <x14:cfvo type="autoMax"/>
              <x14:borderColor rgb="FF63C384"/>
              <x14:negativeFillColor rgb="FFFF0000"/>
              <x14:negativeBorderColor rgb="FFFF0000"/>
              <x14:axisColor rgb="FF000000"/>
            </x14:dataBar>
          </x14:cfRule>
          <xm:sqref>K3:K28</xm:sqref>
        </x14:conditionalFormatting>
        <x14:conditionalFormatting xmlns:xm="http://schemas.microsoft.com/office/excel/2006/main">
          <x14:cfRule type="dataBar" id="{BF698EBE-2FD2-C54D-8D22-5AA57AFF15A5}">
            <x14:dataBar minLength="0" maxLength="100" border="1" negativeBarBorderColorSameAsPositive="0">
              <x14:cfvo type="autoMin"/>
              <x14:cfvo type="autoMax"/>
              <x14:borderColor rgb="FF63C384"/>
              <x14:negativeFillColor rgb="FFFF0000"/>
              <x14:negativeBorderColor rgb="FFFF0000"/>
              <x14:axisColor rgb="FF000000"/>
            </x14:dataBar>
          </x14:cfRule>
          <xm:sqref>L3:L28</xm:sqref>
        </x14:conditionalFormatting>
        <x14:conditionalFormatting xmlns:xm="http://schemas.microsoft.com/office/excel/2006/main">
          <x14:cfRule type="dataBar" id="{CF947DA2-F2BE-EE42-8F8D-854A1C9E4B2C}">
            <x14:dataBar minLength="0" maxLength="100" border="1" negativeBarBorderColorSameAsPositive="0">
              <x14:cfvo type="autoMin"/>
              <x14:cfvo type="autoMax"/>
              <x14:borderColor rgb="FF63C384"/>
              <x14:negativeFillColor rgb="FFFF0000"/>
              <x14:negativeBorderColor rgb="FFFF0000"/>
              <x14:axisColor rgb="FF000000"/>
            </x14:dataBar>
          </x14:cfRule>
          <xm:sqref>M3:M28</xm:sqref>
        </x14:conditionalFormatting>
        <x14:conditionalFormatting xmlns:xm="http://schemas.microsoft.com/office/excel/2006/main">
          <x14:cfRule type="dataBar" id="{B43180CA-6220-2846-AA30-A7015A7A1DF9}">
            <x14:dataBar minLength="0" maxLength="100" border="1" negativeBarBorderColorSameAsPositive="0">
              <x14:cfvo type="autoMin"/>
              <x14:cfvo type="autoMax"/>
              <x14:borderColor rgb="FF63C384"/>
              <x14:negativeFillColor rgb="FFFF0000"/>
              <x14:negativeBorderColor rgb="FFFF0000"/>
              <x14:axisColor rgb="FF000000"/>
            </x14:dataBar>
          </x14:cfRule>
          <xm:sqref>N3:N28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C3" sqref="C3"/>
    </sheetView>
  </sheetViews>
  <sheetFormatPr baseColWidth="10" defaultColWidth="12.6640625" defaultRowHeight="15" customHeight="1" x14ac:dyDescent="0.15"/>
  <cols>
    <col min="1" max="1" width="7.6640625" customWidth="1"/>
    <col min="2" max="2" width="15.6640625" customWidth="1"/>
    <col min="3" max="12" width="16" customWidth="1"/>
    <col min="13" max="26" width="7.6640625" customWidth="1"/>
  </cols>
  <sheetData>
    <row r="1" spans="1:26" ht="15" customHeight="1" x14ac:dyDescent="0.15">
      <c r="A1" s="18"/>
    </row>
    <row r="2" spans="1:26" ht="16" thickBot="1" x14ac:dyDescent="0.25">
      <c r="B2" s="7"/>
      <c r="C2" s="9">
        <v>1</v>
      </c>
      <c r="D2" s="9">
        <v>2</v>
      </c>
      <c r="E2" s="9">
        <v>3</v>
      </c>
      <c r="F2" s="9">
        <v>4</v>
      </c>
      <c r="G2" s="9">
        <v>5</v>
      </c>
      <c r="H2" s="9">
        <v>6</v>
      </c>
      <c r="I2" s="9">
        <v>7</v>
      </c>
      <c r="J2" s="9">
        <v>8</v>
      </c>
      <c r="K2" s="9">
        <v>9</v>
      </c>
      <c r="L2" s="8">
        <v>10</v>
      </c>
    </row>
    <row r="3" spans="1:26" ht="33" thickBot="1" x14ac:dyDescent="0.25">
      <c r="B3" s="10" t="s">
        <v>109</v>
      </c>
      <c r="C3" s="16" t="e" cm="1">
        <f t="array" ref="C3">INDEX(Descriptions,MODE(MATCH(Descriptions,Descriptions,0)))</f>
        <v>#NAME?</v>
      </c>
      <c r="D3" s="4"/>
      <c r="E3" s="4"/>
      <c r="F3" s="4"/>
      <c r="G3" s="4"/>
      <c r="H3" s="4"/>
      <c r="I3" s="4"/>
      <c r="J3" s="4"/>
      <c r="K3" s="4"/>
      <c r="L3" s="5"/>
    </row>
    <row r="4" spans="1:26" ht="48" x14ac:dyDescent="0.2">
      <c r="A4" s="2"/>
      <c r="B4" s="10" t="s">
        <v>114</v>
      </c>
      <c r="C4" s="20"/>
      <c r="D4" s="2"/>
      <c r="E4" s="2"/>
      <c r="F4" s="2"/>
      <c r="G4" s="2"/>
      <c r="H4" s="2"/>
      <c r="I4" s="2"/>
      <c r="J4" s="2"/>
      <c r="K4" s="2"/>
      <c r="L4" s="11"/>
      <c r="M4" s="2"/>
      <c r="N4" s="2"/>
      <c r="O4" s="2"/>
      <c r="P4" s="2"/>
      <c r="Q4" s="2"/>
      <c r="R4" s="2"/>
      <c r="S4" s="2"/>
      <c r="T4" s="2"/>
      <c r="U4" s="2"/>
      <c r="V4" s="2"/>
      <c r="W4" s="2"/>
      <c r="X4" s="2"/>
      <c r="Y4" s="2"/>
      <c r="Z4" s="2"/>
    </row>
    <row r="5" spans="1:26" ht="48" x14ac:dyDescent="0.2">
      <c r="A5" s="2"/>
      <c r="B5" s="12" t="s">
        <v>119</v>
      </c>
      <c r="C5" s="13"/>
      <c r="D5" s="13"/>
      <c r="E5" s="13"/>
      <c r="F5" s="13"/>
      <c r="G5" s="13"/>
      <c r="H5" s="13"/>
      <c r="I5" s="13"/>
      <c r="J5" s="13"/>
      <c r="K5" s="13"/>
      <c r="L5" s="14"/>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7" spans="1:26" x14ac:dyDescent="0.2">
      <c r="A7" s="2"/>
      <c r="B7" s="2"/>
      <c r="C7" s="2"/>
      <c r="D7" s="2"/>
      <c r="E7" s="2"/>
      <c r="F7" s="2"/>
      <c r="G7" s="2"/>
      <c r="H7" s="2"/>
      <c r="I7" s="2"/>
      <c r="J7" s="2"/>
      <c r="K7" s="2"/>
      <c r="L7" s="2"/>
      <c r="M7" s="2"/>
      <c r="N7" s="2"/>
      <c r="O7" s="2"/>
      <c r="P7" s="2"/>
      <c r="Q7" s="2"/>
      <c r="R7" s="2"/>
      <c r="S7" s="2"/>
      <c r="T7" s="2"/>
      <c r="U7" s="2"/>
      <c r="V7" s="2"/>
      <c r="W7" s="2"/>
      <c r="X7" s="2"/>
      <c r="Y7" s="2"/>
      <c r="Z7" s="2"/>
    </row>
    <row r="8" spans="1:26" x14ac:dyDescent="0.2">
      <c r="A8" s="2"/>
      <c r="B8" s="2"/>
      <c r="C8" s="2"/>
      <c r="D8" s="2"/>
      <c r="E8" s="2"/>
      <c r="F8" s="2"/>
      <c r="G8" s="2"/>
      <c r="H8" s="2"/>
      <c r="I8" s="2"/>
      <c r="J8" s="2"/>
      <c r="K8" s="2"/>
      <c r="L8" s="2"/>
      <c r="M8" s="2"/>
      <c r="N8" s="2"/>
      <c r="O8" s="2"/>
      <c r="P8" s="2"/>
      <c r="Q8" s="2"/>
      <c r="R8" s="2"/>
      <c r="S8" s="2"/>
      <c r="T8" s="2"/>
      <c r="U8" s="2"/>
      <c r="V8" s="2"/>
      <c r="W8" s="2"/>
      <c r="X8" s="2"/>
      <c r="Y8" s="2"/>
      <c r="Z8" s="2"/>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017"/>
  <sheetViews>
    <sheetView topLeftCell="C1" zoomScale="89" zoomScaleNormal="86" workbookViewId="0">
      <selection activeCell="P110" sqref="P99:P110"/>
    </sheetView>
  </sheetViews>
  <sheetFormatPr baseColWidth="10" defaultColWidth="14.83203125" defaultRowHeight="15" customHeight="1" x14ac:dyDescent="0.15"/>
  <cols>
    <col min="1" max="1" width="4.5" customWidth="1"/>
    <col min="2" max="2" width="28.1640625" bestFit="1" customWidth="1"/>
    <col min="29" max="29" width="14.83203125" style="17"/>
  </cols>
  <sheetData>
    <row r="1" spans="1:48" x14ac:dyDescent="0.2">
      <c r="B1" s="2"/>
    </row>
    <row r="2" spans="1:48" ht="26" thickBot="1" x14ac:dyDescent="0.35">
      <c r="B2" s="82" t="s">
        <v>1188</v>
      </c>
      <c r="C2" s="83">
        <v>1</v>
      </c>
      <c r="D2" s="83">
        <v>2</v>
      </c>
      <c r="E2" s="83">
        <v>3</v>
      </c>
      <c r="F2" s="83">
        <v>4</v>
      </c>
      <c r="G2" s="83">
        <v>5</v>
      </c>
      <c r="H2" s="83">
        <v>6</v>
      </c>
      <c r="I2" s="83">
        <v>7</v>
      </c>
      <c r="J2" s="83">
        <v>8</v>
      </c>
      <c r="K2" s="83">
        <v>9</v>
      </c>
      <c r="L2" s="83">
        <v>10</v>
      </c>
      <c r="M2" s="83">
        <v>11</v>
      </c>
      <c r="N2" s="83">
        <v>12</v>
      </c>
      <c r="O2" s="83">
        <v>13</v>
      </c>
      <c r="P2" s="83">
        <v>14</v>
      </c>
      <c r="Q2" s="96">
        <v>15</v>
      </c>
      <c r="R2" s="96">
        <v>16</v>
      </c>
      <c r="S2" s="96">
        <v>17</v>
      </c>
      <c r="T2" s="96">
        <v>18</v>
      </c>
      <c r="U2" s="96">
        <v>19</v>
      </c>
      <c r="V2" s="96">
        <v>20</v>
      </c>
      <c r="W2" s="96">
        <v>21</v>
      </c>
      <c r="X2" s="96">
        <v>22</v>
      </c>
      <c r="Y2" s="96">
        <v>23</v>
      </c>
      <c r="Z2" s="96">
        <v>24</v>
      </c>
      <c r="AA2" s="96">
        <v>25</v>
      </c>
      <c r="AB2" s="96">
        <v>26</v>
      </c>
    </row>
    <row r="3" spans="1:48" ht="22" thickBot="1" x14ac:dyDescent="0.25">
      <c r="A3" s="3"/>
      <c r="B3" s="132" t="s">
        <v>3</v>
      </c>
      <c r="C3" s="122">
        <v>43917</v>
      </c>
      <c r="D3" s="122">
        <v>43924</v>
      </c>
      <c r="E3" s="122">
        <v>43931</v>
      </c>
      <c r="F3" s="122">
        <v>43938</v>
      </c>
      <c r="G3" s="122">
        <v>43945</v>
      </c>
      <c r="H3" s="122">
        <v>43952</v>
      </c>
      <c r="I3" s="122">
        <v>43959</v>
      </c>
      <c r="J3" s="122">
        <v>43966</v>
      </c>
      <c r="K3" s="122">
        <v>43973</v>
      </c>
      <c r="L3" s="122">
        <v>43980</v>
      </c>
      <c r="M3" s="122">
        <v>43987</v>
      </c>
      <c r="N3" s="122">
        <v>43994</v>
      </c>
      <c r="O3" s="122">
        <v>44001</v>
      </c>
      <c r="P3" s="122">
        <v>44008</v>
      </c>
      <c r="Q3" s="122">
        <v>44015</v>
      </c>
      <c r="R3" s="148">
        <v>44022</v>
      </c>
      <c r="S3" s="148">
        <v>44029</v>
      </c>
      <c r="T3" s="148">
        <v>44036</v>
      </c>
      <c r="U3" s="148">
        <v>44043</v>
      </c>
      <c r="V3" s="148">
        <v>44050</v>
      </c>
      <c r="W3" s="148">
        <v>44057</v>
      </c>
      <c r="X3" s="148">
        <v>44064</v>
      </c>
      <c r="Y3" s="148">
        <v>44071</v>
      </c>
      <c r="Z3" s="148">
        <v>44078</v>
      </c>
      <c r="AA3" s="148">
        <v>44085</v>
      </c>
      <c r="AB3" s="148">
        <v>44092</v>
      </c>
      <c r="AC3" s="46" t="s">
        <v>83</v>
      </c>
      <c r="AD3" s="3"/>
      <c r="AE3" s="3"/>
      <c r="AF3" s="3"/>
      <c r="AG3" s="3"/>
      <c r="AH3" s="3"/>
      <c r="AI3" s="3"/>
      <c r="AJ3" s="3"/>
      <c r="AK3" s="3"/>
      <c r="AL3" s="3"/>
      <c r="AM3" s="3"/>
      <c r="AN3" s="3"/>
      <c r="AO3" s="3"/>
      <c r="AP3" s="3"/>
      <c r="AQ3" s="3"/>
      <c r="AR3" s="3"/>
      <c r="AS3" s="3"/>
      <c r="AT3" s="3"/>
      <c r="AU3" s="3"/>
      <c r="AV3" s="3"/>
    </row>
    <row r="4" spans="1:48" ht="21.75" customHeight="1" thickBot="1" x14ac:dyDescent="0.2">
      <c r="B4" s="133" t="s">
        <v>140</v>
      </c>
      <c r="C4" s="123">
        <f t="shared" ref="C4:AA4" si="0">COUNTIF(TallyDates, C$3)</f>
        <v>31</v>
      </c>
      <c r="D4" s="123">
        <f t="shared" si="0"/>
        <v>21</v>
      </c>
      <c r="E4" s="123">
        <f t="shared" si="0"/>
        <v>59</v>
      </c>
      <c r="F4" s="123">
        <f t="shared" si="0"/>
        <v>64</v>
      </c>
      <c r="G4" s="123">
        <f t="shared" si="0"/>
        <v>74</v>
      </c>
      <c r="H4" s="123">
        <f t="shared" si="0"/>
        <v>64</v>
      </c>
      <c r="I4" s="123">
        <f t="shared" si="0"/>
        <v>75</v>
      </c>
      <c r="J4" s="123">
        <f t="shared" si="0"/>
        <v>101</v>
      </c>
      <c r="K4" s="123">
        <f t="shared" si="0"/>
        <v>82</v>
      </c>
      <c r="L4" s="123">
        <f t="shared" si="0"/>
        <v>104</v>
      </c>
      <c r="M4" s="123">
        <f t="shared" si="0"/>
        <v>83</v>
      </c>
      <c r="N4" s="123">
        <f t="shared" si="0"/>
        <v>110</v>
      </c>
      <c r="O4" s="123">
        <f t="shared" si="0"/>
        <v>83</v>
      </c>
      <c r="P4" s="123">
        <f t="shared" si="0"/>
        <v>113</v>
      </c>
      <c r="Q4" s="123">
        <f t="shared" si="0"/>
        <v>64</v>
      </c>
      <c r="R4" s="123">
        <f t="shared" si="0"/>
        <v>43</v>
      </c>
      <c r="S4" s="123">
        <f t="shared" si="0"/>
        <v>44</v>
      </c>
      <c r="T4" s="123">
        <f t="shared" si="0"/>
        <v>12</v>
      </c>
      <c r="U4" s="123">
        <f t="shared" si="0"/>
        <v>32</v>
      </c>
      <c r="V4" s="123">
        <f t="shared" si="0"/>
        <v>39</v>
      </c>
      <c r="W4" s="123">
        <f t="shared" si="0"/>
        <v>34</v>
      </c>
      <c r="X4" s="123">
        <f t="shared" si="0"/>
        <v>30</v>
      </c>
      <c r="Y4" s="123">
        <f t="shared" si="0"/>
        <v>38</v>
      </c>
      <c r="Z4" s="123">
        <f t="shared" si="0"/>
        <v>53</v>
      </c>
      <c r="AA4" s="123">
        <f t="shared" si="0"/>
        <v>29</v>
      </c>
      <c r="AB4" s="123"/>
      <c r="AC4" s="47">
        <f>SUM(C4:W4)</f>
        <v>1332</v>
      </c>
    </row>
    <row r="5" spans="1:48" ht="30.75" customHeight="1" thickBot="1" x14ac:dyDescent="0.2">
      <c r="B5" s="133" t="s">
        <v>143</v>
      </c>
      <c r="C5" s="111" t="str" cm="1">
        <f t="array" ref="C5">INDEX(TallyDrinkType,MODE(IF(TallyDates=C$3,MATCH(TallyDrinkType,TallyDrinkType,0))))</f>
        <v>Gin</v>
      </c>
      <c r="D5" s="111" t="str" cm="1">
        <f t="array" ref="D5">INDEX(TallyDrinkType,MODE(IF(TallyDates=D$3,MATCH(TallyDrinkType,TallyDrinkType,0))))</f>
        <v>Beer</v>
      </c>
      <c r="E5" s="111" t="str" cm="1">
        <f t="array" ref="E5">INDEX(TallyDrinkType,MODE(IF(TallyDates=E$3,MATCH(TallyDrinkType,TallyDrinkType,0))))</f>
        <v>Beer</v>
      </c>
      <c r="F5" s="111" t="str" cm="1">
        <f t="array" ref="F5">INDEX(TallyDrinkType,MODE(IF(TallyDates=F$3,MATCH(TallyDrinkType,TallyDrinkType,0))))</f>
        <v>Beer</v>
      </c>
      <c r="G5" s="111" t="str" cm="1">
        <f t="array" ref="G5">INDEX(TallyDrinkType,MODE(IF(TallyDates=G$3,MATCH(TallyDrinkType,TallyDrinkType,0))))</f>
        <v>Beer</v>
      </c>
      <c r="H5" s="111" t="str" cm="1">
        <f t="array" ref="H5">INDEX(TallyDrinkType,MODE(IF(TallyDates=H$3,MATCH(TallyDrinkType,TallyDrinkType,0))))</f>
        <v>Beer</v>
      </c>
      <c r="I5" s="111" t="str" cm="1">
        <f t="array" ref="I5">INDEX(TallyDrinkType,MODE(IF(TallyDates=I$3,MATCH(TallyDrinkType,TallyDrinkType,0))))</f>
        <v>Beer</v>
      </c>
      <c r="J5" s="111" t="str" cm="1">
        <f t="array" ref="J5">INDEX(TallyDrinkType,MODE(IF(TallyDates=J$3,MATCH(TallyDrinkType,TallyDrinkType,0))))</f>
        <v>Beer</v>
      </c>
      <c r="K5" s="111" t="str" cm="1">
        <f t="array" ref="K5">INDEX(TallyDrinkType,MODE(IF(TallyDates=K$3,MATCH(TallyDrinkType,TallyDrinkType,0))))</f>
        <v>Beer</v>
      </c>
      <c r="L5" s="111" t="str" cm="1">
        <f t="array" ref="L5">INDEX(TallyDrinkType,MODE(IF(TallyDates=L$3,MATCH(TallyDrinkType,TallyDrinkType,0))))</f>
        <v>Beer</v>
      </c>
      <c r="M5" s="111" t="str" cm="1">
        <f t="array" ref="M5">INDEX(TallyDrinkType,MODE(IF(TallyDates=M$3,MATCH(TallyDrinkType,TallyDrinkType,0))))</f>
        <v>Beer</v>
      </c>
      <c r="N5" s="111" t="str" cm="1">
        <f t="array" ref="N5">INDEX(TallyDrinkType,MODE(IF(TallyDates=N$3,MATCH(TallyDrinkType,TallyDrinkType,0))))</f>
        <v>Beer</v>
      </c>
      <c r="O5" s="111" t="str" cm="1">
        <f t="array" ref="O5">INDEX(TallyDrinkType,MODE(IF(TallyDates=O$3,MATCH(TallyDrinkType,TallyDrinkType,0))))</f>
        <v>Beer</v>
      </c>
      <c r="P5" s="111" t="str" cm="1">
        <f t="array" ref="P5">INDEX(TallyDrinkType,MODE(IF(TallyDates=P$3,MATCH(TallyDrinkType,TallyDrinkType,0))))</f>
        <v>Beer</v>
      </c>
      <c r="Q5" s="111" t="str" cm="1">
        <f t="array" ref="Q5">INDEX(TallyDrinkType,MODE(IF(TallyDates=Q$3,MATCH(TallyDrinkType,TallyDrinkType,0))))</f>
        <v>Beer</v>
      </c>
      <c r="R5" s="111" t="str" cm="1">
        <f t="array" ref="R5">INDEX(TallyDrinkType,MODE(IF(TallyDates=R$3,MATCH(TallyDrinkType,TallyDrinkType,0))))</f>
        <v>Beer</v>
      </c>
      <c r="S5" s="111" t="str" cm="1">
        <f t="array" ref="S5">INDEX(TallyDrinkType,MODE(IF(TallyDates=S$3,MATCH(TallyDrinkType,TallyDrinkType,0))))</f>
        <v>Cider</v>
      </c>
      <c r="T5" s="111" t="str" cm="1">
        <f t="array" ref="T5">INDEX(TallyDrinkType,MODE(IF(TallyDates=T$3,MATCH(TallyDrinkType,TallyDrinkType,0))))</f>
        <v>Beer</v>
      </c>
      <c r="U5" s="111" t="str" cm="1">
        <f t="array" ref="U5">INDEX(TallyDrinkType,MODE(IF(TallyDates=U$3,MATCH(TallyDrinkType,TallyDrinkType,0))))</f>
        <v>Beer</v>
      </c>
      <c r="V5" s="111" t="str" cm="1">
        <f t="array" ref="V5">INDEX(TallyDrinkType,MODE(IF(TallyDates=V$3,MATCH(TallyDrinkType,TallyDrinkType,0))))</f>
        <v>Beer</v>
      </c>
      <c r="W5" s="111" t="str" cm="1">
        <f t="array" ref="W5">INDEX(TallyDrinkType,MODE(IF(TallyDates=W$3,MATCH(TallyDrinkType,TallyDrinkType,0))))</f>
        <v>Cider</v>
      </c>
      <c r="X5" s="111" t="str" cm="1">
        <f t="array" ref="X5">INDEX(TallyDrinkType,MODE(IF(TallyDates=X$3,MATCH(TallyDrinkType,TallyDrinkType,0))))</f>
        <v>Beer</v>
      </c>
      <c r="Y5" s="111" t="str" cm="1">
        <f t="array" ref="Y5">INDEX(TallyDrinkType,MODE(IF(TallyDates=Y$3,MATCH(TallyDrinkType,TallyDrinkType,0))))</f>
        <v>Beer</v>
      </c>
      <c r="Z5" s="111" t="str" cm="1">
        <f t="array" ref="Z5">INDEX(TallyDrinkType,MODE(IF(TallyDates=Z$3,MATCH(TallyDrinkType,TallyDrinkType,0))))</f>
        <v>Beer</v>
      </c>
      <c r="AA5" s="111" t="str" cm="1">
        <f t="array" ref="AA5">INDEX(TallyDrinkType,MODE(IF(TallyDates=AA$3,MATCH(TallyDrinkType,TallyDrinkType,0))))</f>
        <v>Beer</v>
      </c>
      <c r="AB5" s="111"/>
      <c r="AC5" s="47" t="str" cm="1">
        <f t="array" ref="AC5">INDEX('Friday Spreadsheet CSV'!E:E,MODE(IF('Friday Spreadsheet CSV'!E:E&lt;&gt;"",MATCH('Friday Spreadsheet CSV'!E:E,'Friday Spreadsheet CSV'!E:E,0))))</f>
        <v>Beer</v>
      </c>
    </row>
    <row r="6" spans="1:48" s="33" customFormat="1" ht="42" customHeight="1" x14ac:dyDescent="0.15">
      <c r="B6" s="134" t="s">
        <v>145</v>
      </c>
      <c r="C6" s="126" t="str" cm="1">
        <f t="array" ref="C6">INDEX(TallyPeopleNames,MODE(IF(TallyDates=C$3,MATCH(TallyPeopleNames,TallyPeopleNames,0))))</f>
        <v>Daniel Hewlett</v>
      </c>
      <c r="D6" s="126" t="str" cm="1">
        <f t="array" ref="D6">INDEX(TallyPeopleNames,MODE(IF(TallyDates=D$3,MATCH(TallyPeopleNames,TallyPeopleNames,0))))</f>
        <v>Anthony Draper</v>
      </c>
      <c r="E6" s="126" t="str" cm="1">
        <f t="array" ref="E6">INDEX(TallyPeopleNames,MODE(IF(TallyDates=E$3,MATCH(TallyPeopleNames,TallyPeopleNames,0))))</f>
        <v>Anthony Draper</v>
      </c>
      <c r="F6" s="126" t="str" cm="1">
        <f t="array" ref="F6">INDEX(TallyPeopleNames,MODE(IF(TallyDates=F$3,MATCH(TallyPeopleNames,TallyPeopleNames,0))))</f>
        <v>Joe Cuthbert</v>
      </c>
      <c r="G6" s="126" t="str" cm="1">
        <f t="array" ref="G6">INDEX(TallyPeopleNames,MODE(IF(TallyDates=G$3,MATCH(TallyPeopleNames,TallyPeopleNames,0))))</f>
        <v>Sean Carey</v>
      </c>
      <c r="H6" s="126" t="str" cm="1">
        <f t="array" ref="H6">INDEX(TallyPeopleNames,MODE(IF(TallyDates=H$3,MATCH(TallyPeopleNames,TallyPeopleNames,0))))</f>
        <v>Daniel Hewlett</v>
      </c>
      <c r="I6" s="126" t="str" cm="1">
        <f t="array" ref="I6">INDEX(TallyPeopleNames,MODE(IF(TallyDates=I$3,MATCH(TallyPeopleNames,TallyPeopleNames,0))))</f>
        <v>Anthony Draper</v>
      </c>
      <c r="J6" s="127" t="s">
        <v>1811</v>
      </c>
      <c r="K6" s="127" t="s">
        <v>1812</v>
      </c>
      <c r="L6" s="126" t="str" cm="1">
        <f t="array" ref="L6">INDEX(TallyPeopleNames,MODE(IF(TallyDates=L$3,MATCH(TallyPeopleNames,TallyPeopleNames,0))))</f>
        <v>Anthony Draper</v>
      </c>
      <c r="M6" s="126" t="str" cm="1">
        <f t="array" ref="M6">INDEX(TallyPeopleNames,MODE(IF(TallyDates=M$3,MATCH(TallyPeopleNames,TallyPeopleNames,0))))</f>
        <v>Joe Cuthbert</v>
      </c>
      <c r="N6" s="127" t="s">
        <v>1811</v>
      </c>
      <c r="O6" s="126" t="str" cm="1">
        <f t="array" ref="O6">INDEX(TallyPeopleNames,MODE(IF(TallyDates=O$3,MATCH(TallyPeopleNames,TallyPeopleNames,0))))</f>
        <v>Daniel Hewlett</v>
      </c>
      <c r="P6" s="126" t="str" cm="1">
        <f t="array" ref="P6">INDEX(TallyPeopleNames,MODE(IF(TallyDates=P$3,MATCH(TallyPeopleNames,TallyPeopleNames,0))))</f>
        <v>Ed Saunders</v>
      </c>
      <c r="Q6" s="126" t="str" cm="1">
        <f t="array" ref="Q6">INDEX(TallyPeopleNames,MODE(IF(TallyDates=Q$3,MATCH(TallyPeopleNames,TallyPeopleNames,0))))</f>
        <v>Ben Millier</v>
      </c>
      <c r="R6" s="126" t="str" cm="1">
        <f t="array" ref="R6">INDEX(TallyPeopleNames,MODE(IF(TallyDates=R$3,MATCH(TallyPeopleNames,TallyPeopleNames,0))))</f>
        <v>Ross Savill</v>
      </c>
      <c r="S6" s="126" t="str" cm="1">
        <f t="array" ref="S6">INDEX(TallyPeopleNames,MODE(IF(TallyDates=S$3,MATCH(TallyPeopleNames,TallyPeopleNames,0))))</f>
        <v>Jason Bowen</v>
      </c>
      <c r="T6" s="126" t="str" cm="1">
        <f t="array" ref="T6">INDEX(TallyPeopleNames,MODE(IF(TallyDates=T$3,MATCH(TallyPeopleNames,TallyPeopleNames,0))))</f>
        <v>Ross Savill</v>
      </c>
      <c r="U6" s="126" t="str" cm="1">
        <f t="array" ref="U6">INDEX(TallyPeopleNames,MODE(IF(TallyDates=U$3,MATCH(TallyPeopleNames,TallyPeopleNames,0))))</f>
        <v>Ross Savill</v>
      </c>
      <c r="V6" s="126" t="str" cm="1">
        <f t="array" ref="V6">INDEX(TallyPeopleNames,MODE(IF(TallyDates=V$3,MATCH(TallyPeopleNames,TallyPeopleNames,0))))</f>
        <v>Ross Savill</v>
      </c>
      <c r="W6" s="126" t="str" cm="1">
        <f t="array" ref="W6">INDEX(TallyPeopleNames,MODE(IF(TallyDates=W$3,MATCH(TallyPeopleNames,TallyPeopleNames,0))))</f>
        <v>Ross Savill</v>
      </c>
      <c r="X6" s="126" t="str" cm="1">
        <f t="array" ref="X6">INDEX(TallyPeopleNames,MODE(IF(TallyDates=X$3,MATCH(TallyPeopleNames,TallyPeopleNames,0))))</f>
        <v>Shaun Munro</v>
      </c>
      <c r="Y6" s="126" t="str" cm="1">
        <f t="array" ref="Y6">INDEX(TallyPeopleNames,MODE(IF(TallyDates=Y$3,MATCH(TallyPeopleNames,TallyPeopleNames,0))))</f>
        <v>Daniel Hewlett</v>
      </c>
      <c r="Z6" s="126" t="str" cm="1">
        <f t="array" ref="Z6">INDEX(TallyPeopleNames,MODE(IF(TallyDates=Z$3,MATCH(TallyPeopleNames,TallyPeopleNames,0))))</f>
        <v>Ben Millier</v>
      </c>
      <c r="AA6" s="126" t="str" cm="1">
        <f t="array" ref="AA6">INDEX(TallyPeopleNames,MODE(IF(TallyDates=AA$3,MATCH(TallyPeopleNames,TallyPeopleNames,0))))</f>
        <v>Ross Savill</v>
      </c>
      <c r="AB6" s="126"/>
      <c r="AC6" s="48" t="str" cm="1">
        <f t="array" ref="AC6">INDEX('Friday Spreadsheet CSV'!$B:$B,MODE(IF('Friday Spreadsheet CSV'!$B:$B&lt;&gt;"",MATCH('Friday Spreadsheet CSV'!$B:$B,'Friday Spreadsheet CSV'!$B:$B,0))))</f>
        <v>Ross Savill</v>
      </c>
    </row>
    <row r="7" spans="1:48" s="22" customFormat="1" ht="28" x14ac:dyDescent="0.3">
      <c r="A7" s="32"/>
      <c r="B7" s="256" t="s">
        <v>1190</v>
      </c>
      <c r="C7" s="257"/>
      <c r="D7" s="257"/>
      <c r="E7" s="257"/>
      <c r="F7" s="257"/>
      <c r="G7" s="257"/>
      <c r="H7" s="257"/>
      <c r="I7" s="257"/>
      <c r="J7" s="257"/>
      <c r="K7" s="257"/>
      <c r="L7" s="257"/>
      <c r="M7" s="257"/>
      <c r="N7" s="257"/>
      <c r="O7" s="257"/>
      <c r="P7" s="257"/>
      <c r="Q7" s="257"/>
      <c r="R7" s="257"/>
      <c r="S7" s="257"/>
      <c r="T7" s="257"/>
      <c r="U7" s="257"/>
      <c r="V7" s="257"/>
      <c r="W7" s="257"/>
      <c r="X7" s="257"/>
      <c r="Y7" s="257"/>
      <c r="Z7" s="257"/>
      <c r="AA7" s="257"/>
      <c r="AB7" s="257"/>
      <c r="AC7" s="258"/>
    </row>
    <row r="8" spans="1:48" s="22" customFormat="1" ht="16" x14ac:dyDescent="0.15">
      <c r="B8" s="134" t="s">
        <v>1193</v>
      </c>
      <c r="C8" s="123" cm="1">
        <f t="array" ref="C8">MAX(IF(TallyDates=C$3,TallyScore))</f>
        <v>9.5</v>
      </c>
      <c r="D8" s="123" cm="1">
        <f t="array" ref="D8">MAX(IF(TallyDates=D$3,TallyScore))</f>
        <v>9.5</v>
      </c>
      <c r="E8" s="123" cm="1">
        <f t="array" ref="E8">MAX(IF(TallyDates=E$3,TallyScore))</f>
        <v>9</v>
      </c>
      <c r="F8" s="123" cm="1">
        <f t="array" ref="F8">MAX(IF(TallyDates=F$3,TallyScore))</f>
        <v>10</v>
      </c>
      <c r="G8" s="123" cm="1">
        <f t="array" ref="G8">MAX(IF(TallyDates=G$3,TallyScore))</f>
        <v>9.5</v>
      </c>
      <c r="H8" s="123" cm="1">
        <f t="array" ref="H8">MAX(IF(TallyDates=H$3,TallyScore))</f>
        <v>10</v>
      </c>
      <c r="I8" s="123" cm="1">
        <f t="array" ref="I8">MAX(IF(TallyDates=I$3,TallyScore))</f>
        <v>10</v>
      </c>
      <c r="J8" s="123" cm="1">
        <f t="array" ref="J8">MAX(IF(TallyDates=J$3,TallyScore))</f>
        <v>10</v>
      </c>
      <c r="K8" s="123" cm="1">
        <f t="array" ref="K8">MAX(IF(TallyDates=K$3,TallyScore))</f>
        <v>10</v>
      </c>
      <c r="L8" s="123" cm="1">
        <f t="array" ref="L8">MAX(IF(TallyDates=L$3,TallyScore))</f>
        <v>10</v>
      </c>
      <c r="M8" s="123" cm="1">
        <f t="array" ref="M8">MAX(IF(TallyDates=M$3,TallyScore))</f>
        <v>10</v>
      </c>
      <c r="N8" s="123" cm="1">
        <f t="array" ref="N8">MAX(IF(TallyDates=N$3,TallyScore))</f>
        <v>10</v>
      </c>
      <c r="O8" s="123" cm="1">
        <f t="array" ref="O8">MAX(IF(TallyDates=O$3,TallyScore))</f>
        <v>9</v>
      </c>
      <c r="P8" s="123" cm="1">
        <f t="array" ref="P8">MAX(IF(TallyDates=P$3,TallyScore))</f>
        <v>10</v>
      </c>
      <c r="Q8" s="123" cm="1">
        <f t="array" ref="Q8">MAX(IF(TallyDates=Q$3,TallyScore))</f>
        <v>9</v>
      </c>
      <c r="R8" s="123" cm="1">
        <f t="array" ref="R8">MAX(IF(TallyDates=R$3,TallyScore))</f>
        <v>9.5</v>
      </c>
      <c r="S8" s="123" cm="1">
        <f t="array" ref="S8">MAX(IF(TallyDates=S$3,TallyScore))</f>
        <v>9.5</v>
      </c>
      <c r="T8" s="123" cm="1">
        <f t="array" ref="T8">MAX(IF(TallyDates=T$3,TallyScore))</f>
        <v>8.5</v>
      </c>
      <c r="U8" s="123" cm="1">
        <f t="array" ref="U8">MAX(IF(TallyDates=U$3,TallyScore))</f>
        <v>10</v>
      </c>
      <c r="V8" s="123" cm="1">
        <f t="array" ref="V8">MAX(IF(TallyDates=V$3,TallyScore))</f>
        <v>9</v>
      </c>
      <c r="W8" s="123" cm="1">
        <f t="array" ref="W8">MAX(IF(TallyDates=W$3,TallyScore))</f>
        <v>10</v>
      </c>
      <c r="X8" s="123" cm="1">
        <f t="array" ref="X8">MAX(IF(TallyDates=X$3,TallyScore))</f>
        <v>10</v>
      </c>
      <c r="Y8" s="123" cm="1">
        <f t="array" ref="Y8">MAX(IF(TallyDates=Y$3,TallyScore))</f>
        <v>9.5</v>
      </c>
      <c r="Z8" s="123" cm="1">
        <f t="array" ref="Z8">MAX(IF(TallyDates=Z$3,TallyScore))</f>
        <v>10</v>
      </c>
      <c r="AA8" s="123" cm="1">
        <f t="array" ref="AA8">MAX(IF(TallyDates=AA$3,TallyScore))</f>
        <v>9</v>
      </c>
      <c r="AB8" s="123"/>
      <c r="AC8" s="128"/>
    </row>
    <row r="9" spans="1:48" s="22" customFormat="1" ht="16" x14ac:dyDescent="0.15">
      <c r="B9" s="134" t="s">
        <v>2</v>
      </c>
      <c r="C9" s="129">
        <f t="shared" ref="C9:AA9" si="1">COUNTIFS(TallyDates, C$3,TallyScore,C$8)</f>
        <v>1</v>
      </c>
      <c r="D9" s="129">
        <f t="shared" si="1"/>
        <v>1</v>
      </c>
      <c r="E9" s="129">
        <f t="shared" si="1"/>
        <v>3</v>
      </c>
      <c r="F9" s="129">
        <f t="shared" si="1"/>
        <v>1</v>
      </c>
      <c r="G9" s="129">
        <f t="shared" si="1"/>
        <v>2</v>
      </c>
      <c r="H9" s="129">
        <f t="shared" si="1"/>
        <v>1</v>
      </c>
      <c r="I9" s="129">
        <f t="shared" si="1"/>
        <v>1</v>
      </c>
      <c r="J9" s="129">
        <f t="shared" si="1"/>
        <v>1</v>
      </c>
      <c r="K9" s="129">
        <f t="shared" si="1"/>
        <v>1</v>
      </c>
      <c r="L9" s="129">
        <f t="shared" si="1"/>
        <v>1</v>
      </c>
      <c r="M9" s="129">
        <f t="shared" si="1"/>
        <v>1</v>
      </c>
      <c r="N9" s="129">
        <f t="shared" si="1"/>
        <v>2</v>
      </c>
      <c r="O9" s="129">
        <f t="shared" si="1"/>
        <v>5</v>
      </c>
      <c r="P9" s="129">
        <f t="shared" si="1"/>
        <v>4</v>
      </c>
      <c r="Q9" s="129">
        <f t="shared" si="1"/>
        <v>3</v>
      </c>
      <c r="R9" s="129">
        <f t="shared" si="1"/>
        <v>1</v>
      </c>
      <c r="S9" s="129">
        <f t="shared" si="1"/>
        <v>1</v>
      </c>
      <c r="T9" s="129">
        <f t="shared" si="1"/>
        <v>1</v>
      </c>
      <c r="U9" s="129">
        <f t="shared" si="1"/>
        <v>1</v>
      </c>
      <c r="V9" s="129">
        <f t="shared" si="1"/>
        <v>2</v>
      </c>
      <c r="W9" s="129">
        <f t="shared" si="1"/>
        <v>2</v>
      </c>
      <c r="X9" s="129">
        <f t="shared" si="1"/>
        <v>1</v>
      </c>
      <c r="Y9" s="129">
        <f t="shared" si="1"/>
        <v>2</v>
      </c>
      <c r="Z9" s="129">
        <f t="shared" si="1"/>
        <v>1</v>
      </c>
      <c r="AA9" s="129">
        <f t="shared" si="1"/>
        <v>4</v>
      </c>
      <c r="AB9" s="129"/>
      <c r="AC9" s="128"/>
    </row>
    <row r="10" spans="1:48" s="33" customFormat="1" ht="61" customHeight="1" x14ac:dyDescent="0.15">
      <c r="B10" s="134" t="s">
        <v>1191</v>
      </c>
      <c r="C10" s="126" t="str" cm="1">
        <f t="array" ref="C10">IF(ROWS('Friday Spreadsheet CSV'!$B$3:$C3)&lt;=C$9,INDEX('Friday Spreadsheet CSV'!$D:$D,_xlfn.AGGREGATE(15,3,('Friday Spreadsheet CSV'!$C:$C=C$3)/('Friday Spreadsheet CSV'!$C:$C=C$3)*('Friday Spreadsheet CSV'!$K:$K=C$8)/('Friday Spreadsheet CSV'!$K:$K=C$8)*(ROW('Friday Spreadsheet CSV'!$C:$C)),ROWS('Friday Spreadsheet CSV'!C$3:C3))),"")</f>
        <v>Sortilege's Maple Syrup Liqueur</v>
      </c>
      <c r="D10" s="126" t="str" cm="1">
        <f t="array" ref="D10">IF(ROWS('Friday Spreadsheet CSV'!$B$3:$C3)&lt;=D$9,INDEX('Friday Spreadsheet CSV'!$D:$D,_xlfn.AGGREGATE(15,3,('Friday Spreadsheet CSV'!$C:$C=D$3)/('Friday Spreadsheet CSV'!$C:$C=D$3)*('Friday Spreadsheet CSV'!$K:$K=D$8)/('Friday Spreadsheet CSV'!$K:$K=D$8)*(ROW('Friday Spreadsheet CSV'!$C:$C)),ROWS('Friday Spreadsheet CSV'!D$3:D3))),"")</f>
        <v>Tiny Rebel Clwb Tropicana Passion Fruit IPA</v>
      </c>
      <c r="E10" s="126" t="str" cm="1">
        <f t="array" ref="E10">IF(ROWS('Friday Spreadsheet CSV'!$B$3:$C3)&lt;=E$9,INDEX('Friday Spreadsheet CSV'!$D:$D,_xlfn.AGGREGATE(15,3,('Friday Spreadsheet CSV'!$C:$C=E$3)/('Friday Spreadsheet CSV'!$C:$C=E$3)*('Friday Spreadsheet CSV'!$K:$K=E$8)/('Friday Spreadsheet CSV'!$K:$K=E$8)*(ROW('Friday Spreadsheet CSV'!$C:$C)),ROWS('Friday Spreadsheet CSV'!E$3:E3))),"")</f>
        <v>Koppaberg Pear Cider</v>
      </c>
      <c r="F10" s="126" t="str" cm="1">
        <f t="array" ref="F10">IF(ROWS('Friday Spreadsheet CSV'!$B$3:$C3)&lt;=F$9,INDEX('Friday Spreadsheet CSV'!$D:$D,_xlfn.AGGREGATE(15,3,('Friday Spreadsheet CSV'!$C:$C=F$3)/('Friday Spreadsheet CSV'!$C:$C=F$3)*('Friday Spreadsheet CSV'!$K:$K=F$8)/('Friday Spreadsheet CSV'!$K:$K=F$8)*(ROW('Friday Spreadsheet CSV'!$C:$C)),ROWS('Friday Spreadsheet CSV'!G$3:G3))),"")</f>
        <v>Dead Man's Fingers Pineapple Spiced Rum</v>
      </c>
      <c r="G10" s="126" t="str" cm="1">
        <f t="array" ref="G10">IF(ROWS('Friday Spreadsheet CSV'!$B$3:$C3)&lt;=G$9,INDEX('Friday Spreadsheet CSV'!$D:$D,_xlfn.AGGREGATE(15,3,('Friday Spreadsheet CSV'!$C:$C=G$3)/('Friday Spreadsheet CSV'!$C:$C=G$3)*('Friday Spreadsheet CSV'!$K:$K=G$8)/('Friday Spreadsheet CSV'!$K:$K=G$8)*(ROW('Friday Spreadsheet CSV'!$C:$C)),ROWS('Friday Spreadsheet CSV'!H$3:H3))),"")</f>
        <v>Dunkertons Premium Reserve</v>
      </c>
      <c r="H10" s="126" t="e" cm="1">
        <f t="array" ref="H10">IF(ROWS('Friday Spreadsheet CSV'!$B$3:$C3)&lt;=H$9,INDEX('Friday Spreadsheet CSV'!$D:$D,_xlfn.AGGREGATE(15,3,('Friday Spreadsheet CSV'!$C:$C=H$3)/('Friday Spreadsheet CSV'!$C:$C=H$3)*('Friday Spreadsheet CSV'!$K:$K=H$8)/('Friday Spreadsheet CSV'!$K:$K=H$8)*(ROW('Friday Spreadsheet CSV'!$C:$C)),ROWS('Friday Spreadsheet CSV'!#REF!))),"")</f>
        <v>#REF!</v>
      </c>
      <c r="I10" s="126" t="str" cm="1">
        <f t="array" ref="I10">IF(ROWS('Friday Spreadsheet CSV'!$B$3:$C3)&lt;=I$9,INDEX('Friday Spreadsheet CSV'!$D:$D,_xlfn.AGGREGATE(15,3,('Friday Spreadsheet CSV'!$C:$C=I$3)/('Friday Spreadsheet CSV'!$C:$C=I$3)*('Friday Spreadsheet CSV'!$K:$K=I$8)/('Friday Spreadsheet CSV'!$K:$K=I$8)*(ROW('Friday Spreadsheet CSV'!$C:$C)),ROWS('Friday Spreadsheet CSV'!I$3:I3))),"")</f>
        <v>Water</v>
      </c>
      <c r="J10" s="126" t="str" cm="1">
        <f t="array" ref="J10">IF(ROWS('Friday Spreadsheet CSV'!$B$3:$C3)&lt;=J$9,INDEX('Friday Spreadsheet CSV'!$D:$D,_xlfn.AGGREGATE(15,3,('Friday Spreadsheet CSV'!$C:$C=J$3)/('Friday Spreadsheet CSV'!$C:$C=J$3)*('Friday Spreadsheet CSV'!$K:$K=J$8)/('Friday Spreadsheet CSV'!$K:$K=J$8)*(ROW('Friday Spreadsheet CSV'!$C:$C)),ROWS('Friday Spreadsheet CSV'!J$3:J3))),"")</f>
        <v>Otter Ale</v>
      </c>
      <c r="K10" s="126" t="str" cm="1">
        <f t="array" ref="K10">IF(ROWS('Friday Spreadsheet CSV'!$B$3:$C3)&lt;=K$9,INDEX('Friday Spreadsheet CSV'!$D:$D,_xlfn.AGGREGATE(15,3,('Friday Spreadsheet CSV'!$C:$C=K$3)/('Friday Spreadsheet CSV'!$C:$C=K$3)*('Friday Spreadsheet CSV'!$K:$K=K$8)/('Friday Spreadsheet CSV'!$K:$K=K$8)*(ROW('Friday Spreadsheet CSV'!$C:$C)),ROWS('Friday Spreadsheet CSV'!K$3:K3))),"")</f>
        <v>Cointreau Blood Orange</v>
      </c>
      <c r="L10" s="126" t="e" cm="1">
        <f t="array" ref="L10">IF(ROWS('Friday Spreadsheet CSV'!$B$3:$C3)&lt;=L$9,INDEX('Friday Spreadsheet CSV'!$D:$D,_xlfn.AGGREGATE(15,3,('Friday Spreadsheet CSV'!$C:$C=L$3)/('Friday Spreadsheet CSV'!$C:$C=L$3)*('Friday Spreadsheet CSV'!$K:$K=L$8)/('Friday Spreadsheet CSV'!$K:$K=L$8)*(ROW('Friday Spreadsheet CSV'!$C:$C)),ROWS('Friday Spreadsheet CSV'!#REF!))),"")</f>
        <v>#REF!</v>
      </c>
      <c r="M10" s="126" t="str" cm="1">
        <f t="array" ref="M10">IF(ROWS('Friday Spreadsheet CSV'!$B$3:$C3)&lt;=M$9,INDEX('Friday Spreadsheet CSV'!$D:$D,_xlfn.AGGREGATE(15,3,('Friday Spreadsheet CSV'!$C:$C=M$3)/('Friday Spreadsheet CSV'!$C:$C=M$3)*('Friday Spreadsheet CSV'!$K:$K=M$8)/('Friday Spreadsheet CSV'!$K:$K=M$8)*(ROW('Friday Spreadsheet CSV'!$C:$C)),ROWS('Friday Spreadsheet CSV'!O$3:O3))),"")</f>
        <v>Sainsbury's Bucks Fizz</v>
      </c>
      <c r="N10" s="126" t="str" cm="1">
        <f t="array" ref="N10">IF(ROWS('Friday Spreadsheet CSV'!$B$3:$C3)&lt;=N$9,INDEX('Friday Spreadsheet CSV'!$D:$D,_xlfn.AGGREGATE(15,3,('Friday Spreadsheet CSV'!$C:$C=N$3)/('Friday Spreadsheet CSV'!$C:$C=N$3)*('Friday Spreadsheet CSV'!$K:$K=N$8)/('Friday Spreadsheet CSV'!$K:$K=N$8)*(ROW('Friday Spreadsheet CSV'!$C:$C)),ROWS('Friday Spreadsheet CSV'!L$3:L3))),"")</f>
        <v>Club Colombia</v>
      </c>
      <c r="O10" s="126" t="str" cm="1">
        <f t="array" ref="O10">IF(ROWS('Friday Spreadsheet CSV'!$B$3:$C3)&lt;=O$9,INDEX('Friday Spreadsheet CSV'!$D:$D,_xlfn.AGGREGATE(15,3,('Friday Spreadsheet CSV'!$C:$C=O$3)/('Friday Spreadsheet CSV'!$C:$C=O$3)*('Friday Spreadsheet CSV'!$K:$K=O$8)/('Friday Spreadsheet CSV'!$K:$K=O$8)*(ROW('Friday Spreadsheet CSV'!$C:$C)),ROWS('Friday Spreadsheet CSV'!O$3:O3))),"")</f>
        <v>Vault City Apricot Mosaic Sour</v>
      </c>
      <c r="P10" s="126" t="str" cm="1">
        <f t="array" ref="P10">IF(ROWS('Friday Spreadsheet CSV'!$B$3:$C3)&lt;=P$9,INDEX('Friday Spreadsheet CSV'!$D:$D,_xlfn.AGGREGATE(15,3,('Friday Spreadsheet CSV'!$C:$C=P$3)/('Friday Spreadsheet CSV'!$C:$C=P$3)*('Friday Spreadsheet CSV'!$K:$K=P$8)/('Friday Spreadsheet CSV'!$K:$K=P$8)*(ROW('Friday Spreadsheet CSV'!$C:$C)),ROWS('Friday Spreadsheet CSV'!P$3:P3))),"")</f>
        <v>Malibu Rum</v>
      </c>
      <c r="Q10" s="126" t="str" cm="1">
        <f t="array" ref="Q10">IF(ROWS('Friday Spreadsheet CSV'!$B$3:$C3)&lt;=Q$9,INDEX('Friday Spreadsheet CSV'!$D:$D,_xlfn.AGGREGATE(15,3,('Friday Spreadsheet CSV'!$C:$C=Q$3)/('Friday Spreadsheet CSV'!$C:$C=Q$3)*('Friday Spreadsheet CSV'!$K:$K=Q$8)/('Friday Spreadsheet CSV'!$K:$K=Q$8)*(ROW('Friday Spreadsheet CSV'!$C:$C)),ROWS('Friday Spreadsheet CSV'!P$3:P3))),"")</f>
        <v>Meon Valley Brown Trout Cider</v>
      </c>
      <c r="R10" s="126" t="str" cm="1">
        <f t="array" ref="R10">IF(ROWS('Friday Spreadsheet CSV'!$B$3:$C3)&lt;=R$9,INDEX('Friday Spreadsheet CSV'!$D:$D,_xlfn.AGGREGATE(15,3,('Friday Spreadsheet CSV'!$C:$C=R$3)/('Friday Spreadsheet CSV'!$C:$C=R$3)*('Friday Spreadsheet CSV'!$K:$K=R$8)/('Friday Spreadsheet CSV'!$K:$K=R$8)*(ROW('Friday Spreadsheet CSV'!$C:$C)),ROWS('Friday Spreadsheet CSV'!Q$3:Q3))),"")</f>
        <v>Sortilege's Maple Syrup Liqueur</v>
      </c>
      <c r="S10" s="126" t="str" cm="1">
        <f t="array" ref="S10">IF(ROWS('Friday Spreadsheet CSV'!$B$3:$C3)&lt;=S$9,INDEX('Friday Spreadsheet CSV'!$D:$D,_xlfn.AGGREGATE(15,3,('Friday Spreadsheet CSV'!$C:$C=S$3)/('Friday Spreadsheet CSV'!$C:$C=S$3)*('Friday Spreadsheet CSV'!$K:$K=S$8)/('Friday Spreadsheet CSV'!$K:$K=S$8)*(ROW('Friday Spreadsheet CSV'!$C:$C)),ROWS('Friday Spreadsheet CSV'!R$3:R3))),"")</f>
        <v>Meon Valley Cider Chalk Stream</v>
      </c>
      <c r="T10" s="126" t="str" cm="1">
        <f t="array" ref="T10">IF(ROWS('Friday Spreadsheet CSV'!$B$3:$C3)&lt;=T$9,INDEX('Friday Spreadsheet CSV'!$D:$D,_xlfn.AGGREGATE(15,3,('Friday Spreadsheet CSV'!$C:$C=T$3)/('Friday Spreadsheet CSV'!$C:$C=T$3)*('Friday Spreadsheet CSV'!$K:$K=T$8)/('Friday Spreadsheet CSV'!$K:$K=T$8)*(ROW('Friday Spreadsheet CSV'!$C:$C)),ROWS('Friday Spreadsheet CSV'!S$3:S3))),"")</f>
        <v>Amundsen Dessert In A Can - Mango Chocolate Creamsicle</v>
      </c>
      <c r="U10" s="126" t="str" cm="1">
        <f t="array" ref="U10">IF(ROWS('Friday Spreadsheet CSV'!$B$3:$C3)&lt;=U$9,INDEX('Friday Spreadsheet CSV'!$D:$D,_xlfn.AGGREGATE(15,3,('Friday Spreadsheet CSV'!$C:$C=U$3)/('Friday Spreadsheet CSV'!$C:$C=U$3)*('Friday Spreadsheet CSV'!$K:$K=U$8)/('Friday Spreadsheet CSV'!$K:$K=U$8)*(ROW('Friday Spreadsheet CSV'!$C:$C)),ROWS('Friday Spreadsheet CSV'!T$3:T3))),"")</f>
        <v>Bab's Purple Pear Brandy</v>
      </c>
      <c r="V10" s="126" t="str" cm="1">
        <f t="array" ref="V10">IF(ROWS('Friday Spreadsheet CSV'!$B$3:$C3)&lt;=V$9,INDEX('Friday Spreadsheet CSV'!$D:$D,_xlfn.AGGREGATE(15,3,('Friday Spreadsheet CSV'!$C:$C=V$3)/('Friday Spreadsheet CSV'!$C:$C=V$3)*('Friday Spreadsheet CSV'!$K:$K=V$8)/('Friday Spreadsheet CSV'!$K:$K=V$8)*(ROW('Friday Spreadsheet CSV'!$C:$C)),ROWS('Friday Spreadsheet CSV'!U$3:U3))),"")</f>
        <v>Resist 2X Vanilla (Double Vanilla)</v>
      </c>
      <c r="W10" s="126" t="str" cm="1">
        <f t="array" ref="W10">IF(ROWS('Friday Spreadsheet CSV'!$B$3:$C3)&lt;=W$9,INDEX('Friday Spreadsheet CSV'!$D:$D,_xlfn.AGGREGATE(15,3,('Friday Spreadsheet CSV'!$C:$C=W$3)/('Friday Spreadsheet CSV'!$C:$C=W$3)*('Friday Spreadsheet CSV'!$K:$K=W$8)/('Friday Spreadsheet CSV'!$K:$K=W$8)*(ROW('Friday Spreadsheet CSV'!$C:$C)),ROWS('Friday Spreadsheet CSV'!V$3:V3))),"")</f>
        <v>Botham Malbec 79 Series</v>
      </c>
      <c r="X10" s="126" t="str" cm="1">
        <f t="array" ref="X10">IF(ROWS('Friday Spreadsheet CSV'!$B$3:$C3)&lt;=X$9,INDEX('Friday Spreadsheet CSV'!$D:$D,_xlfn.AGGREGATE(15,3,('Friday Spreadsheet CSV'!$C:$C=X$3)/('Friday Spreadsheet CSV'!$C:$C=X$3)*('Friday Spreadsheet CSV'!$K:$K=X$8)/('Friday Spreadsheet CSV'!$K:$K=X$8)*(ROW('Friday Spreadsheet CSV'!$C:$C)),ROWS('Friday Spreadsheet CSV'!W$3:W3))),"")</f>
        <v>Otter Ale</v>
      </c>
      <c r="Y10" s="126" t="str" cm="1">
        <f t="array" ref="Y10">IF(ROWS('Friday Spreadsheet CSV'!$B$3:$C3)&lt;=Y$9,INDEX('Friday Spreadsheet CSV'!$D:$D,_xlfn.AGGREGATE(15,3,('Friday Spreadsheet CSV'!$C:$C=Y$3)/('Friday Spreadsheet CSV'!$C:$C=Y$3)*('Friday Spreadsheet CSV'!$K:$K=Y$8)/('Friday Spreadsheet CSV'!$K:$K=Y$8)*(ROW('Friday Spreadsheet CSV'!$C:$C)),ROWS('Friday Spreadsheet CSV'!X$3:X3))),"")</f>
        <v>Tequila Rose</v>
      </c>
      <c r="Z10" s="126" t="str" cm="1">
        <f t="array" ref="Z10">IF(ROWS('Friday Spreadsheet CSV'!$B$3:$C3)&lt;=Z$9,INDEX('Friday Spreadsheet CSV'!$D:$D,_xlfn.AGGREGATE(15,3,('Friday Spreadsheet CSV'!$C:$C=Z$3)/('Friday Spreadsheet CSV'!$C:$C=Z$3)*('Friday Spreadsheet CSV'!$K:$K=Z$8)/('Friday Spreadsheet CSV'!$K:$K=Z$8)*(ROW('Friday Spreadsheet CSV'!$C:$C)),ROWS('Friday Spreadsheet CSV'!Y$3:Y3))),"")</f>
        <v>Tequila Rose</v>
      </c>
      <c r="AA10" s="126" t="str" cm="1">
        <f t="array" ref="AA10">IF(ROWS('Friday Spreadsheet CSV'!$B$3:$C3)&lt;=AA$9,INDEX('Friday Spreadsheet CSV'!$D:$D,_xlfn.AGGREGATE(15,3,('Friday Spreadsheet CSV'!$C:$C=AA$3)/('Friday Spreadsheet CSV'!$C:$C=AA$3)*('Friday Spreadsheet CSV'!$K:$K=AA$8)/('Friday Spreadsheet CSV'!$K:$K=AA$8)*(ROW('Friday Spreadsheet CSV'!$C:$C)),ROWS('Friday Spreadsheet CSV'!Z$3:Z3))),"")</f>
        <v>Stroud Brewery Rye PA</v>
      </c>
      <c r="AB10" s="126"/>
      <c r="AC10" s="128"/>
    </row>
    <row r="11" spans="1:48" s="33" customFormat="1" ht="61" customHeight="1" x14ac:dyDescent="0.15">
      <c r="B11" s="125"/>
      <c r="C11" s="127"/>
      <c r="D11" s="126"/>
      <c r="E11" s="126" t="str" cm="1">
        <f t="array" ref="E11">IF(ROWS('Friday Spreadsheet CSV'!$B$3:$C4)&lt;=E$9,INDEX('Friday Spreadsheet CSV'!$D:$D,_xlfn.AGGREGATE(15,3,('Friday Spreadsheet CSV'!$C:$C=E$3)/('Friday Spreadsheet CSV'!$C:$C=E$3)*('Friday Spreadsheet CSV'!$K:$K=E$8)/('Friday Spreadsheet CSV'!$K:$K=E$8)*(ROW('Friday Spreadsheet CSV'!$C:$C)),ROWS('Friday Spreadsheet CSV'!E$3:E4))),"")</f>
        <v>Smirnoff Ice</v>
      </c>
      <c r="F11" s="126"/>
      <c r="G11" s="126" t="str" cm="1">
        <f t="array" ref="G11">IF(ROWS('Friday Spreadsheet CSV'!$B$3:$C4)&lt;=G$9,INDEX('Friday Spreadsheet CSV'!$D:$D,_xlfn.AGGREGATE(15,3,('Friday Spreadsheet CSV'!$C:$C=G$3)/('Friday Spreadsheet CSV'!$C:$C=G$3)*('Friday Spreadsheet CSV'!$K:$K=G$8)/('Friday Spreadsheet CSV'!$K:$K=G$8)*(ROW('Friday Spreadsheet CSV'!$C:$C)),ROWS('Friday Spreadsheet CSV'!H$3:H4))),"")</f>
        <v>Jose Cuervo Especial Blue Agave Tequila</v>
      </c>
      <c r="H11" s="126"/>
      <c r="I11" s="126"/>
      <c r="J11" s="126"/>
      <c r="K11" s="126"/>
      <c r="L11" s="126"/>
      <c r="M11" s="126" t="str" cm="1">
        <f t="array" ref="M11">IF(ROWS('Friday Spreadsheet CSV'!A$3:$C4)&lt;=M$9,INDEX('Friday Spreadsheet CSV'!$D:$D,_xlfn.AGGREGATE(15,3,('Friday Spreadsheet CSV'!$C:$C=M$3)/('Friday Spreadsheet CSV'!$C:$C=M$3)*('Friday Spreadsheet CSV'!$K:$K=M$8)/('Friday Spreadsheet CSV'!$K:$K=M$8)*(ROW('Friday Spreadsheet CSV'!$C:$C)),ROWS('Friday Spreadsheet CSV'!#REF!))),"")</f>
        <v/>
      </c>
      <c r="N11" s="126" t="str" cm="1">
        <f t="array" ref="N11">IF(ROWS('Friday Spreadsheet CSV'!$B$3:$C4)&lt;=N$9,INDEX('Friday Spreadsheet CSV'!$D:$D,_xlfn.AGGREGATE(15,3,('Friday Spreadsheet CSV'!$C:$C=N$3)/('Friday Spreadsheet CSV'!$C:$C=N$3)*('Friday Spreadsheet CSV'!$K:$K=N$8)/('Friday Spreadsheet CSV'!$K:$K=N$8)*(ROW('Friday Spreadsheet CSV'!$C:$C)),ROWS('Friday Spreadsheet CSV'!L$3:L4))),"")</f>
        <v>Corona Extra</v>
      </c>
      <c r="O11" s="126" t="str" cm="1">
        <f t="array" ref="O11">IF(ROWS('Friday Spreadsheet CSV'!$B$3:$C4)&lt;=O$9,INDEX('Friday Spreadsheet CSV'!$D:$D,_xlfn.AGGREGATE(15,3,('Friday Spreadsheet CSV'!$C:$C=O$3)/('Friday Spreadsheet CSV'!$C:$C=O$3)*('Friday Spreadsheet CSV'!$K:$K=O$8)/('Friday Spreadsheet CSV'!$K:$K=O$8)*(ROW('Friday Spreadsheet CSV'!$C:$C)),ROWS('Friday Spreadsheet CSV'!O$3:O4))),"")</f>
        <v>Rekorderlig Strawberry-Lime</v>
      </c>
      <c r="P11" s="126" t="str" cm="1">
        <f t="array" ref="P11">IF(ROWS('Friday Spreadsheet CSV'!$B$3:$C4)&lt;=P$9,INDEX('Friday Spreadsheet CSV'!$D:$D,_xlfn.AGGREGATE(15,3,('Friday Spreadsheet CSV'!$C:$C=P$3)/('Friday Spreadsheet CSV'!$C:$C=P$3)*('Friday Spreadsheet CSV'!$K:$K=P$8)/('Friday Spreadsheet CSV'!$K:$K=P$8)*(ROW('Friday Spreadsheet CSV'!$C:$C)),ROWS('Friday Spreadsheet CSV'!P$3:P4))),"")</f>
        <v>Freixenet</v>
      </c>
      <c r="Q11" s="126" t="str" cm="1">
        <f t="array" ref="Q11">IF(ROWS('Friday Spreadsheet CSV'!$B$3:$C4)&lt;=Q$9,INDEX('Friday Spreadsheet CSV'!$D:$D,_xlfn.AGGREGATE(15,3,('Friday Spreadsheet CSV'!$C:$C=Q$3)/('Friday Spreadsheet CSV'!$C:$C=Q$3)*('Friday Spreadsheet CSV'!$K:$K=Q$8)/('Friday Spreadsheet CSV'!$K:$K=Q$8)*(ROW('Friday Spreadsheet CSV'!$C:$C)),ROWS('Friday Spreadsheet CSV'!P$3:P4))),"")</f>
        <v>Meon Valley Dragonfly</v>
      </c>
      <c r="R11" s="126" t="str" cm="1">
        <f t="array" ref="R11">IF(ROWS('Friday Spreadsheet CSV'!$B$3:$C4)&lt;=R$9,INDEX('Friday Spreadsheet CSV'!$D:$D,_xlfn.AGGREGATE(15,3,('Friday Spreadsheet CSV'!$C:$C=R$3)/('Friday Spreadsheet CSV'!$C:$C=R$3)*('Friday Spreadsheet CSV'!$K:$K=R$8)/('Friday Spreadsheet CSV'!$K:$K=R$8)*(ROW('Friday Spreadsheet CSV'!$C:$C)),ROWS('Friday Spreadsheet CSV'!Q$3:Q4))),"")</f>
        <v/>
      </c>
      <c r="S11" s="126" t="str" cm="1">
        <f t="array" ref="S11">IF(ROWS('Friday Spreadsheet CSV'!$B$3:$C4)&lt;=S$9,INDEX('Friday Spreadsheet CSV'!$D:$D,_xlfn.AGGREGATE(15,3,('Friday Spreadsheet CSV'!$C:$C=S$3)/('Friday Spreadsheet CSV'!$C:$C=S$3)*('Friday Spreadsheet CSV'!$K:$K=S$8)/('Friday Spreadsheet CSV'!$K:$K=S$8)*(ROW('Friday Spreadsheet CSV'!$C:$C)),ROWS('Friday Spreadsheet CSV'!R$3:R4))),"")</f>
        <v/>
      </c>
      <c r="T11" s="126" t="str" cm="1">
        <f t="array" ref="T11">IF(ROWS('Friday Spreadsheet CSV'!$B$3:$C4)&lt;=T$9,INDEX('Friday Spreadsheet CSV'!$D:$D,_xlfn.AGGREGATE(15,3,('Friday Spreadsheet CSV'!$C:$C=T$3)/('Friday Spreadsheet CSV'!$C:$C=T$3)*('Friday Spreadsheet CSV'!$K:$K=T$8)/('Friday Spreadsheet CSV'!$K:$K=T$8)*(ROW('Friday Spreadsheet CSV'!$C:$C)),ROWS('Friday Spreadsheet CSV'!S$3:S4))),"")</f>
        <v/>
      </c>
      <c r="U11" s="126" t="str" cm="1">
        <f t="array" ref="U11">IF(ROWS('Friday Spreadsheet CSV'!$B$3:$C4)&lt;=U$9,INDEX('Friday Spreadsheet CSV'!$D:$D,_xlfn.AGGREGATE(15,3,('Friday Spreadsheet CSV'!$C:$C=U$3)/('Friday Spreadsheet CSV'!$C:$C=U$3)*('Friday Spreadsheet CSV'!$K:$K=U$8)/('Friday Spreadsheet CSV'!$K:$K=U$8)*(ROW('Friday Spreadsheet CSV'!$C:$C)),ROWS('Friday Spreadsheet CSV'!T$3:T4))),"")</f>
        <v/>
      </c>
      <c r="V11" s="126" t="str" cm="1">
        <f t="array" ref="V11">IF(ROWS('Friday Spreadsheet CSV'!$B$3:$C4)&lt;=V$9,INDEX('Friday Spreadsheet CSV'!$D:$D,_xlfn.AGGREGATE(15,3,('Friday Spreadsheet CSV'!$C:$C=V$3)/('Friday Spreadsheet CSV'!$C:$C=V$3)*('Friday Spreadsheet CSV'!$K:$K=V$8)/('Friday Spreadsheet CSV'!$K:$K=V$8)*(ROW('Friday Spreadsheet CSV'!$C:$C)),ROWS('Friday Spreadsheet CSV'!U$3:U4))),"")</f>
        <v>Jack Daniel's Tennessee Fire Whiskey</v>
      </c>
      <c r="W11" s="126" t="str" cm="1">
        <f t="array" ref="W11">IF(ROWS('Friday Spreadsheet CSV'!$B$3:$C4)&lt;=W$9,INDEX('Friday Spreadsheet CSV'!$D:$D,_xlfn.AGGREGATE(15,3,('Friday Spreadsheet CSV'!$C:$C=W$3)/('Friday Spreadsheet CSV'!$C:$C=W$3)*('Friday Spreadsheet CSV'!$K:$K=W$8)/('Friday Spreadsheet CSV'!$K:$K=W$8)*(ROW('Friday Spreadsheet CSV'!$C:$C)),ROWS('Friday Spreadsheet CSV'!V$3:V4))),"")</f>
        <v>Boswandeling</v>
      </c>
      <c r="X11" s="126" t="str" cm="1">
        <f t="array" ref="X11">IF(ROWS('Friday Spreadsheet CSV'!$B$3:$C4)&lt;=X$9,INDEX('Friday Spreadsheet CSV'!$D:$D,_xlfn.AGGREGATE(15,3,('Friday Spreadsheet CSV'!$C:$C=X$3)/('Friday Spreadsheet CSV'!$C:$C=X$3)*('Friday Spreadsheet CSV'!$K:$K=X$8)/('Friday Spreadsheet CSV'!$K:$K=X$8)*(ROW('Friday Spreadsheet CSV'!$C:$C)),ROWS('Friday Spreadsheet CSV'!W$3:W4))),"")</f>
        <v/>
      </c>
      <c r="Y11" s="126" t="str" cm="1">
        <f t="array" ref="Y11">IF(ROWS('Friday Spreadsheet CSV'!$B$3:$C4)&lt;=Y$9,INDEX('Friday Spreadsheet CSV'!$D:$D,_xlfn.AGGREGATE(15,3,('Friday Spreadsheet CSV'!$C:$C=Y$3)/('Friday Spreadsheet CSV'!$C:$C=Y$3)*('Friday Spreadsheet CSV'!$K:$K=Y$8)/('Friday Spreadsheet CSV'!$K:$K=Y$8)*(ROW('Friday Spreadsheet CSV'!$C:$C)),ROWS('Friday Spreadsheet CSV'!X$3:X4))),"")</f>
        <v>Baileys Chocolat Luxe</v>
      </c>
      <c r="Z11" s="126" t="str" cm="1">
        <f t="array" ref="Z11">IF(ROWS('Friday Spreadsheet CSV'!$B$3:$C4)&lt;=Z$9,INDEX('Friday Spreadsheet CSV'!$D:$D,_xlfn.AGGREGATE(15,3,('Friday Spreadsheet CSV'!$C:$C=Z$3)/('Friday Spreadsheet CSV'!$C:$C=Z$3)*('Friday Spreadsheet CSV'!$K:$K=Z$8)/('Friday Spreadsheet CSV'!$K:$K=Z$8)*(ROW('Friday Spreadsheet CSV'!$C:$C)),ROWS('Friday Spreadsheet CSV'!Y$3:Y4))),"")</f>
        <v/>
      </c>
      <c r="AA11" s="126" t="str" cm="1">
        <f t="array" ref="AA11">IF(ROWS('Friday Spreadsheet CSV'!$B$3:$C4)&lt;=AA$9,INDEX('Friday Spreadsheet CSV'!$D:$D,_xlfn.AGGREGATE(15,3,('Friday Spreadsheet CSV'!$C:$C=AA$3)/('Friday Spreadsheet CSV'!$C:$C=AA$3)*('Friday Spreadsheet CSV'!$K:$K=AA$8)/('Friday Spreadsheet CSV'!$K:$K=AA$8)*(ROW('Friday Spreadsheet CSV'!$C:$C)),ROWS('Friday Spreadsheet CSV'!Z$3:Z4))),"")</f>
        <v>Firebrand Brewing Co. Citrus Simcoe NEIPA</v>
      </c>
      <c r="AB11" s="126"/>
      <c r="AC11" s="128"/>
    </row>
    <row r="12" spans="1:48" s="33" customFormat="1" ht="61" customHeight="1" x14ac:dyDescent="0.15">
      <c r="B12" s="125"/>
      <c r="C12" s="127"/>
      <c r="D12" s="126"/>
      <c r="E12" s="126" t="str" cm="1">
        <f t="array" ref="E12">IF(ROWS('Friday Spreadsheet CSV'!$B$3:$C5)&lt;=E$9,INDEX('Friday Spreadsheet CSV'!$D:$D,_xlfn.AGGREGATE(15,3,('Friday Spreadsheet CSV'!$C:$C=E$3)/('Friday Spreadsheet CSV'!$C:$C=E$3)*('Friday Spreadsheet CSV'!$K:$K=E$8)/('Friday Spreadsheet CSV'!$K:$K=E$8)*(ROW('Friday Spreadsheet CSV'!$C:$C)),ROWS('Friday Spreadsheet CSV'!E$3:E5))),"")</f>
        <v>Fourpure Deucebox Double IPA</v>
      </c>
      <c r="F12" s="126"/>
      <c r="G12" s="126"/>
      <c r="H12" s="126"/>
      <c r="I12" s="126"/>
      <c r="J12" s="126"/>
      <c r="K12" s="126"/>
      <c r="L12" s="126"/>
      <c r="M12" s="126" t="str" cm="1">
        <f t="array" ref="M12">IF(ROWS('Friday Spreadsheet CSV'!A$3:$C5)&lt;=M$9,INDEX('Friday Spreadsheet CSV'!$D:$D,_xlfn.AGGREGATE(15,3,('Friday Spreadsheet CSV'!$C:$C=M$3)/('Friday Spreadsheet CSV'!$C:$C=M$3)*('Friday Spreadsheet CSV'!$K:$K=M$8)/('Friday Spreadsheet CSV'!$K:$K=M$8)*(ROW('Friday Spreadsheet CSV'!$C:$C)),ROWS('Friday Spreadsheet CSV'!#REF!))),"")</f>
        <v/>
      </c>
      <c r="N12" s="126" t="str" cm="1">
        <f t="array" ref="N12">IF(ROWS('Friday Spreadsheet CSV'!$B$3:$C5)&lt;=N$9,INDEX('Friday Spreadsheet CSV'!$D:$D,_xlfn.AGGREGATE(15,3,('Friday Spreadsheet CSV'!$C:$C=N$3)/('Friday Spreadsheet CSV'!$C:$C=N$3)*('Friday Spreadsheet CSV'!$K:$K=N$8)/('Friday Spreadsheet CSV'!$K:$K=N$8)*(ROW('Friday Spreadsheet CSV'!$C:$C)),ROWS('Friday Spreadsheet CSV'!#REF!))),"")</f>
        <v/>
      </c>
      <c r="O12" s="126" t="str" cm="1">
        <f t="array" ref="O12">IF(ROWS('Friday Spreadsheet CSV'!$B$3:$C5)&lt;=O$9,INDEX('Friday Spreadsheet CSV'!$D:$D,_xlfn.AGGREGATE(15,3,('Friday Spreadsheet CSV'!$C:$C=O$3)/('Friday Spreadsheet CSV'!$C:$C=O$3)*('Friday Spreadsheet CSV'!$K:$K=O$8)/('Friday Spreadsheet CSV'!$K:$K=O$8)*(ROW('Friday Spreadsheet CSV'!$C:$C)),ROWS('Friday Spreadsheet CSV'!O$3:O5))),"")</f>
        <v>Cockburn's Fine Tawny</v>
      </c>
      <c r="P12" s="126" t="str" cm="1">
        <f t="array" ref="P12">IF(ROWS('Friday Spreadsheet CSV'!$B$3:$C5)&lt;=P$9,INDEX('Friday Spreadsheet CSV'!$D:$D,_xlfn.AGGREGATE(15,3,('Friday Spreadsheet CSV'!$C:$C=P$3)/('Friday Spreadsheet CSV'!$C:$C=P$3)*('Friday Spreadsheet CSV'!$K:$K=P$8)/('Friday Spreadsheet CSV'!$K:$K=P$8)*(ROW('Friday Spreadsheet CSV'!$C:$C)),ROWS('Friday Spreadsheet CSV'!P$3:P5))),"")</f>
        <v>Freixenet</v>
      </c>
      <c r="Q12" s="126" t="str" cm="1">
        <f t="array" ref="Q12">IF(ROWS('Friday Spreadsheet CSV'!$B$3:$C5)&lt;=Q$9,INDEX('Friday Spreadsheet CSV'!$D:$D,_xlfn.AGGREGATE(15,3,('Friday Spreadsheet CSV'!$C:$C=Q$3)/('Friday Spreadsheet CSV'!$C:$C=Q$3)*('Friday Spreadsheet CSV'!$K:$K=Q$8)/('Friday Spreadsheet CSV'!$K:$K=Q$8)*(ROW('Friday Spreadsheet CSV'!$C:$C)),ROWS('Friday Spreadsheet CSV'!P$3:P5))),"")</f>
        <v>Brewdog Elvis Juice</v>
      </c>
      <c r="R12" s="126" t="str" cm="1">
        <f t="array" ref="R12">IF(ROWS('Friday Spreadsheet CSV'!$B$3:$C5)&lt;=R$9,INDEX('Friday Spreadsheet CSV'!$D:$D,_xlfn.AGGREGATE(15,3,('Friday Spreadsheet CSV'!$C:$C=R$3)/('Friday Spreadsheet CSV'!$C:$C=R$3)*('Friday Spreadsheet CSV'!$K:$K=R$8)/('Friday Spreadsheet CSV'!$K:$K=R$8)*(ROW('Friday Spreadsheet CSV'!$C:$C)),ROWS('Friday Spreadsheet CSV'!Q$3:Q5))),"")</f>
        <v/>
      </c>
      <c r="S12" s="126" t="str" cm="1">
        <f t="array" ref="S12">IF(ROWS('Friday Spreadsheet CSV'!$B$3:$C5)&lt;=S$9,INDEX('Friday Spreadsheet CSV'!$D:$D,_xlfn.AGGREGATE(15,3,('Friday Spreadsheet CSV'!$C:$C=S$3)/('Friday Spreadsheet CSV'!$C:$C=S$3)*('Friday Spreadsheet CSV'!$K:$K=S$8)/('Friday Spreadsheet CSV'!$K:$K=S$8)*(ROW('Friday Spreadsheet CSV'!$C:$C)),ROWS('Friday Spreadsheet CSV'!R$3:R5))),"")</f>
        <v/>
      </c>
      <c r="T12" s="126" t="str" cm="1">
        <f t="array" ref="T12">IF(ROWS('Friday Spreadsheet CSV'!$B$3:$C5)&lt;=T$9,INDEX('Friday Spreadsheet CSV'!$D:$D,_xlfn.AGGREGATE(15,3,('Friday Spreadsheet CSV'!$C:$C=T$3)/('Friday Spreadsheet CSV'!$C:$C=T$3)*('Friday Spreadsheet CSV'!$K:$K=T$8)/('Friday Spreadsheet CSV'!$K:$K=T$8)*(ROW('Friday Spreadsheet CSV'!$C:$C)),ROWS('Friday Spreadsheet CSV'!S$3:S5))),"")</f>
        <v/>
      </c>
      <c r="U12" s="126" t="str" cm="1">
        <f t="array" ref="U12">IF(ROWS('Friday Spreadsheet CSV'!$B$3:$C5)&lt;=U$9,INDEX('Friday Spreadsheet CSV'!$D:$D,_xlfn.AGGREGATE(15,3,('Friday Spreadsheet CSV'!$C:$C=U$3)/('Friday Spreadsheet CSV'!$C:$C=U$3)*('Friday Spreadsheet CSV'!$K:$K=U$8)/('Friday Spreadsheet CSV'!$K:$K=U$8)*(ROW('Friday Spreadsheet CSV'!$C:$C)),ROWS('Friday Spreadsheet CSV'!T$3:T5))),"")</f>
        <v/>
      </c>
      <c r="V12" s="126" t="str" cm="1">
        <f t="array" ref="V12">IF(ROWS('Friday Spreadsheet CSV'!$B$3:$C5)&lt;=V$9,INDEX('Friday Spreadsheet CSV'!$D:$D,_xlfn.AGGREGATE(15,3,('Friday Spreadsheet CSV'!$C:$C=V$3)/('Friday Spreadsheet CSV'!$C:$C=V$3)*('Friday Spreadsheet CSV'!$K:$K=V$8)/('Friday Spreadsheet CSV'!$K:$K=V$8)*(ROW('Friday Spreadsheet CSV'!$C:$C)),ROWS('Friday Spreadsheet CSV'!U$3:U5))),"")</f>
        <v/>
      </c>
      <c r="W12" s="126" t="str" cm="1">
        <f t="array" ref="W12">IF(ROWS('Friday Spreadsheet CSV'!$B$3:$C5)&lt;=W$9,INDEX('Friday Spreadsheet CSV'!$D:$D,_xlfn.AGGREGATE(15,3,('Friday Spreadsheet CSV'!$C:$C=W$3)/('Friday Spreadsheet CSV'!$C:$C=W$3)*('Friday Spreadsheet CSV'!$K:$K=W$8)/('Friday Spreadsheet CSV'!$K:$K=W$8)*(ROW('Friday Spreadsheet CSV'!$C:$C)),ROWS('Friday Spreadsheet CSV'!V$3:V5))),"")</f>
        <v/>
      </c>
      <c r="X12" s="126" t="str" cm="1">
        <f t="array" ref="X12">IF(ROWS('Friday Spreadsheet CSV'!$B$3:$C5)&lt;=X$9,INDEX('Friday Spreadsheet CSV'!$D:$D,_xlfn.AGGREGATE(15,3,('Friday Spreadsheet CSV'!$C:$C=X$3)/('Friday Spreadsheet CSV'!$C:$C=X$3)*('Friday Spreadsheet CSV'!$K:$K=X$8)/('Friday Spreadsheet CSV'!$K:$K=X$8)*(ROW('Friday Spreadsheet CSV'!$C:$C)),ROWS('Friday Spreadsheet CSV'!W$3:W5))),"")</f>
        <v/>
      </c>
      <c r="Y12" s="126" t="str" cm="1">
        <f t="array" ref="Y12">IF(ROWS('Friday Spreadsheet CSV'!$B$3:$C5)&lt;=Y$9,INDEX('Friday Spreadsheet CSV'!$D:$D,_xlfn.AGGREGATE(15,3,('Friday Spreadsheet CSV'!$C:$C=Y$3)/('Friday Spreadsheet CSV'!$C:$C=Y$3)*('Friday Spreadsheet CSV'!$K:$K=Y$8)/('Friday Spreadsheet CSV'!$K:$K=Y$8)*(ROW('Friday Spreadsheet CSV'!$C:$C)),ROWS('Friday Spreadsheet CSV'!X$3:X5))),"")</f>
        <v/>
      </c>
      <c r="Z12" s="126" t="str" cm="1">
        <f t="array" ref="Z12">IF(ROWS('Friday Spreadsheet CSV'!$B$3:$C5)&lt;=Z$9,INDEX('Friday Spreadsheet CSV'!$D:$D,_xlfn.AGGREGATE(15,3,('Friday Spreadsheet CSV'!$C:$C=Z$3)/('Friday Spreadsheet CSV'!$C:$C=Z$3)*('Friday Spreadsheet CSV'!$K:$K=Z$8)/('Friday Spreadsheet CSV'!$K:$K=Z$8)*(ROW('Friday Spreadsheet CSV'!$C:$C)),ROWS('Friday Spreadsheet CSV'!Y$3:Y5))),"")</f>
        <v/>
      </c>
      <c r="AA12" s="126" t="str" cm="1">
        <f t="array" ref="AA12">IF(ROWS('Friday Spreadsheet CSV'!$B$3:$C5)&lt;=AA$9,INDEX('Friday Spreadsheet CSV'!$D:$D,_xlfn.AGGREGATE(15,3,('Friday Spreadsheet CSV'!$C:$C=AA$3)/('Friday Spreadsheet CSV'!$C:$C=AA$3)*('Friday Spreadsheet CSV'!$K:$K=AA$8)/('Friday Spreadsheet CSV'!$K:$K=AA$8)*(ROW('Friday Spreadsheet CSV'!$C:$C)),ROWS('Friday Spreadsheet CSV'!Z$3:Z5))),"")</f>
        <v>Kopparburg Passionfruit Cider</v>
      </c>
      <c r="AB12" s="126"/>
      <c r="AC12" s="128"/>
    </row>
    <row r="13" spans="1:48" s="33" customFormat="1" ht="61" customHeight="1" x14ac:dyDescent="0.15">
      <c r="B13" s="125"/>
      <c r="C13" s="127"/>
      <c r="D13" s="126"/>
      <c r="E13" s="126"/>
      <c r="F13" s="126"/>
      <c r="G13" s="126"/>
      <c r="H13" s="126"/>
      <c r="I13" s="126"/>
      <c r="J13" s="126"/>
      <c r="K13" s="126"/>
      <c r="L13" s="126"/>
      <c r="M13" s="126" t="str" cm="1">
        <f t="array" ref="M13">IF(ROWS('Friday Spreadsheet CSV'!A$3:$C6)&lt;=M$9,INDEX('Friday Spreadsheet CSV'!$D:$D,_xlfn.AGGREGATE(15,3,('Friday Spreadsheet CSV'!$C:$C=M$3)/('Friday Spreadsheet CSV'!$C:$C=M$3)*('Friday Spreadsheet CSV'!$K:$K=M$8)/('Friday Spreadsheet CSV'!$K:$K=M$8)*(ROW('Friday Spreadsheet CSV'!$C:$C)),ROWS('Friday Spreadsheet CSV'!#REF!))),"")</f>
        <v/>
      </c>
      <c r="N13" s="126" t="str" cm="1">
        <f t="array" ref="N13">IF(ROWS('Friday Spreadsheet CSV'!$B$3:$C6)&lt;=N$9,INDEX('Friday Spreadsheet CSV'!$D:$D,_xlfn.AGGREGATE(15,3,('Friday Spreadsheet CSV'!$C:$C=N$3)/('Friday Spreadsheet CSV'!$C:$C=N$3)*('Friday Spreadsheet CSV'!$K:$K=N$8)/('Friday Spreadsheet CSV'!$K:$K=N$8)*(ROW('Friday Spreadsheet CSV'!$C:$C)),ROWS('Friday Spreadsheet CSV'!#REF!))),"")</f>
        <v/>
      </c>
      <c r="O13" s="126" t="str" cm="1">
        <f t="array" ref="O13">IF(ROWS('Friday Spreadsheet CSV'!$B$3:$C6)&lt;=O$9,INDEX('Friday Spreadsheet CSV'!$D:$D,_xlfn.AGGREGATE(15,3,('Friday Spreadsheet CSV'!$C:$C=O$3)/('Friday Spreadsheet CSV'!$C:$C=O$3)*('Friday Spreadsheet CSV'!$K:$K=O$8)/('Friday Spreadsheet CSV'!$K:$K=O$8)*(ROW('Friday Spreadsheet CSV'!$C:$C)),ROWS('Friday Spreadsheet CSV'!O$3:O6))),"")</f>
        <v>Vault City Yuzu Galaxy</v>
      </c>
      <c r="P13" s="126" t="str" cm="1">
        <f t="array" ref="P13">IF(ROWS('Friday Spreadsheet CSV'!$B$3:$C6)&lt;=P$9,INDEX('Friday Spreadsheet CSV'!$D:$D,_xlfn.AGGREGATE(15,3,('Friday Spreadsheet CSV'!$C:$C=P$3)/('Friday Spreadsheet CSV'!$C:$C=P$3)*('Friday Spreadsheet CSV'!$K:$K=P$8)/('Friday Spreadsheet CSV'!$K:$K=P$8)*(ROW('Friday Spreadsheet CSV'!$C:$C)),ROWS('Friday Spreadsheet CSV'!P$3:P6))),"")</f>
        <v>Freixenet</v>
      </c>
      <c r="Q13" s="126" t="str" cm="1">
        <f t="array" ref="Q13">IF(ROWS('Friday Spreadsheet CSV'!$B$3:$C6)&lt;=Q$9,INDEX('Friday Spreadsheet CSV'!$D:$D,_xlfn.AGGREGATE(15,3,('Friday Spreadsheet CSV'!$C:$C=Q$3)/('Friday Spreadsheet CSV'!$C:$C=Q$3)*('Friday Spreadsheet CSV'!$K:$K=Q$8)/('Friday Spreadsheet CSV'!$K:$K=Q$8)*(ROW('Friday Spreadsheet CSV'!$C:$C)),ROWS('Friday Spreadsheet CSV'!P$3:P6))),"")</f>
        <v/>
      </c>
      <c r="R13" s="126" t="str" cm="1">
        <f t="array" ref="R13">IF(ROWS('Friday Spreadsheet CSV'!$B$3:$C6)&lt;=R$9,INDEX('Friday Spreadsheet CSV'!$D:$D,_xlfn.AGGREGATE(15,3,('Friday Spreadsheet CSV'!$C:$C=R$3)/('Friday Spreadsheet CSV'!$C:$C=R$3)*('Friday Spreadsheet CSV'!$K:$K=R$8)/('Friday Spreadsheet CSV'!$K:$K=R$8)*(ROW('Friday Spreadsheet CSV'!$C:$C)),ROWS('Friday Spreadsheet CSV'!Q$3:Q6))),"")</f>
        <v/>
      </c>
      <c r="S13" s="126" t="str" cm="1">
        <f t="array" ref="S13">IF(ROWS('Friday Spreadsheet CSV'!$B$3:$C6)&lt;=S$9,INDEX('Friday Spreadsheet CSV'!$D:$D,_xlfn.AGGREGATE(15,3,('Friday Spreadsheet CSV'!$C:$C=S$3)/('Friday Spreadsheet CSV'!$C:$C=S$3)*('Friday Spreadsheet CSV'!$K:$K=S$8)/('Friday Spreadsheet CSV'!$K:$K=S$8)*(ROW('Friday Spreadsheet CSV'!$C:$C)),ROWS('Friday Spreadsheet CSV'!R$3:R6))),"")</f>
        <v/>
      </c>
      <c r="T13" s="126" t="str" cm="1">
        <f t="array" ref="T13">IF(ROWS('Friday Spreadsheet CSV'!$B$3:$C6)&lt;=T$9,INDEX('Friday Spreadsheet CSV'!$D:$D,_xlfn.AGGREGATE(15,3,('Friday Spreadsheet CSV'!$C:$C=T$3)/('Friday Spreadsheet CSV'!$C:$C=T$3)*('Friday Spreadsheet CSV'!$K:$K=T$8)/('Friday Spreadsheet CSV'!$K:$K=T$8)*(ROW('Friday Spreadsheet CSV'!$C:$C)),ROWS('Friday Spreadsheet CSV'!S$3:S6))),"")</f>
        <v/>
      </c>
      <c r="U13" s="126" t="str" cm="1">
        <f t="array" ref="U13">IF(ROWS('Friday Spreadsheet CSV'!$B$3:$C6)&lt;=U$9,INDEX('Friday Spreadsheet CSV'!$D:$D,_xlfn.AGGREGATE(15,3,('Friday Spreadsheet CSV'!$C:$C=U$3)/('Friday Spreadsheet CSV'!$C:$C=U$3)*('Friday Spreadsheet CSV'!$K:$K=U$8)/('Friday Spreadsheet CSV'!$K:$K=U$8)*(ROW('Friday Spreadsheet CSV'!$C:$C)),ROWS('Friday Spreadsheet CSV'!T$3:T6))),"")</f>
        <v/>
      </c>
      <c r="V13" s="126" t="str" cm="1">
        <f t="array" ref="V13">IF(ROWS('Friday Spreadsheet CSV'!$B$3:$C6)&lt;=V$9,INDEX('Friday Spreadsheet CSV'!$D:$D,_xlfn.AGGREGATE(15,3,('Friday Spreadsheet CSV'!$C:$C=V$3)/('Friday Spreadsheet CSV'!$C:$C=V$3)*('Friday Spreadsheet CSV'!$K:$K=V$8)/('Friday Spreadsheet CSV'!$K:$K=V$8)*(ROW('Friday Spreadsheet CSV'!$C:$C)),ROWS('Friday Spreadsheet CSV'!U$3:U6))),"")</f>
        <v/>
      </c>
      <c r="W13" s="126" t="str" cm="1">
        <f t="array" ref="W13">IF(ROWS('Friday Spreadsheet CSV'!$B$3:$C6)&lt;=W$9,INDEX('Friday Spreadsheet CSV'!$D:$D,_xlfn.AGGREGATE(15,3,('Friday Spreadsheet CSV'!$C:$C=W$3)/('Friday Spreadsheet CSV'!$C:$C=W$3)*('Friday Spreadsheet CSV'!$K:$K=W$8)/('Friday Spreadsheet CSV'!$K:$K=W$8)*(ROW('Friday Spreadsheet CSV'!$C:$C)),ROWS('Friday Spreadsheet CSV'!V$3:V6))),"")</f>
        <v/>
      </c>
      <c r="X13" s="126" t="str" cm="1">
        <f t="array" ref="X13">IF(ROWS('Friday Spreadsheet CSV'!$B$3:$C6)&lt;=X$9,INDEX('Friday Spreadsheet CSV'!$D:$D,_xlfn.AGGREGATE(15,3,('Friday Spreadsheet CSV'!$C:$C=X$3)/('Friday Spreadsheet CSV'!$C:$C=X$3)*('Friday Spreadsheet CSV'!$K:$K=X$8)/('Friday Spreadsheet CSV'!$K:$K=X$8)*(ROW('Friday Spreadsheet CSV'!$C:$C)),ROWS('Friday Spreadsheet CSV'!W$3:W6))),"")</f>
        <v/>
      </c>
      <c r="Y13" s="126" t="str" cm="1">
        <f t="array" ref="Y13">IF(ROWS('Friday Spreadsheet CSV'!$B$3:$C6)&lt;=Y$9,INDEX('Friday Spreadsheet CSV'!$D:$D,_xlfn.AGGREGATE(15,3,('Friday Spreadsheet CSV'!$C:$C=Y$3)/('Friday Spreadsheet CSV'!$C:$C=Y$3)*('Friday Spreadsheet CSV'!$K:$K=Y$8)/('Friday Spreadsheet CSV'!$K:$K=Y$8)*(ROW('Friday Spreadsheet CSV'!$C:$C)),ROWS('Friday Spreadsheet CSV'!X$3:X6))),"")</f>
        <v/>
      </c>
      <c r="Z13" s="126" t="str" cm="1">
        <f t="array" ref="Z13">IF(ROWS('Friday Spreadsheet CSV'!$B$3:$C6)&lt;=Z$9,INDEX('Friday Spreadsheet CSV'!$D:$D,_xlfn.AGGREGATE(15,3,('Friday Spreadsheet CSV'!$C:$C=Z$3)/('Friday Spreadsheet CSV'!$C:$C=Z$3)*('Friday Spreadsheet CSV'!$K:$K=Z$8)/('Friday Spreadsheet CSV'!$K:$K=Z$8)*(ROW('Friday Spreadsheet CSV'!$C:$C)),ROWS('Friday Spreadsheet CSV'!Y$3:Y6))),"")</f>
        <v/>
      </c>
      <c r="AA13" s="126" t="str" cm="1">
        <f t="array" ref="AA13">IF(ROWS('Friday Spreadsheet CSV'!$B$3:$C6)&lt;=AA$9,INDEX('Friday Spreadsheet CSV'!$D:$D,_xlfn.AGGREGATE(15,3,('Friday Spreadsheet CSV'!$C:$C=AA$3)/('Friday Spreadsheet CSV'!$C:$C=AA$3)*('Friday Spreadsheet CSV'!$K:$K=AA$8)/('Friday Spreadsheet CSV'!$K:$K=AA$8)*(ROW('Friday Spreadsheet CSV'!$C:$C)),ROWS('Friday Spreadsheet CSV'!Z$3:Z6))),"")</f>
        <v>Mozart Chocolate Cream</v>
      </c>
      <c r="AB13" s="126"/>
      <c r="AC13" s="128"/>
    </row>
    <row r="14" spans="1:48" s="33" customFormat="1" ht="61" customHeight="1" x14ac:dyDescent="0.15">
      <c r="B14" s="125"/>
      <c r="C14" s="127"/>
      <c r="D14" s="126"/>
      <c r="E14" s="126"/>
      <c r="F14" s="126"/>
      <c r="G14" s="126"/>
      <c r="H14" s="126"/>
      <c r="I14" s="126"/>
      <c r="J14" s="126"/>
      <c r="K14" s="126"/>
      <c r="L14" s="126"/>
      <c r="M14" s="126" t="str" cm="1">
        <f t="array" ref="M14">IF(ROWS('Friday Spreadsheet CSV'!A$3:$C7)&lt;=M$9,INDEX('Friday Spreadsheet CSV'!$D:$D,_xlfn.AGGREGATE(15,3,('Friday Spreadsheet CSV'!$C:$C=M$3)/('Friday Spreadsheet CSV'!$C:$C=M$3)*('Friday Spreadsheet CSV'!$K:$K=M$8)/('Friday Spreadsheet CSV'!$K:$K=M$8)*(ROW('Friday Spreadsheet CSV'!$C:$C)),ROWS('Friday Spreadsheet CSV'!#REF!))),"")</f>
        <v/>
      </c>
      <c r="N14" s="126" t="str" cm="1">
        <f t="array" ref="N14">IF(ROWS('Friday Spreadsheet CSV'!$B$3:$C7)&lt;=N$9,INDEX('Friday Spreadsheet CSV'!$D:$D,_xlfn.AGGREGATE(15,3,('Friday Spreadsheet CSV'!$C:$C=N$3)/('Friday Spreadsheet CSV'!$C:$C=N$3)*('Friday Spreadsheet CSV'!$K:$K=N$8)/('Friday Spreadsheet CSV'!$K:$K=N$8)*(ROW('Friday Spreadsheet CSV'!$C:$C)),ROWS('Friday Spreadsheet CSV'!#REF!))),"")</f>
        <v/>
      </c>
      <c r="O14" s="126" t="str" cm="1">
        <f t="array" ref="O14">IF(ROWS('Friday Spreadsheet CSV'!$B$3:$C7)&lt;=O$9,INDEX('Friday Spreadsheet CSV'!$D:$D,_xlfn.AGGREGATE(15,3,('Friday Spreadsheet CSV'!$C:$C=O$3)/('Friday Spreadsheet CSV'!$C:$C=O$3)*('Friday Spreadsheet CSV'!$K:$K=O$8)/('Friday Spreadsheet CSV'!$K:$K=O$8)*(ROW('Friday Spreadsheet CSV'!$C:$C)),ROWS('Friday Spreadsheet CSV'!O$3:O7))),"")</f>
        <v>Sortilege's Maple Syrup Liqueur</v>
      </c>
      <c r="P14" s="126" t="str" cm="1">
        <f t="array" ref="P14">IF(ROWS('Friday Spreadsheet CSV'!$B$3:$C7)&lt;=P$9,INDEX('Friday Spreadsheet CSV'!$D:$D,_xlfn.AGGREGATE(15,3,('Friday Spreadsheet CSV'!$C:$C=P$3)/('Friday Spreadsheet CSV'!$C:$C=P$3)*('Friday Spreadsheet CSV'!$K:$K=P$8)/('Friday Spreadsheet CSV'!$K:$K=P$8)*(ROW('Friday Spreadsheet CSV'!$C:$C)),ROWS('Friday Spreadsheet CSV'!#REF!))),"")</f>
        <v/>
      </c>
      <c r="Q14" s="126" t="str" cm="1">
        <f t="array" ref="Q14">IF(ROWS('Friday Spreadsheet CSV'!$B$3:$C7)&lt;=Q$9,INDEX('Friday Spreadsheet CSV'!$D:$D,_xlfn.AGGREGATE(15,3,('Friday Spreadsheet CSV'!$C:$C=Q$3)/('Friday Spreadsheet CSV'!$C:$C=Q$3)*('Friday Spreadsheet CSV'!$K:$K=Q$8)/('Friday Spreadsheet CSV'!$K:$K=Q$8)*(ROW('Friday Spreadsheet CSV'!$C:$C)),ROWS('Friday Spreadsheet CSV'!P$3:P7))),"")</f>
        <v/>
      </c>
      <c r="R14" s="126" t="str" cm="1">
        <f t="array" ref="R14">IF(ROWS('Friday Spreadsheet CSV'!$B$3:$C7)&lt;=R$9,INDEX('Friday Spreadsheet CSV'!$D:$D,_xlfn.AGGREGATE(15,3,('Friday Spreadsheet CSV'!$C:$C=R$3)/('Friday Spreadsheet CSV'!$C:$C=R$3)*('Friday Spreadsheet CSV'!$K:$K=R$8)/('Friday Spreadsheet CSV'!$K:$K=R$8)*(ROW('Friday Spreadsheet CSV'!$C:$C)),ROWS('Friday Spreadsheet CSV'!Q$3:Q7))),"")</f>
        <v/>
      </c>
      <c r="S14" s="126" t="str" cm="1">
        <f t="array" ref="S14">IF(ROWS('Friday Spreadsheet CSV'!$B$3:$C7)&lt;=S$9,INDEX('Friday Spreadsheet CSV'!$D:$D,_xlfn.AGGREGATE(15,3,('Friday Spreadsheet CSV'!$C:$C=S$3)/('Friday Spreadsheet CSV'!$C:$C=S$3)*('Friday Spreadsheet CSV'!$K:$K=S$8)/('Friday Spreadsheet CSV'!$K:$K=S$8)*(ROW('Friday Spreadsheet CSV'!$C:$C)),ROWS('Friday Spreadsheet CSV'!R$3:R7))),"")</f>
        <v/>
      </c>
      <c r="T14" s="126" t="str" cm="1">
        <f t="array" ref="T14">IF(ROWS('Friday Spreadsheet CSV'!$B$3:$C7)&lt;=T$9,INDEX('Friday Spreadsheet CSV'!$D:$D,_xlfn.AGGREGATE(15,3,('Friday Spreadsheet CSV'!$C:$C=T$3)/('Friday Spreadsheet CSV'!$C:$C=T$3)*('Friday Spreadsheet CSV'!$K:$K=T$8)/('Friday Spreadsheet CSV'!$K:$K=T$8)*(ROW('Friday Spreadsheet CSV'!$C:$C)),ROWS('Friday Spreadsheet CSV'!S$3:S7))),"")</f>
        <v/>
      </c>
      <c r="U14" s="126" t="str" cm="1">
        <f t="array" ref="U14">IF(ROWS('Friday Spreadsheet CSV'!$B$3:$C7)&lt;=U$9,INDEX('Friday Spreadsheet CSV'!$D:$D,_xlfn.AGGREGATE(15,3,('Friday Spreadsheet CSV'!$C:$C=U$3)/('Friday Spreadsheet CSV'!$C:$C=U$3)*('Friday Spreadsheet CSV'!$K:$K=U$8)/('Friday Spreadsheet CSV'!$K:$K=U$8)*(ROW('Friday Spreadsheet CSV'!$C:$C)),ROWS('Friday Spreadsheet CSV'!T$3:T7))),"")</f>
        <v/>
      </c>
      <c r="V14" s="126" t="str" cm="1">
        <f t="array" ref="V14">IF(ROWS('Friday Spreadsheet CSV'!$B$3:$C7)&lt;=V$9,INDEX('Friday Spreadsheet CSV'!$D:$D,_xlfn.AGGREGATE(15,3,('Friday Spreadsheet CSV'!$C:$C=V$3)/('Friday Spreadsheet CSV'!$C:$C=V$3)*('Friday Spreadsheet CSV'!$K:$K=V$8)/('Friday Spreadsheet CSV'!$K:$K=V$8)*(ROW('Friday Spreadsheet CSV'!$C:$C)),ROWS('Friday Spreadsheet CSV'!U$3:U7))),"")</f>
        <v/>
      </c>
      <c r="W14" s="126" t="str" cm="1">
        <f t="array" ref="W14">IF(ROWS('Friday Spreadsheet CSV'!$B$3:$C7)&lt;=W$9,INDEX('Friday Spreadsheet CSV'!$D:$D,_xlfn.AGGREGATE(15,3,('Friday Spreadsheet CSV'!$C:$C=W$3)/('Friday Spreadsheet CSV'!$C:$C=W$3)*('Friday Spreadsheet CSV'!$K:$K=W$8)/('Friday Spreadsheet CSV'!$K:$K=W$8)*(ROW('Friday Spreadsheet CSV'!$C:$C)),ROWS('Friday Spreadsheet CSV'!V$3:V7))),"")</f>
        <v/>
      </c>
      <c r="X14" s="126" t="str" cm="1">
        <f t="array" ref="X14">IF(ROWS('Friday Spreadsheet CSV'!$B$3:$C7)&lt;=X$9,INDEX('Friday Spreadsheet CSV'!$D:$D,_xlfn.AGGREGATE(15,3,('Friday Spreadsheet CSV'!$C:$C=X$3)/('Friday Spreadsheet CSV'!$C:$C=X$3)*('Friday Spreadsheet CSV'!$K:$K=X$8)/('Friday Spreadsheet CSV'!$K:$K=X$8)*(ROW('Friday Spreadsheet CSV'!$C:$C)),ROWS('Friday Spreadsheet CSV'!W$3:W7))),"")</f>
        <v/>
      </c>
      <c r="Y14" s="126" t="str" cm="1">
        <f t="array" ref="Y14">IF(ROWS('Friday Spreadsheet CSV'!$B$3:$C7)&lt;=Y$9,INDEX('Friday Spreadsheet CSV'!$D:$D,_xlfn.AGGREGATE(15,3,('Friday Spreadsheet CSV'!$C:$C=Y$3)/('Friday Spreadsheet CSV'!$C:$C=Y$3)*('Friday Spreadsheet CSV'!$K:$K=Y$8)/('Friday Spreadsheet CSV'!$K:$K=Y$8)*(ROW('Friday Spreadsheet CSV'!$C:$C)),ROWS('Friday Spreadsheet CSV'!X$3:X7))),"")</f>
        <v/>
      </c>
      <c r="Z14" s="126" t="str" cm="1">
        <f t="array" ref="Z14">IF(ROWS('Friday Spreadsheet CSV'!$B$3:$C7)&lt;=Z$9,INDEX('Friday Spreadsheet CSV'!$D:$D,_xlfn.AGGREGATE(15,3,('Friday Spreadsheet CSV'!$C:$C=Z$3)/('Friday Spreadsheet CSV'!$C:$C=Z$3)*('Friday Spreadsheet CSV'!$K:$K=Z$8)/('Friday Spreadsheet CSV'!$K:$K=Z$8)*(ROW('Friday Spreadsheet CSV'!$C:$C)),ROWS('Friday Spreadsheet CSV'!Y$3:Y7))),"")</f>
        <v/>
      </c>
      <c r="AA14" s="126" t="str" cm="1">
        <f t="array" ref="AA14">IF(ROWS('Friday Spreadsheet CSV'!$B$3:$C7)&lt;=AA$9,INDEX('Friday Spreadsheet CSV'!$D:$D,_xlfn.AGGREGATE(15,3,('Friday Spreadsheet CSV'!$C:$C=AA$3)/('Friday Spreadsheet CSV'!$C:$C=AA$3)*('Friday Spreadsheet CSV'!$K:$K=AA$8)/('Friday Spreadsheet CSV'!$K:$K=AA$8)*(ROW('Friday Spreadsheet CSV'!$C:$C)),ROWS('Friday Spreadsheet CSV'!Z$3:Z7))),"")</f>
        <v/>
      </c>
      <c r="AB14" s="126"/>
      <c r="AC14" s="128"/>
    </row>
    <row r="15" spans="1:48" s="22" customFormat="1" ht="28" x14ac:dyDescent="0.3">
      <c r="A15" s="32"/>
      <c r="B15" s="256" t="s">
        <v>1189</v>
      </c>
      <c r="C15" s="257"/>
      <c r="D15" s="257"/>
      <c r="E15" s="257"/>
      <c r="F15" s="257"/>
      <c r="G15" s="257"/>
      <c r="H15" s="257"/>
      <c r="I15" s="257"/>
      <c r="J15" s="257"/>
      <c r="K15" s="257"/>
      <c r="L15" s="257"/>
      <c r="M15" s="257"/>
      <c r="N15" s="257"/>
      <c r="O15" s="257"/>
      <c r="P15" s="257"/>
      <c r="Q15" s="257"/>
      <c r="R15" s="257"/>
      <c r="S15" s="257"/>
      <c r="T15" s="257"/>
      <c r="U15" s="257"/>
      <c r="V15" s="257"/>
      <c r="W15" s="257"/>
      <c r="X15" s="257"/>
      <c r="Y15" s="257"/>
      <c r="Z15" s="257"/>
      <c r="AA15" s="257"/>
      <c r="AB15" s="257"/>
      <c r="AC15" s="258"/>
    </row>
    <row r="16" spans="1:48" s="33" customFormat="1" ht="16" x14ac:dyDescent="0.15">
      <c r="B16" s="134" t="s">
        <v>1192</v>
      </c>
      <c r="C16" s="127" cm="1">
        <f t="array" ref="C16">MIN(IF(TallyDates=C$3,TallyScore))</f>
        <v>1.5</v>
      </c>
      <c r="D16" s="127" cm="1">
        <f t="array" ref="D16">MIN(IF(TallyDates=D$3,TallyScore))</f>
        <v>2</v>
      </c>
      <c r="E16" s="127" cm="1">
        <f t="array" ref="E16">MIN(IF(TallyDates=E$3,TallyScore))</f>
        <v>1.5</v>
      </c>
      <c r="F16" s="127" cm="1">
        <f t="array" ref="F16">MIN(IF(TallyDates=F$3,TallyScore))</f>
        <v>0.5</v>
      </c>
      <c r="G16" s="127" cm="1">
        <f t="array" ref="G16">MIN(IF(TallyDates=G$3,TallyScore))</f>
        <v>1.5</v>
      </c>
      <c r="H16" s="127" cm="1">
        <f t="array" ref="H16">MIN(IF(TallyDates=H$3,TallyScore))</f>
        <v>1</v>
      </c>
      <c r="I16" s="127" cm="1">
        <f t="array" ref="I16">MIN(IF(TallyDates=I$3,TallyScore))</f>
        <v>2</v>
      </c>
      <c r="J16" s="127" cm="1">
        <f t="array" ref="J16">MIN(IF(TallyDates=J$3,TallyScore))</f>
        <v>2</v>
      </c>
      <c r="K16" s="127" cm="1">
        <f t="array" ref="K16">MIN(IF(TallyDates=K$3,TallyScore))</f>
        <v>1.5</v>
      </c>
      <c r="L16" s="127" cm="1">
        <f t="array" ref="L16">MIN(IF(TallyDates=L$3,TallyScore))</f>
        <v>0</v>
      </c>
      <c r="M16" s="127" cm="1">
        <f t="array" ref="M16">MIN(IF(TallyDates=M$3,TallyScore))</f>
        <v>1.5</v>
      </c>
      <c r="N16" s="127" cm="1">
        <f t="array" ref="N16">MIN(IF(TallyDates=N$3,TallyScore))</f>
        <v>1</v>
      </c>
      <c r="O16" s="127" cm="1">
        <f t="array" ref="O16">MIN(IF(TallyDates=O$3,TallyScore))</f>
        <v>0.5</v>
      </c>
      <c r="P16" s="127" cm="1">
        <f t="array" ref="P16">MIN(IF(TallyDates=P$3,TallyScore))</f>
        <v>0.5</v>
      </c>
      <c r="Q16" s="127" cm="1">
        <f t="array" ref="Q16">MIN(IF(TallyDates=Q$3,TallyScore))</f>
        <v>0.5</v>
      </c>
      <c r="R16" s="127" cm="1">
        <f t="array" ref="R16">MIN(IF(TallyDates=R$3,TallyScore))</f>
        <v>1</v>
      </c>
      <c r="S16" s="127" cm="1">
        <f t="array" ref="S16">MIN(IF(TallyDates=S$3,TallyScore))</f>
        <v>0</v>
      </c>
      <c r="T16" s="127" cm="1">
        <f t="array" ref="T16">MIN(IF(TallyDates=T$3,TallyScore))</f>
        <v>0.5</v>
      </c>
      <c r="U16" s="127" cm="1">
        <f t="array" ref="U16">MIN(IF(TallyDates=U$3,TallyScore))</f>
        <v>3</v>
      </c>
      <c r="V16" s="127" cm="1">
        <f t="array" ref="V16">MIN(IF(TallyDates=V$3,TallyScore))</f>
        <v>1.5</v>
      </c>
      <c r="W16" s="127" cm="1">
        <f t="array" ref="W16">MIN(IF(TallyDates=W$3,TallyScore))</f>
        <v>2</v>
      </c>
      <c r="X16" s="127" cm="1">
        <f t="array" ref="X16">MIN(IF(TallyDates=X$3,TallyScore))</f>
        <v>3</v>
      </c>
      <c r="Y16" s="127" cm="1">
        <f t="array" ref="Y16">MIN(IF(TallyDates=Y$3,TallyScore))</f>
        <v>0.5</v>
      </c>
      <c r="Z16" s="127" cm="1">
        <f t="array" ref="Z16">MIN(IF(TallyDates=Z$3,TallyScore))</f>
        <v>2</v>
      </c>
      <c r="AA16" s="127" cm="1">
        <f t="array" ref="AA16">MIN(IF(TallyDates=AA$3,TallyScore))</f>
        <v>2</v>
      </c>
      <c r="AB16" s="127"/>
      <c r="AC16" s="128"/>
    </row>
    <row r="17" spans="1:30" s="33" customFormat="1" ht="16" x14ac:dyDescent="0.15">
      <c r="B17" s="134" t="s">
        <v>2</v>
      </c>
      <c r="C17" s="127">
        <f t="shared" ref="C17:P17" si="2">COUNTIFS(TallyDates, C$3,TallyScore,C$16)</f>
        <v>1</v>
      </c>
      <c r="D17" s="127">
        <f t="shared" si="2"/>
        <v>1</v>
      </c>
      <c r="E17" s="127">
        <f t="shared" si="2"/>
        <v>1</v>
      </c>
      <c r="F17" s="127">
        <f t="shared" si="2"/>
        <v>2</v>
      </c>
      <c r="G17" s="127">
        <f t="shared" si="2"/>
        <v>1</v>
      </c>
      <c r="H17" s="127">
        <f t="shared" si="2"/>
        <v>1</v>
      </c>
      <c r="I17" s="127">
        <f t="shared" si="2"/>
        <v>2</v>
      </c>
      <c r="J17" s="127">
        <f t="shared" si="2"/>
        <v>5</v>
      </c>
      <c r="K17" s="127">
        <f t="shared" si="2"/>
        <v>2</v>
      </c>
      <c r="L17" s="127">
        <f t="shared" si="2"/>
        <v>1</v>
      </c>
      <c r="M17" s="127">
        <f t="shared" si="2"/>
        <v>2</v>
      </c>
      <c r="N17" s="127">
        <f t="shared" si="2"/>
        <v>1</v>
      </c>
      <c r="O17" s="127">
        <f t="shared" si="2"/>
        <v>1</v>
      </c>
      <c r="P17" s="127">
        <f t="shared" si="2"/>
        <v>1</v>
      </c>
      <c r="Q17" s="127">
        <f t="shared" ref="Q17:AA17" si="3">COUNTIFS(TallyDates, Q$3,TallyScore,Q$16)</f>
        <v>2</v>
      </c>
      <c r="R17" s="127">
        <f t="shared" si="3"/>
        <v>2</v>
      </c>
      <c r="S17" s="127">
        <f t="shared" si="3"/>
        <v>1</v>
      </c>
      <c r="T17" s="127">
        <f t="shared" si="3"/>
        <v>1</v>
      </c>
      <c r="U17" s="127">
        <f t="shared" si="3"/>
        <v>1</v>
      </c>
      <c r="V17" s="127">
        <f t="shared" si="3"/>
        <v>1</v>
      </c>
      <c r="W17" s="127">
        <f t="shared" si="3"/>
        <v>2</v>
      </c>
      <c r="X17" s="127">
        <f t="shared" si="3"/>
        <v>1</v>
      </c>
      <c r="Y17" s="127">
        <f t="shared" si="3"/>
        <v>2</v>
      </c>
      <c r="Z17" s="127">
        <f t="shared" si="3"/>
        <v>2</v>
      </c>
      <c r="AA17" s="127">
        <f t="shared" si="3"/>
        <v>1</v>
      </c>
      <c r="AB17" s="127"/>
      <c r="AC17" s="128"/>
    </row>
    <row r="18" spans="1:30" s="33" customFormat="1" ht="61" customHeight="1" thickBot="1" x14ac:dyDescent="0.2">
      <c r="B18" s="135" t="s">
        <v>1191</v>
      </c>
      <c r="C18" s="127" t="str" cm="1">
        <f t="array" ref="C18">IF(ROWS('Friday Spreadsheet CSV'!$B$3:$C3)&lt;=C$17,INDEX('Friday Spreadsheet CSV'!$D:$D,_xlfn.AGGREGATE(15,3,('Friday Spreadsheet CSV'!$C:$C=C$3)/('Friday Spreadsheet CSV'!$C:$C=C$3)*('Friday Spreadsheet CSV'!$K:$K=C$16)/('Friday Spreadsheet CSV'!$K:$K=C$16)*(ROW('Friday Spreadsheet CSV'!$C:$C)),ROWS('Friday Spreadsheet CSV'!C$3:C3))),"")</f>
        <v>Sierra Tequila</v>
      </c>
      <c r="D18" s="127" t="str" cm="1">
        <f t="array" ref="D18">IF(ROWS('Friday Spreadsheet CSV'!$B$3:$C3)&lt;=D$17,INDEX('Friday Spreadsheet CSV'!$D:$D,_xlfn.AGGREGATE(15,3,('Friday Spreadsheet CSV'!$C:$C=D$3)/('Friday Spreadsheet CSV'!$C:$C=D$3)*('Friday Spreadsheet CSV'!$K:$K=D$16)/('Friday Spreadsheet CSV'!$K:$K=D$16)*(ROW('Friday Spreadsheet CSV'!$C:$C)),ROWS('Friday Spreadsheet CSV'!D$3:D3))),"")</f>
        <v>Oscar's Peach Schnappes</v>
      </c>
      <c r="E18" s="127" t="str" cm="1">
        <f t="array" ref="E18">IF(ROWS('Friday Spreadsheet CSV'!$B$3:$C3)&lt;=E$17,INDEX('Friday Spreadsheet CSV'!$D:$D,_xlfn.AGGREGATE(15,3,('Friday Spreadsheet CSV'!$C:$C=E$3)/('Friday Spreadsheet CSV'!$C:$C=E$3)*('Friday Spreadsheet CSV'!$K:$K=E$16)/('Friday Spreadsheet CSV'!$K:$K=E$16)*(ROW('Friday Spreadsheet CSV'!$C:$C)),ROWS('Friday Spreadsheet CSV'!E$3:E3))),"")</f>
        <v>Metaxa</v>
      </c>
      <c r="F18" s="127" t="str" cm="1">
        <f t="array" ref="F18">IF(ROWS('Friday Spreadsheet CSV'!$B$3:$C3)&lt;=F$17,INDEX('Friday Spreadsheet CSV'!$D:$D,_xlfn.AGGREGATE(15,3,('Friday Spreadsheet CSV'!$C:$C=F$3)/('Friday Spreadsheet CSV'!$C:$C=F$3)*('Friday Spreadsheet CSV'!$K:$K=F$16)/('Friday Spreadsheet CSV'!$K:$K=F$16)*(ROW('Friday Spreadsheet CSV'!$C:$C)),ROWS('Friday Spreadsheet CSV'!G$3:G3))),"")</f>
        <v>Corona Extra</v>
      </c>
      <c r="G18" s="127" t="str" cm="1">
        <f t="array" ref="G18">IF(ROWS('Friday Spreadsheet CSV'!$B$3:$C3)&lt;=G$17,INDEX('Friday Spreadsheet CSV'!$D:$D,_xlfn.AGGREGATE(15,3,('Friday Spreadsheet CSV'!$C:$C=G$3)/('Friday Spreadsheet CSV'!$C:$C=G$3)*('Friday Spreadsheet CSV'!$K:$K=G$16)/('Friday Spreadsheet CSV'!$K:$K=G$16)*(ROW('Friday Spreadsheet CSV'!$C:$C)),ROWS('Friday Spreadsheet CSV'!H$3:H3))),"")</f>
        <v>Gordon's Sicilian Lemon Gin</v>
      </c>
      <c r="H18" s="127" t="e" cm="1">
        <f t="array" ref="H18">IF(ROWS('Friday Spreadsheet CSV'!$B$3:$C3)&lt;=H$17,INDEX('Friday Spreadsheet CSV'!$D:$D,_xlfn.AGGREGATE(15,3,('Friday Spreadsheet CSV'!$C:$C=H$3)/('Friday Spreadsheet CSV'!$C:$C=H$3)*('Friday Spreadsheet CSV'!$K:$K=H$16)/('Friday Spreadsheet CSV'!$K:$K=H$16)*(ROW('Friday Spreadsheet CSV'!$C:$C)),ROWS('Friday Spreadsheet CSV'!#REF!))),"")</f>
        <v>#REF!</v>
      </c>
      <c r="I18" s="127" t="str" cm="1">
        <f t="array" ref="I18">IF(ROWS('Friday Spreadsheet CSV'!$B$3:$C3)&lt;=I$17,INDEX('Friday Spreadsheet CSV'!$D:$D,_xlfn.AGGREGATE(15,3,('Friday Spreadsheet CSV'!$C:$C=I$3)/('Friday Spreadsheet CSV'!$C:$C=I$3)*('Friday Spreadsheet CSV'!$K:$K=I$16)/('Friday Spreadsheet CSV'!$K:$K=I$16)*(ROW('Friday Spreadsheet CSV'!$C:$C)),ROWS('Friday Spreadsheet CSV'!I$3:I3))),"")</f>
        <v>Tesco Value Vodka</v>
      </c>
      <c r="J18" s="127" t="str" cm="1">
        <f t="array" ref="J18">IF(ROWS('Friday Spreadsheet CSV'!$B$3:$C3)&lt;=J$17,INDEX('Friday Spreadsheet CSV'!$D:$D,_xlfn.AGGREGATE(15,3,('Friday Spreadsheet CSV'!$C:$C=J$3)/('Friday Spreadsheet CSV'!$C:$C=J$3)*('Friday Spreadsheet CSV'!$K:$K=J$16)/('Friday Spreadsheet CSV'!$K:$K=J$16)*(ROW('Friday Spreadsheet CSV'!$C:$C)),ROWS('Friday Spreadsheet CSV'!J$3:J3))),"")</f>
        <v>Martini Bianco</v>
      </c>
      <c r="K18" s="127" t="str" cm="1">
        <f t="array" ref="K18">IF(ROWS('Friday Spreadsheet CSV'!$B$3:$C3)&lt;=K$17,INDEX('Friday Spreadsheet CSV'!$D:$D,_xlfn.AGGREGATE(15,3,('Friday Spreadsheet CSV'!$C:$C=K$3)/('Friday Spreadsheet CSV'!$C:$C=K$3)*('Friday Spreadsheet CSV'!$K:$K=K$16)/('Friday Spreadsheet CSV'!$K:$K=K$16)*(ROW('Friday Spreadsheet CSV'!$C:$C)),ROWS('Friday Spreadsheet CSV'!K$3:K3))),"")</f>
        <v>Vasilikon White Wine</v>
      </c>
      <c r="L18" s="127" t="e" cm="1">
        <f t="array" ref="L18">IF(ROWS('Friday Spreadsheet CSV'!$B$3:$C3)&lt;=L$17,INDEX('Friday Spreadsheet CSV'!$D:$D,_xlfn.AGGREGATE(15,3,('Friday Spreadsheet CSV'!$C:$C=L$3)/('Friday Spreadsheet CSV'!$C:$C=L$3)*('Friday Spreadsheet CSV'!$K:$K=L$16)/('Friday Spreadsheet CSV'!$K:$K=L$16)*(ROW('Friday Spreadsheet CSV'!$C:$C)),ROWS('Friday Spreadsheet CSV'!#REF!))),"")</f>
        <v>#REF!</v>
      </c>
      <c r="M18" s="127" t="str" cm="1">
        <f t="array" ref="M18">IF(ROWS('Friday Spreadsheet CSV'!$B$3:$C3)&lt;=M$17,INDEX('Friday Spreadsheet CSV'!$D:$D,_xlfn.AGGREGATE(15,3,('Friday Spreadsheet CSV'!$C:$C=M$3)/('Friday Spreadsheet CSV'!$C:$C=M$3)*('Friday Spreadsheet CSV'!$K:$K=M$16)/('Friday Spreadsheet CSV'!$K:$K=M$16)*(ROW('Friday Spreadsheet CSV'!$C:$C)),ROWS('Friday Spreadsheet CSV'!O$3:O3))),"")</f>
        <v>Brlo Happy Pils</v>
      </c>
      <c r="N18" s="127" t="str" cm="1">
        <f t="array" ref="N18">IF(ROWS('Friday Spreadsheet CSV'!$B$3:$C3)&lt;=N$17,INDEX('Friday Spreadsheet CSV'!$D:$D,_xlfn.AGGREGATE(15,3,('Friday Spreadsheet CSV'!$C:$C=N$3)/('Friday Spreadsheet CSV'!$C:$C=N$3)*('Friday Spreadsheet CSV'!$K:$K=N$16)/('Friday Spreadsheet CSV'!$K:$K=N$16)*(ROW('Friday Spreadsheet CSV'!$C:$C)),ROWS('Friday Spreadsheet CSV'!L$3:L3))),"")</f>
        <v>Cool Shot Berry Burst</v>
      </c>
      <c r="O18" s="127" t="str" cm="1">
        <f t="array" ref="O18">IF(ROWS('Friday Spreadsheet CSV'!$B$3:$C3)&lt;=O$17,INDEX('Friday Spreadsheet CSV'!$D:$D,_xlfn.AGGREGATE(15,3,('Friday Spreadsheet CSV'!$C:$C=O$3)/('Friday Spreadsheet CSV'!$C:$C=O$3)*('Friday Spreadsheet CSV'!$K:$K=O$16)/('Friday Spreadsheet CSV'!$K:$K=O$16)*(ROW('Friday Spreadsheet CSV'!$C:$C)),ROWS('Friday Spreadsheet CSV'!O$3:O3))),"")</f>
        <v>WKD Pink Gin</v>
      </c>
      <c r="P18" s="127" t="str" cm="1">
        <f t="array" ref="P18">IF(ROWS('Friday Spreadsheet CSV'!$B$3:$C3)&lt;=P$17,INDEX('Friday Spreadsheet CSV'!$D:$D,_xlfn.AGGREGATE(15,3,('Friday Spreadsheet CSV'!$C:$C=P$3)/('Friday Spreadsheet CSV'!$C:$C=P$3)*('Friday Spreadsheet CSV'!$K:$K=P$16)/('Friday Spreadsheet CSV'!$K:$K=P$16)*(ROW('Friday Spreadsheet CSV'!$C:$C)),ROWS('Friday Spreadsheet CSV'!P$3:P3))),"")</f>
        <v>Captain Morgan Dark Rum</v>
      </c>
      <c r="Q18" s="127" t="str" cm="1">
        <f t="array" ref="Q18">IF(ROWS('Friday Spreadsheet CSV'!$B$3:$C3)&lt;=Q$17,INDEX('Friday Spreadsheet CSV'!$D:$D,_xlfn.AGGREGATE(15,3,('Friday Spreadsheet CSV'!$C:$C=Q$3)/('Friday Spreadsheet CSV'!$C:$C=Q$3)*('Friday Spreadsheet CSV'!$K:$K=Q$16)/('Friday Spreadsheet CSV'!$K:$K=Q$16)*(ROW('Friday Spreadsheet CSV'!$C:$C)),ROWS('Friday Spreadsheet CSV'!P$3:P3))),"")</f>
        <v>Absolwent Vodka</v>
      </c>
      <c r="R18" s="127" t="str" cm="1">
        <f t="array" ref="R18">IF(ROWS('Friday Spreadsheet CSV'!$B$3:$C3)&lt;=R$17,INDEX('Friday Spreadsheet CSV'!$D:$D,_xlfn.AGGREGATE(15,3,('Friday Spreadsheet CSV'!$C:$C=R$3)/('Friday Spreadsheet CSV'!$C:$C=R$3)*('Friday Spreadsheet CSV'!$K:$K=R$16)/('Friday Spreadsheet CSV'!$K:$K=R$16)*(ROW('Friday Spreadsheet CSV'!$C:$C)),ROWS('Friday Spreadsheet CSV'!Q$3:Q3))),"")</f>
        <v>The Infusionist Mango, Papaya &amp; Yuzu Vodka Liqueur</v>
      </c>
      <c r="S18" s="127" t="str" cm="1">
        <f t="array" ref="S18">IF(ROWS('Friday Spreadsheet CSV'!$B$3:$C3)&lt;=S$17,INDEX('Friday Spreadsheet CSV'!$D:$D,_xlfn.AGGREGATE(15,3,('Friday Spreadsheet CSV'!$C:$C=S$3)/('Friday Spreadsheet CSV'!$C:$C=S$3)*('Friday Spreadsheet CSV'!$K:$K=S$16)/('Friday Spreadsheet CSV'!$K:$K=S$16)*(ROW('Friday Spreadsheet CSV'!$C:$C)),ROWS('Friday Spreadsheet CSV'!R$3:R3))),"")</f>
        <v>Barnstormer Black</v>
      </c>
      <c r="T18" s="127" t="str" cm="1">
        <f t="array" ref="T18">IF(ROWS('Friday Spreadsheet CSV'!$B$3:$C3)&lt;=T$17,INDEX('Friday Spreadsheet CSV'!$D:$D,_xlfn.AGGREGATE(15,3,('Friday Spreadsheet CSV'!$C:$C=T$3)/('Friday Spreadsheet CSV'!$C:$C=T$3)*('Friday Spreadsheet CSV'!$K:$K=T$16)/('Friday Spreadsheet CSV'!$K:$K=T$16)*(ROW('Friday Spreadsheet CSV'!$C:$C)),ROWS('Friday Spreadsheet CSV'!S$3:S3))),"")</f>
        <v>Bols Corenwyn 1575 Gineva Dutch "Pre-Gin"</v>
      </c>
      <c r="U18" s="127" t="str" cm="1">
        <f t="array" ref="U18">IF(ROWS('Friday Spreadsheet CSV'!$B$3:$C3)&lt;=U$17,INDEX('Friday Spreadsheet CSV'!$D:$D,_xlfn.AGGREGATE(15,3,('Friday Spreadsheet CSV'!$C:$C=U$3)/('Friday Spreadsheet CSV'!$C:$C=U$3)*('Friday Spreadsheet CSV'!$K:$K=U$16)/('Friday Spreadsheet CSV'!$K:$K=U$16)*(ROW('Friday Spreadsheet CSV'!$C:$C)),ROWS('Friday Spreadsheet CSV'!T$3:T3))),"")</f>
        <v>Captain Morgan Tiki Pineapple and Mango</v>
      </c>
      <c r="V18" s="127" t="str" cm="1">
        <f t="array" ref="V18">IF(ROWS('Friday Spreadsheet CSV'!$B$3:$C3)&lt;=V$17,INDEX('Friday Spreadsheet CSV'!$D:$D,_xlfn.AGGREGATE(15,3,('Friday Spreadsheet CSV'!$C:$C=V$3)/('Friday Spreadsheet CSV'!$C:$C=V$3)*('Friday Spreadsheet CSV'!$K:$K=V$16)/('Friday Spreadsheet CSV'!$K:$K=V$16)*(ROW('Friday Spreadsheet CSV'!$C:$C)),ROWS('Friday Spreadsheet CSV'!U$3:U3))),"")</f>
        <v>Paganini Grappa</v>
      </c>
      <c r="W18" s="127" t="str" cm="1">
        <f t="array" ref="W18">IF(ROWS('Friday Spreadsheet CSV'!$B$3:$C3)&lt;=W$17,INDEX('Friday Spreadsheet CSV'!$D:$D,_xlfn.AGGREGATE(15,3,('Friday Spreadsheet CSV'!$C:$C=W$3)/('Friday Spreadsheet CSV'!$C:$C=W$3)*('Friday Spreadsheet CSV'!$K:$K=W$16)/('Friday Spreadsheet CSV'!$K:$K=W$16)*(ROW('Friday Spreadsheet CSV'!$C:$C)),ROWS('Friday Spreadsheet CSV'!V$3:V3))),"")</f>
        <v>Geist's Edelbrand Zwetstge Plum Brandy</v>
      </c>
      <c r="X18" s="127" t="str" cm="1">
        <f t="array" ref="X18">IF(ROWS('Friday Spreadsheet CSV'!$B$3:$C3)&lt;=X$17,INDEX('Friday Spreadsheet CSV'!$D:$D,_xlfn.AGGREGATE(15,3,('Friday Spreadsheet CSV'!$C:$C=X$3)/('Friday Spreadsheet CSV'!$C:$C=X$3)*('Friday Spreadsheet CSV'!$K:$K=X$16)/('Friday Spreadsheet CSV'!$K:$K=X$16)*(ROW('Friday Spreadsheet CSV'!$C:$C)),ROWS('Friday Spreadsheet CSV'!W$3:W3))),"")</f>
        <v>Van Vollenhoven &amp; Co. Extra Stout</v>
      </c>
      <c r="Y18" s="127" t="str" cm="1">
        <f t="array" ref="Y18">IF(ROWS('Friday Spreadsheet CSV'!$B$3:$C3)&lt;=Y$17,INDEX('Friday Spreadsheet CSV'!$D:$D,_xlfn.AGGREGATE(15,3,('Friday Spreadsheet CSV'!$C:$C=Y$3)/('Friday Spreadsheet CSV'!$C:$C=Y$3)*('Friday Spreadsheet CSV'!$K:$K=Y$16)/('Friday Spreadsheet CSV'!$K:$K=Y$16)*(ROW('Friday Spreadsheet CSV'!$C:$C)),ROWS('Friday Spreadsheet CSV'!X$3:X3))),"")</f>
        <v>O'Hara's Brewing White Haze IPA</v>
      </c>
      <c r="Z18" s="127" t="str" cm="1">
        <f t="array" ref="Z18">IF(ROWS('Friday Spreadsheet CSV'!$B$3:$C3)&lt;=Z$17,INDEX('Friday Spreadsheet CSV'!$D:$D,_xlfn.AGGREGATE(15,3,('Friday Spreadsheet CSV'!$C:$C=Z$3)/('Friday Spreadsheet CSV'!$C:$C=Z$3)*('Friday Spreadsheet CSV'!$K:$K=Z$16)/('Friday Spreadsheet CSV'!$K:$K=Z$16)*(ROW('Friday Spreadsheet CSV'!$C:$C)),ROWS('Friday Spreadsheet CSV'!Y$3:Y3))),"")</f>
        <v>Turning Point Brew Co Sunshine Indoors Mango and Safron Lassi Donut Ale</v>
      </c>
      <c r="AA18" s="127" t="str" cm="1">
        <f t="array" ref="AA18">IF(ROWS('Friday Spreadsheet CSV'!$B$3:$C3)&lt;=AA$17,INDEX('Friday Spreadsheet CSV'!$D:$D,_xlfn.AGGREGATE(15,3,('Friday Spreadsheet CSV'!$C:$C=AA$3)/('Friday Spreadsheet CSV'!$C:$C=AA$3)*('Friday Spreadsheet CSV'!$K:$K=AA$16)/('Friday Spreadsheet CSV'!$K:$K=AA$16)*(ROW('Friday Spreadsheet CSV'!$C:$C)),ROWS('Friday Spreadsheet CSV'!Z$3:Z3))),"")</f>
        <v>City of London Rhubarb and Rose London Gin</v>
      </c>
      <c r="AB18" s="127"/>
      <c r="AC18" s="128"/>
    </row>
    <row r="19" spans="1:30" s="33" customFormat="1" ht="61" customHeight="1" x14ac:dyDescent="0.2">
      <c r="B19" s="24"/>
      <c r="C19" s="181" t="str" cm="1">
        <f t="array" ref="C19">IF(ROWS('Friday Spreadsheet CSV'!$B$3:$C4)&lt;=C$9,INDEX('Friday Spreadsheet CSV'!$D:$D,_xlfn.AGGREGATE(15,3,('Friday Spreadsheet CSV'!$C:$C=C$3)/('Friday Spreadsheet CSV'!$C:$C=C$3)*('Friday Spreadsheet CSV'!$K:$K=C$16)/('Friday Spreadsheet CSV'!$K:$K=C$16)*(ROW('Friday Spreadsheet CSV'!$C:$C)),ROWS('Friday Spreadsheet CSV'!C$3:C4))),"")</f>
        <v/>
      </c>
      <c r="D19" s="181"/>
      <c r="E19" s="181"/>
      <c r="F19" s="181" t="str" cm="1">
        <f t="array" ref="F19">IF(ROWS('Friday Spreadsheet CSV'!$B$3:$C4)&lt;=F$17,INDEX('Friday Spreadsheet CSV'!$D:$D,_xlfn.AGGREGATE(15,3,('Friday Spreadsheet CSV'!$C:$C=F$3)/('Friday Spreadsheet CSV'!$C:$C=F$3)*('Friday Spreadsheet CSV'!$K:$K=F$16)/('Friday Spreadsheet CSV'!$K:$K=F$16)*(ROW('Friday Spreadsheet CSV'!$C:$C)),ROWS('Friday Spreadsheet CSV'!G$3:G4))),"")</f>
        <v>White Hag Farmhouse Saisson</v>
      </c>
      <c r="G19" s="181"/>
      <c r="H19" s="181"/>
      <c r="I19" s="181" t="str" cm="1">
        <f t="array" ref="I19">IF(ROWS('Friday Spreadsheet CSV'!$B$3:$C4)&lt;=I$17,INDEX('Friday Spreadsheet CSV'!$D:$D,_xlfn.AGGREGATE(15,3,('Friday Spreadsheet CSV'!$C:$C=I$3)/('Friday Spreadsheet CSV'!$C:$C=I$3)*('Friday Spreadsheet CSV'!$K:$K=I$16)/('Friday Spreadsheet CSV'!$K:$K=I$16)*(ROW('Friday Spreadsheet CSV'!$C:$C)),ROWS('Friday Spreadsheet CSV'!I$3:I4))),"")</f>
        <v>Smirnoff Vodka</v>
      </c>
      <c r="J19" s="181" t="str" cm="1">
        <f t="array" ref="J19">IF(ROWS('Friday Spreadsheet CSV'!$B$3:$C4)&lt;=J$17,INDEX('Friday Spreadsheet CSV'!$D:$D,_xlfn.AGGREGATE(15,3,('Friday Spreadsheet CSV'!$C:$C=J$3)/('Friday Spreadsheet CSV'!$C:$C=J$3)*('Friday Spreadsheet CSV'!$K:$K=J$16)/('Friday Spreadsheet CSV'!$K:$K=J$16)*(ROW('Friday Spreadsheet CSV'!$C:$C)),ROWS('Friday Spreadsheet CSV'!J$3:J4))),"")</f>
        <v>Sheep Dip Malted Scotch Whiskry</v>
      </c>
      <c r="K19" s="181" t="str" cm="1">
        <f t="array" ref="K19">IF(ROWS('Friday Spreadsheet CSV'!$B$3:$C4)&lt;=K$17,INDEX('Friday Spreadsheet CSV'!$D:$D,_xlfn.AGGREGATE(15,3,('Friday Spreadsheet CSV'!$C:$C=K$3)/('Friday Spreadsheet CSV'!$C:$C=K$3)*('Friday Spreadsheet CSV'!$K:$K=K$16)/('Friday Spreadsheet CSV'!$K:$K=K$16)*(ROW('Friday Spreadsheet CSV'!$C:$C)),ROWS('Friday Spreadsheet CSV'!K$3:K4))),"")</f>
        <v>Aigaion Oyzo</v>
      </c>
      <c r="L19" s="181"/>
      <c r="M19" s="181" t="str" cm="1">
        <f t="array" ref="M19">IF(ROWS('Friday Spreadsheet CSV'!$B$3:$C4)&lt;=M$17,INDEX('Friday Spreadsheet CSV'!$D:$D,_xlfn.AGGREGATE(15,3,('Friday Spreadsheet CSV'!$C:$C=M$3)/('Friday Spreadsheet CSV'!$C:$C=M$3)*('Friday Spreadsheet CSV'!$K:$K=M$16)/('Friday Spreadsheet CSV'!$K:$K=M$16)*(ROW('Friday Spreadsheet CSV'!$C:$C)),ROWS('Friday Spreadsheet CSV'!O$3:O4))),"")</f>
        <v>Sheppy's Cider Farm Somerset Dabinett Apple Cider</v>
      </c>
      <c r="N19" s="181"/>
      <c r="O19" s="181"/>
      <c r="P19" s="181"/>
      <c r="Q19" s="127" t="str" cm="1">
        <f t="array" ref="Q19">IF(ROWS('Friday Spreadsheet CSV'!$B$3:$C4)&lt;=Q$17,INDEX('Friday Spreadsheet CSV'!$D:$D,_xlfn.AGGREGATE(15,3,('Friday Spreadsheet CSV'!$C:$C=Q$3)/('Friday Spreadsheet CSV'!$C:$C=Q$3)*('Friday Spreadsheet CSV'!$K:$K=Q$16)/('Friday Spreadsheet CSV'!$K:$K=Q$16)*(ROW('Friday Spreadsheet CSV'!$C:$C)),ROWS('Friday Spreadsheet CSV'!P$3:P4))),"")</f>
        <v>Himbeere Blackforset Raspberry Liquour</v>
      </c>
      <c r="R19" s="127" t="str" cm="1">
        <f t="array" ref="R19">IF(ROWS('Friday Spreadsheet CSV'!$B$3:$C4)&lt;=R$17,INDEX('Friday Spreadsheet CSV'!$D:$D,_xlfn.AGGREGATE(15,3,('Friday Spreadsheet CSV'!$C:$C=R$3)/('Friday Spreadsheet CSV'!$C:$C=R$3)*('Friday Spreadsheet CSV'!$K:$K=R$16)/('Friday Spreadsheet CSV'!$K:$K=R$16)*(ROW('Friday Spreadsheet CSV'!$C:$C)),ROWS('Friday Spreadsheet CSV'!Q$3:Q4))),"")</f>
        <v>Northern Monk Neopolitan</v>
      </c>
      <c r="S19" s="127" t="str" cm="1">
        <f t="array" ref="S19">IF(ROWS('Friday Spreadsheet CSV'!$B$3:$C4)&lt;=S$17,INDEX('Friday Spreadsheet CSV'!$D:$D,_xlfn.AGGREGATE(15,3,('Friday Spreadsheet CSV'!$C:$C=S$3)/('Friday Spreadsheet CSV'!$C:$C=S$3)*('Friday Spreadsheet CSV'!$K:$K=S$16)/('Friday Spreadsheet CSV'!$K:$K=S$16)*(ROW('Friday Spreadsheet CSV'!$C:$C)),ROWS('Friday Spreadsheet CSV'!R$3:R4))),"")</f>
        <v/>
      </c>
      <c r="T19" s="127" t="str" cm="1">
        <f t="array" ref="T19">IF(ROWS('Friday Spreadsheet CSV'!$B$3:$C4)&lt;=T$17,INDEX('Friday Spreadsheet CSV'!$D:$D,_xlfn.AGGREGATE(15,3,('Friday Spreadsheet CSV'!$C:$C=T$3)/('Friday Spreadsheet CSV'!$C:$C=T$3)*('Friday Spreadsheet CSV'!$K:$K=T$16)/('Friday Spreadsheet CSV'!$K:$K=T$16)*(ROW('Friday Spreadsheet CSV'!$C:$C)),ROWS('Friday Spreadsheet CSV'!S$3:S4))),"")</f>
        <v/>
      </c>
      <c r="U19" s="127" t="str" cm="1">
        <f t="array" ref="U19">IF(ROWS('Friday Spreadsheet CSV'!$B$3:$C4)&lt;=U$17,INDEX('Friday Spreadsheet CSV'!$D:$D,_xlfn.AGGREGATE(15,3,('Friday Spreadsheet CSV'!$C:$C=U$3)/('Friday Spreadsheet CSV'!$C:$C=U$3)*('Friday Spreadsheet CSV'!$K:$K=U$16)/('Friday Spreadsheet CSV'!$K:$K=U$16)*(ROW('Friday Spreadsheet CSV'!$C:$C)),ROWS('Friday Spreadsheet CSV'!T$3:T4))),"")</f>
        <v/>
      </c>
      <c r="V19" s="127" t="str" cm="1">
        <f t="array" ref="V19">IF(ROWS('Friday Spreadsheet CSV'!$B$3:$C4)&lt;=V$17,INDEX('Friday Spreadsheet CSV'!$D:$D,_xlfn.AGGREGATE(15,3,('Friday Spreadsheet CSV'!$C:$C=V$3)/('Friday Spreadsheet CSV'!$C:$C=V$3)*('Friday Spreadsheet CSV'!$K:$K=V$16)/('Friday Spreadsheet CSV'!$K:$K=V$16)*(ROW('Friday Spreadsheet CSV'!$C:$C)),ROWS('Friday Spreadsheet CSV'!U$3:U4))),"")</f>
        <v/>
      </c>
      <c r="W19" s="127" t="str" cm="1">
        <f t="array" ref="W19">IF(ROWS('Friday Spreadsheet CSV'!$B$3:$C4)&lt;=W$17,INDEX('Friday Spreadsheet CSV'!$D:$D,_xlfn.AGGREGATE(15,3,('Friday Spreadsheet CSV'!$C:$C=W$3)/('Friday Spreadsheet CSV'!$C:$C=W$3)*('Friday Spreadsheet CSV'!$K:$K=W$16)/('Friday Spreadsheet CSV'!$K:$K=W$16)*(ROW('Friday Spreadsheet CSV'!$C:$C)),ROWS('Friday Spreadsheet CSV'!V$3:V4))),"")</f>
        <v>Geist's Edelbrand Zwetstge Plum Brandy</v>
      </c>
      <c r="X19" s="127" t="str" cm="1">
        <f t="array" ref="X19">IF(ROWS('Friday Spreadsheet CSV'!$B$3:$C4)&lt;=X$17,INDEX('Friday Spreadsheet CSV'!$D:$D,_xlfn.AGGREGATE(15,3,('Friday Spreadsheet CSV'!$C:$C=X$3)/('Friday Spreadsheet CSV'!$C:$C=X$3)*('Friday Spreadsheet CSV'!$K:$K=X$16)/('Friday Spreadsheet CSV'!$K:$K=X$16)*(ROW('Friday Spreadsheet CSV'!$C:$C)),ROWS('Friday Spreadsheet CSV'!W$3:W4))),"")</f>
        <v/>
      </c>
      <c r="Y19" s="127" t="str" cm="1">
        <f t="array" ref="Y19">IF(ROWS('Friday Spreadsheet CSV'!$B$3:$C4)&lt;=Y$17,INDEX('Friday Spreadsheet CSV'!$D:$D,_xlfn.AGGREGATE(15,3,('Friday Spreadsheet CSV'!$C:$C=Y$3)/('Friday Spreadsheet CSV'!$C:$C=Y$3)*('Friday Spreadsheet CSV'!$K:$K=Y$16)/('Friday Spreadsheet CSV'!$K:$K=Y$16)*(ROW('Friday Spreadsheet CSV'!$C:$C)),ROWS('Friday Spreadsheet CSV'!X$3:X4))),"")</f>
        <v>Monkey Shoulder</v>
      </c>
      <c r="Z19" s="127" t="str" cm="1">
        <f t="array" ref="Z19">IF(ROWS('Friday Spreadsheet CSV'!$B$3:$C4)&lt;=Z$17,INDEX('Friday Spreadsheet CSV'!$D:$D,_xlfn.AGGREGATE(15,3,('Friday Spreadsheet CSV'!$C:$C=Z$3)/('Friday Spreadsheet CSV'!$C:$C=Z$3)*('Friday Spreadsheet CSV'!$K:$K=Z$16)/('Friday Spreadsheet CSV'!$K:$K=Z$16)*(ROW('Friday Spreadsheet CSV'!$C:$C)),ROWS('Friday Spreadsheet CSV'!Y$3:Y4))),"")</f>
        <v>McEwan's Headspace Scotch Whisky Beer</v>
      </c>
      <c r="AA19" s="127" t="str" cm="1">
        <f t="array" ref="AA19">IF(ROWS('Friday Spreadsheet CSV'!$B$3:$C4)&lt;=AA$17,INDEX('Friday Spreadsheet CSV'!$D:$D,_xlfn.AGGREGATE(15,3,('Friday Spreadsheet CSV'!$C:$C=AA$3)/('Friday Spreadsheet CSV'!$C:$C=AA$3)*('Friday Spreadsheet CSV'!$K:$K=AA$16)/('Friday Spreadsheet CSV'!$K:$K=AA$16)*(ROW('Friday Spreadsheet CSV'!$C:$C)),ROWS('Friday Spreadsheet CSV'!Z$3:Z4))),"")</f>
        <v/>
      </c>
      <c r="AB19" s="127"/>
      <c r="AC19" s="84"/>
    </row>
    <row r="20" spans="1:30" s="33" customFormat="1" ht="61" customHeight="1" x14ac:dyDescent="0.2">
      <c r="B20" s="24"/>
      <c r="C20" s="181"/>
      <c r="D20" s="181"/>
      <c r="E20" s="181"/>
      <c r="F20" s="181"/>
      <c r="G20" s="181"/>
      <c r="H20" s="181"/>
      <c r="I20" s="181"/>
      <c r="J20" s="181" t="str" cm="1">
        <f t="array" ref="J20">IF(ROWS('Friday Spreadsheet CSV'!$B$3:$C5)&lt;=J$17,INDEX('Friday Spreadsheet CSV'!$D:$D,_xlfn.AGGREGATE(15,3,('Friday Spreadsheet CSV'!$C:$C=J$3)/('Friday Spreadsheet CSV'!$C:$C=J$3)*('Friday Spreadsheet CSV'!$K:$K=J$16)/('Friday Spreadsheet CSV'!$K:$K=J$16)*(ROW('Friday Spreadsheet CSV'!$C:$C)),ROWS('Friday Spreadsheet CSV'!J$3:J5))),"")</f>
        <v>Romanetti Vermouth</v>
      </c>
      <c r="K20" s="181"/>
      <c r="L20" s="181"/>
      <c r="M20" s="181"/>
      <c r="N20" s="181"/>
      <c r="O20" s="181"/>
      <c r="P20" s="181"/>
      <c r="Q20" s="127" t="str" cm="1">
        <f t="array" ref="Q20">IF(ROWS('Friday Spreadsheet CSV'!$B$3:$C5)&lt;=Q$17,INDEX('Friday Spreadsheet CSV'!$D:$D,_xlfn.AGGREGATE(15,3,('Friday Spreadsheet CSV'!$C:$C=Q$3)/('Friday Spreadsheet CSV'!$C:$C=Q$3)*('Friday Spreadsheet CSV'!$K:$K=Q$16)/('Friday Spreadsheet CSV'!$K:$K=Q$16)*(ROW('Friday Spreadsheet CSV'!$C:$C)),ROWS('Friday Spreadsheet CSV'!P$3:P5))),"")</f>
        <v/>
      </c>
      <c r="R20" s="127" t="str" cm="1">
        <f t="array" ref="R20">IF(ROWS('Friday Spreadsheet CSV'!$B$3:$C5)&lt;=R$17,INDEX('Friday Spreadsheet CSV'!$D:$D,_xlfn.AGGREGATE(15,3,('Friday Spreadsheet CSV'!$C:$C=R$3)/('Friday Spreadsheet CSV'!$C:$C=R$3)*('Friday Spreadsheet CSV'!$K:$K=R$16)/('Friday Spreadsheet CSV'!$K:$K=R$16)*(ROW('Friday Spreadsheet CSV'!$C:$C)),ROWS('Friday Spreadsheet CSV'!Q$3:Q5))),"")</f>
        <v/>
      </c>
      <c r="S20" s="127" t="str" cm="1">
        <f t="array" ref="S20">IF(ROWS('Friday Spreadsheet CSV'!$B$3:$C5)&lt;=S$17,INDEX('Friday Spreadsheet CSV'!$D:$D,_xlfn.AGGREGATE(15,3,('Friday Spreadsheet CSV'!$C:$C=S$3)/('Friday Spreadsheet CSV'!$C:$C=S$3)*('Friday Spreadsheet CSV'!$K:$K=S$16)/('Friday Spreadsheet CSV'!$K:$K=S$16)*(ROW('Friday Spreadsheet CSV'!$C:$C)),ROWS('Friday Spreadsheet CSV'!R$3:R5))),"")</f>
        <v/>
      </c>
      <c r="T20" s="127" t="str" cm="1">
        <f t="array" ref="T20">IF(ROWS('Friday Spreadsheet CSV'!$B$3:$C5)&lt;=T$17,INDEX('Friday Spreadsheet CSV'!$D:$D,_xlfn.AGGREGATE(15,3,('Friday Spreadsheet CSV'!$C:$C=T$3)/('Friday Spreadsheet CSV'!$C:$C=T$3)*('Friday Spreadsheet CSV'!$K:$K=T$16)/('Friday Spreadsheet CSV'!$K:$K=T$16)*(ROW('Friday Spreadsheet CSV'!$C:$C)),ROWS('Friday Spreadsheet CSV'!S$3:S5))),"")</f>
        <v/>
      </c>
      <c r="U20" s="127" t="str" cm="1">
        <f t="array" ref="U20">IF(ROWS('Friday Spreadsheet CSV'!$B$3:$C5)&lt;=U$17,INDEX('Friday Spreadsheet CSV'!$D:$D,_xlfn.AGGREGATE(15,3,('Friday Spreadsheet CSV'!$C:$C=U$3)/('Friday Spreadsheet CSV'!$C:$C=U$3)*('Friday Spreadsheet CSV'!$K:$K=U$16)/('Friday Spreadsheet CSV'!$K:$K=U$16)*(ROW('Friday Spreadsheet CSV'!$C:$C)),ROWS('Friday Spreadsheet CSV'!T$3:T5))),"")</f>
        <v/>
      </c>
      <c r="V20" s="127" t="str" cm="1">
        <f t="array" ref="V20">IF(ROWS('Friday Spreadsheet CSV'!$B$3:$C5)&lt;=V$17,INDEX('Friday Spreadsheet CSV'!$D:$D,_xlfn.AGGREGATE(15,3,('Friday Spreadsheet CSV'!$C:$C=V$3)/('Friday Spreadsheet CSV'!$C:$C=V$3)*('Friday Spreadsheet CSV'!$K:$K=V$16)/('Friday Spreadsheet CSV'!$K:$K=V$16)*(ROW('Friday Spreadsheet CSV'!$C:$C)),ROWS('Friday Spreadsheet CSV'!U$3:U5))),"")</f>
        <v/>
      </c>
      <c r="W20" s="127" t="str" cm="1">
        <f t="array" ref="W20">IF(ROWS('Friday Spreadsheet CSV'!$B$3:$C5)&lt;=W$17,INDEX('Friday Spreadsheet CSV'!$D:$D,_xlfn.AGGREGATE(15,3,('Friday Spreadsheet CSV'!$C:$C=W$3)/('Friday Spreadsheet CSV'!$C:$C=W$3)*('Friday Spreadsheet CSV'!$K:$K=W$16)/('Friday Spreadsheet CSV'!$K:$K=W$16)*(ROW('Friday Spreadsheet CSV'!$C:$C)),ROWS('Friday Spreadsheet CSV'!V$3:V5))),"")</f>
        <v/>
      </c>
      <c r="X20" s="127" t="str" cm="1">
        <f t="array" ref="X20">IF(ROWS('Friday Spreadsheet CSV'!$B$3:$C5)&lt;=X$17,INDEX('Friday Spreadsheet CSV'!$D:$D,_xlfn.AGGREGATE(15,3,('Friday Spreadsheet CSV'!$C:$C=X$3)/('Friday Spreadsheet CSV'!$C:$C=X$3)*('Friday Spreadsheet CSV'!$K:$K=X$16)/('Friday Spreadsheet CSV'!$K:$K=X$16)*(ROW('Friday Spreadsheet CSV'!$C:$C)),ROWS('Friday Spreadsheet CSV'!W$3:W5))),"")</f>
        <v/>
      </c>
      <c r="Y20" s="127" t="str" cm="1">
        <f t="array" ref="Y20">IF(ROWS('Friday Spreadsheet CSV'!$B$3:$C5)&lt;=Y$17,INDEX('Friday Spreadsheet CSV'!$D:$D,_xlfn.AGGREGATE(15,3,('Friday Spreadsheet CSV'!$C:$C=Y$3)/('Friday Spreadsheet CSV'!$C:$C=Y$3)*('Friday Spreadsheet CSV'!$K:$K=Y$16)/('Friday Spreadsheet CSV'!$K:$K=Y$16)*(ROW('Friday Spreadsheet CSV'!$C:$C)),ROWS('Friday Spreadsheet CSV'!X$3:X5))),"")</f>
        <v/>
      </c>
      <c r="Z20" s="127" t="str" cm="1">
        <f t="array" ref="Z20">IF(ROWS('Friday Spreadsheet CSV'!$B$3:$C5)&lt;=Z$17,INDEX('Friday Spreadsheet CSV'!$D:$D,_xlfn.AGGREGATE(15,3,('Friday Spreadsheet CSV'!$C:$C=Z$3)/('Friday Spreadsheet CSV'!$C:$C=Z$3)*('Friday Spreadsheet CSV'!$K:$K=Z$16)/('Friday Spreadsheet CSV'!$K:$K=Z$16)*(ROW('Friday Spreadsheet CSV'!$C:$C)),ROWS('Friday Spreadsheet CSV'!Y$3:Y5))),"")</f>
        <v/>
      </c>
      <c r="AA20" s="127" t="str" cm="1">
        <f t="array" ref="AA20">IF(ROWS('Friday Spreadsheet CSV'!$B$3:$C5)&lt;=AA$17,INDEX('Friday Spreadsheet CSV'!$D:$D,_xlfn.AGGREGATE(15,3,('Friday Spreadsheet CSV'!$C:$C=AA$3)/('Friday Spreadsheet CSV'!$C:$C=AA$3)*('Friday Spreadsheet CSV'!$K:$K=AA$16)/('Friday Spreadsheet CSV'!$K:$K=AA$16)*(ROW('Friday Spreadsheet CSV'!$C:$C)),ROWS('Friday Spreadsheet CSV'!Z$3:Z5))),"")</f>
        <v/>
      </c>
      <c r="AB20" s="127"/>
      <c r="AC20" s="84"/>
    </row>
    <row r="21" spans="1:30" s="17" customFormat="1" ht="61" customHeight="1" x14ac:dyDescent="0.2">
      <c r="B21" s="2"/>
      <c r="C21" s="181"/>
      <c r="D21" s="182"/>
      <c r="J21" s="181" t="str" cm="1">
        <f t="array" ref="J21">IF(ROWS('Friday Spreadsheet CSV'!$B$3:$C6)&lt;=J$17,INDEX('Friday Spreadsheet CSV'!$D:$D,_xlfn.AGGREGATE(15,3,('Friday Spreadsheet CSV'!$C:$C=J$3)/('Friday Spreadsheet CSV'!$C:$C=J$3)*('Friday Spreadsheet CSV'!$K:$K=J$16)/('Friday Spreadsheet CSV'!$K:$K=J$16)*(ROW('Friday Spreadsheet CSV'!$C:$C)),ROWS('Friday Spreadsheet CSV'!J$3:J6))),"")</f>
        <v>Bombay Sapphire Gin</v>
      </c>
      <c r="Q21" s="127" t="str" cm="1">
        <f t="array" ref="Q21">IF(ROWS('Friday Spreadsheet CSV'!$B$3:$C6)&lt;=Q$17,INDEX('Friday Spreadsheet CSV'!$D:$D,_xlfn.AGGREGATE(15,3,('Friday Spreadsheet CSV'!$C:$C=Q$3)/('Friday Spreadsheet CSV'!$C:$C=Q$3)*('Friday Spreadsheet CSV'!$K:$K=Q$16)/('Friday Spreadsheet CSV'!$K:$K=Q$16)*(ROW('Friday Spreadsheet CSV'!$C:$C)),ROWS('Friday Spreadsheet CSV'!P$3:P6))),"")</f>
        <v/>
      </c>
      <c r="R21" s="127" t="str" cm="1">
        <f t="array" ref="R21">IF(ROWS('Friday Spreadsheet CSV'!$B$3:$C6)&lt;=R$17,INDEX('Friday Spreadsheet CSV'!$D:$D,_xlfn.AGGREGATE(15,3,('Friday Spreadsheet CSV'!$C:$C=R$3)/('Friday Spreadsheet CSV'!$C:$C=R$3)*('Friday Spreadsheet CSV'!$K:$K=R$16)/('Friday Spreadsheet CSV'!$K:$K=R$16)*(ROW('Friday Spreadsheet CSV'!$C:$C)),ROWS('Friday Spreadsheet CSV'!Q$3:Q6))),"")</f>
        <v/>
      </c>
      <c r="S21" s="127" t="str" cm="1">
        <f t="array" ref="S21">IF(ROWS('Friday Spreadsheet CSV'!$B$3:$C6)&lt;=S$17,INDEX('Friday Spreadsheet CSV'!$D:$D,_xlfn.AGGREGATE(15,3,('Friday Spreadsheet CSV'!$C:$C=S$3)/('Friday Spreadsheet CSV'!$C:$C=S$3)*('Friday Spreadsheet CSV'!$K:$K=S$16)/('Friday Spreadsheet CSV'!$K:$K=S$16)*(ROW('Friday Spreadsheet CSV'!$C:$C)),ROWS('Friday Spreadsheet CSV'!R$3:R6))),"")</f>
        <v/>
      </c>
      <c r="T21" s="127" t="str" cm="1">
        <f t="array" ref="T21">IF(ROWS('Friday Spreadsheet CSV'!$B$3:$C6)&lt;=T$17,INDEX('Friday Spreadsheet CSV'!$D:$D,_xlfn.AGGREGATE(15,3,('Friday Spreadsheet CSV'!$C:$C=T$3)/('Friday Spreadsheet CSV'!$C:$C=T$3)*('Friday Spreadsheet CSV'!$K:$K=T$16)/('Friday Spreadsheet CSV'!$K:$K=T$16)*(ROW('Friday Spreadsheet CSV'!$C:$C)),ROWS('Friday Spreadsheet CSV'!S$3:S6))),"")</f>
        <v/>
      </c>
      <c r="U21" s="127" t="str" cm="1">
        <f t="array" ref="U21">IF(ROWS('Friday Spreadsheet CSV'!$B$3:$C6)&lt;=U$17,INDEX('Friday Spreadsheet CSV'!$D:$D,_xlfn.AGGREGATE(15,3,('Friday Spreadsheet CSV'!$C:$C=U$3)/('Friday Spreadsheet CSV'!$C:$C=U$3)*('Friday Spreadsheet CSV'!$K:$K=U$16)/('Friday Spreadsheet CSV'!$K:$K=U$16)*(ROW('Friday Spreadsheet CSV'!$C:$C)),ROWS('Friday Spreadsheet CSV'!T$3:T6))),"")</f>
        <v/>
      </c>
      <c r="V21" s="127" t="str" cm="1">
        <f t="array" ref="V21">IF(ROWS('Friday Spreadsheet CSV'!$B$3:$C6)&lt;=V$17,INDEX('Friday Spreadsheet CSV'!$D:$D,_xlfn.AGGREGATE(15,3,('Friday Spreadsheet CSV'!$C:$C=V$3)/('Friday Spreadsheet CSV'!$C:$C=V$3)*('Friday Spreadsheet CSV'!$K:$K=V$16)/('Friday Spreadsheet CSV'!$K:$K=V$16)*(ROW('Friday Spreadsheet CSV'!$C:$C)),ROWS('Friday Spreadsheet CSV'!U$3:U6))),"")</f>
        <v/>
      </c>
      <c r="W21" s="127" t="str" cm="1">
        <f t="array" ref="W21">IF(ROWS('Friday Spreadsheet CSV'!$B$3:$C6)&lt;=W$17,INDEX('Friday Spreadsheet CSV'!$D:$D,_xlfn.AGGREGATE(15,3,('Friday Spreadsheet CSV'!$C:$C=W$3)/('Friday Spreadsheet CSV'!$C:$C=W$3)*('Friday Spreadsheet CSV'!$K:$K=W$16)/('Friday Spreadsheet CSV'!$K:$K=W$16)*(ROW('Friday Spreadsheet CSV'!$C:$C)),ROWS('Friday Spreadsheet CSV'!V$3:V6))),"")</f>
        <v/>
      </c>
      <c r="X21" s="127" t="str" cm="1">
        <f t="array" ref="X21">IF(ROWS('Friday Spreadsheet CSV'!$B$3:$C6)&lt;=X$17,INDEX('Friday Spreadsheet CSV'!$D:$D,_xlfn.AGGREGATE(15,3,('Friday Spreadsheet CSV'!$C:$C=X$3)/('Friday Spreadsheet CSV'!$C:$C=X$3)*('Friday Spreadsheet CSV'!$K:$K=X$16)/('Friday Spreadsheet CSV'!$K:$K=X$16)*(ROW('Friday Spreadsheet CSV'!$C:$C)),ROWS('Friday Spreadsheet CSV'!W$3:W6))),"")</f>
        <v/>
      </c>
      <c r="Y21" s="127" t="str" cm="1">
        <f t="array" ref="Y21">IF(ROWS('Friday Spreadsheet CSV'!$B$3:$C6)&lt;=Y$17,INDEX('Friday Spreadsheet CSV'!$D:$D,_xlfn.AGGREGATE(15,3,('Friday Spreadsheet CSV'!$C:$C=Y$3)/('Friday Spreadsheet CSV'!$C:$C=Y$3)*('Friday Spreadsheet CSV'!$K:$K=Y$16)/('Friday Spreadsheet CSV'!$K:$K=Y$16)*(ROW('Friday Spreadsheet CSV'!$C:$C)),ROWS('Friday Spreadsheet CSV'!X$3:X6))),"")</f>
        <v/>
      </c>
      <c r="Z21" s="127" t="str" cm="1">
        <f t="array" ref="Z21">IF(ROWS('Friday Spreadsheet CSV'!$B$3:$C6)&lt;=Z$17,INDEX('Friday Spreadsheet CSV'!$D:$D,_xlfn.AGGREGATE(15,3,('Friday Spreadsheet CSV'!$C:$C=Z$3)/('Friday Spreadsheet CSV'!$C:$C=Z$3)*('Friday Spreadsheet CSV'!$K:$K=Z$16)/('Friday Spreadsheet CSV'!$K:$K=Z$16)*(ROW('Friday Spreadsheet CSV'!$C:$C)),ROWS('Friday Spreadsheet CSV'!Y$3:Y6))),"")</f>
        <v/>
      </c>
      <c r="AA21" s="127" t="str" cm="1">
        <f t="array" ref="AA21">IF(ROWS('Friday Spreadsheet CSV'!$B$3:$C6)&lt;=AA$17,INDEX('Friday Spreadsheet CSV'!$D:$D,_xlfn.AGGREGATE(15,3,('Friday Spreadsheet CSV'!$C:$C=AA$3)/('Friday Spreadsheet CSV'!$C:$C=AA$3)*('Friday Spreadsheet CSV'!$K:$K=AA$16)/('Friday Spreadsheet CSV'!$K:$K=AA$16)*(ROW('Friday Spreadsheet CSV'!$C:$C)),ROWS('Friday Spreadsheet CSV'!Z$3:Z6))),"")</f>
        <v/>
      </c>
      <c r="AB21" s="127"/>
      <c r="AC21" s="85"/>
    </row>
    <row r="22" spans="1:30" s="17" customFormat="1" ht="61" customHeight="1" thickBot="1" x14ac:dyDescent="0.25">
      <c r="B22" s="2"/>
      <c r="C22" s="181"/>
      <c r="D22" s="182"/>
      <c r="J22" s="181" t="str" cm="1">
        <f t="array" ref="J22">IF(ROWS('Friday Spreadsheet CSV'!$B$3:$C7)&lt;=J$17,INDEX('Friday Spreadsheet CSV'!$D:$D,_xlfn.AGGREGATE(15,3,('Friday Spreadsheet CSV'!$C:$C=J$3)/('Friday Spreadsheet CSV'!$C:$C=J$3)*('Friday Spreadsheet CSV'!$K:$K=J$16)/('Friday Spreadsheet CSV'!$K:$K=J$16)*(ROW('Friday Spreadsheet CSV'!$C:$C)),ROWS('Friday Spreadsheet CSV'!J$3:J7))),"")</f>
        <v>Sainsbury's English Vintage Cider</v>
      </c>
      <c r="Q22" s="127" t="str" cm="1">
        <f t="array" ref="Q22">IF(ROWS('Friday Spreadsheet CSV'!$B$3:$C7)&lt;=Q$17,INDEX('Friday Spreadsheet CSV'!$D:$D,_xlfn.AGGREGATE(15,3,('Friday Spreadsheet CSV'!$C:$C=Q$3)/('Friday Spreadsheet CSV'!$C:$C=Q$3)*('Friday Spreadsheet CSV'!$K:$K=Q$16)/('Friday Spreadsheet CSV'!$K:$K=Q$16)*(ROW('Friday Spreadsheet CSV'!$C:$C)),ROWS('Friday Spreadsheet CSV'!P$3:P7))),"")</f>
        <v/>
      </c>
      <c r="R22" s="127" t="str" cm="1">
        <f t="array" ref="R22">IF(ROWS('Friday Spreadsheet CSV'!$B$3:$C7)&lt;=R$17,INDEX('Friday Spreadsheet CSV'!$D:$D,_xlfn.AGGREGATE(15,3,('Friday Spreadsheet CSV'!$C:$C=R$3)/('Friday Spreadsheet CSV'!$C:$C=R$3)*('Friday Spreadsheet CSV'!$K:$K=R$16)/('Friday Spreadsheet CSV'!$K:$K=R$16)*(ROW('Friday Spreadsheet CSV'!$C:$C)),ROWS('Friday Spreadsheet CSV'!Q$3:Q7))),"")</f>
        <v/>
      </c>
      <c r="S22" s="127" t="str" cm="1">
        <f t="array" ref="S22">IF(ROWS('Friday Spreadsheet CSV'!$B$3:$C7)&lt;=S$17,INDEX('Friday Spreadsheet CSV'!$D:$D,_xlfn.AGGREGATE(15,3,('Friday Spreadsheet CSV'!$C:$C=S$3)/('Friday Spreadsheet CSV'!$C:$C=S$3)*('Friday Spreadsheet CSV'!$K:$K=S$16)/('Friday Spreadsheet CSV'!$K:$K=S$16)*(ROW('Friday Spreadsheet CSV'!$C:$C)),ROWS('Friday Spreadsheet CSV'!R$3:R7))),"")</f>
        <v/>
      </c>
      <c r="T22" s="127" t="str" cm="1">
        <f t="array" ref="T22">IF(ROWS('Friday Spreadsheet CSV'!$B$3:$C7)&lt;=T$17,INDEX('Friday Spreadsheet CSV'!$D:$D,_xlfn.AGGREGATE(15,3,('Friday Spreadsheet CSV'!$C:$C=T$3)/('Friday Spreadsheet CSV'!$C:$C=T$3)*('Friday Spreadsheet CSV'!$K:$K=T$16)/('Friday Spreadsheet CSV'!$K:$K=T$16)*(ROW('Friday Spreadsheet CSV'!$C:$C)),ROWS('Friday Spreadsheet CSV'!S$3:S7))),"")</f>
        <v/>
      </c>
      <c r="U22" s="127" t="str" cm="1">
        <f t="array" ref="U22">IF(ROWS('Friday Spreadsheet CSV'!$B$3:$C7)&lt;=U$17,INDEX('Friday Spreadsheet CSV'!$D:$D,_xlfn.AGGREGATE(15,3,('Friday Spreadsheet CSV'!$C:$C=U$3)/('Friday Spreadsheet CSV'!$C:$C=U$3)*('Friday Spreadsheet CSV'!$K:$K=U$16)/('Friday Spreadsheet CSV'!$K:$K=U$16)*(ROW('Friday Spreadsheet CSV'!$C:$C)),ROWS('Friday Spreadsheet CSV'!T$3:T7))),"")</f>
        <v/>
      </c>
      <c r="V22" s="127" t="str" cm="1">
        <f t="array" ref="V22">IF(ROWS('Friday Spreadsheet CSV'!$B$3:$C7)&lt;=V$17,INDEX('Friday Spreadsheet CSV'!$D:$D,_xlfn.AGGREGATE(15,3,('Friday Spreadsheet CSV'!$C:$C=V$3)/('Friday Spreadsheet CSV'!$C:$C=V$3)*('Friday Spreadsheet CSV'!$K:$K=V$16)/('Friday Spreadsheet CSV'!$K:$K=V$16)*(ROW('Friday Spreadsheet CSV'!$C:$C)),ROWS('Friday Spreadsheet CSV'!U$3:U7))),"")</f>
        <v/>
      </c>
      <c r="W22" s="127" t="str" cm="1">
        <f t="array" ref="W22">IF(ROWS('Friday Spreadsheet CSV'!$B$3:$C7)&lt;=W$17,INDEX('Friday Spreadsheet CSV'!$D:$D,_xlfn.AGGREGATE(15,3,('Friday Spreadsheet CSV'!$C:$C=W$3)/('Friday Spreadsheet CSV'!$C:$C=W$3)*('Friday Spreadsheet CSV'!$K:$K=W$16)/('Friday Spreadsheet CSV'!$K:$K=W$16)*(ROW('Friday Spreadsheet CSV'!$C:$C)),ROWS('Friday Spreadsheet CSV'!V$3:V7))),"")</f>
        <v/>
      </c>
      <c r="X22" s="127" t="str" cm="1">
        <f t="array" ref="X22">IF(ROWS('Friday Spreadsheet CSV'!$B$3:$C7)&lt;=X$17,INDEX('Friday Spreadsheet CSV'!$D:$D,_xlfn.AGGREGATE(15,3,('Friday Spreadsheet CSV'!$C:$C=X$3)/('Friday Spreadsheet CSV'!$C:$C=X$3)*('Friday Spreadsheet CSV'!$K:$K=X$16)/('Friday Spreadsheet CSV'!$K:$K=X$16)*(ROW('Friday Spreadsheet CSV'!$C:$C)),ROWS('Friday Spreadsheet CSV'!W$3:W7))),"")</f>
        <v/>
      </c>
      <c r="Y22" s="127" t="str" cm="1">
        <f t="array" ref="Y22">IF(ROWS('Friday Spreadsheet CSV'!$B$3:$C7)&lt;=Y$17,INDEX('Friday Spreadsheet CSV'!$D:$D,_xlfn.AGGREGATE(15,3,('Friday Spreadsheet CSV'!$C:$C=Y$3)/('Friday Spreadsheet CSV'!$C:$C=Y$3)*('Friday Spreadsheet CSV'!$K:$K=Y$16)/('Friday Spreadsheet CSV'!$K:$K=Y$16)*(ROW('Friday Spreadsheet CSV'!$C:$C)),ROWS('Friday Spreadsheet CSV'!X$3:X7))),"")</f>
        <v/>
      </c>
      <c r="Z22" s="127" t="str" cm="1">
        <f t="array" ref="Z22">IF(ROWS('Friday Spreadsheet CSV'!$B$3:$C7)&lt;=Z$17,INDEX('Friday Spreadsheet CSV'!$D:$D,_xlfn.AGGREGATE(15,3,('Friday Spreadsheet CSV'!$C:$C=Z$3)/('Friday Spreadsheet CSV'!$C:$C=Z$3)*('Friday Spreadsheet CSV'!$K:$K=Z$16)/('Friday Spreadsheet CSV'!$K:$K=Z$16)*(ROW('Friday Spreadsheet CSV'!$C:$C)),ROWS('Friday Spreadsheet CSV'!Y$3:Y7))),"")</f>
        <v/>
      </c>
      <c r="AA22" s="127" t="str" cm="1">
        <f t="array" ref="AA22">IF(ROWS('Friday Spreadsheet CSV'!$B$3:$C7)&lt;=AA$17,INDEX('Friday Spreadsheet CSV'!$D:$D,_xlfn.AGGREGATE(15,3,('Friday Spreadsheet CSV'!$C:$C=AA$3)/('Friday Spreadsheet CSV'!$C:$C=AA$3)*('Friday Spreadsheet CSV'!$K:$K=AA$16)/('Friday Spreadsheet CSV'!$K:$K=AA$16)*(ROW('Friday Spreadsheet CSV'!$C:$C)),ROWS('Friday Spreadsheet CSV'!Z$3:Z7))),"")</f>
        <v/>
      </c>
      <c r="AB22" s="127"/>
      <c r="AC22" s="86"/>
    </row>
    <row r="23" spans="1:30" s="22" customFormat="1" ht="50" customHeight="1" x14ac:dyDescent="0.3">
      <c r="B23" s="82" t="s">
        <v>1201</v>
      </c>
      <c r="C23" s="82"/>
      <c r="D23" s="82"/>
      <c r="E23" s="82"/>
      <c r="F23" s="82"/>
      <c r="G23" s="82"/>
      <c r="H23" s="82"/>
      <c r="I23" s="82"/>
      <c r="J23" s="82"/>
      <c r="K23" s="82"/>
      <c r="L23" s="82"/>
      <c r="M23" s="82"/>
      <c r="N23" s="82"/>
      <c r="O23" s="82"/>
      <c r="P23" s="82"/>
      <c r="Q23" s="107"/>
      <c r="R23" s="107"/>
      <c r="S23" s="107"/>
      <c r="T23" s="107"/>
      <c r="U23" s="107"/>
      <c r="V23" s="107"/>
      <c r="W23" s="107"/>
      <c r="X23" s="107"/>
      <c r="Y23" s="107"/>
      <c r="Z23" s="107"/>
      <c r="AA23" s="107"/>
      <c r="AB23" s="107"/>
      <c r="AC23" s="107"/>
      <c r="AD23" s="33"/>
    </row>
    <row r="24" spans="1:30" ht="22" x14ac:dyDescent="0.25">
      <c r="A24" s="91"/>
      <c r="B24" s="94" t="s">
        <v>1</v>
      </c>
      <c r="C24" s="93">
        <f>C$3</f>
        <v>43917</v>
      </c>
      <c r="D24" s="93">
        <f t="shared" ref="D24:Q24" si="4">D$3</f>
        <v>43924</v>
      </c>
      <c r="E24" s="93">
        <f t="shared" si="4"/>
        <v>43931</v>
      </c>
      <c r="F24" s="93">
        <f t="shared" si="4"/>
        <v>43938</v>
      </c>
      <c r="G24" s="93">
        <f t="shared" si="4"/>
        <v>43945</v>
      </c>
      <c r="H24" s="93">
        <f t="shared" si="4"/>
        <v>43952</v>
      </c>
      <c r="I24" s="93">
        <f t="shared" si="4"/>
        <v>43959</v>
      </c>
      <c r="J24" s="93">
        <f t="shared" si="4"/>
        <v>43966</v>
      </c>
      <c r="K24" s="93">
        <f t="shared" si="4"/>
        <v>43973</v>
      </c>
      <c r="L24" s="93">
        <f t="shared" si="4"/>
        <v>43980</v>
      </c>
      <c r="M24" s="93">
        <f t="shared" si="4"/>
        <v>43987</v>
      </c>
      <c r="N24" s="93">
        <f t="shared" si="4"/>
        <v>43994</v>
      </c>
      <c r="O24" s="93">
        <f t="shared" si="4"/>
        <v>44001</v>
      </c>
      <c r="P24" s="93">
        <f t="shared" si="4"/>
        <v>44008</v>
      </c>
      <c r="Q24" s="93">
        <f t="shared" si="4"/>
        <v>44015</v>
      </c>
      <c r="R24" s="93">
        <v>44022</v>
      </c>
      <c r="S24" s="93">
        <v>44029</v>
      </c>
      <c r="T24" s="93">
        <v>44036</v>
      </c>
      <c r="U24" s="93">
        <v>44043</v>
      </c>
      <c r="V24" s="93">
        <v>44050</v>
      </c>
      <c r="W24" s="93">
        <v>44057</v>
      </c>
      <c r="X24" s="148">
        <v>44064</v>
      </c>
      <c r="Y24" s="148">
        <v>44071</v>
      </c>
      <c r="Z24" s="148">
        <v>44078</v>
      </c>
      <c r="AA24" s="148">
        <v>44085</v>
      </c>
      <c r="AB24" s="148">
        <v>44092</v>
      </c>
      <c r="AC24" s="94" t="s">
        <v>1197</v>
      </c>
      <c r="AD24" s="17"/>
    </row>
    <row r="25" spans="1:30" s="27" customFormat="1" ht="20" customHeight="1" x14ac:dyDescent="0.25">
      <c r="A25" s="92"/>
      <c r="B25" s="94" t="str">
        <f>People!$B3</f>
        <v>Stephanie Hewlett</v>
      </c>
      <c r="C25" s="95">
        <f t="shared" ref="C25:S34" si="5">IF(COUNTIFS(TallyPeopleNames,$B25,TallyDates,C$3),COUNTIFS(TallyPeopleNames,$B25,TallyDates,C$3),0)</f>
        <v>2</v>
      </c>
      <c r="D25" s="95">
        <f t="shared" si="5"/>
        <v>0</v>
      </c>
      <c r="E25" s="95">
        <f t="shared" si="5"/>
        <v>0</v>
      </c>
      <c r="F25" s="95">
        <f t="shared" si="5"/>
        <v>3</v>
      </c>
      <c r="G25" s="95">
        <f t="shared" si="5"/>
        <v>0</v>
      </c>
      <c r="H25" s="95">
        <f t="shared" si="5"/>
        <v>4</v>
      </c>
      <c r="I25" s="95">
        <f t="shared" si="5"/>
        <v>0</v>
      </c>
      <c r="J25" s="95">
        <f t="shared" si="5"/>
        <v>1</v>
      </c>
      <c r="K25" s="95">
        <f t="shared" si="5"/>
        <v>0</v>
      </c>
      <c r="L25" s="95">
        <f t="shared" si="5"/>
        <v>2</v>
      </c>
      <c r="M25" s="95">
        <f t="shared" si="5"/>
        <v>0</v>
      </c>
      <c r="N25" s="95">
        <f t="shared" si="5"/>
        <v>1</v>
      </c>
      <c r="O25" s="95">
        <f t="shared" si="5"/>
        <v>0</v>
      </c>
      <c r="P25" s="95">
        <f t="shared" si="5"/>
        <v>2</v>
      </c>
      <c r="Q25" s="95">
        <f t="shared" si="5"/>
        <v>2</v>
      </c>
      <c r="R25" s="95">
        <f t="shared" si="5"/>
        <v>0</v>
      </c>
      <c r="S25" s="95">
        <f t="shared" si="5"/>
        <v>0</v>
      </c>
      <c r="T25" s="95">
        <f t="shared" ref="S25:AA40" si="6">IF(COUNTIFS(TallyPeopleNames,$B25,TallyDates,T$3),COUNTIFS(TallyPeopleNames,$B25,TallyDates,T$3),0)</f>
        <v>0</v>
      </c>
      <c r="U25" s="95">
        <f t="shared" si="6"/>
        <v>1</v>
      </c>
      <c r="V25" s="95">
        <f t="shared" si="6"/>
        <v>0</v>
      </c>
      <c r="W25" s="95">
        <f t="shared" si="6"/>
        <v>0</v>
      </c>
      <c r="X25" s="95">
        <f t="shared" si="6"/>
        <v>0</v>
      </c>
      <c r="Y25" s="95">
        <f t="shared" si="6"/>
        <v>0</v>
      </c>
      <c r="Z25" s="95">
        <f t="shared" si="6"/>
        <v>0</v>
      </c>
      <c r="AA25" s="95">
        <f t="shared" si="6"/>
        <v>0</v>
      </c>
      <c r="AB25" s="95"/>
      <c r="AC25" s="239">
        <f t="shared" ref="AC25:AC52" si="7">INDEX(PeopleDrinksRank,MATCH(B25,PeopleNames,0))</f>
        <v>15</v>
      </c>
      <c r="AD25" s="28"/>
    </row>
    <row r="26" spans="1:30" s="27" customFormat="1" ht="20" customHeight="1" x14ac:dyDescent="0.25">
      <c r="A26" s="92"/>
      <c r="B26" s="94" t="str">
        <f>People!$B4</f>
        <v>Daniel Hewlett</v>
      </c>
      <c r="C26" s="95">
        <f t="shared" si="5"/>
        <v>11</v>
      </c>
      <c r="D26" s="95">
        <f t="shared" si="5"/>
        <v>4</v>
      </c>
      <c r="E26" s="95">
        <f t="shared" si="5"/>
        <v>8</v>
      </c>
      <c r="F26" s="95">
        <f t="shared" si="5"/>
        <v>8</v>
      </c>
      <c r="G26" s="95">
        <f t="shared" si="5"/>
        <v>4</v>
      </c>
      <c r="H26" s="95">
        <f t="shared" si="5"/>
        <v>11</v>
      </c>
      <c r="I26" s="95">
        <f t="shared" si="5"/>
        <v>8</v>
      </c>
      <c r="J26" s="95">
        <f t="shared" si="5"/>
        <v>9</v>
      </c>
      <c r="K26" s="95">
        <f t="shared" si="5"/>
        <v>10</v>
      </c>
      <c r="L26" s="95">
        <f t="shared" si="5"/>
        <v>11</v>
      </c>
      <c r="M26" s="95">
        <f t="shared" si="5"/>
        <v>4</v>
      </c>
      <c r="N26" s="95">
        <f t="shared" si="5"/>
        <v>10</v>
      </c>
      <c r="O26" s="95">
        <f t="shared" si="5"/>
        <v>15</v>
      </c>
      <c r="P26" s="95">
        <f t="shared" si="5"/>
        <v>7</v>
      </c>
      <c r="Q26" s="95">
        <f t="shared" si="5"/>
        <v>5</v>
      </c>
      <c r="R26" s="95">
        <f t="shared" si="5"/>
        <v>0</v>
      </c>
      <c r="S26" s="95">
        <f t="shared" si="6"/>
        <v>0</v>
      </c>
      <c r="T26" s="95">
        <f t="shared" si="6"/>
        <v>0</v>
      </c>
      <c r="U26" s="95">
        <f t="shared" si="6"/>
        <v>3</v>
      </c>
      <c r="V26" s="95">
        <f t="shared" si="6"/>
        <v>0</v>
      </c>
      <c r="W26" s="95">
        <f t="shared" si="6"/>
        <v>1</v>
      </c>
      <c r="X26" s="95">
        <f t="shared" si="6"/>
        <v>3</v>
      </c>
      <c r="Y26" s="95">
        <f t="shared" si="6"/>
        <v>10</v>
      </c>
      <c r="Z26" s="95">
        <f t="shared" si="6"/>
        <v>3</v>
      </c>
      <c r="AA26" s="95">
        <f t="shared" si="6"/>
        <v>5</v>
      </c>
      <c r="AB26" s="95"/>
      <c r="AC26" s="239">
        <f t="shared" si="7"/>
        <v>3</v>
      </c>
      <c r="AD26" s="28"/>
    </row>
    <row r="27" spans="1:30" s="27" customFormat="1" ht="20" customHeight="1" x14ac:dyDescent="0.25">
      <c r="A27" s="92"/>
      <c r="B27" s="94" t="str">
        <f>People!$B5</f>
        <v>Ross Savill</v>
      </c>
      <c r="C27" s="95">
        <f t="shared" si="5"/>
        <v>5</v>
      </c>
      <c r="D27" s="95">
        <f t="shared" si="5"/>
        <v>0</v>
      </c>
      <c r="E27" s="95">
        <f t="shared" si="5"/>
        <v>6</v>
      </c>
      <c r="F27" s="95">
        <f t="shared" si="5"/>
        <v>5</v>
      </c>
      <c r="G27" s="95">
        <f t="shared" si="5"/>
        <v>7</v>
      </c>
      <c r="H27" s="95">
        <f t="shared" si="5"/>
        <v>5</v>
      </c>
      <c r="I27" s="95">
        <f t="shared" si="5"/>
        <v>12</v>
      </c>
      <c r="J27" s="95">
        <f t="shared" si="5"/>
        <v>8</v>
      </c>
      <c r="K27" s="95">
        <f t="shared" si="5"/>
        <v>7</v>
      </c>
      <c r="L27" s="95">
        <f t="shared" si="5"/>
        <v>12</v>
      </c>
      <c r="M27" s="95">
        <f t="shared" si="5"/>
        <v>12</v>
      </c>
      <c r="N27" s="95">
        <f t="shared" si="5"/>
        <v>9</v>
      </c>
      <c r="O27" s="95">
        <f t="shared" si="5"/>
        <v>11</v>
      </c>
      <c r="P27" s="95">
        <f t="shared" si="5"/>
        <v>13</v>
      </c>
      <c r="Q27" s="95">
        <f t="shared" si="5"/>
        <v>7</v>
      </c>
      <c r="R27" s="95">
        <f t="shared" si="5"/>
        <v>8</v>
      </c>
      <c r="S27" s="95">
        <f t="shared" si="6"/>
        <v>8</v>
      </c>
      <c r="T27" s="95">
        <f t="shared" si="6"/>
        <v>5</v>
      </c>
      <c r="U27" s="95">
        <f t="shared" si="6"/>
        <v>7</v>
      </c>
      <c r="V27" s="95">
        <f t="shared" si="6"/>
        <v>8</v>
      </c>
      <c r="W27" s="95">
        <f t="shared" si="6"/>
        <v>6</v>
      </c>
      <c r="X27" s="95">
        <f t="shared" si="6"/>
        <v>6</v>
      </c>
      <c r="Y27" s="95">
        <f t="shared" si="6"/>
        <v>7</v>
      </c>
      <c r="Z27" s="95">
        <f t="shared" si="6"/>
        <v>8</v>
      </c>
      <c r="AA27" s="95">
        <f t="shared" si="6"/>
        <v>6</v>
      </c>
      <c r="AB27" s="95"/>
      <c r="AC27" s="239">
        <f t="shared" si="7"/>
        <v>1</v>
      </c>
    </row>
    <row r="28" spans="1:30" s="27" customFormat="1" ht="20" customHeight="1" x14ac:dyDescent="0.25">
      <c r="A28" s="92"/>
      <c r="B28" s="94" t="str">
        <f>People!$B6</f>
        <v>Anthony Draper</v>
      </c>
      <c r="C28" s="95">
        <f t="shared" si="5"/>
        <v>8</v>
      </c>
      <c r="D28" s="95">
        <f t="shared" si="5"/>
        <v>5</v>
      </c>
      <c r="E28" s="95">
        <f t="shared" si="5"/>
        <v>11</v>
      </c>
      <c r="F28" s="95">
        <f t="shared" si="5"/>
        <v>7</v>
      </c>
      <c r="G28" s="95">
        <f t="shared" si="5"/>
        <v>7</v>
      </c>
      <c r="H28" s="95">
        <f t="shared" si="5"/>
        <v>6</v>
      </c>
      <c r="I28" s="95">
        <f t="shared" si="5"/>
        <v>14</v>
      </c>
      <c r="J28" s="95">
        <f t="shared" si="5"/>
        <v>11</v>
      </c>
      <c r="K28" s="95">
        <f t="shared" si="5"/>
        <v>10</v>
      </c>
      <c r="L28" s="95">
        <f t="shared" si="5"/>
        <v>15</v>
      </c>
      <c r="M28" s="95">
        <f t="shared" si="5"/>
        <v>11</v>
      </c>
      <c r="N28" s="95">
        <f t="shared" si="5"/>
        <v>11</v>
      </c>
      <c r="O28" s="95">
        <f t="shared" si="5"/>
        <v>9</v>
      </c>
      <c r="P28" s="95">
        <f t="shared" si="5"/>
        <v>12</v>
      </c>
      <c r="Q28" s="95">
        <f t="shared" si="5"/>
        <v>7</v>
      </c>
      <c r="R28" s="95">
        <f t="shared" si="5"/>
        <v>4</v>
      </c>
      <c r="S28" s="95">
        <f t="shared" si="6"/>
        <v>6</v>
      </c>
      <c r="T28" s="95">
        <f t="shared" si="6"/>
        <v>0</v>
      </c>
      <c r="U28" s="95">
        <f t="shared" si="6"/>
        <v>1</v>
      </c>
      <c r="V28" s="95">
        <f t="shared" si="6"/>
        <v>3</v>
      </c>
      <c r="W28" s="95">
        <f t="shared" si="6"/>
        <v>0</v>
      </c>
      <c r="X28" s="95">
        <f t="shared" si="6"/>
        <v>4</v>
      </c>
      <c r="Y28" s="95">
        <f t="shared" si="6"/>
        <v>0</v>
      </c>
      <c r="Z28" s="95">
        <f t="shared" si="6"/>
        <v>7</v>
      </c>
      <c r="AA28" s="95">
        <f t="shared" si="6"/>
        <v>0</v>
      </c>
      <c r="AB28" s="95"/>
      <c r="AC28" s="239">
        <f t="shared" si="7"/>
        <v>2</v>
      </c>
    </row>
    <row r="29" spans="1:30" s="27" customFormat="1" ht="20" customHeight="1" x14ac:dyDescent="0.25">
      <c r="A29" s="92"/>
      <c r="B29" s="94" t="str">
        <f>People!$B7</f>
        <v>Shaun Munro</v>
      </c>
      <c r="C29" s="95">
        <f t="shared" si="5"/>
        <v>3</v>
      </c>
      <c r="D29" s="95">
        <f t="shared" si="5"/>
        <v>2</v>
      </c>
      <c r="E29" s="95">
        <f t="shared" si="5"/>
        <v>5</v>
      </c>
      <c r="F29" s="95">
        <f t="shared" si="5"/>
        <v>3</v>
      </c>
      <c r="G29" s="95">
        <f t="shared" si="5"/>
        <v>5</v>
      </c>
      <c r="H29" s="95">
        <f t="shared" si="5"/>
        <v>5</v>
      </c>
      <c r="I29" s="95">
        <f t="shared" si="5"/>
        <v>9</v>
      </c>
      <c r="J29" s="95">
        <f t="shared" si="5"/>
        <v>7</v>
      </c>
      <c r="K29" s="95">
        <f t="shared" si="5"/>
        <v>8</v>
      </c>
      <c r="L29" s="95">
        <f t="shared" si="5"/>
        <v>9</v>
      </c>
      <c r="M29" s="95">
        <f t="shared" si="5"/>
        <v>7</v>
      </c>
      <c r="N29" s="95">
        <f t="shared" si="5"/>
        <v>10</v>
      </c>
      <c r="O29" s="95">
        <f t="shared" si="5"/>
        <v>7</v>
      </c>
      <c r="P29" s="95">
        <f t="shared" si="5"/>
        <v>2</v>
      </c>
      <c r="Q29" s="95">
        <f t="shared" si="5"/>
        <v>9</v>
      </c>
      <c r="R29" s="95">
        <f t="shared" si="5"/>
        <v>5</v>
      </c>
      <c r="S29" s="95">
        <f t="shared" si="6"/>
        <v>5</v>
      </c>
      <c r="T29" s="95">
        <f t="shared" si="6"/>
        <v>1</v>
      </c>
      <c r="U29" s="95">
        <f t="shared" si="6"/>
        <v>4</v>
      </c>
      <c r="V29" s="95">
        <f t="shared" si="6"/>
        <v>5</v>
      </c>
      <c r="W29" s="95">
        <f t="shared" si="6"/>
        <v>4</v>
      </c>
      <c r="X29" s="95">
        <f t="shared" si="6"/>
        <v>6</v>
      </c>
      <c r="Y29" s="95">
        <f t="shared" si="6"/>
        <v>2</v>
      </c>
      <c r="Z29" s="95">
        <f t="shared" si="6"/>
        <v>7</v>
      </c>
      <c r="AA29" s="95">
        <f t="shared" si="6"/>
        <v>5</v>
      </c>
      <c r="AB29" s="95"/>
      <c r="AC29" s="239">
        <f t="shared" si="7"/>
        <v>5</v>
      </c>
    </row>
    <row r="30" spans="1:30" s="27" customFormat="1" ht="20" customHeight="1" x14ac:dyDescent="0.25">
      <c r="A30" s="92"/>
      <c r="B30" s="94" t="str">
        <f>People!$B8</f>
        <v>Jason Bowen</v>
      </c>
      <c r="C30" s="95">
        <f t="shared" si="5"/>
        <v>2</v>
      </c>
      <c r="D30" s="95">
        <f t="shared" si="5"/>
        <v>1</v>
      </c>
      <c r="E30" s="95">
        <f t="shared" si="5"/>
        <v>5</v>
      </c>
      <c r="F30" s="95">
        <f t="shared" si="5"/>
        <v>3</v>
      </c>
      <c r="G30" s="95">
        <f t="shared" si="5"/>
        <v>3</v>
      </c>
      <c r="H30" s="95">
        <f t="shared" si="5"/>
        <v>4</v>
      </c>
      <c r="I30" s="95">
        <f t="shared" si="5"/>
        <v>1</v>
      </c>
      <c r="J30" s="95">
        <f t="shared" si="5"/>
        <v>4</v>
      </c>
      <c r="K30" s="95">
        <f t="shared" si="5"/>
        <v>7</v>
      </c>
      <c r="L30" s="95">
        <f t="shared" si="5"/>
        <v>9</v>
      </c>
      <c r="M30" s="95">
        <f t="shared" si="5"/>
        <v>8</v>
      </c>
      <c r="N30" s="95">
        <f t="shared" si="5"/>
        <v>9</v>
      </c>
      <c r="O30" s="95">
        <f t="shared" si="5"/>
        <v>8</v>
      </c>
      <c r="P30" s="95">
        <f t="shared" si="5"/>
        <v>5</v>
      </c>
      <c r="Q30" s="95">
        <f t="shared" si="5"/>
        <v>7</v>
      </c>
      <c r="R30" s="95">
        <f t="shared" si="5"/>
        <v>6</v>
      </c>
      <c r="S30" s="95">
        <f t="shared" si="6"/>
        <v>9</v>
      </c>
      <c r="T30" s="95">
        <f t="shared" si="6"/>
        <v>1</v>
      </c>
      <c r="U30" s="95">
        <f t="shared" si="6"/>
        <v>6</v>
      </c>
      <c r="V30" s="95">
        <f t="shared" si="6"/>
        <v>3</v>
      </c>
      <c r="W30" s="95">
        <f t="shared" si="6"/>
        <v>3</v>
      </c>
      <c r="X30" s="95">
        <f t="shared" si="6"/>
        <v>1</v>
      </c>
      <c r="Y30" s="95">
        <f t="shared" si="6"/>
        <v>6</v>
      </c>
      <c r="Z30" s="95">
        <f t="shared" si="6"/>
        <v>5</v>
      </c>
      <c r="AA30" s="95">
        <f t="shared" si="6"/>
        <v>5</v>
      </c>
      <c r="AB30" s="95"/>
      <c r="AC30" s="239">
        <f t="shared" si="7"/>
        <v>6</v>
      </c>
    </row>
    <row r="31" spans="1:30" s="27" customFormat="1" ht="20" customHeight="1" x14ac:dyDescent="0.25">
      <c r="A31" s="92"/>
      <c r="B31" s="94" t="str">
        <f>People!$B9</f>
        <v>Ben Millier</v>
      </c>
      <c r="C31" s="95">
        <f t="shared" si="5"/>
        <v>0</v>
      </c>
      <c r="D31" s="95">
        <f t="shared" si="5"/>
        <v>5</v>
      </c>
      <c r="E31" s="95">
        <f t="shared" si="5"/>
        <v>8</v>
      </c>
      <c r="F31" s="95">
        <f t="shared" si="5"/>
        <v>6</v>
      </c>
      <c r="G31" s="95">
        <f t="shared" si="5"/>
        <v>9</v>
      </c>
      <c r="H31" s="95">
        <f t="shared" si="5"/>
        <v>7</v>
      </c>
      <c r="I31" s="95">
        <f t="shared" si="5"/>
        <v>2</v>
      </c>
      <c r="J31" s="95">
        <f t="shared" si="5"/>
        <v>10</v>
      </c>
      <c r="K31" s="95">
        <f t="shared" si="5"/>
        <v>7</v>
      </c>
      <c r="L31" s="95">
        <f t="shared" si="5"/>
        <v>12</v>
      </c>
      <c r="M31" s="95">
        <f t="shared" si="5"/>
        <v>12</v>
      </c>
      <c r="N31" s="95">
        <f t="shared" si="5"/>
        <v>0</v>
      </c>
      <c r="O31" s="95">
        <f t="shared" si="5"/>
        <v>11</v>
      </c>
      <c r="P31" s="95">
        <f t="shared" si="5"/>
        <v>11</v>
      </c>
      <c r="Q31" s="95">
        <f t="shared" si="5"/>
        <v>10</v>
      </c>
      <c r="R31" s="95">
        <f t="shared" si="5"/>
        <v>7</v>
      </c>
      <c r="S31" s="95">
        <f t="shared" si="6"/>
        <v>5</v>
      </c>
      <c r="T31" s="95">
        <f t="shared" si="6"/>
        <v>0</v>
      </c>
      <c r="U31" s="95">
        <f t="shared" si="6"/>
        <v>0</v>
      </c>
      <c r="V31" s="95">
        <f t="shared" si="6"/>
        <v>0</v>
      </c>
      <c r="W31" s="95">
        <f t="shared" si="6"/>
        <v>5</v>
      </c>
      <c r="X31" s="95">
        <f t="shared" si="6"/>
        <v>0</v>
      </c>
      <c r="Y31" s="95">
        <f t="shared" si="6"/>
        <v>0</v>
      </c>
      <c r="Z31" s="95">
        <f t="shared" si="6"/>
        <v>9</v>
      </c>
      <c r="AA31" s="95">
        <f t="shared" si="6"/>
        <v>2</v>
      </c>
      <c r="AB31" s="95"/>
      <c r="AC31" s="239">
        <f t="shared" si="7"/>
        <v>4</v>
      </c>
    </row>
    <row r="32" spans="1:30" s="27" customFormat="1" ht="20" customHeight="1" x14ac:dyDescent="0.25">
      <c r="A32" s="92"/>
      <c r="B32" s="94" t="str">
        <f>People!$B10</f>
        <v>Libby Millier</v>
      </c>
      <c r="C32" s="95">
        <f t="shared" si="5"/>
        <v>0</v>
      </c>
      <c r="D32" s="95">
        <f t="shared" si="5"/>
        <v>2</v>
      </c>
      <c r="E32" s="95">
        <f t="shared" si="5"/>
        <v>1</v>
      </c>
      <c r="F32" s="95">
        <f t="shared" si="5"/>
        <v>1</v>
      </c>
      <c r="G32" s="95">
        <f t="shared" si="5"/>
        <v>1</v>
      </c>
      <c r="H32" s="95">
        <f t="shared" si="5"/>
        <v>0</v>
      </c>
      <c r="I32" s="95">
        <f t="shared" si="5"/>
        <v>0</v>
      </c>
      <c r="J32" s="95">
        <f t="shared" si="5"/>
        <v>0</v>
      </c>
      <c r="K32" s="95">
        <f t="shared" si="5"/>
        <v>0</v>
      </c>
      <c r="L32" s="95">
        <f t="shared" si="5"/>
        <v>1</v>
      </c>
      <c r="M32" s="95">
        <f t="shared" si="5"/>
        <v>0</v>
      </c>
      <c r="N32" s="95">
        <f t="shared" si="5"/>
        <v>0</v>
      </c>
      <c r="O32" s="95">
        <f t="shared" si="5"/>
        <v>0</v>
      </c>
      <c r="P32" s="95">
        <f t="shared" si="5"/>
        <v>5</v>
      </c>
      <c r="Q32" s="95">
        <f t="shared" si="5"/>
        <v>0</v>
      </c>
      <c r="R32" s="95">
        <f t="shared" si="5"/>
        <v>0</v>
      </c>
      <c r="S32" s="95">
        <f t="shared" si="6"/>
        <v>0</v>
      </c>
      <c r="T32" s="95">
        <f t="shared" si="6"/>
        <v>0</v>
      </c>
      <c r="U32" s="95">
        <f t="shared" si="6"/>
        <v>0</v>
      </c>
      <c r="V32" s="95">
        <f t="shared" si="6"/>
        <v>0</v>
      </c>
      <c r="W32" s="95">
        <f t="shared" si="6"/>
        <v>0</v>
      </c>
      <c r="X32" s="95">
        <f t="shared" si="6"/>
        <v>0</v>
      </c>
      <c r="Y32" s="95">
        <f t="shared" si="6"/>
        <v>0</v>
      </c>
      <c r="Z32" s="95">
        <f t="shared" si="6"/>
        <v>0</v>
      </c>
      <c r="AA32" s="95">
        <f t="shared" si="6"/>
        <v>0</v>
      </c>
      <c r="AB32" s="95"/>
      <c r="AC32" s="239">
        <f t="shared" si="7"/>
        <v>17</v>
      </c>
    </row>
    <row r="33" spans="1:29" s="27" customFormat="1" ht="20" customHeight="1" x14ac:dyDescent="0.25">
      <c r="A33" s="92"/>
      <c r="B33" s="94" t="str">
        <f>People!$B11</f>
        <v>Dawn Jones</v>
      </c>
      <c r="C33" s="95">
        <f t="shared" si="5"/>
        <v>0</v>
      </c>
      <c r="D33" s="95">
        <f t="shared" si="5"/>
        <v>2</v>
      </c>
      <c r="E33" s="95">
        <f t="shared" si="5"/>
        <v>3</v>
      </c>
      <c r="F33" s="95">
        <f t="shared" si="5"/>
        <v>0</v>
      </c>
      <c r="G33" s="95">
        <f t="shared" si="5"/>
        <v>2</v>
      </c>
      <c r="H33" s="95">
        <f t="shared" si="5"/>
        <v>0</v>
      </c>
      <c r="I33" s="95">
        <f t="shared" si="5"/>
        <v>0</v>
      </c>
      <c r="J33" s="95">
        <f t="shared" si="5"/>
        <v>0</v>
      </c>
      <c r="K33" s="95">
        <f t="shared" si="5"/>
        <v>6</v>
      </c>
      <c r="L33" s="95">
        <f t="shared" si="5"/>
        <v>0</v>
      </c>
      <c r="M33" s="95">
        <f t="shared" si="5"/>
        <v>0</v>
      </c>
      <c r="N33" s="95">
        <f t="shared" si="5"/>
        <v>9</v>
      </c>
      <c r="O33" s="95">
        <f t="shared" si="5"/>
        <v>0</v>
      </c>
      <c r="P33" s="95">
        <f t="shared" si="5"/>
        <v>1</v>
      </c>
      <c r="Q33" s="95">
        <f t="shared" si="5"/>
        <v>0</v>
      </c>
      <c r="R33" s="95">
        <f t="shared" si="5"/>
        <v>0</v>
      </c>
      <c r="S33" s="95">
        <f t="shared" si="6"/>
        <v>2</v>
      </c>
      <c r="T33" s="95">
        <f t="shared" si="6"/>
        <v>1</v>
      </c>
      <c r="U33" s="95">
        <f t="shared" si="6"/>
        <v>4</v>
      </c>
      <c r="V33" s="95">
        <f t="shared" si="6"/>
        <v>0</v>
      </c>
      <c r="W33" s="95">
        <f t="shared" si="6"/>
        <v>3</v>
      </c>
      <c r="X33" s="95">
        <f t="shared" si="6"/>
        <v>2</v>
      </c>
      <c r="Y33" s="95">
        <f t="shared" si="6"/>
        <v>1</v>
      </c>
      <c r="Z33" s="95">
        <f t="shared" si="6"/>
        <v>2</v>
      </c>
      <c r="AA33" s="95">
        <f t="shared" si="6"/>
        <v>4</v>
      </c>
      <c r="AB33" s="95"/>
      <c r="AC33" s="239">
        <f t="shared" si="7"/>
        <v>11</v>
      </c>
    </row>
    <row r="34" spans="1:29" s="27" customFormat="1" ht="20" customHeight="1" x14ac:dyDescent="0.25">
      <c r="A34" s="92"/>
      <c r="B34" s="94" t="str">
        <f>People!$B12</f>
        <v>Caroline Draper</v>
      </c>
      <c r="C34" s="95">
        <f t="shared" si="5"/>
        <v>0</v>
      </c>
      <c r="D34" s="95">
        <f t="shared" si="5"/>
        <v>0</v>
      </c>
      <c r="E34" s="95">
        <f t="shared" si="5"/>
        <v>6</v>
      </c>
      <c r="F34" s="95">
        <f t="shared" si="5"/>
        <v>6</v>
      </c>
      <c r="G34" s="95">
        <f t="shared" si="5"/>
        <v>7</v>
      </c>
      <c r="H34" s="95">
        <f t="shared" si="5"/>
        <v>5</v>
      </c>
      <c r="I34" s="95">
        <f t="shared" si="5"/>
        <v>7</v>
      </c>
      <c r="J34" s="95">
        <f t="shared" si="5"/>
        <v>6</v>
      </c>
      <c r="K34" s="95">
        <f t="shared" si="5"/>
        <v>7</v>
      </c>
      <c r="L34" s="95">
        <f t="shared" si="5"/>
        <v>6</v>
      </c>
      <c r="M34" s="95">
        <f t="shared" si="5"/>
        <v>7</v>
      </c>
      <c r="N34" s="95">
        <f t="shared" si="5"/>
        <v>8</v>
      </c>
      <c r="O34" s="95">
        <f t="shared" si="5"/>
        <v>6</v>
      </c>
      <c r="P34" s="95">
        <f t="shared" si="5"/>
        <v>8</v>
      </c>
      <c r="Q34" s="95">
        <f t="shared" si="5"/>
        <v>7</v>
      </c>
      <c r="R34" s="95">
        <f t="shared" si="5"/>
        <v>3</v>
      </c>
      <c r="S34" s="95">
        <f t="shared" si="6"/>
        <v>2</v>
      </c>
      <c r="T34" s="95">
        <f t="shared" si="6"/>
        <v>0</v>
      </c>
      <c r="U34" s="95">
        <f t="shared" si="6"/>
        <v>4</v>
      </c>
      <c r="V34" s="95">
        <f t="shared" si="6"/>
        <v>6</v>
      </c>
      <c r="W34" s="95">
        <f t="shared" si="6"/>
        <v>3</v>
      </c>
      <c r="X34" s="95">
        <f t="shared" si="6"/>
        <v>0</v>
      </c>
      <c r="Y34" s="95">
        <f t="shared" si="6"/>
        <v>4</v>
      </c>
      <c r="Z34" s="95">
        <f t="shared" si="6"/>
        <v>0</v>
      </c>
      <c r="AA34" s="95">
        <f t="shared" si="6"/>
        <v>0</v>
      </c>
      <c r="AB34" s="95"/>
      <c r="AC34" s="239">
        <f t="shared" si="7"/>
        <v>9</v>
      </c>
    </row>
    <row r="35" spans="1:29" s="27" customFormat="1" ht="20" customHeight="1" x14ac:dyDescent="0.25">
      <c r="A35" s="92"/>
      <c r="B35" s="94" t="str">
        <f>People!$B13</f>
        <v>Steven Ireland</v>
      </c>
      <c r="C35" s="95">
        <f t="shared" ref="C35:S44" si="8">IF(COUNTIFS(TallyPeopleNames,$B35,TallyDates,C$3),COUNTIFS(TallyPeopleNames,$B35,TallyDates,C$3),0)</f>
        <v>0</v>
      </c>
      <c r="D35" s="95">
        <f t="shared" si="8"/>
        <v>0</v>
      </c>
      <c r="E35" s="95">
        <f t="shared" si="8"/>
        <v>3</v>
      </c>
      <c r="F35" s="95">
        <f t="shared" si="8"/>
        <v>4</v>
      </c>
      <c r="G35" s="95">
        <f t="shared" si="8"/>
        <v>4</v>
      </c>
      <c r="H35" s="95">
        <f t="shared" si="8"/>
        <v>1</v>
      </c>
      <c r="I35" s="95">
        <f t="shared" si="8"/>
        <v>9</v>
      </c>
      <c r="J35" s="95">
        <f t="shared" si="8"/>
        <v>8</v>
      </c>
      <c r="K35" s="95">
        <f t="shared" si="8"/>
        <v>4</v>
      </c>
      <c r="L35" s="95">
        <f t="shared" si="8"/>
        <v>0</v>
      </c>
      <c r="M35" s="95">
        <f t="shared" si="8"/>
        <v>1</v>
      </c>
      <c r="N35" s="95">
        <f t="shared" si="8"/>
        <v>0</v>
      </c>
      <c r="O35" s="95">
        <f t="shared" si="8"/>
        <v>0</v>
      </c>
      <c r="P35" s="95">
        <f t="shared" si="8"/>
        <v>2</v>
      </c>
      <c r="Q35" s="95">
        <f t="shared" si="8"/>
        <v>0</v>
      </c>
      <c r="R35" s="95">
        <f t="shared" si="8"/>
        <v>0</v>
      </c>
      <c r="S35" s="95">
        <f t="shared" si="8"/>
        <v>0</v>
      </c>
      <c r="T35" s="95">
        <f t="shared" si="6"/>
        <v>0</v>
      </c>
      <c r="U35" s="95">
        <f t="shared" si="6"/>
        <v>0</v>
      </c>
      <c r="V35" s="95">
        <f t="shared" si="6"/>
        <v>0</v>
      </c>
      <c r="W35" s="95">
        <f t="shared" si="6"/>
        <v>0</v>
      </c>
      <c r="X35" s="95">
        <f t="shared" si="6"/>
        <v>0</v>
      </c>
      <c r="Y35" s="95">
        <f t="shared" si="6"/>
        <v>0</v>
      </c>
      <c r="Z35" s="95">
        <f t="shared" si="6"/>
        <v>0</v>
      </c>
      <c r="AA35" s="95">
        <f t="shared" si="6"/>
        <v>0</v>
      </c>
      <c r="AB35" s="95"/>
      <c r="AC35" s="239">
        <f t="shared" si="7"/>
        <v>12</v>
      </c>
    </row>
    <row r="36" spans="1:29" s="27" customFormat="1" ht="20" customHeight="1" x14ac:dyDescent="0.25">
      <c r="A36" s="92"/>
      <c r="B36" s="94" t="str">
        <f>People!$B14</f>
        <v>Alex Arbuckle</v>
      </c>
      <c r="C36" s="95">
        <f t="shared" si="8"/>
        <v>0</v>
      </c>
      <c r="D36" s="95">
        <f t="shared" si="8"/>
        <v>0</v>
      </c>
      <c r="E36" s="95">
        <f t="shared" si="8"/>
        <v>3</v>
      </c>
      <c r="F36" s="95">
        <f t="shared" si="8"/>
        <v>3</v>
      </c>
      <c r="G36" s="95">
        <f t="shared" si="8"/>
        <v>2</v>
      </c>
      <c r="H36" s="95">
        <f t="shared" si="8"/>
        <v>0</v>
      </c>
      <c r="I36" s="95">
        <f t="shared" si="8"/>
        <v>0</v>
      </c>
      <c r="J36" s="95">
        <f t="shared" si="8"/>
        <v>0</v>
      </c>
      <c r="K36" s="95">
        <f t="shared" si="8"/>
        <v>0</v>
      </c>
      <c r="L36" s="95">
        <f t="shared" si="8"/>
        <v>1</v>
      </c>
      <c r="M36" s="95">
        <f t="shared" si="8"/>
        <v>0</v>
      </c>
      <c r="N36" s="95">
        <f t="shared" si="8"/>
        <v>0</v>
      </c>
      <c r="O36" s="95">
        <f t="shared" si="8"/>
        <v>0</v>
      </c>
      <c r="P36" s="95">
        <f t="shared" si="8"/>
        <v>0</v>
      </c>
      <c r="Q36" s="95">
        <f t="shared" si="8"/>
        <v>0</v>
      </c>
      <c r="R36" s="95">
        <f t="shared" si="8"/>
        <v>0</v>
      </c>
      <c r="S36" s="95">
        <f t="shared" si="6"/>
        <v>0</v>
      </c>
      <c r="T36" s="95">
        <f t="shared" si="6"/>
        <v>0</v>
      </c>
      <c r="U36" s="95">
        <f t="shared" si="6"/>
        <v>0</v>
      </c>
      <c r="V36" s="95">
        <f t="shared" si="6"/>
        <v>0</v>
      </c>
      <c r="W36" s="95">
        <f t="shared" si="6"/>
        <v>0</v>
      </c>
      <c r="X36" s="95">
        <f t="shared" si="6"/>
        <v>0</v>
      </c>
      <c r="Y36" s="95">
        <f t="shared" si="6"/>
        <v>0</v>
      </c>
      <c r="Z36" s="95">
        <f t="shared" si="6"/>
        <v>0</v>
      </c>
      <c r="AA36" s="95">
        <f t="shared" si="6"/>
        <v>0</v>
      </c>
      <c r="AB36" s="95"/>
      <c r="AC36" s="239">
        <f t="shared" si="7"/>
        <v>18</v>
      </c>
    </row>
    <row r="37" spans="1:29" s="27" customFormat="1" ht="20" customHeight="1" x14ac:dyDescent="0.25">
      <c r="A37" s="92"/>
      <c r="B37" s="94" t="str">
        <f>People!$B15</f>
        <v>Joe Cuthbert</v>
      </c>
      <c r="C37" s="95">
        <f t="shared" si="8"/>
        <v>0</v>
      </c>
      <c r="D37" s="95">
        <f t="shared" si="8"/>
        <v>0</v>
      </c>
      <c r="E37" s="95">
        <f t="shared" si="8"/>
        <v>0</v>
      </c>
      <c r="F37" s="95">
        <f t="shared" si="8"/>
        <v>9</v>
      </c>
      <c r="G37" s="95">
        <f t="shared" si="8"/>
        <v>6</v>
      </c>
      <c r="H37" s="95">
        <f t="shared" si="8"/>
        <v>0</v>
      </c>
      <c r="I37" s="95">
        <f t="shared" si="8"/>
        <v>12</v>
      </c>
      <c r="J37" s="95">
        <f t="shared" si="8"/>
        <v>9</v>
      </c>
      <c r="K37" s="95">
        <f t="shared" si="8"/>
        <v>8</v>
      </c>
      <c r="L37" s="95">
        <f t="shared" si="8"/>
        <v>6</v>
      </c>
      <c r="M37" s="95">
        <f t="shared" si="8"/>
        <v>13</v>
      </c>
      <c r="N37" s="95">
        <f t="shared" si="8"/>
        <v>10</v>
      </c>
      <c r="O37" s="95">
        <f t="shared" si="8"/>
        <v>10</v>
      </c>
      <c r="P37" s="95">
        <f t="shared" si="8"/>
        <v>8</v>
      </c>
      <c r="Q37" s="95">
        <f t="shared" si="8"/>
        <v>1</v>
      </c>
      <c r="R37" s="95">
        <f t="shared" si="8"/>
        <v>1</v>
      </c>
      <c r="S37" s="95">
        <f t="shared" si="6"/>
        <v>0</v>
      </c>
      <c r="T37" s="95">
        <f t="shared" si="6"/>
        <v>3</v>
      </c>
      <c r="U37" s="95">
        <f t="shared" si="6"/>
        <v>2</v>
      </c>
      <c r="V37" s="95">
        <f t="shared" si="6"/>
        <v>6</v>
      </c>
      <c r="W37" s="95">
        <f t="shared" si="6"/>
        <v>0</v>
      </c>
      <c r="X37" s="95">
        <f t="shared" si="6"/>
        <v>0</v>
      </c>
      <c r="Y37" s="95">
        <f t="shared" si="6"/>
        <v>0</v>
      </c>
      <c r="Z37" s="95">
        <f t="shared" si="6"/>
        <v>4</v>
      </c>
      <c r="AA37" s="95">
        <f t="shared" si="6"/>
        <v>1</v>
      </c>
      <c r="AB37" s="95"/>
      <c r="AC37" s="239">
        <f t="shared" si="7"/>
        <v>8</v>
      </c>
    </row>
    <row r="38" spans="1:29" s="27" customFormat="1" ht="20" customHeight="1" x14ac:dyDescent="0.25">
      <c r="A38" s="92"/>
      <c r="B38" s="94" t="str">
        <f>People!$B16</f>
        <v>Lucy Englefield</v>
      </c>
      <c r="C38" s="95">
        <f t="shared" si="8"/>
        <v>0</v>
      </c>
      <c r="D38" s="95">
        <f t="shared" si="8"/>
        <v>0</v>
      </c>
      <c r="E38" s="95">
        <f t="shared" si="8"/>
        <v>0</v>
      </c>
      <c r="F38" s="95">
        <f t="shared" si="8"/>
        <v>4</v>
      </c>
      <c r="G38" s="95">
        <f t="shared" si="8"/>
        <v>6</v>
      </c>
      <c r="H38" s="95">
        <f t="shared" si="8"/>
        <v>0</v>
      </c>
      <c r="I38" s="95">
        <f t="shared" si="8"/>
        <v>1</v>
      </c>
      <c r="J38" s="95">
        <f t="shared" si="8"/>
        <v>5</v>
      </c>
      <c r="K38" s="95">
        <f t="shared" si="8"/>
        <v>2</v>
      </c>
      <c r="L38" s="95">
        <f t="shared" si="8"/>
        <v>1</v>
      </c>
      <c r="M38" s="95">
        <f t="shared" si="8"/>
        <v>0</v>
      </c>
      <c r="N38" s="95">
        <f t="shared" si="8"/>
        <v>0</v>
      </c>
      <c r="O38" s="95">
        <f t="shared" si="8"/>
        <v>0</v>
      </c>
      <c r="P38" s="95">
        <f t="shared" si="8"/>
        <v>0</v>
      </c>
      <c r="Q38" s="95">
        <f t="shared" si="8"/>
        <v>0</v>
      </c>
      <c r="R38" s="95">
        <f t="shared" si="8"/>
        <v>0</v>
      </c>
      <c r="S38" s="95">
        <f t="shared" si="6"/>
        <v>0</v>
      </c>
      <c r="T38" s="95">
        <f t="shared" si="6"/>
        <v>0</v>
      </c>
      <c r="U38" s="95">
        <f t="shared" si="6"/>
        <v>0</v>
      </c>
      <c r="V38" s="95">
        <f t="shared" si="6"/>
        <v>0</v>
      </c>
      <c r="W38" s="95">
        <f t="shared" si="6"/>
        <v>0</v>
      </c>
      <c r="X38" s="95">
        <f t="shared" si="6"/>
        <v>0</v>
      </c>
      <c r="Y38" s="95">
        <f t="shared" si="6"/>
        <v>0</v>
      </c>
      <c r="Z38" s="95">
        <f t="shared" si="6"/>
        <v>0</v>
      </c>
      <c r="AA38" s="95">
        <f t="shared" si="6"/>
        <v>0</v>
      </c>
      <c r="AB38" s="95"/>
      <c r="AC38" s="239">
        <f t="shared" si="7"/>
        <v>14</v>
      </c>
    </row>
    <row r="39" spans="1:29" s="27" customFormat="1" ht="20" customHeight="1" x14ac:dyDescent="0.25">
      <c r="A39" s="92"/>
      <c r="B39" s="94" t="str">
        <f>People!$B17</f>
        <v>Michael Smidman</v>
      </c>
      <c r="C39" s="95">
        <f t="shared" si="8"/>
        <v>0</v>
      </c>
      <c r="D39" s="95">
        <f t="shared" si="8"/>
        <v>0</v>
      </c>
      <c r="E39" s="95">
        <f t="shared" si="8"/>
        <v>0</v>
      </c>
      <c r="F39" s="95">
        <f t="shared" si="8"/>
        <v>2</v>
      </c>
      <c r="G39" s="95">
        <f t="shared" si="8"/>
        <v>0</v>
      </c>
      <c r="H39" s="95">
        <f t="shared" si="8"/>
        <v>0</v>
      </c>
      <c r="I39" s="95">
        <f t="shared" si="8"/>
        <v>0</v>
      </c>
      <c r="J39" s="95">
        <f t="shared" si="8"/>
        <v>0</v>
      </c>
      <c r="K39" s="95">
        <f t="shared" si="8"/>
        <v>0</v>
      </c>
      <c r="L39" s="95">
        <f t="shared" si="8"/>
        <v>0</v>
      </c>
      <c r="M39" s="95">
        <f t="shared" si="8"/>
        <v>0</v>
      </c>
      <c r="N39" s="95">
        <f t="shared" si="8"/>
        <v>0</v>
      </c>
      <c r="O39" s="95">
        <f t="shared" si="8"/>
        <v>0</v>
      </c>
      <c r="P39" s="95">
        <f t="shared" si="8"/>
        <v>0</v>
      </c>
      <c r="Q39" s="95">
        <f t="shared" si="8"/>
        <v>0</v>
      </c>
      <c r="R39" s="95">
        <f t="shared" si="8"/>
        <v>0</v>
      </c>
      <c r="S39" s="95">
        <f t="shared" si="6"/>
        <v>0</v>
      </c>
      <c r="T39" s="95">
        <f t="shared" si="6"/>
        <v>0</v>
      </c>
      <c r="U39" s="95">
        <f t="shared" si="6"/>
        <v>0</v>
      </c>
      <c r="V39" s="95">
        <f t="shared" si="6"/>
        <v>0</v>
      </c>
      <c r="W39" s="95">
        <f t="shared" si="6"/>
        <v>0</v>
      </c>
      <c r="X39" s="95">
        <f t="shared" si="6"/>
        <v>0</v>
      </c>
      <c r="Y39" s="95">
        <f t="shared" si="6"/>
        <v>0</v>
      </c>
      <c r="Z39" s="95">
        <f t="shared" si="6"/>
        <v>0</v>
      </c>
      <c r="AA39" s="95">
        <f t="shared" si="6"/>
        <v>0</v>
      </c>
      <c r="AB39" s="95"/>
      <c r="AC39" s="239">
        <f t="shared" si="7"/>
        <v>25</v>
      </c>
    </row>
    <row r="40" spans="1:29" s="27" customFormat="1" ht="20" customHeight="1" x14ac:dyDescent="0.25">
      <c r="A40" s="92"/>
      <c r="B40" s="94" t="str">
        <f>People!$B18</f>
        <v>Lois Savill</v>
      </c>
      <c r="C40" s="95">
        <f t="shared" si="8"/>
        <v>0</v>
      </c>
      <c r="D40" s="95">
        <f t="shared" si="8"/>
        <v>0</v>
      </c>
      <c r="E40" s="95">
        <f t="shared" si="8"/>
        <v>0</v>
      </c>
      <c r="F40" s="95">
        <f t="shared" si="8"/>
        <v>0</v>
      </c>
      <c r="G40" s="95">
        <f t="shared" si="8"/>
        <v>1</v>
      </c>
      <c r="H40" s="95">
        <f t="shared" si="8"/>
        <v>0</v>
      </c>
      <c r="I40" s="95">
        <f t="shared" si="8"/>
        <v>0</v>
      </c>
      <c r="J40" s="95">
        <f t="shared" si="8"/>
        <v>0</v>
      </c>
      <c r="K40" s="95">
        <f t="shared" si="8"/>
        <v>0</v>
      </c>
      <c r="L40" s="95">
        <f t="shared" si="8"/>
        <v>0</v>
      </c>
      <c r="M40" s="95">
        <f t="shared" si="8"/>
        <v>0</v>
      </c>
      <c r="N40" s="95">
        <f t="shared" si="8"/>
        <v>0</v>
      </c>
      <c r="O40" s="95">
        <f t="shared" si="8"/>
        <v>0</v>
      </c>
      <c r="P40" s="95">
        <f t="shared" si="8"/>
        <v>0</v>
      </c>
      <c r="Q40" s="95">
        <f t="shared" si="8"/>
        <v>0</v>
      </c>
      <c r="R40" s="95">
        <f t="shared" si="8"/>
        <v>0</v>
      </c>
      <c r="S40" s="95">
        <f t="shared" si="6"/>
        <v>0</v>
      </c>
      <c r="T40" s="95">
        <f t="shared" si="6"/>
        <v>0</v>
      </c>
      <c r="U40" s="95">
        <f t="shared" si="6"/>
        <v>0</v>
      </c>
      <c r="V40" s="95">
        <f t="shared" si="6"/>
        <v>0</v>
      </c>
      <c r="W40" s="95">
        <f t="shared" si="6"/>
        <v>0</v>
      </c>
      <c r="X40" s="95">
        <f t="shared" si="6"/>
        <v>0</v>
      </c>
      <c r="Y40" s="95">
        <f t="shared" si="6"/>
        <v>0</v>
      </c>
      <c r="Z40" s="95">
        <f t="shared" si="6"/>
        <v>0</v>
      </c>
      <c r="AA40" s="95">
        <f t="shared" si="6"/>
        <v>0</v>
      </c>
      <c r="AB40" s="95"/>
      <c r="AC40" s="239">
        <f t="shared" si="7"/>
        <v>27</v>
      </c>
    </row>
    <row r="41" spans="1:29" s="27" customFormat="1" ht="20" customHeight="1" x14ac:dyDescent="0.25">
      <c r="A41" s="92"/>
      <c r="B41" s="94" t="str">
        <f>People!$B19</f>
        <v>Rossen Roussanov</v>
      </c>
      <c r="C41" s="95">
        <f t="shared" si="8"/>
        <v>0</v>
      </c>
      <c r="D41" s="95">
        <f t="shared" si="8"/>
        <v>0</v>
      </c>
      <c r="E41" s="95">
        <f t="shared" si="8"/>
        <v>0</v>
      </c>
      <c r="F41" s="95">
        <f t="shared" si="8"/>
        <v>0</v>
      </c>
      <c r="G41" s="95">
        <f t="shared" si="8"/>
        <v>0</v>
      </c>
      <c r="H41" s="95">
        <f t="shared" si="8"/>
        <v>1</v>
      </c>
      <c r="I41" s="95">
        <f t="shared" si="8"/>
        <v>0</v>
      </c>
      <c r="J41" s="95">
        <f t="shared" si="8"/>
        <v>0</v>
      </c>
      <c r="K41" s="95">
        <f t="shared" si="8"/>
        <v>0</v>
      </c>
      <c r="L41" s="95">
        <f t="shared" si="8"/>
        <v>0</v>
      </c>
      <c r="M41" s="95">
        <f t="shared" si="8"/>
        <v>0</v>
      </c>
      <c r="N41" s="95">
        <f t="shared" si="8"/>
        <v>0</v>
      </c>
      <c r="O41" s="95">
        <f t="shared" si="8"/>
        <v>0</v>
      </c>
      <c r="P41" s="95">
        <f t="shared" si="8"/>
        <v>0</v>
      </c>
      <c r="Q41" s="95">
        <f t="shared" si="8"/>
        <v>0</v>
      </c>
      <c r="R41" s="95">
        <f t="shared" si="8"/>
        <v>0</v>
      </c>
      <c r="S41" s="95">
        <f t="shared" ref="S41:AA51" si="9">IF(COUNTIFS(TallyPeopleNames,$B41,TallyDates,S$3),COUNTIFS(TallyPeopleNames,$B41,TallyDates,S$3),0)</f>
        <v>0</v>
      </c>
      <c r="T41" s="95">
        <f t="shared" si="9"/>
        <v>0</v>
      </c>
      <c r="U41" s="95">
        <f t="shared" si="9"/>
        <v>0</v>
      </c>
      <c r="V41" s="95">
        <f t="shared" si="9"/>
        <v>0</v>
      </c>
      <c r="W41" s="95">
        <f t="shared" si="9"/>
        <v>0</v>
      </c>
      <c r="X41" s="95">
        <f t="shared" si="9"/>
        <v>0</v>
      </c>
      <c r="Y41" s="95">
        <f t="shared" si="9"/>
        <v>0</v>
      </c>
      <c r="Z41" s="95">
        <f t="shared" si="9"/>
        <v>0</v>
      </c>
      <c r="AA41" s="95">
        <f t="shared" si="9"/>
        <v>0</v>
      </c>
      <c r="AB41" s="95"/>
      <c r="AC41" s="239">
        <f t="shared" si="7"/>
        <v>27</v>
      </c>
    </row>
    <row r="42" spans="1:29" s="27" customFormat="1" ht="20" customHeight="1" x14ac:dyDescent="0.25">
      <c r="A42" s="92"/>
      <c r="B42" s="94" t="str">
        <f>People!$B20</f>
        <v>Ed Saunders</v>
      </c>
      <c r="C42" s="95">
        <f t="shared" si="8"/>
        <v>0</v>
      </c>
      <c r="D42" s="95">
        <f t="shared" si="8"/>
        <v>0</v>
      </c>
      <c r="E42" s="95">
        <f t="shared" si="8"/>
        <v>0</v>
      </c>
      <c r="F42" s="95">
        <f t="shared" si="8"/>
        <v>0</v>
      </c>
      <c r="G42" s="95">
        <f t="shared" si="8"/>
        <v>0</v>
      </c>
      <c r="H42" s="95">
        <f t="shared" si="8"/>
        <v>5</v>
      </c>
      <c r="I42" s="95">
        <f t="shared" si="8"/>
        <v>0</v>
      </c>
      <c r="J42" s="95">
        <f t="shared" si="8"/>
        <v>9</v>
      </c>
      <c r="K42" s="95">
        <f t="shared" si="8"/>
        <v>0</v>
      </c>
      <c r="L42" s="95">
        <f t="shared" si="8"/>
        <v>10</v>
      </c>
      <c r="M42" s="95">
        <f t="shared" si="8"/>
        <v>0</v>
      </c>
      <c r="N42" s="95">
        <f t="shared" si="8"/>
        <v>8</v>
      </c>
      <c r="O42" s="95">
        <f t="shared" si="8"/>
        <v>0</v>
      </c>
      <c r="P42" s="95">
        <f t="shared" si="8"/>
        <v>14</v>
      </c>
      <c r="Q42" s="95">
        <f t="shared" si="8"/>
        <v>0</v>
      </c>
      <c r="R42" s="95">
        <f t="shared" si="8"/>
        <v>0</v>
      </c>
      <c r="S42" s="95">
        <f t="shared" si="9"/>
        <v>0</v>
      </c>
      <c r="T42" s="95">
        <f t="shared" si="9"/>
        <v>0</v>
      </c>
      <c r="U42" s="95">
        <f t="shared" si="9"/>
        <v>0</v>
      </c>
      <c r="V42" s="95">
        <f t="shared" si="9"/>
        <v>0</v>
      </c>
      <c r="W42" s="95">
        <f t="shared" si="9"/>
        <v>0</v>
      </c>
      <c r="X42" s="95">
        <f t="shared" si="9"/>
        <v>2</v>
      </c>
      <c r="Y42" s="95">
        <f t="shared" si="9"/>
        <v>0</v>
      </c>
      <c r="Z42" s="95">
        <f t="shared" si="9"/>
        <v>0</v>
      </c>
      <c r="AA42" s="95">
        <f t="shared" si="9"/>
        <v>0</v>
      </c>
      <c r="AB42" s="95"/>
      <c r="AC42" s="239">
        <f t="shared" si="7"/>
        <v>10</v>
      </c>
    </row>
    <row r="43" spans="1:29" s="27" customFormat="1" ht="20" customHeight="1" x14ac:dyDescent="0.25">
      <c r="A43" s="92"/>
      <c r="B43" s="94" t="str">
        <f>People!$B21</f>
        <v>Helen Miles</v>
      </c>
      <c r="C43" s="95">
        <f t="shared" si="8"/>
        <v>0</v>
      </c>
      <c r="D43" s="95">
        <f t="shared" si="8"/>
        <v>0</v>
      </c>
      <c r="E43" s="95">
        <f t="shared" si="8"/>
        <v>0</v>
      </c>
      <c r="F43" s="95">
        <f t="shared" si="8"/>
        <v>0</v>
      </c>
      <c r="G43" s="95">
        <f t="shared" si="8"/>
        <v>0</v>
      </c>
      <c r="H43" s="95">
        <f t="shared" si="8"/>
        <v>3</v>
      </c>
      <c r="I43" s="95">
        <f t="shared" si="8"/>
        <v>0</v>
      </c>
      <c r="J43" s="95">
        <f t="shared" si="8"/>
        <v>3</v>
      </c>
      <c r="K43" s="95">
        <f t="shared" si="8"/>
        <v>0</v>
      </c>
      <c r="L43" s="95">
        <f t="shared" si="8"/>
        <v>0</v>
      </c>
      <c r="M43" s="95">
        <f t="shared" si="8"/>
        <v>0</v>
      </c>
      <c r="N43" s="95">
        <f t="shared" si="8"/>
        <v>0</v>
      </c>
      <c r="O43" s="95">
        <f t="shared" si="8"/>
        <v>0</v>
      </c>
      <c r="P43" s="95">
        <f t="shared" si="8"/>
        <v>4</v>
      </c>
      <c r="Q43" s="95">
        <f t="shared" si="8"/>
        <v>0</v>
      </c>
      <c r="R43" s="95">
        <f t="shared" si="8"/>
        <v>0</v>
      </c>
      <c r="S43" s="95">
        <f t="shared" si="9"/>
        <v>0</v>
      </c>
      <c r="T43" s="95">
        <f t="shared" si="9"/>
        <v>0</v>
      </c>
      <c r="U43" s="95">
        <f t="shared" si="9"/>
        <v>0</v>
      </c>
      <c r="V43" s="95">
        <f t="shared" si="9"/>
        <v>0</v>
      </c>
      <c r="W43" s="95">
        <f t="shared" si="9"/>
        <v>0</v>
      </c>
      <c r="X43" s="95">
        <f t="shared" si="9"/>
        <v>2</v>
      </c>
      <c r="Y43" s="95">
        <f t="shared" si="9"/>
        <v>0</v>
      </c>
      <c r="Z43" s="95">
        <f t="shared" si="9"/>
        <v>0</v>
      </c>
      <c r="AA43" s="95">
        <f t="shared" si="9"/>
        <v>0</v>
      </c>
      <c r="AB43" s="95"/>
      <c r="AC43" s="239">
        <f t="shared" si="7"/>
        <v>16</v>
      </c>
    </row>
    <row r="44" spans="1:29" s="27" customFormat="1" ht="20" customHeight="1" x14ac:dyDescent="0.25">
      <c r="A44" s="92"/>
      <c r="B44" s="94" t="str">
        <f>People!$B22</f>
        <v>Antonia Amaning</v>
      </c>
      <c r="C44" s="95">
        <f t="shared" si="8"/>
        <v>0</v>
      </c>
      <c r="D44" s="95">
        <f t="shared" si="8"/>
        <v>0</v>
      </c>
      <c r="E44" s="95">
        <f t="shared" si="8"/>
        <v>0</v>
      </c>
      <c r="F44" s="95">
        <f t="shared" si="8"/>
        <v>0</v>
      </c>
      <c r="G44" s="95">
        <f t="shared" si="8"/>
        <v>0</v>
      </c>
      <c r="H44" s="95">
        <f t="shared" si="8"/>
        <v>0</v>
      </c>
      <c r="I44" s="95">
        <f t="shared" si="8"/>
        <v>0</v>
      </c>
      <c r="J44" s="95">
        <f t="shared" si="8"/>
        <v>0</v>
      </c>
      <c r="K44" s="95">
        <f t="shared" si="8"/>
        <v>3</v>
      </c>
      <c r="L44" s="95">
        <f t="shared" si="8"/>
        <v>0</v>
      </c>
      <c r="M44" s="95">
        <f t="shared" si="8"/>
        <v>0</v>
      </c>
      <c r="N44" s="95">
        <f t="shared" si="8"/>
        <v>4</v>
      </c>
      <c r="O44" s="95">
        <f t="shared" si="8"/>
        <v>0</v>
      </c>
      <c r="P44" s="95">
        <f t="shared" si="8"/>
        <v>0</v>
      </c>
      <c r="Q44" s="95">
        <f t="shared" si="8"/>
        <v>0</v>
      </c>
      <c r="R44" s="95">
        <f t="shared" si="8"/>
        <v>0</v>
      </c>
      <c r="S44" s="95">
        <f t="shared" si="9"/>
        <v>0</v>
      </c>
      <c r="T44" s="95">
        <f t="shared" si="9"/>
        <v>0</v>
      </c>
      <c r="U44" s="95">
        <f t="shared" si="9"/>
        <v>0</v>
      </c>
      <c r="V44" s="95">
        <f t="shared" si="9"/>
        <v>0</v>
      </c>
      <c r="W44" s="95">
        <f t="shared" si="9"/>
        <v>0</v>
      </c>
      <c r="X44" s="95">
        <f t="shared" si="9"/>
        <v>0</v>
      </c>
      <c r="Y44" s="95">
        <f t="shared" si="9"/>
        <v>0</v>
      </c>
      <c r="Z44" s="95">
        <f t="shared" si="9"/>
        <v>0</v>
      </c>
      <c r="AA44" s="95">
        <f t="shared" si="9"/>
        <v>0</v>
      </c>
      <c r="AB44" s="95"/>
      <c r="AC44" s="239">
        <f t="shared" si="7"/>
        <v>20</v>
      </c>
    </row>
    <row r="45" spans="1:29" s="27" customFormat="1" ht="20" customHeight="1" x14ac:dyDescent="0.25">
      <c r="A45" s="92"/>
      <c r="B45" s="94" t="str">
        <f>People!$B23</f>
        <v>George McLachlan</v>
      </c>
      <c r="C45" s="95">
        <f t="shared" ref="C45:S52" si="10">IF(COUNTIFS(TallyPeopleNames,$B45,TallyDates,C$3),COUNTIFS(TallyPeopleNames,$B45,TallyDates,C$3),0)</f>
        <v>0</v>
      </c>
      <c r="D45" s="95">
        <f t="shared" si="10"/>
        <v>0</v>
      </c>
      <c r="E45" s="95">
        <f t="shared" si="10"/>
        <v>0</v>
      </c>
      <c r="F45" s="95">
        <f t="shared" si="10"/>
        <v>0</v>
      </c>
      <c r="G45" s="95">
        <f t="shared" si="10"/>
        <v>0</v>
      </c>
      <c r="H45" s="95">
        <f t="shared" si="10"/>
        <v>0</v>
      </c>
      <c r="I45" s="95">
        <f t="shared" si="10"/>
        <v>0</v>
      </c>
      <c r="J45" s="95">
        <f t="shared" si="10"/>
        <v>0</v>
      </c>
      <c r="K45" s="95">
        <f t="shared" si="10"/>
        <v>3</v>
      </c>
      <c r="L45" s="95">
        <f t="shared" si="10"/>
        <v>0</v>
      </c>
      <c r="M45" s="95">
        <f t="shared" si="10"/>
        <v>0</v>
      </c>
      <c r="N45" s="95">
        <f t="shared" si="10"/>
        <v>6</v>
      </c>
      <c r="O45" s="95">
        <f t="shared" si="10"/>
        <v>0</v>
      </c>
      <c r="P45" s="95">
        <f t="shared" si="10"/>
        <v>0</v>
      </c>
      <c r="Q45" s="95">
        <f t="shared" si="10"/>
        <v>0</v>
      </c>
      <c r="R45" s="95">
        <f t="shared" si="10"/>
        <v>0</v>
      </c>
      <c r="S45" s="95">
        <f t="shared" si="10"/>
        <v>0</v>
      </c>
      <c r="T45" s="95">
        <f t="shared" si="9"/>
        <v>0</v>
      </c>
      <c r="U45" s="95">
        <f t="shared" si="9"/>
        <v>0</v>
      </c>
      <c r="V45" s="95">
        <f t="shared" si="9"/>
        <v>0</v>
      </c>
      <c r="W45" s="95">
        <f t="shared" si="9"/>
        <v>0</v>
      </c>
      <c r="X45" s="95">
        <f t="shared" si="9"/>
        <v>0</v>
      </c>
      <c r="Y45" s="95">
        <f t="shared" si="9"/>
        <v>0</v>
      </c>
      <c r="Z45" s="95">
        <f t="shared" si="9"/>
        <v>0</v>
      </c>
      <c r="AA45" s="95">
        <f t="shared" si="9"/>
        <v>0</v>
      </c>
      <c r="AB45" s="95"/>
      <c r="AC45" s="239">
        <f t="shared" si="7"/>
        <v>18</v>
      </c>
    </row>
    <row r="46" spans="1:29" s="27" customFormat="1" ht="20" customHeight="1" x14ac:dyDescent="0.25">
      <c r="A46" s="92"/>
      <c r="B46" s="94" t="str">
        <f>People!$B24</f>
        <v>Catherine Allen</v>
      </c>
      <c r="C46" s="95">
        <f t="shared" si="10"/>
        <v>0</v>
      </c>
      <c r="D46" s="95">
        <f t="shared" si="10"/>
        <v>0</v>
      </c>
      <c r="E46" s="95">
        <f t="shared" si="10"/>
        <v>0</v>
      </c>
      <c r="F46" s="95">
        <f t="shared" si="10"/>
        <v>0</v>
      </c>
      <c r="G46" s="95">
        <f t="shared" si="10"/>
        <v>0</v>
      </c>
      <c r="H46" s="95">
        <f t="shared" si="10"/>
        <v>0</v>
      </c>
      <c r="I46" s="95">
        <f t="shared" si="10"/>
        <v>0</v>
      </c>
      <c r="J46" s="95">
        <f t="shared" si="10"/>
        <v>0</v>
      </c>
      <c r="K46" s="95">
        <f t="shared" si="10"/>
        <v>0</v>
      </c>
      <c r="L46" s="95">
        <f t="shared" si="10"/>
        <v>4</v>
      </c>
      <c r="M46" s="95">
        <f t="shared" si="10"/>
        <v>0</v>
      </c>
      <c r="N46" s="95">
        <f t="shared" si="10"/>
        <v>0</v>
      </c>
      <c r="O46" s="95">
        <f t="shared" si="10"/>
        <v>0</v>
      </c>
      <c r="P46" s="95">
        <f t="shared" si="10"/>
        <v>0</v>
      </c>
      <c r="Q46" s="95">
        <f t="shared" si="10"/>
        <v>0</v>
      </c>
      <c r="R46" s="95">
        <f t="shared" si="10"/>
        <v>0</v>
      </c>
      <c r="S46" s="95">
        <f t="shared" si="9"/>
        <v>0</v>
      </c>
      <c r="T46" s="95">
        <f t="shared" si="9"/>
        <v>0</v>
      </c>
      <c r="U46" s="95">
        <f t="shared" si="9"/>
        <v>0</v>
      </c>
      <c r="V46" s="95">
        <f t="shared" si="9"/>
        <v>0</v>
      </c>
      <c r="W46" s="95">
        <f t="shared" si="9"/>
        <v>0</v>
      </c>
      <c r="X46" s="95">
        <f t="shared" si="9"/>
        <v>0</v>
      </c>
      <c r="Y46" s="95">
        <f t="shared" si="9"/>
        <v>0</v>
      </c>
      <c r="Z46" s="95">
        <f t="shared" si="9"/>
        <v>0</v>
      </c>
      <c r="AA46" s="95">
        <f t="shared" si="9"/>
        <v>0</v>
      </c>
      <c r="AB46" s="95"/>
      <c r="AC46" s="239">
        <f t="shared" si="7"/>
        <v>21</v>
      </c>
    </row>
    <row r="47" spans="1:29" s="27" customFormat="1" ht="20" customHeight="1" x14ac:dyDescent="0.25">
      <c r="A47" s="92"/>
      <c r="B47" s="94" t="str">
        <f>People!$B25</f>
        <v>Nicholas Draper</v>
      </c>
      <c r="C47" s="95">
        <f t="shared" si="10"/>
        <v>0</v>
      </c>
      <c r="D47" s="95">
        <f t="shared" si="10"/>
        <v>0</v>
      </c>
      <c r="E47" s="95">
        <f t="shared" si="10"/>
        <v>0</v>
      </c>
      <c r="F47" s="95">
        <f t="shared" si="10"/>
        <v>0</v>
      </c>
      <c r="G47" s="95">
        <f t="shared" si="10"/>
        <v>0</v>
      </c>
      <c r="H47" s="95">
        <f t="shared" si="10"/>
        <v>0</v>
      </c>
      <c r="I47" s="95">
        <f t="shared" si="10"/>
        <v>0</v>
      </c>
      <c r="J47" s="95">
        <f t="shared" si="10"/>
        <v>0</v>
      </c>
      <c r="K47" s="95">
        <f t="shared" si="10"/>
        <v>0</v>
      </c>
      <c r="L47" s="95">
        <f t="shared" si="10"/>
        <v>0</v>
      </c>
      <c r="M47" s="95">
        <f t="shared" si="10"/>
        <v>0</v>
      </c>
      <c r="N47" s="95">
        <f t="shared" si="10"/>
        <v>1</v>
      </c>
      <c r="O47" s="95">
        <f t="shared" si="10"/>
        <v>0</v>
      </c>
      <c r="P47" s="95">
        <f t="shared" si="10"/>
        <v>2</v>
      </c>
      <c r="Q47" s="95">
        <f t="shared" si="10"/>
        <v>0</v>
      </c>
      <c r="R47" s="95">
        <f t="shared" si="10"/>
        <v>0</v>
      </c>
      <c r="S47" s="95">
        <f t="shared" si="9"/>
        <v>0</v>
      </c>
      <c r="T47" s="95">
        <f t="shared" si="9"/>
        <v>0</v>
      </c>
      <c r="U47" s="95">
        <f t="shared" si="9"/>
        <v>0</v>
      </c>
      <c r="V47" s="95">
        <f t="shared" si="9"/>
        <v>1</v>
      </c>
      <c r="W47" s="95">
        <f t="shared" si="9"/>
        <v>0</v>
      </c>
      <c r="X47" s="95">
        <f t="shared" si="9"/>
        <v>0</v>
      </c>
      <c r="Y47" s="95">
        <f t="shared" si="9"/>
        <v>0</v>
      </c>
      <c r="Z47" s="95">
        <f t="shared" si="9"/>
        <v>0</v>
      </c>
      <c r="AA47" s="95">
        <f t="shared" si="9"/>
        <v>0</v>
      </c>
      <c r="AB47" s="95"/>
      <c r="AC47" s="239">
        <f t="shared" si="7"/>
        <v>21</v>
      </c>
    </row>
    <row r="48" spans="1:29" s="27" customFormat="1" ht="20" customHeight="1" x14ac:dyDescent="0.25">
      <c r="A48" s="92"/>
      <c r="B48" s="94" t="str">
        <f>People!$B26</f>
        <v>Karol Blanco</v>
      </c>
      <c r="C48" s="95">
        <f t="shared" si="10"/>
        <v>0</v>
      </c>
      <c r="D48" s="95">
        <f t="shared" si="10"/>
        <v>0</v>
      </c>
      <c r="E48" s="95">
        <f t="shared" si="10"/>
        <v>0</v>
      </c>
      <c r="F48" s="95">
        <f t="shared" si="10"/>
        <v>0</v>
      </c>
      <c r="G48" s="95">
        <f t="shared" si="10"/>
        <v>0</v>
      </c>
      <c r="H48" s="95">
        <f t="shared" si="10"/>
        <v>0</v>
      </c>
      <c r="I48" s="95">
        <f t="shared" si="10"/>
        <v>0</v>
      </c>
      <c r="J48" s="95">
        <f t="shared" si="10"/>
        <v>0</v>
      </c>
      <c r="K48" s="95">
        <f t="shared" si="10"/>
        <v>0</v>
      </c>
      <c r="L48" s="95">
        <f t="shared" si="10"/>
        <v>0</v>
      </c>
      <c r="M48" s="95">
        <f t="shared" si="10"/>
        <v>0</v>
      </c>
      <c r="N48" s="95">
        <f t="shared" si="10"/>
        <v>3</v>
      </c>
      <c r="O48" s="95">
        <f t="shared" si="10"/>
        <v>0</v>
      </c>
      <c r="P48" s="95">
        <f t="shared" si="10"/>
        <v>0</v>
      </c>
      <c r="Q48" s="95">
        <f t="shared" si="10"/>
        <v>0</v>
      </c>
      <c r="R48" s="95">
        <f t="shared" si="10"/>
        <v>0</v>
      </c>
      <c r="S48" s="95">
        <f t="shared" si="9"/>
        <v>0</v>
      </c>
      <c r="T48" s="95">
        <f t="shared" si="9"/>
        <v>0</v>
      </c>
      <c r="U48" s="95">
        <f t="shared" si="9"/>
        <v>0</v>
      </c>
      <c r="V48" s="95">
        <f t="shared" si="9"/>
        <v>0</v>
      </c>
      <c r="W48" s="95">
        <f t="shared" si="9"/>
        <v>0</v>
      </c>
      <c r="X48" s="95">
        <f t="shared" si="9"/>
        <v>1</v>
      </c>
      <c r="Y48" s="95">
        <f t="shared" si="9"/>
        <v>0</v>
      </c>
      <c r="Z48" s="95">
        <f t="shared" si="9"/>
        <v>0</v>
      </c>
      <c r="AA48" s="95">
        <f t="shared" si="9"/>
        <v>0</v>
      </c>
      <c r="AB48" s="95"/>
      <c r="AC48" s="239">
        <f t="shared" si="7"/>
        <v>21</v>
      </c>
    </row>
    <row r="49" spans="1:30" s="27" customFormat="1" ht="20" customHeight="1" x14ac:dyDescent="0.25">
      <c r="A49" s="92"/>
      <c r="B49" s="94" t="str">
        <f>People!$B27</f>
        <v>Sean Carey</v>
      </c>
      <c r="C49" s="95">
        <f t="shared" si="10"/>
        <v>0</v>
      </c>
      <c r="D49" s="95">
        <f t="shared" si="10"/>
        <v>0</v>
      </c>
      <c r="E49" s="95">
        <f t="shared" si="10"/>
        <v>0</v>
      </c>
      <c r="F49" s="95">
        <f t="shared" si="10"/>
        <v>0</v>
      </c>
      <c r="G49" s="95">
        <f t="shared" si="10"/>
        <v>10</v>
      </c>
      <c r="H49" s="95">
        <f t="shared" si="10"/>
        <v>7</v>
      </c>
      <c r="I49" s="95">
        <f t="shared" si="10"/>
        <v>0</v>
      </c>
      <c r="J49" s="95">
        <f t="shared" si="10"/>
        <v>11</v>
      </c>
      <c r="K49" s="95">
        <f t="shared" si="10"/>
        <v>0</v>
      </c>
      <c r="L49" s="95">
        <f t="shared" si="10"/>
        <v>5</v>
      </c>
      <c r="M49" s="95">
        <f t="shared" si="10"/>
        <v>8</v>
      </c>
      <c r="N49" s="95">
        <f t="shared" si="10"/>
        <v>11</v>
      </c>
      <c r="O49" s="95">
        <f t="shared" si="10"/>
        <v>0</v>
      </c>
      <c r="P49" s="95">
        <f t="shared" si="10"/>
        <v>10</v>
      </c>
      <c r="Q49" s="95">
        <f t="shared" si="10"/>
        <v>9</v>
      </c>
      <c r="R49" s="95">
        <f t="shared" si="10"/>
        <v>6</v>
      </c>
      <c r="S49" s="95">
        <f t="shared" si="9"/>
        <v>5</v>
      </c>
      <c r="T49" s="95">
        <f t="shared" si="9"/>
        <v>1</v>
      </c>
      <c r="U49" s="95">
        <f t="shared" si="9"/>
        <v>0</v>
      </c>
      <c r="V49" s="95">
        <f t="shared" si="9"/>
        <v>7</v>
      </c>
      <c r="W49" s="95">
        <f t="shared" si="9"/>
        <v>4</v>
      </c>
      <c r="X49" s="95">
        <f t="shared" si="9"/>
        <v>0</v>
      </c>
      <c r="Y49" s="95">
        <f t="shared" si="9"/>
        <v>8</v>
      </c>
      <c r="Z49" s="95">
        <f t="shared" si="9"/>
        <v>8</v>
      </c>
      <c r="AA49" s="95">
        <f t="shared" si="9"/>
        <v>1</v>
      </c>
      <c r="AB49" s="95"/>
      <c r="AC49" s="239">
        <f t="shared" si="7"/>
        <v>7</v>
      </c>
    </row>
    <row r="50" spans="1:30" s="27" customFormat="1" ht="20" customHeight="1" x14ac:dyDescent="0.25">
      <c r="A50" s="92"/>
      <c r="B50" s="94" t="str">
        <f>People!$B28</f>
        <v>Nia Harman</v>
      </c>
      <c r="C50" s="95">
        <f t="shared" si="10"/>
        <v>0</v>
      </c>
      <c r="D50" s="95">
        <f t="shared" si="10"/>
        <v>0</v>
      </c>
      <c r="E50" s="95">
        <f t="shared" si="10"/>
        <v>0</v>
      </c>
      <c r="F50" s="95">
        <f t="shared" si="10"/>
        <v>0</v>
      </c>
      <c r="G50" s="95">
        <f t="shared" si="10"/>
        <v>0</v>
      </c>
      <c r="H50" s="95">
        <f t="shared" si="10"/>
        <v>0</v>
      </c>
      <c r="I50" s="95">
        <f t="shared" si="10"/>
        <v>0</v>
      </c>
      <c r="J50" s="95">
        <f t="shared" si="10"/>
        <v>0</v>
      </c>
      <c r="K50" s="95">
        <f t="shared" si="10"/>
        <v>0</v>
      </c>
      <c r="L50" s="95">
        <f t="shared" si="10"/>
        <v>0</v>
      </c>
      <c r="M50" s="95">
        <f t="shared" si="10"/>
        <v>0</v>
      </c>
      <c r="N50" s="95">
        <f t="shared" si="10"/>
        <v>0</v>
      </c>
      <c r="O50" s="95">
        <f t="shared" si="10"/>
        <v>6</v>
      </c>
      <c r="P50" s="95">
        <f t="shared" si="10"/>
        <v>7</v>
      </c>
      <c r="Q50" s="95">
        <f t="shared" si="10"/>
        <v>0</v>
      </c>
      <c r="R50" s="95">
        <f t="shared" si="10"/>
        <v>3</v>
      </c>
      <c r="S50" s="95">
        <f t="shared" si="9"/>
        <v>2</v>
      </c>
      <c r="T50" s="95">
        <f t="shared" si="9"/>
        <v>0</v>
      </c>
      <c r="U50" s="95">
        <f t="shared" si="9"/>
        <v>0</v>
      </c>
      <c r="V50" s="95">
        <f t="shared" si="9"/>
        <v>0</v>
      </c>
      <c r="W50" s="95">
        <f t="shared" si="9"/>
        <v>3</v>
      </c>
      <c r="X50" s="95">
        <f t="shared" si="9"/>
        <v>0</v>
      </c>
      <c r="Y50" s="95">
        <f t="shared" si="9"/>
        <v>0</v>
      </c>
      <c r="Z50" s="95">
        <f t="shared" si="9"/>
        <v>0</v>
      </c>
      <c r="AA50" s="95">
        <f t="shared" si="9"/>
        <v>0</v>
      </c>
      <c r="AB50" s="95"/>
      <c r="AC50" s="239">
        <f t="shared" si="7"/>
        <v>13</v>
      </c>
    </row>
    <row r="51" spans="1:30" s="27" customFormat="1" ht="20" customHeight="1" x14ac:dyDescent="0.25">
      <c r="A51" s="222"/>
      <c r="B51" s="94" t="s">
        <v>2881</v>
      </c>
      <c r="C51" s="95">
        <f t="shared" si="10"/>
        <v>0</v>
      </c>
      <c r="D51" s="95">
        <f t="shared" si="10"/>
        <v>0</v>
      </c>
      <c r="E51" s="95">
        <f t="shared" si="10"/>
        <v>0</v>
      </c>
      <c r="F51" s="95">
        <f t="shared" si="10"/>
        <v>0</v>
      </c>
      <c r="G51" s="95">
        <f t="shared" si="10"/>
        <v>0</v>
      </c>
      <c r="H51" s="95">
        <f t="shared" si="10"/>
        <v>0</v>
      </c>
      <c r="I51" s="95">
        <f t="shared" si="10"/>
        <v>0</v>
      </c>
      <c r="J51" s="95">
        <f t="shared" si="10"/>
        <v>0</v>
      </c>
      <c r="K51" s="95">
        <f t="shared" si="10"/>
        <v>0</v>
      </c>
      <c r="L51" s="95">
        <f t="shared" si="10"/>
        <v>0</v>
      </c>
      <c r="M51" s="95">
        <f t="shared" si="10"/>
        <v>0</v>
      </c>
      <c r="N51" s="95">
        <f t="shared" si="10"/>
        <v>0</v>
      </c>
      <c r="O51" s="95">
        <f t="shared" si="10"/>
        <v>0</v>
      </c>
      <c r="P51" s="95">
        <f t="shared" si="10"/>
        <v>0</v>
      </c>
      <c r="Q51" s="95">
        <f t="shared" si="10"/>
        <v>0</v>
      </c>
      <c r="R51" s="95">
        <f t="shared" si="10"/>
        <v>0</v>
      </c>
      <c r="S51" s="95">
        <f t="shared" si="10"/>
        <v>0</v>
      </c>
      <c r="T51" s="95">
        <f t="shared" si="9"/>
        <v>0</v>
      </c>
      <c r="U51" s="95">
        <f t="shared" si="9"/>
        <v>0</v>
      </c>
      <c r="V51" s="95">
        <f t="shared" si="9"/>
        <v>0</v>
      </c>
      <c r="W51" s="95">
        <f t="shared" si="9"/>
        <v>1</v>
      </c>
      <c r="X51" s="95">
        <f t="shared" si="9"/>
        <v>1</v>
      </c>
      <c r="Y51" s="95">
        <f t="shared" si="9"/>
        <v>0</v>
      </c>
      <c r="Z51" s="95">
        <f t="shared" si="9"/>
        <v>0</v>
      </c>
      <c r="AA51" s="95">
        <f t="shared" si="9"/>
        <v>0</v>
      </c>
      <c r="AB51" s="95"/>
      <c r="AC51" s="239">
        <f>INDEX(PeopleDrinksRank,MATCH(B51,PeopleNames,0))</f>
        <v>25</v>
      </c>
    </row>
    <row r="52" spans="1:30" s="27" customFormat="1" ht="20" customHeight="1" x14ac:dyDescent="0.25">
      <c r="A52" s="222"/>
      <c r="B52" s="94" t="s">
        <v>2879</v>
      </c>
      <c r="C52" s="95">
        <f t="shared" si="10"/>
        <v>0</v>
      </c>
      <c r="D52" s="95">
        <f t="shared" ref="D52:AA52" si="11">IF(COUNTIFS(TallyPeopleNames,$B52,TallyDates,D$3),COUNTIFS(TallyPeopleNames,$B52,TallyDates,D$3),0)</f>
        <v>0</v>
      </c>
      <c r="E52" s="95">
        <f t="shared" si="11"/>
        <v>0</v>
      </c>
      <c r="F52" s="95">
        <f t="shared" si="11"/>
        <v>0</v>
      </c>
      <c r="G52" s="95">
        <f t="shared" si="11"/>
        <v>0</v>
      </c>
      <c r="H52" s="95">
        <f t="shared" si="11"/>
        <v>0</v>
      </c>
      <c r="I52" s="95">
        <f t="shared" si="11"/>
        <v>0</v>
      </c>
      <c r="J52" s="95">
        <f t="shared" si="11"/>
        <v>0</v>
      </c>
      <c r="K52" s="95">
        <f t="shared" si="11"/>
        <v>0</v>
      </c>
      <c r="L52" s="95">
        <f t="shared" si="11"/>
        <v>0</v>
      </c>
      <c r="M52" s="95">
        <f t="shared" si="11"/>
        <v>0</v>
      </c>
      <c r="N52" s="95">
        <f t="shared" si="11"/>
        <v>0</v>
      </c>
      <c r="O52" s="95">
        <f t="shared" si="11"/>
        <v>0</v>
      </c>
      <c r="P52" s="95">
        <f t="shared" si="11"/>
        <v>0</v>
      </c>
      <c r="Q52" s="95">
        <f t="shared" si="11"/>
        <v>0</v>
      </c>
      <c r="R52" s="95">
        <f t="shared" si="11"/>
        <v>0</v>
      </c>
      <c r="S52" s="95">
        <f t="shared" si="11"/>
        <v>0</v>
      </c>
      <c r="T52" s="95">
        <f t="shared" si="11"/>
        <v>0</v>
      </c>
      <c r="U52" s="95">
        <f t="shared" si="11"/>
        <v>0</v>
      </c>
      <c r="V52" s="95">
        <f t="shared" si="11"/>
        <v>0</v>
      </c>
      <c r="W52" s="95">
        <f t="shared" si="11"/>
        <v>1</v>
      </c>
      <c r="X52" s="95">
        <f t="shared" si="11"/>
        <v>2</v>
      </c>
      <c r="Y52" s="95">
        <f t="shared" si="11"/>
        <v>0</v>
      </c>
      <c r="Z52" s="95">
        <f t="shared" si="11"/>
        <v>0</v>
      </c>
      <c r="AA52" s="95">
        <f t="shared" si="11"/>
        <v>0</v>
      </c>
      <c r="AB52" s="95"/>
      <c r="AC52" s="239">
        <f t="shared" si="7"/>
        <v>24</v>
      </c>
    </row>
    <row r="53" spans="1:30" s="22" customFormat="1" ht="50" x14ac:dyDescent="0.3">
      <c r="B53" s="87" t="s">
        <v>1202</v>
      </c>
      <c r="C53" s="88"/>
      <c r="D53" s="88"/>
      <c r="E53" s="88"/>
      <c r="F53" s="88"/>
      <c r="G53" s="88"/>
      <c r="H53" s="88"/>
      <c r="I53" s="88"/>
      <c r="J53" s="89"/>
      <c r="K53" s="88"/>
      <c r="L53" s="88"/>
      <c r="M53" s="88"/>
      <c r="N53" s="88"/>
      <c r="O53" s="88"/>
      <c r="P53" s="90"/>
      <c r="Q53" s="108"/>
      <c r="R53" s="108"/>
      <c r="S53" s="108"/>
      <c r="T53" s="108"/>
      <c r="U53" s="108"/>
      <c r="V53" s="108"/>
      <c r="W53" s="108"/>
      <c r="X53" s="108"/>
      <c r="Y53" s="108"/>
      <c r="Z53" s="108"/>
      <c r="AA53" s="108"/>
      <c r="AB53" s="108"/>
      <c r="AC53" s="108"/>
    </row>
    <row r="54" spans="1:30" ht="22" x14ac:dyDescent="0.25">
      <c r="A54" s="91"/>
      <c r="B54" s="94" t="s">
        <v>1</v>
      </c>
      <c r="C54" s="93">
        <f>C$3</f>
        <v>43917</v>
      </c>
      <c r="D54" s="93">
        <f t="shared" ref="D54:Q54" si="12">D$3</f>
        <v>43924</v>
      </c>
      <c r="E54" s="93">
        <f t="shared" si="12"/>
        <v>43931</v>
      </c>
      <c r="F54" s="93">
        <f t="shared" si="12"/>
        <v>43938</v>
      </c>
      <c r="G54" s="93">
        <f t="shared" si="12"/>
        <v>43945</v>
      </c>
      <c r="H54" s="93">
        <f t="shared" si="12"/>
        <v>43952</v>
      </c>
      <c r="I54" s="93">
        <f t="shared" si="12"/>
        <v>43959</v>
      </c>
      <c r="J54" s="93">
        <f t="shared" si="12"/>
        <v>43966</v>
      </c>
      <c r="K54" s="93">
        <f t="shared" si="12"/>
        <v>43973</v>
      </c>
      <c r="L54" s="93">
        <f t="shared" si="12"/>
        <v>43980</v>
      </c>
      <c r="M54" s="93">
        <f t="shared" si="12"/>
        <v>43987</v>
      </c>
      <c r="N54" s="93">
        <f t="shared" si="12"/>
        <v>43994</v>
      </c>
      <c r="O54" s="93">
        <f t="shared" si="12"/>
        <v>44001</v>
      </c>
      <c r="P54" s="93">
        <f t="shared" si="12"/>
        <v>44008</v>
      </c>
      <c r="Q54" s="93">
        <f t="shared" si="12"/>
        <v>44015</v>
      </c>
      <c r="R54" s="93">
        <v>44022</v>
      </c>
      <c r="S54" s="93">
        <v>44029</v>
      </c>
      <c r="T54" s="93">
        <v>44036</v>
      </c>
      <c r="U54" s="93">
        <v>44043</v>
      </c>
      <c r="V54" s="93">
        <v>44050</v>
      </c>
      <c r="W54" s="93">
        <v>44057</v>
      </c>
      <c r="X54" s="148">
        <v>44064</v>
      </c>
      <c r="Y54" s="148">
        <v>44071</v>
      </c>
      <c r="Z54" s="148">
        <v>44078</v>
      </c>
      <c r="AA54" s="148">
        <v>44085</v>
      </c>
      <c r="AB54" s="148">
        <v>44092</v>
      </c>
      <c r="AC54" s="94" t="s">
        <v>1197</v>
      </c>
    </row>
    <row r="55" spans="1:30" ht="22" x14ac:dyDescent="0.25">
      <c r="A55" s="92"/>
      <c r="B55" s="94" t="str">
        <f>People!$B3</f>
        <v>Stephanie Hewlett</v>
      </c>
      <c r="C55" s="95" cm="1">
        <f t="array" ref="C55">SUM(COUNTIFS(TallyPeopleNames,$B55,TallyDates,$C$3:C$3),0)</f>
        <v>2</v>
      </c>
      <c r="D55" s="95" cm="1">
        <f t="array" ref="D55">SUM(COUNTIFS(TallyPeopleNames,$B55,TallyDates,$C$3:D$3),0)</f>
        <v>2</v>
      </c>
      <c r="E55" s="95" cm="1">
        <f t="array" ref="E55">SUM(COUNTIFS(TallyPeopleNames,$B55,TallyDates,$C$3:E$3),0)</f>
        <v>2</v>
      </c>
      <c r="F55" s="95" cm="1">
        <f t="array" ref="F55">SUM(COUNTIFS(TallyPeopleNames,$B55,TallyDates,$C$3:F$3),0)</f>
        <v>5</v>
      </c>
      <c r="G55" s="95" cm="1">
        <f t="array" ref="G55">SUM(COUNTIFS(TallyPeopleNames,$B55,TallyDates,$C$3:G$3),0)</f>
        <v>5</v>
      </c>
      <c r="H55" s="95" cm="1">
        <f t="array" ref="H55">SUM(COUNTIFS(TallyPeopleNames,$B55,TallyDates,$C$3:H$3),0)</f>
        <v>9</v>
      </c>
      <c r="I55" s="95" cm="1">
        <f t="array" ref="I55">SUM(COUNTIFS(TallyPeopleNames,$B55,TallyDates,$C$3:I$3),0)</f>
        <v>9</v>
      </c>
      <c r="J55" s="95" cm="1">
        <f t="array" ref="J55">SUM(COUNTIFS(TallyPeopleNames,$B55,TallyDates,$C$3:J$3),0)</f>
        <v>10</v>
      </c>
      <c r="K55" s="95" cm="1">
        <f t="array" ref="K55">SUM(COUNTIFS(TallyPeopleNames,$B55,TallyDates,$C$3:K$3),0)</f>
        <v>10</v>
      </c>
      <c r="L55" s="95" cm="1">
        <f t="array" ref="L55">SUM(COUNTIFS(TallyPeopleNames,$B55,TallyDates,$C$3:L$3),0)</f>
        <v>12</v>
      </c>
      <c r="M55" s="95" cm="1">
        <f t="array" ref="M55">SUM(COUNTIFS(TallyPeopleNames,$B55,TallyDates,$C$3:M$3),0)</f>
        <v>12</v>
      </c>
      <c r="N55" s="95" cm="1">
        <f t="array" ref="N55">SUM(COUNTIFS(TallyPeopleNames,$B55,TallyDates,$C$3:N$3),0)</f>
        <v>13</v>
      </c>
      <c r="O55" s="95" cm="1">
        <f t="array" ref="O55">SUM(COUNTIFS(TallyPeopleNames,$B55,TallyDates,$C$3:O$3),0)</f>
        <v>13</v>
      </c>
      <c r="P55" s="95" cm="1">
        <f t="array" ref="P55">SUM(COUNTIFS(TallyPeopleNames,$B55,TallyDates,$C$3:P$3),0)</f>
        <v>15</v>
      </c>
      <c r="Q55" s="95" cm="1">
        <f t="array" ref="Q55">SUM(COUNTIFS(TallyPeopleNames,$B55,TallyDates,$C$3:Q$3),0)</f>
        <v>17</v>
      </c>
      <c r="R55" s="95" cm="1">
        <f t="array" ref="R55">SUM(COUNTIFS(TallyPeopleNames,$B55,TallyDates,$C$3:R$3),0)</f>
        <v>17</v>
      </c>
      <c r="S55" s="95" cm="1">
        <f t="array" ref="S55">SUM(COUNTIFS(TallyPeopleNames,$B55,TallyDates,$C$3:S$3),0)</f>
        <v>17</v>
      </c>
      <c r="T55" s="95" cm="1">
        <f t="array" ref="T55">SUM(COUNTIFS(TallyPeopleNames,$B55,TallyDates,$C$3:T$3),0)</f>
        <v>17</v>
      </c>
      <c r="U55" s="95" cm="1">
        <f t="array" ref="U55">SUM(COUNTIFS(TallyPeopleNames,$B55,TallyDates,$C$3:U$3),0)</f>
        <v>18</v>
      </c>
      <c r="V55" s="95" cm="1">
        <f t="array" ref="V55">SUM(COUNTIFS(TallyPeopleNames,$B55,TallyDates,$C$3:V$3),0)</f>
        <v>18</v>
      </c>
      <c r="W55" s="95" cm="1">
        <f t="array" ref="W55">SUM(COUNTIFS(TallyPeopleNames,$B55,TallyDates,$C$3:W$3),0)</f>
        <v>18</v>
      </c>
      <c r="X55" s="95" cm="1">
        <f t="array" ref="X55">SUM(COUNTIFS(TallyPeopleNames,$B55,TallyDates,$C$3:X$3),0)</f>
        <v>18</v>
      </c>
      <c r="Y55" s="95" cm="1">
        <f t="array" ref="Y55">SUM(COUNTIFS(TallyPeopleNames,$B55,TallyDates,$C$3:Y$3),0)</f>
        <v>18</v>
      </c>
      <c r="Z55" s="95" cm="1">
        <f t="array" ref="Z55">SUM(COUNTIFS(TallyPeopleNames,$B55,TallyDates,$C$3:Z$3),0)</f>
        <v>18</v>
      </c>
      <c r="AA55" s="95" cm="1">
        <f t="array" ref="AA55">SUM(COUNTIFS(TallyPeopleNames,$B55,TallyDates,$C$3:AA$3),0)</f>
        <v>18</v>
      </c>
      <c r="AB55" s="95"/>
      <c r="AC55" s="239">
        <f t="shared" ref="AC55:AC82" si="13">INDEX(PeopleDrinksRank,MATCH(B55,PeopleNames,0))</f>
        <v>15</v>
      </c>
    </row>
    <row r="56" spans="1:30" ht="22" x14ac:dyDescent="0.25">
      <c r="A56" s="92"/>
      <c r="B56" s="94" t="str">
        <f>People!$B4</f>
        <v>Daniel Hewlett</v>
      </c>
      <c r="C56" s="95" cm="1">
        <f t="array" ref="C56">SUM(COUNTIFS(TallyPeopleNames,$B56,TallyDates,$C$3:C$3),0)</f>
        <v>11</v>
      </c>
      <c r="D56" s="95" cm="1">
        <f t="array" ref="D56">SUM(COUNTIFS(TallyPeopleNames,$B56,TallyDates,$C$3:D$3),0)</f>
        <v>15</v>
      </c>
      <c r="E56" s="95" cm="1">
        <f t="array" ref="E56">SUM(COUNTIFS(TallyPeopleNames,$B56,TallyDates,$C$3:E$3),0)</f>
        <v>23</v>
      </c>
      <c r="F56" s="95" cm="1">
        <f t="array" ref="F56">SUM(COUNTIFS(TallyPeopleNames,$B56,TallyDates,$C$3:F$3),0)</f>
        <v>31</v>
      </c>
      <c r="G56" s="95" cm="1">
        <f t="array" ref="G56">SUM(COUNTIFS(TallyPeopleNames,$B56,TallyDates,$C$3:G$3),0)</f>
        <v>35</v>
      </c>
      <c r="H56" s="95" cm="1">
        <f t="array" ref="H56">SUM(COUNTIFS(TallyPeopleNames,$B56,TallyDates,$C$3:H$3),0)</f>
        <v>46</v>
      </c>
      <c r="I56" s="95" cm="1">
        <f t="array" ref="I56">SUM(COUNTIFS(TallyPeopleNames,$B56,TallyDates,$C$3:I$3),0)</f>
        <v>54</v>
      </c>
      <c r="J56" s="95" cm="1">
        <f t="array" ref="J56">SUM(COUNTIFS(TallyPeopleNames,$B56,TallyDates,$C$3:J$3),0)</f>
        <v>63</v>
      </c>
      <c r="K56" s="95" cm="1">
        <f t="array" ref="K56">SUM(COUNTIFS(TallyPeopleNames,$B56,TallyDates,$C$3:K$3),0)</f>
        <v>73</v>
      </c>
      <c r="L56" s="95" cm="1">
        <f t="array" ref="L56">SUM(COUNTIFS(TallyPeopleNames,$B56,TallyDates,$C$3:L$3),0)</f>
        <v>84</v>
      </c>
      <c r="M56" s="95" cm="1">
        <f t="array" ref="M56">SUM(COUNTIFS(TallyPeopleNames,$B56,TallyDates,$C$3:M$3),0)</f>
        <v>88</v>
      </c>
      <c r="N56" s="95" cm="1">
        <f t="array" ref="N56">SUM(COUNTIFS(TallyPeopleNames,$B56,TallyDates,$C$3:N$3),0)</f>
        <v>98</v>
      </c>
      <c r="O56" s="95" cm="1">
        <f t="array" ref="O56">SUM(COUNTIFS(TallyPeopleNames,$B56,TallyDates,$C$3:O$3),0)</f>
        <v>113</v>
      </c>
      <c r="P56" s="95" cm="1">
        <f t="array" ref="P56">SUM(COUNTIFS(TallyPeopleNames,$B56,TallyDates,$C$3:P$3),0)</f>
        <v>120</v>
      </c>
      <c r="Q56" s="95" cm="1">
        <f t="array" ref="Q56">SUM(COUNTIFS(TallyPeopleNames,$B56,TallyDates,$C$3:Q$3),0)</f>
        <v>125</v>
      </c>
      <c r="R56" s="95" cm="1">
        <f t="array" ref="R56">SUM(COUNTIFS(TallyPeopleNames,$B56,TallyDates,$C$3:R$3),0)</f>
        <v>125</v>
      </c>
      <c r="S56" s="95" cm="1">
        <f t="array" ref="S56">SUM(COUNTIFS(TallyPeopleNames,$B56,TallyDates,$C$3:S$3),0)</f>
        <v>125</v>
      </c>
      <c r="T56" s="95" cm="1">
        <f t="array" ref="T56">SUM(COUNTIFS(TallyPeopleNames,$B56,TallyDates,$C$3:T$3),0)</f>
        <v>125</v>
      </c>
      <c r="U56" s="95" cm="1">
        <f t="array" ref="U56">SUM(COUNTIFS(TallyPeopleNames,$B56,TallyDates,$C$3:U$3),0)</f>
        <v>128</v>
      </c>
      <c r="V56" s="95" cm="1">
        <f t="array" ref="V56">SUM(COUNTIFS(TallyPeopleNames,$B56,TallyDates,$C$3:V$3),0)</f>
        <v>128</v>
      </c>
      <c r="W56" s="95" cm="1">
        <f t="array" ref="W56">SUM(COUNTIFS(TallyPeopleNames,$B56,TallyDates,$C$3:W$3),0)</f>
        <v>129</v>
      </c>
      <c r="X56" s="95" cm="1">
        <f t="array" ref="X56">SUM(COUNTIFS(TallyPeopleNames,$B56,TallyDates,$C$3:X$3),0)</f>
        <v>132</v>
      </c>
      <c r="Y56" s="95" cm="1">
        <f t="array" ref="Y56">SUM(COUNTIFS(TallyPeopleNames,$B56,TallyDates,$C$3:Y$3),0)</f>
        <v>142</v>
      </c>
      <c r="Z56" s="95" cm="1">
        <f t="array" ref="Z56">SUM(COUNTIFS(TallyPeopleNames,$B56,TallyDates,$C$3:Z$3),0)</f>
        <v>145</v>
      </c>
      <c r="AA56" s="95" cm="1">
        <f t="array" ref="AA56">SUM(COUNTIFS(TallyPeopleNames,$B56,TallyDates,$C$3:AA$3),0)</f>
        <v>150</v>
      </c>
      <c r="AB56" s="95"/>
      <c r="AC56" s="239">
        <f t="shared" si="13"/>
        <v>3</v>
      </c>
    </row>
    <row r="57" spans="1:30" ht="20" customHeight="1" x14ac:dyDescent="0.25">
      <c r="A57" s="92"/>
      <c r="B57" s="94" t="str">
        <f>People!$B5</f>
        <v>Ross Savill</v>
      </c>
      <c r="C57" s="95" cm="1">
        <f t="array" ref="C57">SUM(COUNTIFS(TallyPeopleNames,$B57,TallyDates,$C$3:C$3),0)</f>
        <v>5</v>
      </c>
      <c r="D57" s="95" cm="1">
        <f t="array" ref="D57">SUM(COUNTIFS(TallyPeopleNames,$B57,TallyDates,$C$3:D$3),0)</f>
        <v>5</v>
      </c>
      <c r="E57" s="95" cm="1">
        <f t="array" ref="E57">SUM(COUNTIFS(TallyPeopleNames,$B57,TallyDates,$C$3:E$3),0)</f>
        <v>11</v>
      </c>
      <c r="F57" s="95" cm="1">
        <f t="array" ref="F57">SUM(COUNTIFS(TallyPeopleNames,$B57,TallyDates,$C$3:F$3),0)</f>
        <v>16</v>
      </c>
      <c r="G57" s="95" cm="1">
        <f t="array" ref="G57">SUM(COUNTIFS(TallyPeopleNames,$B57,TallyDates,$C$3:G$3),0)</f>
        <v>23</v>
      </c>
      <c r="H57" s="95" cm="1">
        <f t="array" ref="H57">SUM(COUNTIFS(TallyPeopleNames,$B57,TallyDates,$C$3:H$3),0)</f>
        <v>28</v>
      </c>
      <c r="I57" s="95" cm="1">
        <f t="array" ref="I57">SUM(COUNTIFS(TallyPeopleNames,$B57,TallyDates,$C$3:I$3),0)</f>
        <v>40</v>
      </c>
      <c r="J57" s="95" cm="1">
        <f t="array" ref="J57">SUM(COUNTIFS(TallyPeopleNames,$B57,TallyDates,$C$3:J$3),0)</f>
        <v>48</v>
      </c>
      <c r="K57" s="95" cm="1">
        <f t="array" ref="K57">SUM(COUNTIFS(TallyPeopleNames,$B57,TallyDates,$C$3:K$3),0)</f>
        <v>55</v>
      </c>
      <c r="L57" s="95" cm="1">
        <f t="array" ref="L57">SUM(COUNTIFS(TallyPeopleNames,$B57,TallyDates,$C$3:L$3),0)</f>
        <v>67</v>
      </c>
      <c r="M57" s="95" cm="1">
        <f t="array" ref="M57">SUM(COUNTIFS(TallyPeopleNames,$B57,TallyDates,$C$3:M$3),0)</f>
        <v>79</v>
      </c>
      <c r="N57" s="95" cm="1">
        <f t="array" ref="N57">SUM(COUNTIFS(TallyPeopleNames,$B57,TallyDates,$C$3:N$3),0)</f>
        <v>88</v>
      </c>
      <c r="O57" s="95" cm="1">
        <f t="array" ref="O57">SUM(COUNTIFS(TallyPeopleNames,$B57,TallyDates,$C$3:O$3),0)</f>
        <v>99</v>
      </c>
      <c r="P57" s="95" cm="1">
        <f t="array" ref="P57">SUM(COUNTIFS(TallyPeopleNames,$B57,TallyDates,$C$3:P$3),0)</f>
        <v>112</v>
      </c>
      <c r="Q57" s="95" cm="1">
        <f t="array" ref="Q57">SUM(COUNTIFS(TallyPeopleNames,$B57,TallyDates,$C$3:Q$3),0)</f>
        <v>119</v>
      </c>
      <c r="R57" s="95" cm="1">
        <f t="array" ref="R57">SUM(COUNTIFS(TallyPeopleNames,$B57,TallyDates,$C$3:R$3),0)</f>
        <v>127</v>
      </c>
      <c r="S57" s="95" cm="1">
        <f t="array" ref="S57">SUM(COUNTIFS(TallyPeopleNames,$B57,TallyDates,$C$3:S$3),0)</f>
        <v>135</v>
      </c>
      <c r="T57" s="95" cm="1">
        <f t="array" ref="T57">SUM(COUNTIFS(TallyPeopleNames,$B57,TallyDates,$C$3:T$3),0)</f>
        <v>140</v>
      </c>
      <c r="U57" s="95" cm="1">
        <f t="array" ref="U57">SUM(COUNTIFS(TallyPeopleNames,$B57,TallyDates,$C$3:U$3),0)</f>
        <v>147</v>
      </c>
      <c r="V57" s="95" cm="1">
        <f t="array" ref="V57">SUM(COUNTIFS(TallyPeopleNames,$B57,TallyDates,$C$3:V$3),0)</f>
        <v>155</v>
      </c>
      <c r="W57" s="95" cm="1">
        <f t="array" ref="W57">SUM(COUNTIFS(TallyPeopleNames,$B57,TallyDates,$C$3:W$3),0)</f>
        <v>161</v>
      </c>
      <c r="X57" s="95" cm="1">
        <f t="array" ref="X57">SUM(COUNTIFS(TallyPeopleNames,$B57,TallyDates,$C$3:X$3),0)</f>
        <v>167</v>
      </c>
      <c r="Y57" s="95" cm="1">
        <f t="array" ref="Y57">SUM(COUNTIFS(TallyPeopleNames,$B57,TallyDates,$C$3:Y$3),0)</f>
        <v>174</v>
      </c>
      <c r="Z57" s="95" cm="1">
        <f t="array" ref="Z57">SUM(COUNTIFS(TallyPeopleNames,$B57,TallyDates,$C$3:Z$3),0)</f>
        <v>182</v>
      </c>
      <c r="AA57" s="95" cm="1">
        <f t="array" ref="AA57">SUM(COUNTIFS(TallyPeopleNames,$B57,TallyDates,$C$3:AA$3),0)</f>
        <v>188</v>
      </c>
      <c r="AB57" s="95"/>
      <c r="AC57" s="239">
        <f t="shared" si="13"/>
        <v>1</v>
      </c>
    </row>
    <row r="58" spans="1:30" ht="20" customHeight="1" x14ac:dyDescent="0.25">
      <c r="A58" s="92"/>
      <c r="B58" s="94" t="str">
        <f>People!$B6</f>
        <v>Anthony Draper</v>
      </c>
      <c r="C58" s="95" cm="1">
        <f t="array" ref="C58">SUM(COUNTIFS(TallyPeopleNames,$B58,TallyDates,$C$3:C$3),0)</f>
        <v>8</v>
      </c>
      <c r="D58" s="95" cm="1">
        <f t="array" ref="D58">SUM(COUNTIFS(TallyPeopleNames,$B58,TallyDates,$C$3:D$3),0)</f>
        <v>13</v>
      </c>
      <c r="E58" s="95" cm="1">
        <f t="array" ref="E58">SUM(COUNTIFS(TallyPeopleNames,$B58,TallyDates,$C$3:E$3),0)</f>
        <v>24</v>
      </c>
      <c r="F58" s="95" cm="1">
        <f t="array" ref="F58">SUM(COUNTIFS(TallyPeopleNames,$B58,TallyDates,$C$3:F$3),0)</f>
        <v>31</v>
      </c>
      <c r="G58" s="95" cm="1">
        <f t="array" ref="G58">SUM(COUNTIFS(TallyPeopleNames,$B58,TallyDates,$C$3:G$3),0)</f>
        <v>38</v>
      </c>
      <c r="H58" s="95" cm="1">
        <f t="array" ref="H58">SUM(COUNTIFS(TallyPeopleNames,$B58,TallyDates,$C$3:H$3),0)</f>
        <v>44</v>
      </c>
      <c r="I58" s="95" cm="1">
        <f t="array" ref="I58">SUM(COUNTIFS(TallyPeopleNames,$B58,TallyDates,$C$3:I$3),0)</f>
        <v>58</v>
      </c>
      <c r="J58" s="95" cm="1">
        <f t="array" ref="J58">SUM(COUNTIFS(TallyPeopleNames,$B58,TallyDates,$C$3:J$3),0)</f>
        <v>69</v>
      </c>
      <c r="K58" s="95" cm="1">
        <f t="array" ref="K58">SUM(COUNTIFS(TallyPeopleNames,$B58,TallyDates,$C$3:K$3),0)</f>
        <v>79</v>
      </c>
      <c r="L58" s="95" cm="1">
        <f t="array" ref="L58">SUM(COUNTIFS(TallyPeopleNames,$B58,TallyDates,$C$3:L$3),0)</f>
        <v>94</v>
      </c>
      <c r="M58" s="95" cm="1">
        <f t="array" ref="M58">SUM(COUNTIFS(TallyPeopleNames,$B58,TallyDates,$C$3:M$3),0)</f>
        <v>105</v>
      </c>
      <c r="N58" s="95" cm="1">
        <f t="array" ref="N58">SUM(COUNTIFS(TallyPeopleNames,$B58,TallyDates,$C$3:N$3),0)</f>
        <v>116</v>
      </c>
      <c r="O58" s="95" cm="1">
        <f t="array" ref="O58">SUM(COUNTIFS(TallyPeopleNames,$B58,TallyDates,$C$3:O$3),0)</f>
        <v>125</v>
      </c>
      <c r="P58" s="95" cm="1">
        <f t="array" ref="P58">SUM(COUNTIFS(TallyPeopleNames,$B58,TallyDates,$C$3:P$3),0)</f>
        <v>137</v>
      </c>
      <c r="Q58" s="95" cm="1">
        <f t="array" ref="Q58">SUM(COUNTIFS(TallyPeopleNames,$B58,TallyDates,$C$3:Q$3),0)</f>
        <v>144</v>
      </c>
      <c r="R58" s="95" cm="1">
        <f t="array" ref="R58">SUM(COUNTIFS(TallyPeopleNames,$B58,TallyDates,$C$3:R$3),0)</f>
        <v>148</v>
      </c>
      <c r="S58" s="95" cm="1">
        <f t="array" ref="S58">SUM(COUNTIFS(TallyPeopleNames,$B58,TallyDates,$C$3:S$3),0)</f>
        <v>154</v>
      </c>
      <c r="T58" s="95" cm="1">
        <f t="array" ref="T58">SUM(COUNTIFS(TallyPeopleNames,$B58,TallyDates,$C$3:T$3),0)</f>
        <v>154</v>
      </c>
      <c r="U58" s="95" cm="1">
        <f t="array" ref="U58">SUM(COUNTIFS(TallyPeopleNames,$B58,TallyDates,$C$3:U$3),0)</f>
        <v>155</v>
      </c>
      <c r="V58" s="95" cm="1">
        <f t="array" ref="V58">SUM(COUNTIFS(TallyPeopleNames,$B58,TallyDates,$C$3:V$3),0)</f>
        <v>158</v>
      </c>
      <c r="W58" s="95" cm="1">
        <f t="array" ref="W58">SUM(COUNTIFS(TallyPeopleNames,$B58,TallyDates,$C$3:W$3),0)</f>
        <v>158</v>
      </c>
      <c r="X58" s="95" cm="1">
        <f t="array" ref="X58">SUM(COUNTIFS(TallyPeopleNames,$B58,TallyDates,$C$3:X$3),0)</f>
        <v>162</v>
      </c>
      <c r="Y58" s="95" cm="1">
        <f t="array" ref="Y58">SUM(COUNTIFS(TallyPeopleNames,$B58,TallyDates,$C$3:Y$3),0)</f>
        <v>162</v>
      </c>
      <c r="Z58" s="95" cm="1">
        <f t="array" ref="Z58">SUM(COUNTIFS(TallyPeopleNames,$B58,TallyDates,$C$3:Z$3),0)</f>
        <v>169</v>
      </c>
      <c r="AA58" s="95" cm="1">
        <f t="array" ref="AA58">SUM(COUNTIFS(TallyPeopleNames,$B58,TallyDates,$C$3:AA$3),0)</f>
        <v>169</v>
      </c>
      <c r="AB58" s="95"/>
      <c r="AC58" s="239">
        <f t="shared" si="13"/>
        <v>2</v>
      </c>
    </row>
    <row r="59" spans="1:30" ht="20" customHeight="1" x14ac:dyDescent="0.25">
      <c r="A59" s="92"/>
      <c r="B59" s="94" t="str">
        <f>People!$B7</f>
        <v>Shaun Munro</v>
      </c>
      <c r="C59" s="95" cm="1">
        <f t="array" ref="C59">SUM(COUNTIFS(TallyPeopleNames,$B59,TallyDates,$C$3:C$3),0)</f>
        <v>3</v>
      </c>
      <c r="D59" s="95" cm="1">
        <f t="array" ref="D59">SUM(COUNTIFS(TallyPeopleNames,$B59,TallyDates,$C$3:D$3),0)</f>
        <v>5</v>
      </c>
      <c r="E59" s="95" cm="1">
        <f t="array" ref="E59">SUM(COUNTIFS(TallyPeopleNames,$B59,TallyDates,$C$3:E$3),0)</f>
        <v>10</v>
      </c>
      <c r="F59" s="95" cm="1">
        <f t="array" ref="F59">SUM(COUNTIFS(TallyPeopleNames,$B59,TallyDates,$C$3:F$3),0)</f>
        <v>13</v>
      </c>
      <c r="G59" s="95" cm="1">
        <f t="array" ref="G59">SUM(COUNTIFS(TallyPeopleNames,$B59,TallyDates,$C$3:G$3),0)</f>
        <v>18</v>
      </c>
      <c r="H59" s="95" cm="1">
        <f t="array" ref="H59">SUM(COUNTIFS(TallyPeopleNames,$B59,TallyDates,$C$3:H$3),0)</f>
        <v>23</v>
      </c>
      <c r="I59" s="95" cm="1">
        <f t="array" ref="I59">SUM(COUNTIFS(TallyPeopleNames,$B59,TallyDates,$C$3:I$3),0)</f>
        <v>32</v>
      </c>
      <c r="J59" s="95" cm="1">
        <f t="array" ref="J59">SUM(COUNTIFS(TallyPeopleNames,$B59,TallyDates,$C$3:J$3),0)</f>
        <v>39</v>
      </c>
      <c r="K59" s="95" cm="1">
        <f t="array" ref="K59">SUM(COUNTIFS(TallyPeopleNames,$B59,TallyDates,$C$3:K$3),0)</f>
        <v>47</v>
      </c>
      <c r="L59" s="95" cm="1">
        <f t="array" ref="L59">SUM(COUNTIFS(TallyPeopleNames,$B59,TallyDates,$C$3:L$3),0)</f>
        <v>56</v>
      </c>
      <c r="M59" s="95" cm="1">
        <f t="array" ref="M59">SUM(COUNTIFS(TallyPeopleNames,$B59,TallyDates,$C$3:M$3),0)</f>
        <v>63</v>
      </c>
      <c r="N59" s="95" cm="1">
        <f t="array" ref="N59">SUM(COUNTIFS(TallyPeopleNames,$B59,TallyDates,$C$3:N$3),0)</f>
        <v>73</v>
      </c>
      <c r="O59" s="95" cm="1">
        <f t="array" ref="O59">SUM(COUNTIFS(TallyPeopleNames,$B59,TallyDates,$C$3:O$3),0)</f>
        <v>80</v>
      </c>
      <c r="P59" s="95" cm="1">
        <f t="array" ref="P59">SUM(COUNTIFS(TallyPeopleNames,$B59,TallyDates,$C$3:P$3),0)</f>
        <v>82</v>
      </c>
      <c r="Q59" s="95" cm="1">
        <f t="array" ref="Q59">SUM(COUNTIFS(TallyPeopleNames,$B59,TallyDates,$C$3:Q$3),0)</f>
        <v>91</v>
      </c>
      <c r="R59" s="95" cm="1">
        <f t="array" ref="R59">SUM(COUNTIFS(TallyPeopleNames,$B59,TallyDates,$C$3:R$3),0)</f>
        <v>96</v>
      </c>
      <c r="S59" s="95" cm="1">
        <f t="array" ref="S59">SUM(COUNTIFS(TallyPeopleNames,$B59,TallyDates,$C$3:S$3),0)</f>
        <v>101</v>
      </c>
      <c r="T59" s="95" cm="1">
        <f t="array" ref="T59">SUM(COUNTIFS(TallyPeopleNames,$B59,TallyDates,$C$3:T$3),0)</f>
        <v>102</v>
      </c>
      <c r="U59" s="95" cm="1">
        <f t="array" ref="U59">SUM(COUNTIFS(TallyPeopleNames,$B59,TallyDates,$C$3:U$3),0)</f>
        <v>106</v>
      </c>
      <c r="V59" s="95" cm="1">
        <f t="array" ref="V59">SUM(COUNTIFS(TallyPeopleNames,$B59,TallyDates,$C$3:V$3),0)</f>
        <v>111</v>
      </c>
      <c r="W59" s="95" cm="1">
        <f t="array" ref="W59">SUM(COUNTIFS(TallyPeopleNames,$B59,TallyDates,$C$3:W$3),0)</f>
        <v>115</v>
      </c>
      <c r="X59" s="95" cm="1">
        <f t="array" ref="X59">SUM(COUNTIFS(TallyPeopleNames,$B59,TallyDates,$C$3:X$3),0)</f>
        <v>121</v>
      </c>
      <c r="Y59" s="95" cm="1">
        <f t="array" ref="Y59">SUM(COUNTIFS(TallyPeopleNames,$B59,TallyDates,$C$3:Y$3),0)</f>
        <v>123</v>
      </c>
      <c r="Z59" s="95" cm="1">
        <f t="array" ref="Z59">SUM(COUNTIFS(TallyPeopleNames,$B59,TallyDates,$C$3:Z$3),0)</f>
        <v>130</v>
      </c>
      <c r="AA59" s="95" cm="1">
        <f t="array" ref="AA59">SUM(COUNTIFS(TallyPeopleNames,$B59,TallyDates,$C$3:AA$3),0)</f>
        <v>135</v>
      </c>
      <c r="AB59" s="95"/>
      <c r="AC59" s="239">
        <f t="shared" si="13"/>
        <v>5</v>
      </c>
    </row>
    <row r="60" spans="1:30" ht="20" customHeight="1" x14ac:dyDescent="0.25">
      <c r="A60" s="92"/>
      <c r="B60" s="94" t="str">
        <f>People!$B8</f>
        <v>Jason Bowen</v>
      </c>
      <c r="C60" s="95" cm="1">
        <f t="array" ref="C60">SUM(COUNTIFS(TallyPeopleNames,$B60,TallyDates,$C$3:C$3),0)</f>
        <v>2</v>
      </c>
      <c r="D60" s="95" cm="1">
        <f t="array" ref="D60">SUM(COUNTIFS(TallyPeopleNames,$B60,TallyDates,$C$3:D$3),0)</f>
        <v>3</v>
      </c>
      <c r="E60" s="95" cm="1">
        <f t="array" ref="E60">SUM(COUNTIFS(TallyPeopleNames,$B60,TallyDates,$C$3:E$3),0)</f>
        <v>8</v>
      </c>
      <c r="F60" s="95" cm="1">
        <f t="array" ref="F60">SUM(COUNTIFS(TallyPeopleNames,$B60,TallyDates,$C$3:F$3),0)</f>
        <v>11</v>
      </c>
      <c r="G60" s="95" cm="1">
        <f t="array" ref="G60">SUM(COUNTIFS(TallyPeopleNames,$B60,TallyDates,$C$3:G$3),0)</f>
        <v>14</v>
      </c>
      <c r="H60" s="95" cm="1">
        <f t="array" ref="H60">SUM(COUNTIFS(TallyPeopleNames,$B60,TallyDates,$C$3:H$3),0)</f>
        <v>18</v>
      </c>
      <c r="I60" s="95" cm="1">
        <f t="array" ref="I60">SUM(COUNTIFS(TallyPeopleNames,$B60,TallyDates,$C$3:I$3),0)</f>
        <v>19</v>
      </c>
      <c r="J60" s="95" cm="1">
        <f t="array" ref="J60">SUM(COUNTIFS(TallyPeopleNames,$B60,TallyDates,$C$3:J$3),0)</f>
        <v>23</v>
      </c>
      <c r="K60" s="95" cm="1">
        <f t="array" ref="K60">SUM(COUNTIFS(TallyPeopleNames,$B60,TallyDates,$C$3:K$3),0)</f>
        <v>30</v>
      </c>
      <c r="L60" s="95" cm="1">
        <f t="array" ref="L60">SUM(COUNTIFS(TallyPeopleNames,$B60,TallyDates,$C$3:L$3),0)</f>
        <v>39</v>
      </c>
      <c r="M60" s="95" cm="1">
        <f t="array" ref="M60">SUM(COUNTIFS(TallyPeopleNames,$B60,TallyDates,$C$3:M$3),0)</f>
        <v>47</v>
      </c>
      <c r="N60" s="95" cm="1">
        <f t="array" ref="N60">SUM(COUNTIFS(TallyPeopleNames,$B60,TallyDates,$C$3:N$3),0)</f>
        <v>56</v>
      </c>
      <c r="O60" s="95" cm="1">
        <f t="array" ref="O60">SUM(COUNTIFS(TallyPeopleNames,$B60,TallyDates,$C$3:O$3),0)</f>
        <v>64</v>
      </c>
      <c r="P60" s="95" cm="1">
        <f t="array" ref="P60">SUM(COUNTIFS(TallyPeopleNames,$B60,TallyDates,$C$3:P$3),0)</f>
        <v>69</v>
      </c>
      <c r="Q60" s="95" cm="1">
        <f t="array" ref="Q60">SUM(COUNTIFS(TallyPeopleNames,$B60,TallyDates,$C$3:Q$3),0)</f>
        <v>76</v>
      </c>
      <c r="R60" s="95" cm="1">
        <f t="array" ref="R60">SUM(COUNTIFS(TallyPeopleNames,$B60,TallyDates,$C$3:R$3),0)</f>
        <v>82</v>
      </c>
      <c r="S60" s="95" cm="1">
        <f t="array" ref="S60">SUM(COUNTIFS(TallyPeopleNames,$B60,TallyDates,$C$3:S$3),0)</f>
        <v>91</v>
      </c>
      <c r="T60" s="95" cm="1">
        <f t="array" ref="T60">SUM(COUNTIFS(TallyPeopleNames,$B60,TallyDates,$C$3:T$3),0)</f>
        <v>92</v>
      </c>
      <c r="U60" s="95" cm="1">
        <f t="array" ref="U60">SUM(COUNTIFS(TallyPeopleNames,$B60,TallyDates,$C$3:U$3),0)</f>
        <v>98</v>
      </c>
      <c r="V60" s="95" cm="1">
        <f t="array" ref="V60">SUM(COUNTIFS(TallyPeopleNames,$B60,TallyDates,$C$3:V$3),0)</f>
        <v>101</v>
      </c>
      <c r="W60" s="95" cm="1">
        <f t="array" ref="W60">SUM(COUNTIFS(TallyPeopleNames,$B60,TallyDates,$C$3:W$3),0)</f>
        <v>104</v>
      </c>
      <c r="X60" s="95" cm="1">
        <f t="array" ref="X60">SUM(COUNTIFS(TallyPeopleNames,$B60,TallyDates,$C$3:X$3),0)</f>
        <v>105</v>
      </c>
      <c r="Y60" s="95" cm="1">
        <f t="array" ref="Y60">SUM(COUNTIFS(TallyPeopleNames,$B60,TallyDates,$C$3:Y$3),0)</f>
        <v>111</v>
      </c>
      <c r="Z60" s="95" cm="1">
        <f t="array" ref="Z60">SUM(COUNTIFS(TallyPeopleNames,$B60,TallyDates,$C$3:Z$3),0)</f>
        <v>116</v>
      </c>
      <c r="AA60" s="95" cm="1">
        <f t="array" ref="AA60">SUM(COUNTIFS(TallyPeopleNames,$B60,TallyDates,$C$3:AA$3),0)</f>
        <v>121</v>
      </c>
      <c r="AB60" s="95"/>
      <c r="AC60" s="239">
        <f t="shared" si="13"/>
        <v>6</v>
      </c>
      <c r="AD60" s="17"/>
    </row>
    <row r="61" spans="1:30" ht="20" customHeight="1" x14ac:dyDescent="0.25">
      <c r="A61" s="92"/>
      <c r="B61" s="94" t="str">
        <f>People!$B9</f>
        <v>Ben Millier</v>
      </c>
      <c r="C61" s="95" cm="1">
        <f t="array" ref="C61">SUM(COUNTIFS(TallyPeopleNames,$B61,TallyDates,$C$3:C$3),0)</f>
        <v>0</v>
      </c>
      <c r="D61" s="95" cm="1">
        <f t="array" ref="D61">SUM(COUNTIFS(TallyPeopleNames,$B61,TallyDates,$C$3:D$3),0)</f>
        <v>5</v>
      </c>
      <c r="E61" s="95" cm="1">
        <f t="array" ref="E61">SUM(COUNTIFS(TallyPeopleNames,$B61,TallyDates,$C$3:E$3),0)</f>
        <v>13</v>
      </c>
      <c r="F61" s="95" cm="1">
        <f t="array" ref="F61">SUM(COUNTIFS(TallyPeopleNames,$B61,TallyDates,$C$3:F$3),0)</f>
        <v>19</v>
      </c>
      <c r="G61" s="95" cm="1">
        <f t="array" ref="G61">SUM(COUNTIFS(TallyPeopleNames,$B61,TallyDates,$C$3:G$3),0)</f>
        <v>28</v>
      </c>
      <c r="H61" s="95" cm="1">
        <f t="array" ref="H61">SUM(COUNTIFS(TallyPeopleNames,$B61,TallyDates,$C$3:H$3),0)</f>
        <v>35</v>
      </c>
      <c r="I61" s="95" cm="1">
        <f t="array" ref="I61">SUM(COUNTIFS(TallyPeopleNames,$B61,TallyDates,$C$3:I$3),0)</f>
        <v>37</v>
      </c>
      <c r="J61" s="95" cm="1">
        <f t="array" ref="J61">SUM(COUNTIFS(TallyPeopleNames,$B61,TallyDates,$C$3:J$3),0)</f>
        <v>47</v>
      </c>
      <c r="K61" s="95" cm="1">
        <f t="array" ref="K61">SUM(COUNTIFS(TallyPeopleNames,$B61,TallyDates,$C$3:K$3),0)</f>
        <v>54</v>
      </c>
      <c r="L61" s="95" cm="1">
        <f t="array" ref="L61">SUM(COUNTIFS(TallyPeopleNames,$B61,TallyDates,$C$3:L$3),0)</f>
        <v>66</v>
      </c>
      <c r="M61" s="95" cm="1">
        <f t="array" ref="M61">SUM(COUNTIFS(TallyPeopleNames,$B61,TallyDates,$C$3:M$3),0)</f>
        <v>78</v>
      </c>
      <c r="N61" s="95" cm="1">
        <f t="array" ref="N61">SUM(COUNTIFS(TallyPeopleNames,$B61,TallyDates,$C$3:N$3),0)</f>
        <v>78</v>
      </c>
      <c r="O61" s="95" cm="1">
        <f t="array" ref="O61">SUM(COUNTIFS(TallyPeopleNames,$B61,TallyDates,$C$3:O$3),0)</f>
        <v>89</v>
      </c>
      <c r="P61" s="95" cm="1">
        <f t="array" ref="P61">SUM(COUNTIFS(TallyPeopleNames,$B61,TallyDates,$C$3:P$3),0)</f>
        <v>100</v>
      </c>
      <c r="Q61" s="95" cm="1">
        <f t="array" ref="Q61">SUM(COUNTIFS(TallyPeopleNames,$B61,TallyDates,$C$3:Q$3),0)</f>
        <v>110</v>
      </c>
      <c r="R61" s="95" cm="1">
        <f t="array" ref="R61">SUM(COUNTIFS(TallyPeopleNames,$B61,TallyDates,$C$3:R$3),0)</f>
        <v>117</v>
      </c>
      <c r="S61" s="95" cm="1">
        <f t="array" ref="S61">SUM(COUNTIFS(TallyPeopleNames,$B61,TallyDates,$C$3:S$3),0)</f>
        <v>122</v>
      </c>
      <c r="T61" s="95" cm="1">
        <f t="array" ref="T61">SUM(COUNTIFS(TallyPeopleNames,$B61,TallyDates,$C$3:T$3),0)</f>
        <v>122</v>
      </c>
      <c r="U61" s="95" cm="1">
        <f t="array" ref="U61">SUM(COUNTIFS(TallyPeopleNames,$B61,TallyDates,$C$3:U$3),0)</f>
        <v>122</v>
      </c>
      <c r="V61" s="95" cm="1">
        <f t="array" ref="V61">SUM(COUNTIFS(TallyPeopleNames,$B61,TallyDates,$C$3:V$3),0)</f>
        <v>122</v>
      </c>
      <c r="W61" s="95" cm="1">
        <f t="array" ref="W61">SUM(COUNTIFS(TallyPeopleNames,$B61,TallyDates,$C$3:W$3),0)</f>
        <v>127</v>
      </c>
      <c r="X61" s="95" cm="1">
        <f t="array" ref="X61">SUM(COUNTIFS(TallyPeopleNames,$B61,TallyDates,$C$3:X$3),0)</f>
        <v>127</v>
      </c>
      <c r="Y61" s="95" cm="1">
        <f t="array" ref="Y61">SUM(COUNTIFS(TallyPeopleNames,$B61,TallyDates,$C$3:Y$3),0)</f>
        <v>127</v>
      </c>
      <c r="Z61" s="95" cm="1">
        <f t="array" ref="Z61">SUM(COUNTIFS(TallyPeopleNames,$B61,TallyDates,$C$3:Z$3),0)</f>
        <v>136</v>
      </c>
      <c r="AA61" s="95" cm="1">
        <f t="array" ref="AA61">SUM(COUNTIFS(TallyPeopleNames,$B61,TallyDates,$C$3:AA$3),0)</f>
        <v>138</v>
      </c>
      <c r="AB61" s="95"/>
      <c r="AC61" s="239">
        <f t="shared" si="13"/>
        <v>4</v>
      </c>
      <c r="AD61" s="17"/>
    </row>
    <row r="62" spans="1:30" ht="20" customHeight="1" x14ac:dyDescent="0.25">
      <c r="A62" s="92"/>
      <c r="B62" s="94" t="str">
        <f>People!$B10</f>
        <v>Libby Millier</v>
      </c>
      <c r="C62" s="95" cm="1">
        <f t="array" ref="C62">SUM(COUNTIFS(TallyPeopleNames,$B62,TallyDates,$C$3:C$3),0)</f>
        <v>0</v>
      </c>
      <c r="D62" s="95" cm="1">
        <f t="array" ref="D62">SUM(COUNTIFS(TallyPeopleNames,$B62,TallyDates,$C$3:D$3),0)</f>
        <v>2</v>
      </c>
      <c r="E62" s="95" cm="1">
        <f t="array" ref="E62">SUM(COUNTIFS(TallyPeopleNames,$B62,TallyDates,$C$3:E$3),0)</f>
        <v>3</v>
      </c>
      <c r="F62" s="95" cm="1">
        <f t="array" ref="F62">SUM(COUNTIFS(TallyPeopleNames,$B62,TallyDates,$C$3:F$3),0)</f>
        <v>4</v>
      </c>
      <c r="G62" s="95" cm="1">
        <f t="array" ref="G62">SUM(COUNTIFS(TallyPeopleNames,$B62,TallyDates,$C$3:G$3),0)</f>
        <v>5</v>
      </c>
      <c r="H62" s="95" cm="1">
        <f t="array" ref="H62">SUM(COUNTIFS(TallyPeopleNames,$B62,TallyDates,$C$3:H$3),0)</f>
        <v>5</v>
      </c>
      <c r="I62" s="95" cm="1">
        <f t="array" ref="I62">SUM(COUNTIFS(TallyPeopleNames,$B62,TallyDates,$C$3:I$3),0)</f>
        <v>5</v>
      </c>
      <c r="J62" s="95" cm="1">
        <f t="array" ref="J62">SUM(COUNTIFS(TallyPeopleNames,$B62,TallyDates,$C$3:J$3),0)</f>
        <v>5</v>
      </c>
      <c r="K62" s="95" cm="1">
        <f t="array" ref="K62">SUM(COUNTIFS(TallyPeopleNames,$B62,TallyDates,$C$3:K$3),0)</f>
        <v>5</v>
      </c>
      <c r="L62" s="95" cm="1">
        <f t="array" ref="L62">SUM(COUNTIFS(TallyPeopleNames,$B62,TallyDates,$C$3:L$3),0)</f>
        <v>6</v>
      </c>
      <c r="M62" s="95" cm="1">
        <f t="array" ref="M62">SUM(COUNTIFS(TallyPeopleNames,$B62,TallyDates,$C$3:M$3),0)</f>
        <v>6</v>
      </c>
      <c r="N62" s="95" cm="1">
        <f t="array" ref="N62">SUM(COUNTIFS(TallyPeopleNames,$B62,TallyDates,$C$3:N$3),0)</f>
        <v>6</v>
      </c>
      <c r="O62" s="95" cm="1">
        <f t="array" ref="O62">SUM(COUNTIFS(TallyPeopleNames,$B62,TallyDates,$C$3:O$3),0)</f>
        <v>6</v>
      </c>
      <c r="P62" s="95" cm="1">
        <f t="array" ref="P62">SUM(COUNTIFS(TallyPeopleNames,$B62,TallyDates,$C$3:P$3),0)</f>
        <v>11</v>
      </c>
      <c r="Q62" s="95" cm="1">
        <f t="array" ref="Q62">SUM(COUNTIFS(TallyPeopleNames,$B62,TallyDates,$C$3:Q$3),0)</f>
        <v>11</v>
      </c>
      <c r="R62" s="95" cm="1">
        <f t="array" ref="R62">SUM(COUNTIFS(TallyPeopleNames,$B62,TallyDates,$C$3:R$3),0)</f>
        <v>11</v>
      </c>
      <c r="S62" s="95" cm="1">
        <f t="array" ref="S62">SUM(COUNTIFS(TallyPeopleNames,$B62,TallyDates,$C$3:S$3),0)</f>
        <v>11</v>
      </c>
      <c r="T62" s="95" cm="1">
        <f t="array" ref="T62">SUM(COUNTIFS(TallyPeopleNames,$B62,TallyDates,$C$3:T$3),0)</f>
        <v>11</v>
      </c>
      <c r="U62" s="95" cm="1">
        <f t="array" ref="U62">SUM(COUNTIFS(TallyPeopleNames,$B62,TallyDates,$C$3:U$3),0)</f>
        <v>11</v>
      </c>
      <c r="V62" s="95" cm="1">
        <f t="array" ref="V62">SUM(COUNTIFS(TallyPeopleNames,$B62,TallyDates,$C$3:V$3),0)</f>
        <v>11</v>
      </c>
      <c r="W62" s="95" cm="1">
        <f t="array" ref="W62">SUM(COUNTIFS(TallyPeopleNames,$B62,TallyDates,$C$3:W$3),0)</f>
        <v>11</v>
      </c>
      <c r="X62" s="95" cm="1">
        <f t="array" ref="X62">SUM(COUNTIFS(TallyPeopleNames,$B62,TallyDates,$C$3:X$3),0)</f>
        <v>11</v>
      </c>
      <c r="Y62" s="95" cm="1">
        <f t="array" ref="Y62">SUM(COUNTIFS(TallyPeopleNames,$B62,TallyDates,$C$3:Y$3),0)</f>
        <v>11</v>
      </c>
      <c r="Z62" s="95" cm="1">
        <f t="array" ref="Z62">SUM(COUNTIFS(TallyPeopleNames,$B62,TallyDates,$C$3:Z$3),0)</f>
        <v>11</v>
      </c>
      <c r="AA62" s="95" cm="1">
        <f t="array" ref="AA62">SUM(COUNTIFS(TallyPeopleNames,$B62,TallyDates,$C$3:AA$3),0)</f>
        <v>11</v>
      </c>
      <c r="AB62" s="95"/>
      <c r="AC62" s="239">
        <f t="shared" si="13"/>
        <v>17</v>
      </c>
      <c r="AD62" s="17"/>
    </row>
    <row r="63" spans="1:30" ht="20" customHeight="1" x14ac:dyDescent="0.25">
      <c r="A63" s="92"/>
      <c r="B63" s="94" t="str">
        <f>People!$B11</f>
        <v>Dawn Jones</v>
      </c>
      <c r="C63" s="95" cm="1">
        <f t="array" ref="C63">SUM(COUNTIFS(TallyPeopleNames,$B63,TallyDates,$C$3:C$3),0)</f>
        <v>0</v>
      </c>
      <c r="D63" s="95" cm="1">
        <f t="array" ref="D63">SUM(COUNTIFS(TallyPeopleNames,$B63,TallyDates,$C$3:D$3),0)</f>
        <v>2</v>
      </c>
      <c r="E63" s="95" cm="1">
        <f t="array" ref="E63">SUM(COUNTIFS(TallyPeopleNames,$B63,TallyDates,$C$3:E$3),0)</f>
        <v>5</v>
      </c>
      <c r="F63" s="95" cm="1">
        <f t="array" ref="F63">SUM(COUNTIFS(TallyPeopleNames,$B63,TallyDates,$C$3:F$3),0)</f>
        <v>5</v>
      </c>
      <c r="G63" s="95" cm="1">
        <f t="array" ref="G63">SUM(COUNTIFS(TallyPeopleNames,$B63,TallyDates,$C$3:G$3),0)</f>
        <v>7</v>
      </c>
      <c r="H63" s="95" cm="1">
        <f t="array" ref="H63">SUM(COUNTIFS(TallyPeopleNames,$B63,TallyDates,$C$3:H$3),0)</f>
        <v>7</v>
      </c>
      <c r="I63" s="95" cm="1">
        <f t="array" ref="I63">SUM(COUNTIFS(TallyPeopleNames,$B63,TallyDates,$C$3:I$3),0)</f>
        <v>7</v>
      </c>
      <c r="J63" s="95" cm="1">
        <f t="array" ref="J63">SUM(COUNTIFS(TallyPeopleNames,$B63,TallyDates,$C$3:J$3),0)</f>
        <v>7</v>
      </c>
      <c r="K63" s="95" cm="1">
        <f t="array" ref="K63">SUM(COUNTIFS(TallyPeopleNames,$B63,TallyDates,$C$3:K$3),0)</f>
        <v>13</v>
      </c>
      <c r="L63" s="95" cm="1">
        <f t="array" ref="L63">SUM(COUNTIFS(TallyPeopleNames,$B63,TallyDates,$C$3:L$3),0)</f>
        <v>13</v>
      </c>
      <c r="M63" s="95" cm="1">
        <f t="array" ref="M63">SUM(COUNTIFS(TallyPeopleNames,$B63,TallyDates,$C$3:M$3),0)</f>
        <v>13</v>
      </c>
      <c r="N63" s="95" cm="1">
        <f t="array" ref="N63">SUM(COUNTIFS(TallyPeopleNames,$B63,TallyDates,$C$3:N$3),0)</f>
        <v>22</v>
      </c>
      <c r="O63" s="95" cm="1">
        <f t="array" ref="O63">SUM(COUNTIFS(TallyPeopleNames,$B63,TallyDates,$C$3:O$3),0)</f>
        <v>22</v>
      </c>
      <c r="P63" s="95" cm="1">
        <f t="array" ref="P63">SUM(COUNTIFS(TallyPeopleNames,$B63,TallyDates,$C$3:P$3),0)</f>
        <v>23</v>
      </c>
      <c r="Q63" s="95" cm="1">
        <f t="array" ref="Q63">SUM(COUNTIFS(TallyPeopleNames,$B63,TallyDates,$C$3:Q$3),0)</f>
        <v>23</v>
      </c>
      <c r="R63" s="95" cm="1">
        <f t="array" ref="R63">SUM(COUNTIFS(TallyPeopleNames,$B63,TallyDates,$C$3:R$3),0)</f>
        <v>23</v>
      </c>
      <c r="S63" s="95" cm="1">
        <f t="array" ref="S63">SUM(COUNTIFS(TallyPeopleNames,$B63,TallyDates,$C$3:S$3),0)</f>
        <v>25</v>
      </c>
      <c r="T63" s="95" cm="1">
        <f t="array" ref="T63">SUM(COUNTIFS(TallyPeopleNames,$B63,TallyDates,$C$3:T$3),0)</f>
        <v>26</v>
      </c>
      <c r="U63" s="95" cm="1">
        <f t="array" ref="U63">SUM(COUNTIFS(TallyPeopleNames,$B63,TallyDates,$C$3:U$3),0)</f>
        <v>30</v>
      </c>
      <c r="V63" s="95" cm="1">
        <f t="array" ref="V63">SUM(COUNTIFS(TallyPeopleNames,$B63,TallyDates,$C$3:V$3),0)</f>
        <v>30</v>
      </c>
      <c r="W63" s="95" cm="1">
        <f t="array" ref="W63">SUM(COUNTIFS(TallyPeopleNames,$B63,TallyDates,$C$3:W$3),0)</f>
        <v>33</v>
      </c>
      <c r="X63" s="95" cm="1">
        <f t="array" ref="X63">SUM(COUNTIFS(TallyPeopleNames,$B63,TallyDates,$C$3:X$3),0)</f>
        <v>35</v>
      </c>
      <c r="Y63" s="95" cm="1">
        <f t="array" ref="Y63">SUM(COUNTIFS(TallyPeopleNames,$B63,TallyDates,$C$3:Y$3),0)</f>
        <v>36</v>
      </c>
      <c r="Z63" s="95" cm="1">
        <f t="array" ref="Z63">SUM(COUNTIFS(TallyPeopleNames,$B63,TallyDates,$C$3:Z$3),0)</f>
        <v>38</v>
      </c>
      <c r="AA63" s="95" cm="1">
        <f t="array" ref="AA63">SUM(COUNTIFS(TallyPeopleNames,$B63,TallyDates,$C$3:AA$3),0)</f>
        <v>42</v>
      </c>
      <c r="AB63" s="95"/>
      <c r="AC63" s="239">
        <f t="shared" si="13"/>
        <v>11</v>
      </c>
      <c r="AD63" s="17"/>
    </row>
    <row r="64" spans="1:30" ht="20" customHeight="1" x14ac:dyDescent="0.25">
      <c r="A64" s="92"/>
      <c r="B64" s="94" t="str">
        <f>People!$B12</f>
        <v>Caroline Draper</v>
      </c>
      <c r="C64" s="95" cm="1">
        <f t="array" ref="C64">SUM(COUNTIFS(TallyPeopleNames,$B64,TallyDates,$C$3:C$3),0)</f>
        <v>0</v>
      </c>
      <c r="D64" s="95" cm="1">
        <f t="array" ref="D64">SUM(COUNTIFS(TallyPeopleNames,$B64,TallyDates,$C$3:D$3),0)</f>
        <v>0</v>
      </c>
      <c r="E64" s="95" cm="1">
        <f t="array" ref="E64">SUM(COUNTIFS(TallyPeopleNames,$B64,TallyDates,$C$3:E$3),0)</f>
        <v>6</v>
      </c>
      <c r="F64" s="95" cm="1">
        <f t="array" ref="F64">SUM(COUNTIFS(TallyPeopleNames,$B64,TallyDates,$C$3:F$3),0)</f>
        <v>12</v>
      </c>
      <c r="G64" s="95" cm="1">
        <f t="array" ref="G64">SUM(COUNTIFS(TallyPeopleNames,$B64,TallyDates,$C$3:G$3),0)</f>
        <v>19</v>
      </c>
      <c r="H64" s="95" cm="1">
        <f t="array" ref="H64">SUM(COUNTIFS(TallyPeopleNames,$B64,TallyDates,$C$3:H$3),0)</f>
        <v>24</v>
      </c>
      <c r="I64" s="95" cm="1">
        <f t="array" ref="I64">SUM(COUNTIFS(TallyPeopleNames,$B64,TallyDates,$C$3:I$3),0)</f>
        <v>31</v>
      </c>
      <c r="J64" s="95" cm="1">
        <f t="array" ref="J64">SUM(COUNTIFS(TallyPeopleNames,$B64,TallyDates,$C$3:J$3),0)</f>
        <v>37</v>
      </c>
      <c r="K64" s="95" cm="1">
        <f t="array" ref="K64">SUM(COUNTIFS(TallyPeopleNames,$B64,TallyDates,$C$3:K$3),0)</f>
        <v>44</v>
      </c>
      <c r="L64" s="95" cm="1">
        <f t="array" ref="L64">SUM(COUNTIFS(TallyPeopleNames,$B64,TallyDates,$C$3:L$3),0)</f>
        <v>50</v>
      </c>
      <c r="M64" s="95" cm="1">
        <f t="array" ref="M64">SUM(COUNTIFS(TallyPeopleNames,$B64,TallyDates,$C$3:M$3),0)</f>
        <v>57</v>
      </c>
      <c r="N64" s="95" cm="1">
        <f t="array" ref="N64">SUM(COUNTIFS(TallyPeopleNames,$B64,TallyDates,$C$3:N$3),0)</f>
        <v>65</v>
      </c>
      <c r="O64" s="95" cm="1">
        <f t="array" ref="O64">SUM(COUNTIFS(TallyPeopleNames,$B64,TallyDates,$C$3:O$3),0)</f>
        <v>71</v>
      </c>
      <c r="P64" s="95" cm="1">
        <f t="array" ref="P64">SUM(COUNTIFS(TallyPeopleNames,$B64,TallyDates,$C$3:P$3),0)</f>
        <v>79</v>
      </c>
      <c r="Q64" s="95" cm="1">
        <f t="array" ref="Q64">SUM(COUNTIFS(TallyPeopleNames,$B64,TallyDates,$C$3:Q$3),0)</f>
        <v>86</v>
      </c>
      <c r="R64" s="95" cm="1">
        <f t="array" ref="R64">SUM(COUNTIFS(TallyPeopleNames,$B64,TallyDates,$C$3:R$3),0)</f>
        <v>89</v>
      </c>
      <c r="S64" s="95" cm="1">
        <f t="array" ref="S64">SUM(COUNTIFS(TallyPeopleNames,$B64,TallyDates,$C$3:S$3),0)</f>
        <v>91</v>
      </c>
      <c r="T64" s="95" cm="1">
        <f t="array" ref="T64">SUM(COUNTIFS(TallyPeopleNames,$B64,TallyDates,$C$3:T$3),0)</f>
        <v>91</v>
      </c>
      <c r="U64" s="95" cm="1">
        <f t="array" ref="U64">SUM(COUNTIFS(TallyPeopleNames,$B64,TallyDates,$C$3:U$3),0)</f>
        <v>95</v>
      </c>
      <c r="V64" s="95" cm="1">
        <f t="array" ref="V64">SUM(COUNTIFS(TallyPeopleNames,$B64,TallyDates,$C$3:V$3),0)</f>
        <v>101</v>
      </c>
      <c r="W64" s="95" cm="1">
        <f t="array" ref="W64">SUM(COUNTIFS(TallyPeopleNames,$B64,TallyDates,$C$3:W$3),0)</f>
        <v>104</v>
      </c>
      <c r="X64" s="95" cm="1">
        <f t="array" ref="X64">SUM(COUNTIFS(TallyPeopleNames,$B64,TallyDates,$C$3:X$3),0)</f>
        <v>104</v>
      </c>
      <c r="Y64" s="95" cm="1">
        <f t="array" ref="Y64">SUM(COUNTIFS(TallyPeopleNames,$B64,TallyDates,$C$3:Y$3),0)</f>
        <v>108</v>
      </c>
      <c r="Z64" s="95" cm="1">
        <f t="array" ref="Z64">SUM(COUNTIFS(TallyPeopleNames,$B64,TallyDates,$C$3:Z$3),0)</f>
        <v>108</v>
      </c>
      <c r="AA64" s="95" cm="1">
        <f t="array" ref="AA64">SUM(COUNTIFS(TallyPeopleNames,$B64,TallyDates,$C$3:AA$3),0)</f>
        <v>108</v>
      </c>
      <c r="AB64" s="95"/>
      <c r="AC64" s="239">
        <f t="shared" si="13"/>
        <v>9</v>
      </c>
      <c r="AD64" s="17"/>
    </row>
    <row r="65" spans="1:30" ht="20" customHeight="1" x14ac:dyDescent="0.25">
      <c r="A65" s="92"/>
      <c r="B65" s="94" t="str">
        <f>People!$B13</f>
        <v>Steven Ireland</v>
      </c>
      <c r="C65" s="95" cm="1">
        <f t="array" ref="C65">SUM(COUNTIFS(TallyPeopleNames,$B65,TallyDates,$C$3:C$3),0)</f>
        <v>0</v>
      </c>
      <c r="D65" s="95" cm="1">
        <f t="array" ref="D65">SUM(COUNTIFS(TallyPeopleNames,$B65,TallyDates,$C$3:D$3),0)</f>
        <v>0</v>
      </c>
      <c r="E65" s="95" cm="1">
        <f t="array" ref="E65">SUM(COUNTIFS(TallyPeopleNames,$B65,TallyDates,$C$3:E$3),0)</f>
        <v>3</v>
      </c>
      <c r="F65" s="95" cm="1">
        <f t="array" ref="F65">SUM(COUNTIFS(TallyPeopleNames,$B65,TallyDates,$C$3:F$3),0)</f>
        <v>7</v>
      </c>
      <c r="G65" s="95" cm="1">
        <f t="array" ref="G65">SUM(COUNTIFS(TallyPeopleNames,$B65,TallyDates,$C$3:G$3),0)</f>
        <v>11</v>
      </c>
      <c r="H65" s="95" cm="1">
        <f t="array" ref="H65">SUM(COUNTIFS(TallyPeopleNames,$B65,TallyDates,$C$3:H$3),0)</f>
        <v>12</v>
      </c>
      <c r="I65" s="95" cm="1">
        <f t="array" ref="I65">SUM(COUNTIFS(TallyPeopleNames,$B65,TallyDates,$C$3:I$3),0)</f>
        <v>21</v>
      </c>
      <c r="J65" s="95" cm="1">
        <f t="array" ref="J65">SUM(COUNTIFS(TallyPeopleNames,$B65,TallyDates,$C$3:J$3),0)</f>
        <v>29</v>
      </c>
      <c r="K65" s="95" cm="1">
        <f t="array" ref="K65">SUM(COUNTIFS(TallyPeopleNames,$B65,TallyDates,$C$3:K$3),0)</f>
        <v>33</v>
      </c>
      <c r="L65" s="95" cm="1">
        <f t="array" ref="L65">SUM(COUNTIFS(TallyPeopleNames,$B65,TallyDates,$C$3:L$3),0)</f>
        <v>33</v>
      </c>
      <c r="M65" s="95" cm="1">
        <f t="array" ref="M65">SUM(COUNTIFS(TallyPeopleNames,$B65,TallyDates,$C$3:M$3),0)</f>
        <v>34</v>
      </c>
      <c r="N65" s="95" cm="1">
        <f t="array" ref="N65">SUM(COUNTIFS(TallyPeopleNames,$B65,TallyDates,$C$3:N$3),0)</f>
        <v>34</v>
      </c>
      <c r="O65" s="95" cm="1">
        <f t="array" ref="O65">SUM(COUNTIFS(TallyPeopleNames,$B65,TallyDates,$C$3:O$3),0)</f>
        <v>34</v>
      </c>
      <c r="P65" s="95" cm="1">
        <f t="array" ref="P65">SUM(COUNTIFS(TallyPeopleNames,$B65,TallyDates,$C$3:P$3),0)</f>
        <v>36</v>
      </c>
      <c r="Q65" s="95" cm="1">
        <f t="array" ref="Q65">SUM(COUNTIFS(TallyPeopleNames,$B65,TallyDates,$C$3:Q$3),0)</f>
        <v>36</v>
      </c>
      <c r="R65" s="95" cm="1">
        <f t="array" ref="R65">SUM(COUNTIFS(TallyPeopleNames,$B65,TallyDates,$C$3:R$3),0)</f>
        <v>36</v>
      </c>
      <c r="S65" s="95" cm="1">
        <f t="array" ref="S65">SUM(COUNTIFS(TallyPeopleNames,$B65,TallyDates,$C$3:S$3),0)</f>
        <v>36</v>
      </c>
      <c r="T65" s="95" cm="1">
        <f t="array" ref="T65">SUM(COUNTIFS(TallyPeopleNames,$B65,TallyDates,$C$3:T$3),0)</f>
        <v>36</v>
      </c>
      <c r="U65" s="95" cm="1">
        <f t="array" ref="U65">SUM(COUNTIFS(TallyPeopleNames,$B65,TallyDates,$C$3:U$3),0)</f>
        <v>36</v>
      </c>
      <c r="V65" s="95" cm="1">
        <f t="array" ref="V65">SUM(COUNTIFS(TallyPeopleNames,$B65,TallyDates,$C$3:V$3),0)</f>
        <v>36</v>
      </c>
      <c r="W65" s="95" cm="1">
        <f t="array" ref="W65">SUM(COUNTIFS(TallyPeopleNames,$B65,TallyDates,$C$3:W$3),0)</f>
        <v>36</v>
      </c>
      <c r="X65" s="95" cm="1">
        <f t="array" ref="X65">SUM(COUNTIFS(TallyPeopleNames,$B65,TallyDates,$C$3:X$3),0)</f>
        <v>36</v>
      </c>
      <c r="Y65" s="95" cm="1">
        <f t="array" ref="Y65">SUM(COUNTIFS(TallyPeopleNames,$B65,TallyDates,$C$3:Y$3),0)</f>
        <v>36</v>
      </c>
      <c r="Z65" s="95" cm="1">
        <f t="array" ref="Z65">SUM(COUNTIFS(TallyPeopleNames,$B65,TallyDates,$C$3:Z$3),0)</f>
        <v>36</v>
      </c>
      <c r="AA65" s="95" cm="1">
        <f t="array" ref="AA65">SUM(COUNTIFS(TallyPeopleNames,$B65,TallyDates,$C$3:AA$3),0)</f>
        <v>36</v>
      </c>
      <c r="AB65" s="95"/>
      <c r="AC65" s="239">
        <f t="shared" si="13"/>
        <v>12</v>
      </c>
      <c r="AD65" s="17"/>
    </row>
    <row r="66" spans="1:30" ht="20" customHeight="1" x14ac:dyDescent="0.25">
      <c r="A66" s="92"/>
      <c r="B66" s="94" t="str">
        <f>People!$B14</f>
        <v>Alex Arbuckle</v>
      </c>
      <c r="C66" s="95" cm="1">
        <f t="array" ref="C66">SUM(COUNTIFS(TallyPeopleNames,$B66,TallyDates,$C$3:C$3),0)</f>
        <v>0</v>
      </c>
      <c r="D66" s="95" cm="1">
        <f t="array" ref="D66">SUM(COUNTIFS(TallyPeopleNames,$B66,TallyDates,$C$3:D$3),0)</f>
        <v>0</v>
      </c>
      <c r="E66" s="95" cm="1">
        <f t="array" ref="E66">SUM(COUNTIFS(TallyPeopleNames,$B66,TallyDates,$C$3:E$3),0)</f>
        <v>3</v>
      </c>
      <c r="F66" s="95" cm="1">
        <f t="array" ref="F66">SUM(COUNTIFS(TallyPeopleNames,$B66,TallyDates,$C$3:F$3),0)</f>
        <v>6</v>
      </c>
      <c r="G66" s="95" cm="1">
        <f t="array" ref="G66">SUM(COUNTIFS(TallyPeopleNames,$B66,TallyDates,$C$3:G$3),0)</f>
        <v>8</v>
      </c>
      <c r="H66" s="95" cm="1">
        <f t="array" ref="H66">SUM(COUNTIFS(TallyPeopleNames,$B66,TallyDates,$C$3:H$3),0)</f>
        <v>8</v>
      </c>
      <c r="I66" s="95" cm="1">
        <f t="array" ref="I66">SUM(COUNTIFS(TallyPeopleNames,$B66,TallyDates,$C$3:I$3),0)</f>
        <v>8</v>
      </c>
      <c r="J66" s="95" cm="1">
        <f t="array" ref="J66">SUM(COUNTIFS(TallyPeopleNames,$B66,TallyDates,$C$3:J$3),0)</f>
        <v>8</v>
      </c>
      <c r="K66" s="95" cm="1">
        <f t="array" ref="K66">SUM(COUNTIFS(TallyPeopleNames,$B66,TallyDates,$C$3:K$3),0)</f>
        <v>8</v>
      </c>
      <c r="L66" s="95" cm="1">
        <f t="array" ref="L66">SUM(COUNTIFS(TallyPeopleNames,$B66,TallyDates,$C$3:L$3),0)</f>
        <v>9</v>
      </c>
      <c r="M66" s="95" cm="1">
        <f t="array" ref="M66">SUM(COUNTIFS(TallyPeopleNames,$B66,TallyDates,$C$3:M$3),0)</f>
        <v>9</v>
      </c>
      <c r="N66" s="95" cm="1">
        <f t="array" ref="N66">SUM(COUNTIFS(TallyPeopleNames,$B66,TallyDates,$C$3:N$3),0)</f>
        <v>9</v>
      </c>
      <c r="O66" s="95" cm="1">
        <f t="array" ref="O66">SUM(COUNTIFS(TallyPeopleNames,$B66,TallyDates,$C$3:O$3),0)</f>
        <v>9</v>
      </c>
      <c r="P66" s="95" cm="1">
        <f t="array" ref="P66">SUM(COUNTIFS(TallyPeopleNames,$B66,TallyDates,$C$3:P$3),0)</f>
        <v>9</v>
      </c>
      <c r="Q66" s="95" cm="1">
        <f t="array" ref="Q66">SUM(COUNTIFS(TallyPeopleNames,$B66,TallyDates,$C$3:Q$3),0)</f>
        <v>9</v>
      </c>
      <c r="R66" s="95" cm="1">
        <f t="array" ref="R66">SUM(COUNTIFS(TallyPeopleNames,$B66,TallyDates,$C$3:R$3),0)</f>
        <v>9</v>
      </c>
      <c r="S66" s="95" cm="1">
        <f t="array" ref="S66">SUM(COUNTIFS(TallyPeopleNames,$B66,TallyDates,$C$3:S$3),0)</f>
        <v>9</v>
      </c>
      <c r="T66" s="95" cm="1">
        <f t="array" ref="T66">SUM(COUNTIFS(TallyPeopleNames,$B66,TallyDates,$C$3:T$3),0)</f>
        <v>9</v>
      </c>
      <c r="U66" s="95" cm="1">
        <f t="array" ref="U66">SUM(COUNTIFS(TallyPeopleNames,$B66,TallyDates,$C$3:U$3),0)</f>
        <v>9</v>
      </c>
      <c r="V66" s="95" cm="1">
        <f t="array" ref="V66">SUM(COUNTIFS(TallyPeopleNames,$B66,TallyDates,$C$3:V$3),0)</f>
        <v>9</v>
      </c>
      <c r="W66" s="95" cm="1">
        <f t="array" ref="W66">SUM(COUNTIFS(TallyPeopleNames,$B66,TallyDates,$C$3:W$3),0)</f>
        <v>9</v>
      </c>
      <c r="X66" s="95" cm="1">
        <f t="array" ref="X66">SUM(COUNTIFS(TallyPeopleNames,$B66,TallyDates,$C$3:X$3),0)</f>
        <v>9</v>
      </c>
      <c r="Y66" s="95" cm="1">
        <f t="array" ref="Y66">SUM(COUNTIFS(TallyPeopleNames,$B66,TallyDates,$C$3:Y$3),0)</f>
        <v>9</v>
      </c>
      <c r="Z66" s="95" cm="1">
        <f t="array" ref="Z66">SUM(COUNTIFS(TallyPeopleNames,$B66,TallyDates,$C$3:Z$3),0)</f>
        <v>9</v>
      </c>
      <c r="AA66" s="95" cm="1">
        <f t="array" ref="AA66">SUM(COUNTIFS(TallyPeopleNames,$B66,TallyDates,$C$3:AA$3),0)</f>
        <v>9</v>
      </c>
      <c r="AB66" s="95"/>
      <c r="AC66" s="239">
        <f t="shared" si="13"/>
        <v>18</v>
      </c>
      <c r="AD66" s="17"/>
    </row>
    <row r="67" spans="1:30" ht="20" customHeight="1" x14ac:dyDescent="0.25">
      <c r="A67" s="92"/>
      <c r="B67" s="94" t="str">
        <f>People!$B15</f>
        <v>Joe Cuthbert</v>
      </c>
      <c r="C67" s="95" cm="1">
        <f t="array" ref="C67">SUM(COUNTIFS(TallyPeopleNames,$B67,TallyDates,$C$3:C$3),0)</f>
        <v>0</v>
      </c>
      <c r="D67" s="95" cm="1">
        <f t="array" ref="D67">SUM(COUNTIFS(TallyPeopleNames,$B67,TallyDates,$C$3:D$3),0)</f>
        <v>0</v>
      </c>
      <c r="E67" s="95" cm="1">
        <f t="array" ref="E67">SUM(COUNTIFS(TallyPeopleNames,$B67,TallyDates,$C$3:E$3),0)</f>
        <v>0</v>
      </c>
      <c r="F67" s="95" cm="1">
        <f t="array" ref="F67">SUM(COUNTIFS(TallyPeopleNames,$B67,TallyDates,$C$3:F$3),0)</f>
        <v>9</v>
      </c>
      <c r="G67" s="95" cm="1">
        <f t="array" ref="G67">SUM(COUNTIFS(TallyPeopleNames,$B67,TallyDates,$C$3:G$3),0)</f>
        <v>15</v>
      </c>
      <c r="H67" s="95" cm="1">
        <f t="array" ref="H67">SUM(COUNTIFS(TallyPeopleNames,$B67,TallyDates,$C$3:H$3),0)</f>
        <v>15</v>
      </c>
      <c r="I67" s="95" cm="1">
        <f t="array" ref="I67">SUM(COUNTIFS(TallyPeopleNames,$B67,TallyDates,$C$3:I$3),0)</f>
        <v>27</v>
      </c>
      <c r="J67" s="95" cm="1">
        <f t="array" ref="J67">SUM(COUNTIFS(TallyPeopleNames,$B67,TallyDates,$C$3:J$3),0)</f>
        <v>36</v>
      </c>
      <c r="K67" s="95" cm="1">
        <f t="array" ref="K67">SUM(COUNTIFS(TallyPeopleNames,$B67,TallyDates,$C$3:K$3),0)</f>
        <v>44</v>
      </c>
      <c r="L67" s="95" cm="1">
        <f t="array" ref="L67">SUM(COUNTIFS(TallyPeopleNames,$B67,TallyDates,$C$3:L$3),0)</f>
        <v>50</v>
      </c>
      <c r="M67" s="95" cm="1">
        <f t="array" ref="M67">SUM(COUNTIFS(TallyPeopleNames,$B67,TallyDates,$C$3:M$3),0)</f>
        <v>63</v>
      </c>
      <c r="N67" s="95" cm="1">
        <f t="array" ref="N67">SUM(COUNTIFS(TallyPeopleNames,$B67,TallyDates,$C$3:N$3),0)</f>
        <v>73</v>
      </c>
      <c r="O67" s="95" cm="1">
        <f t="array" ref="O67">SUM(COUNTIFS(TallyPeopleNames,$B67,TallyDates,$C$3:O$3),0)</f>
        <v>83</v>
      </c>
      <c r="P67" s="95" cm="1">
        <f t="array" ref="P67">SUM(COUNTIFS(TallyPeopleNames,$B67,TallyDates,$C$3:P$3),0)</f>
        <v>91</v>
      </c>
      <c r="Q67" s="95" cm="1">
        <f t="array" ref="Q67">SUM(COUNTIFS(TallyPeopleNames,$B67,TallyDates,$C$3:Q$3),0)</f>
        <v>92</v>
      </c>
      <c r="R67" s="95" cm="1">
        <f t="array" ref="R67">SUM(COUNTIFS(TallyPeopleNames,$B67,TallyDates,$C$3:R$3),0)</f>
        <v>93</v>
      </c>
      <c r="S67" s="95" cm="1">
        <f t="array" ref="S67">SUM(COUNTIFS(TallyPeopleNames,$B67,TallyDates,$C$3:S$3),0)</f>
        <v>93</v>
      </c>
      <c r="T67" s="95" cm="1">
        <f t="array" ref="T67">SUM(COUNTIFS(TallyPeopleNames,$B67,TallyDates,$C$3:T$3),0)</f>
        <v>96</v>
      </c>
      <c r="U67" s="95" cm="1">
        <f t="array" ref="U67">SUM(COUNTIFS(TallyPeopleNames,$B67,TallyDates,$C$3:U$3),0)</f>
        <v>98</v>
      </c>
      <c r="V67" s="95" cm="1">
        <f t="array" ref="V67">SUM(COUNTIFS(TallyPeopleNames,$B67,TallyDates,$C$3:V$3),0)</f>
        <v>104</v>
      </c>
      <c r="W67" s="95" cm="1">
        <f t="array" ref="W67">SUM(COUNTIFS(TallyPeopleNames,$B67,TallyDates,$C$3:W$3),0)</f>
        <v>104</v>
      </c>
      <c r="X67" s="95" cm="1">
        <f t="array" ref="X67">SUM(COUNTIFS(TallyPeopleNames,$B67,TallyDates,$C$3:X$3),0)</f>
        <v>104</v>
      </c>
      <c r="Y67" s="95" cm="1">
        <f t="array" ref="Y67">SUM(COUNTIFS(TallyPeopleNames,$B67,TallyDates,$C$3:Y$3),0)</f>
        <v>104</v>
      </c>
      <c r="Z67" s="95" cm="1">
        <f t="array" ref="Z67">SUM(COUNTIFS(TallyPeopleNames,$B67,TallyDates,$C$3:Z$3),0)</f>
        <v>108</v>
      </c>
      <c r="AA67" s="95" cm="1">
        <f t="array" ref="AA67">SUM(COUNTIFS(TallyPeopleNames,$B67,TallyDates,$C$3:AA$3),0)</f>
        <v>109</v>
      </c>
      <c r="AB67" s="95"/>
      <c r="AC67" s="239">
        <f t="shared" si="13"/>
        <v>8</v>
      </c>
      <c r="AD67" s="17"/>
    </row>
    <row r="68" spans="1:30" ht="20" customHeight="1" x14ac:dyDescent="0.25">
      <c r="A68" s="92"/>
      <c r="B68" s="94" t="str">
        <f>People!$B16</f>
        <v>Lucy Englefield</v>
      </c>
      <c r="C68" s="95" cm="1">
        <f t="array" ref="C68">SUM(COUNTIFS(TallyPeopleNames,$B68,TallyDates,$C$3:C$3),0)</f>
        <v>0</v>
      </c>
      <c r="D68" s="95" cm="1">
        <f t="array" ref="D68">SUM(COUNTIFS(TallyPeopleNames,$B68,TallyDates,$C$3:D$3),0)</f>
        <v>0</v>
      </c>
      <c r="E68" s="95" cm="1">
        <f t="array" ref="E68">SUM(COUNTIFS(TallyPeopleNames,$B68,TallyDates,$C$3:E$3),0)</f>
        <v>0</v>
      </c>
      <c r="F68" s="95" cm="1">
        <f t="array" ref="F68">SUM(COUNTIFS(TallyPeopleNames,$B68,TallyDates,$C$3:F$3),0)</f>
        <v>4</v>
      </c>
      <c r="G68" s="95" cm="1">
        <f t="array" ref="G68">SUM(COUNTIFS(TallyPeopleNames,$B68,TallyDates,$C$3:G$3),0)</f>
        <v>10</v>
      </c>
      <c r="H68" s="95" cm="1">
        <f t="array" ref="H68">SUM(COUNTIFS(TallyPeopleNames,$B68,TallyDates,$C$3:H$3),0)</f>
        <v>10</v>
      </c>
      <c r="I68" s="95" cm="1">
        <f t="array" ref="I68">SUM(COUNTIFS(TallyPeopleNames,$B68,TallyDates,$C$3:I$3),0)</f>
        <v>11</v>
      </c>
      <c r="J68" s="95" cm="1">
        <f t="array" ref="J68">SUM(COUNTIFS(TallyPeopleNames,$B68,TallyDates,$C$3:J$3),0)</f>
        <v>16</v>
      </c>
      <c r="K68" s="95" cm="1">
        <f t="array" ref="K68">SUM(COUNTIFS(TallyPeopleNames,$B68,TallyDates,$C$3:K$3),0)</f>
        <v>18</v>
      </c>
      <c r="L68" s="95" cm="1">
        <f t="array" ref="L68">SUM(COUNTIFS(TallyPeopleNames,$B68,TallyDates,$C$3:L$3),0)</f>
        <v>19</v>
      </c>
      <c r="M68" s="95" cm="1">
        <f t="array" ref="M68">SUM(COUNTIFS(TallyPeopleNames,$B68,TallyDates,$C$3:M$3),0)</f>
        <v>19</v>
      </c>
      <c r="N68" s="95" cm="1">
        <f t="array" ref="N68">SUM(COUNTIFS(TallyPeopleNames,$B68,TallyDates,$C$3:N$3),0)</f>
        <v>19</v>
      </c>
      <c r="O68" s="95" cm="1">
        <f t="array" ref="O68">SUM(COUNTIFS(TallyPeopleNames,$B68,TallyDates,$C$3:O$3),0)</f>
        <v>19</v>
      </c>
      <c r="P68" s="95" cm="1">
        <f t="array" ref="P68">SUM(COUNTIFS(TallyPeopleNames,$B68,TallyDates,$C$3:P$3),0)</f>
        <v>19</v>
      </c>
      <c r="Q68" s="95" cm="1">
        <f t="array" ref="Q68">SUM(COUNTIFS(TallyPeopleNames,$B68,TallyDates,$C$3:Q$3),0)</f>
        <v>19</v>
      </c>
      <c r="R68" s="95" cm="1">
        <f t="array" ref="R68">SUM(COUNTIFS(TallyPeopleNames,$B68,TallyDates,$C$3:R$3),0)</f>
        <v>19</v>
      </c>
      <c r="S68" s="95" cm="1">
        <f t="array" ref="S68">SUM(COUNTIFS(TallyPeopleNames,$B68,TallyDates,$C$3:S$3),0)</f>
        <v>19</v>
      </c>
      <c r="T68" s="95" cm="1">
        <f t="array" ref="T68">SUM(COUNTIFS(TallyPeopleNames,$B68,TallyDates,$C$3:T$3),0)</f>
        <v>19</v>
      </c>
      <c r="U68" s="95" cm="1">
        <f t="array" ref="U68">SUM(COUNTIFS(TallyPeopleNames,$B68,TallyDates,$C$3:U$3),0)</f>
        <v>19</v>
      </c>
      <c r="V68" s="95" cm="1">
        <f t="array" ref="V68">SUM(COUNTIFS(TallyPeopleNames,$B68,TallyDates,$C$3:V$3),0)</f>
        <v>19</v>
      </c>
      <c r="W68" s="95" cm="1">
        <f t="array" ref="W68">SUM(COUNTIFS(TallyPeopleNames,$B68,TallyDates,$C$3:W$3),0)</f>
        <v>19</v>
      </c>
      <c r="X68" s="95" cm="1">
        <f t="array" ref="X68">SUM(COUNTIFS(TallyPeopleNames,$B68,TallyDates,$C$3:X$3),0)</f>
        <v>19</v>
      </c>
      <c r="Y68" s="95" cm="1">
        <f t="array" ref="Y68">SUM(COUNTIFS(TallyPeopleNames,$B68,TallyDates,$C$3:Y$3),0)</f>
        <v>19</v>
      </c>
      <c r="Z68" s="95" cm="1">
        <f t="array" ref="Z68">SUM(COUNTIFS(TallyPeopleNames,$B68,TallyDates,$C$3:Z$3),0)</f>
        <v>19</v>
      </c>
      <c r="AA68" s="95" cm="1">
        <f t="array" ref="AA68">SUM(COUNTIFS(TallyPeopleNames,$B68,TallyDates,$C$3:AA$3),0)</f>
        <v>19</v>
      </c>
      <c r="AB68" s="95"/>
      <c r="AC68" s="239">
        <f t="shared" si="13"/>
        <v>14</v>
      </c>
      <c r="AD68" s="17"/>
    </row>
    <row r="69" spans="1:30" ht="20" customHeight="1" x14ac:dyDescent="0.25">
      <c r="A69" s="92"/>
      <c r="B69" s="94" t="str">
        <f>People!$B17</f>
        <v>Michael Smidman</v>
      </c>
      <c r="C69" s="95" cm="1">
        <f t="array" ref="C69">SUM(COUNTIFS(TallyPeopleNames,$B69,TallyDates,$C$3:C$3),0)</f>
        <v>0</v>
      </c>
      <c r="D69" s="95" cm="1">
        <f t="array" ref="D69">SUM(COUNTIFS(TallyPeopleNames,$B69,TallyDates,$C$3:D$3),0)</f>
        <v>0</v>
      </c>
      <c r="E69" s="95" cm="1">
        <f t="array" ref="E69">SUM(COUNTIFS(TallyPeopleNames,$B69,TallyDates,$C$3:E$3),0)</f>
        <v>0</v>
      </c>
      <c r="F69" s="95" cm="1">
        <f t="array" ref="F69">SUM(COUNTIFS(TallyPeopleNames,$B69,TallyDates,$C$3:F$3),0)</f>
        <v>2</v>
      </c>
      <c r="G69" s="95" cm="1">
        <f t="array" ref="G69">SUM(COUNTIFS(TallyPeopleNames,$B69,TallyDates,$C$3:G$3),0)</f>
        <v>2</v>
      </c>
      <c r="H69" s="95" cm="1">
        <f t="array" ref="H69">SUM(COUNTIFS(TallyPeopleNames,$B69,TallyDates,$C$3:H$3),0)</f>
        <v>2</v>
      </c>
      <c r="I69" s="95" cm="1">
        <f t="array" ref="I69">SUM(COUNTIFS(TallyPeopleNames,$B69,TallyDates,$C$3:I$3),0)</f>
        <v>2</v>
      </c>
      <c r="J69" s="95" cm="1">
        <f t="array" ref="J69">SUM(COUNTIFS(TallyPeopleNames,$B69,TallyDates,$C$3:J$3),0)</f>
        <v>2</v>
      </c>
      <c r="K69" s="95" cm="1">
        <f t="array" ref="K69">SUM(COUNTIFS(TallyPeopleNames,$B69,TallyDates,$C$3:K$3),0)</f>
        <v>2</v>
      </c>
      <c r="L69" s="95" cm="1">
        <f t="array" ref="L69">SUM(COUNTIFS(TallyPeopleNames,$B69,TallyDates,$C$3:L$3),0)</f>
        <v>2</v>
      </c>
      <c r="M69" s="95" cm="1">
        <f t="array" ref="M69">SUM(COUNTIFS(TallyPeopleNames,$B69,TallyDates,$C$3:M$3),0)</f>
        <v>2</v>
      </c>
      <c r="N69" s="95" cm="1">
        <f t="array" ref="N69">SUM(COUNTIFS(TallyPeopleNames,$B69,TallyDates,$C$3:N$3),0)</f>
        <v>2</v>
      </c>
      <c r="O69" s="95" cm="1">
        <f t="array" ref="O69">SUM(COUNTIFS(TallyPeopleNames,$B69,TallyDates,$C$3:O$3),0)</f>
        <v>2</v>
      </c>
      <c r="P69" s="95" cm="1">
        <f t="array" ref="P69">SUM(COUNTIFS(TallyPeopleNames,$B69,TallyDates,$C$3:P$3),0)</f>
        <v>2</v>
      </c>
      <c r="Q69" s="95" cm="1">
        <f t="array" ref="Q69">SUM(COUNTIFS(TallyPeopleNames,$B69,TallyDates,$C$3:Q$3),0)</f>
        <v>2</v>
      </c>
      <c r="R69" s="95" cm="1">
        <f t="array" ref="R69">SUM(COUNTIFS(TallyPeopleNames,$B69,TallyDates,$C$3:R$3),0)</f>
        <v>2</v>
      </c>
      <c r="S69" s="95" cm="1">
        <f t="array" ref="S69">SUM(COUNTIFS(TallyPeopleNames,$B69,TallyDates,$C$3:S$3),0)</f>
        <v>2</v>
      </c>
      <c r="T69" s="95" cm="1">
        <f t="array" ref="T69">SUM(COUNTIFS(TallyPeopleNames,$B69,TallyDates,$C$3:T$3),0)</f>
        <v>2</v>
      </c>
      <c r="U69" s="95" cm="1">
        <f t="array" ref="U69">SUM(COUNTIFS(TallyPeopleNames,$B69,TallyDates,$C$3:U$3),0)</f>
        <v>2</v>
      </c>
      <c r="V69" s="95" cm="1">
        <f t="array" ref="V69">SUM(COUNTIFS(TallyPeopleNames,$B69,TallyDates,$C$3:V$3),0)</f>
        <v>2</v>
      </c>
      <c r="W69" s="95" cm="1">
        <f t="array" ref="W69">SUM(COUNTIFS(TallyPeopleNames,$B69,TallyDates,$C$3:W$3),0)</f>
        <v>2</v>
      </c>
      <c r="X69" s="95" cm="1">
        <f t="array" ref="X69">SUM(COUNTIFS(TallyPeopleNames,$B69,TallyDates,$C$3:X$3),0)</f>
        <v>2</v>
      </c>
      <c r="Y69" s="95" cm="1">
        <f t="array" ref="Y69">SUM(COUNTIFS(TallyPeopleNames,$B69,TallyDates,$C$3:Y$3),0)</f>
        <v>2</v>
      </c>
      <c r="Z69" s="95" cm="1">
        <f t="array" ref="Z69">SUM(COUNTIFS(TallyPeopleNames,$B69,TallyDates,$C$3:Z$3),0)</f>
        <v>2</v>
      </c>
      <c r="AA69" s="95" cm="1">
        <f t="array" ref="AA69">SUM(COUNTIFS(TallyPeopleNames,$B69,TallyDates,$C$3:AA$3),0)</f>
        <v>2</v>
      </c>
      <c r="AB69" s="95"/>
      <c r="AC69" s="239">
        <f t="shared" si="13"/>
        <v>25</v>
      </c>
      <c r="AD69" s="17"/>
    </row>
    <row r="70" spans="1:30" ht="20" customHeight="1" x14ac:dyDescent="0.25">
      <c r="A70" s="92"/>
      <c r="B70" s="94" t="str">
        <f>People!$B18</f>
        <v>Lois Savill</v>
      </c>
      <c r="C70" s="95" cm="1">
        <f t="array" ref="C70">SUM(COUNTIFS(TallyPeopleNames,$B70,TallyDates,$C$3:C$3),0)</f>
        <v>0</v>
      </c>
      <c r="D70" s="95" cm="1">
        <f t="array" ref="D70">SUM(COUNTIFS(TallyPeopleNames,$B70,TallyDates,$C$3:D$3),0)</f>
        <v>0</v>
      </c>
      <c r="E70" s="95" cm="1">
        <f t="array" ref="E70">SUM(COUNTIFS(TallyPeopleNames,$B70,TallyDates,$C$3:E$3),0)</f>
        <v>0</v>
      </c>
      <c r="F70" s="95" cm="1">
        <f t="array" ref="F70">SUM(COUNTIFS(TallyPeopleNames,$B70,TallyDates,$C$3:F$3),0)</f>
        <v>0</v>
      </c>
      <c r="G70" s="95" cm="1">
        <f t="array" ref="G70">SUM(COUNTIFS(TallyPeopleNames,$B70,TallyDates,$C$3:G$3),0)</f>
        <v>1</v>
      </c>
      <c r="H70" s="95" cm="1">
        <f t="array" ref="H70">SUM(COUNTIFS(TallyPeopleNames,$B70,TallyDates,$C$3:H$3),0)</f>
        <v>1</v>
      </c>
      <c r="I70" s="95" cm="1">
        <f t="array" ref="I70">SUM(COUNTIFS(TallyPeopleNames,$B70,TallyDates,$C$3:I$3),0)</f>
        <v>1</v>
      </c>
      <c r="J70" s="95" cm="1">
        <f t="array" ref="J70">SUM(COUNTIFS(TallyPeopleNames,$B70,TallyDates,$C$3:J$3),0)</f>
        <v>1</v>
      </c>
      <c r="K70" s="95" cm="1">
        <f t="array" ref="K70">SUM(COUNTIFS(TallyPeopleNames,$B70,TallyDates,$C$3:K$3),0)</f>
        <v>1</v>
      </c>
      <c r="L70" s="95" cm="1">
        <f t="array" ref="L70">SUM(COUNTIFS(TallyPeopleNames,$B70,TallyDates,$C$3:L$3),0)</f>
        <v>1</v>
      </c>
      <c r="M70" s="95" cm="1">
        <f t="array" ref="M70">SUM(COUNTIFS(TallyPeopleNames,$B70,TallyDates,$C$3:M$3),0)</f>
        <v>1</v>
      </c>
      <c r="N70" s="95" cm="1">
        <f t="array" ref="N70">SUM(COUNTIFS(TallyPeopleNames,$B70,TallyDates,$C$3:N$3),0)</f>
        <v>1</v>
      </c>
      <c r="O70" s="95" cm="1">
        <f t="array" ref="O70">SUM(COUNTIFS(TallyPeopleNames,$B70,TallyDates,$C$3:O$3),0)</f>
        <v>1</v>
      </c>
      <c r="P70" s="95" cm="1">
        <f t="array" ref="P70">SUM(COUNTIFS(TallyPeopleNames,$B70,TallyDates,$C$3:P$3),0)</f>
        <v>1</v>
      </c>
      <c r="Q70" s="95" cm="1">
        <f t="array" ref="Q70">SUM(COUNTIFS(TallyPeopleNames,$B70,TallyDates,$C$3:Q$3),0)</f>
        <v>1</v>
      </c>
      <c r="R70" s="95" cm="1">
        <f t="array" ref="R70">SUM(COUNTIFS(TallyPeopleNames,$B70,TallyDates,$C$3:R$3),0)</f>
        <v>1</v>
      </c>
      <c r="S70" s="95" cm="1">
        <f t="array" ref="S70">SUM(COUNTIFS(TallyPeopleNames,$B70,TallyDates,$C$3:S$3),0)</f>
        <v>1</v>
      </c>
      <c r="T70" s="95" cm="1">
        <f t="array" ref="T70">SUM(COUNTIFS(TallyPeopleNames,$B70,TallyDates,$C$3:T$3),0)</f>
        <v>1</v>
      </c>
      <c r="U70" s="95" cm="1">
        <f t="array" ref="U70">SUM(COUNTIFS(TallyPeopleNames,$B70,TallyDates,$C$3:U$3),0)</f>
        <v>1</v>
      </c>
      <c r="V70" s="95" cm="1">
        <f t="array" ref="V70">SUM(COUNTIFS(TallyPeopleNames,$B70,TallyDates,$C$3:V$3),0)</f>
        <v>1</v>
      </c>
      <c r="W70" s="95" cm="1">
        <f t="array" ref="W70">SUM(COUNTIFS(TallyPeopleNames,$B70,TallyDates,$C$3:W$3),0)</f>
        <v>1</v>
      </c>
      <c r="X70" s="95" cm="1">
        <f t="array" ref="X70">SUM(COUNTIFS(TallyPeopleNames,$B70,TallyDates,$C$3:X$3),0)</f>
        <v>1</v>
      </c>
      <c r="Y70" s="95" cm="1">
        <f t="array" ref="Y70">SUM(COUNTIFS(TallyPeopleNames,$B70,TallyDates,$C$3:Y$3),0)</f>
        <v>1</v>
      </c>
      <c r="Z70" s="95" cm="1">
        <f t="array" ref="Z70">SUM(COUNTIFS(TallyPeopleNames,$B70,TallyDates,$C$3:Z$3),0)</f>
        <v>1</v>
      </c>
      <c r="AA70" s="95" cm="1">
        <f t="array" ref="AA70">SUM(COUNTIFS(TallyPeopleNames,$B70,TallyDates,$C$3:AA$3),0)</f>
        <v>1</v>
      </c>
      <c r="AB70" s="95"/>
      <c r="AC70" s="239">
        <f t="shared" si="13"/>
        <v>27</v>
      </c>
      <c r="AD70" s="17"/>
    </row>
    <row r="71" spans="1:30" ht="20" customHeight="1" x14ac:dyDescent="0.25">
      <c r="A71" s="92"/>
      <c r="B71" s="94" t="str">
        <f>People!$B19</f>
        <v>Rossen Roussanov</v>
      </c>
      <c r="C71" s="95" cm="1">
        <f t="array" ref="C71">SUM(COUNTIFS(TallyPeopleNames,$B71,TallyDates,$C$3:C$3),0)</f>
        <v>0</v>
      </c>
      <c r="D71" s="95" cm="1">
        <f t="array" ref="D71">SUM(COUNTIFS(TallyPeopleNames,$B71,TallyDates,$C$3:D$3),0)</f>
        <v>0</v>
      </c>
      <c r="E71" s="95" cm="1">
        <f t="array" ref="E71">SUM(COUNTIFS(TallyPeopleNames,$B71,TallyDates,$C$3:E$3),0)</f>
        <v>0</v>
      </c>
      <c r="F71" s="95" cm="1">
        <f t="array" ref="F71">SUM(COUNTIFS(TallyPeopleNames,$B71,TallyDates,$C$3:F$3),0)</f>
        <v>0</v>
      </c>
      <c r="G71" s="95" cm="1">
        <f t="array" ref="G71">SUM(COUNTIFS(TallyPeopleNames,$B71,TallyDates,$C$3:G$3),0)</f>
        <v>0</v>
      </c>
      <c r="H71" s="95" cm="1">
        <f t="array" ref="H71">SUM(COUNTIFS(TallyPeopleNames,$B71,TallyDates,$C$3:H$3),0)</f>
        <v>1</v>
      </c>
      <c r="I71" s="95" cm="1">
        <f t="array" ref="I71">SUM(COUNTIFS(TallyPeopleNames,$B71,TallyDates,$C$3:I$3),0)</f>
        <v>1</v>
      </c>
      <c r="J71" s="95" cm="1">
        <f t="array" ref="J71">SUM(COUNTIFS(TallyPeopleNames,$B71,TallyDates,$C$3:J$3),0)</f>
        <v>1</v>
      </c>
      <c r="K71" s="95" cm="1">
        <f t="array" ref="K71">SUM(COUNTIFS(TallyPeopleNames,$B71,TallyDates,$C$3:K$3),0)</f>
        <v>1</v>
      </c>
      <c r="L71" s="95" cm="1">
        <f t="array" ref="L71">SUM(COUNTIFS(TallyPeopleNames,$B71,TallyDates,$C$3:L$3),0)</f>
        <v>1</v>
      </c>
      <c r="M71" s="95" cm="1">
        <f t="array" ref="M71">SUM(COUNTIFS(TallyPeopleNames,$B71,TallyDates,$C$3:M$3),0)</f>
        <v>1</v>
      </c>
      <c r="N71" s="95" cm="1">
        <f t="array" ref="N71">SUM(COUNTIFS(TallyPeopleNames,$B71,TallyDates,$C$3:N$3),0)</f>
        <v>1</v>
      </c>
      <c r="O71" s="95" cm="1">
        <f t="array" ref="O71">SUM(COUNTIFS(TallyPeopleNames,$B71,TallyDates,$C$3:O$3),0)</f>
        <v>1</v>
      </c>
      <c r="P71" s="95" cm="1">
        <f t="array" ref="P71">SUM(COUNTIFS(TallyPeopleNames,$B71,TallyDates,$C$3:P$3),0)</f>
        <v>1</v>
      </c>
      <c r="Q71" s="95" cm="1">
        <f t="array" ref="Q71">SUM(COUNTIFS(TallyPeopleNames,$B71,TallyDates,$C$3:Q$3),0)</f>
        <v>1</v>
      </c>
      <c r="R71" s="95" cm="1">
        <f t="array" ref="R71">SUM(COUNTIFS(TallyPeopleNames,$B71,TallyDates,$C$3:R$3),0)</f>
        <v>1</v>
      </c>
      <c r="S71" s="95" cm="1">
        <f t="array" ref="S71">SUM(COUNTIFS(TallyPeopleNames,$B71,TallyDates,$C$3:S$3),0)</f>
        <v>1</v>
      </c>
      <c r="T71" s="95" cm="1">
        <f t="array" ref="T71">SUM(COUNTIFS(TallyPeopleNames,$B71,TallyDates,$C$3:T$3),0)</f>
        <v>1</v>
      </c>
      <c r="U71" s="95" cm="1">
        <f t="array" ref="U71">SUM(COUNTIFS(TallyPeopleNames,$B71,TallyDates,$C$3:U$3),0)</f>
        <v>1</v>
      </c>
      <c r="V71" s="95" cm="1">
        <f t="array" ref="V71">SUM(COUNTIFS(TallyPeopleNames,$B71,TallyDates,$C$3:V$3),0)</f>
        <v>1</v>
      </c>
      <c r="W71" s="95" cm="1">
        <f t="array" ref="W71">SUM(COUNTIFS(TallyPeopleNames,$B71,TallyDates,$C$3:W$3),0)</f>
        <v>1</v>
      </c>
      <c r="X71" s="95" cm="1">
        <f t="array" ref="X71">SUM(COUNTIFS(TallyPeopleNames,$B71,TallyDates,$C$3:X$3),0)</f>
        <v>1</v>
      </c>
      <c r="Y71" s="95" cm="1">
        <f t="array" ref="Y71">SUM(COUNTIFS(TallyPeopleNames,$B71,TallyDates,$C$3:Y$3),0)</f>
        <v>1</v>
      </c>
      <c r="Z71" s="95" cm="1">
        <f t="array" ref="Z71">SUM(COUNTIFS(TallyPeopleNames,$B71,TallyDates,$C$3:Z$3),0)</f>
        <v>1</v>
      </c>
      <c r="AA71" s="95" cm="1">
        <f t="array" ref="AA71">SUM(COUNTIFS(TallyPeopleNames,$B71,TallyDates,$C$3:AA$3),0)</f>
        <v>1</v>
      </c>
      <c r="AB71" s="95"/>
      <c r="AC71" s="239">
        <f t="shared" si="13"/>
        <v>27</v>
      </c>
      <c r="AD71" s="17"/>
    </row>
    <row r="72" spans="1:30" ht="20" customHeight="1" x14ac:dyDescent="0.25">
      <c r="A72" s="92"/>
      <c r="B72" s="94" t="str">
        <f>People!$B20</f>
        <v>Ed Saunders</v>
      </c>
      <c r="C72" s="95" cm="1">
        <f t="array" ref="C72">SUM(COUNTIFS(TallyPeopleNames,$B72,TallyDates,$C$3:C$3),0)</f>
        <v>0</v>
      </c>
      <c r="D72" s="95" cm="1">
        <f t="array" ref="D72">SUM(COUNTIFS(TallyPeopleNames,$B72,TallyDates,$C$3:D$3),0)</f>
        <v>0</v>
      </c>
      <c r="E72" s="95" cm="1">
        <f t="array" ref="E72">SUM(COUNTIFS(TallyPeopleNames,$B72,TallyDates,$C$3:E$3),0)</f>
        <v>0</v>
      </c>
      <c r="F72" s="95" cm="1">
        <f t="array" ref="F72">SUM(COUNTIFS(TallyPeopleNames,$B72,TallyDates,$C$3:F$3),0)</f>
        <v>0</v>
      </c>
      <c r="G72" s="95" cm="1">
        <f t="array" ref="G72">SUM(COUNTIFS(TallyPeopleNames,$B72,TallyDates,$C$3:G$3),0)</f>
        <v>0</v>
      </c>
      <c r="H72" s="95" cm="1">
        <f t="array" ref="H72">SUM(COUNTIFS(TallyPeopleNames,$B72,TallyDates,$C$3:H$3),0)</f>
        <v>5</v>
      </c>
      <c r="I72" s="95" cm="1">
        <f t="array" ref="I72">SUM(COUNTIFS(TallyPeopleNames,$B72,TallyDates,$C$3:I$3),0)</f>
        <v>5</v>
      </c>
      <c r="J72" s="95" cm="1">
        <f t="array" ref="J72">SUM(COUNTIFS(TallyPeopleNames,$B72,TallyDates,$C$3:J$3),0)</f>
        <v>14</v>
      </c>
      <c r="K72" s="95" cm="1">
        <f t="array" ref="K72">SUM(COUNTIFS(TallyPeopleNames,$B72,TallyDates,$C$3:K$3),0)</f>
        <v>14</v>
      </c>
      <c r="L72" s="95" cm="1">
        <f t="array" ref="L72">SUM(COUNTIFS(TallyPeopleNames,$B72,TallyDates,$C$3:L$3),0)</f>
        <v>24</v>
      </c>
      <c r="M72" s="95" cm="1">
        <f t="array" ref="M72">SUM(COUNTIFS(TallyPeopleNames,$B72,TallyDates,$C$3:M$3),0)</f>
        <v>24</v>
      </c>
      <c r="N72" s="95" cm="1">
        <f t="array" ref="N72">SUM(COUNTIFS(TallyPeopleNames,$B72,TallyDates,$C$3:N$3),0)</f>
        <v>32</v>
      </c>
      <c r="O72" s="95" cm="1">
        <f t="array" ref="O72">SUM(COUNTIFS(TallyPeopleNames,$B72,TallyDates,$C$3:O$3),0)</f>
        <v>32</v>
      </c>
      <c r="P72" s="95" cm="1">
        <f t="array" ref="P72">SUM(COUNTIFS(TallyPeopleNames,$B72,TallyDates,$C$3:P$3),0)</f>
        <v>46</v>
      </c>
      <c r="Q72" s="95" cm="1">
        <f t="array" ref="Q72">SUM(COUNTIFS(TallyPeopleNames,$B72,TallyDates,$C$3:Q$3),0)</f>
        <v>46</v>
      </c>
      <c r="R72" s="95" cm="1">
        <f t="array" ref="R72">SUM(COUNTIFS(TallyPeopleNames,$B72,TallyDates,$C$3:R$3),0)</f>
        <v>46</v>
      </c>
      <c r="S72" s="95" cm="1">
        <f t="array" ref="S72">SUM(COUNTIFS(TallyPeopleNames,$B72,TallyDates,$C$3:S$3),0)</f>
        <v>46</v>
      </c>
      <c r="T72" s="95" cm="1">
        <f t="array" ref="T72">SUM(COUNTIFS(TallyPeopleNames,$B72,TallyDates,$C$3:T$3),0)</f>
        <v>46</v>
      </c>
      <c r="U72" s="95" cm="1">
        <f t="array" ref="U72">SUM(COUNTIFS(TallyPeopleNames,$B72,TallyDates,$C$3:U$3),0)</f>
        <v>46</v>
      </c>
      <c r="V72" s="95" cm="1">
        <f t="array" ref="V72">SUM(COUNTIFS(TallyPeopleNames,$B72,TallyDates,$C$3:V$3),0)</f>
        <v>46</v>
      </c>
      <c r="W72" s="95" cm="1">
        <f t="array" ref="W72">SUM(COUNTIFS(TallyPeopleNames,$B72,TallyDates,$C$3:W$3),0)</f>
        <v>46</v>
      </c>
      <c r="X72" s="95" cm="1">
        <f t="array" ref="X72">SUM(COUNTIFS(TallyPeopleNames,$B72,TallyDates,$C$3:X$3),0)</f>
        <v>48</v>
      </c>
      <c r="Y72" s="95" cm="1">
        <f t="array" ref="Y72">SUM(COUNTIFS(TallyPeopleNames,$B72,TallyDates,$C$3:Y$3),0)</f>
        <v>48</v>
      </c>
      <c r="Z72" s="95" cm="1">
        <f t="array" ref="Z72">SUM(COUNTIFS(TallyPeopleNames,$B72,TallyDates,$C$3:Z$3),0)</f>
        <v>48</v>
      </c>
      <c r="AA72" s="95" cm="1">
        <f t="array" ref="AA72">SUM(COUNTIFS(TallyPeopleNames,$B72,TallyDates,$C$3:AA$3),0)</f>
        <v>48</v>
      </c>
      <c r="AB72" s="95"/>
      <c r="AC72" s="239">
        <f t="shared" si="13"/>
        <v>10</v>
      </c>
      <c r="AD72" s="17"/>
    </row>
    <row r="73" spans="1:30" ht="20" customHeight="1" x14ac:dyDescent="0.25">
      <c r="A73" s="92"/>
      <c r="B73" s="94" t="str">
        <f>People!$B21</f>
        <v>Helen Miles</v>
      </c>
      <c r="C73" s="95" cm="1">
        <f t="array" ref="C73">SUM(COUNTIFS(TallyPeopleNames,$B73,TallyDates,$C$3:C$3),0)</f>
        <v>0</v>
      </c>
      <c r="D73" s="95" cm="1">
        <f t="array" ref="D73">SUM(COUNTIFS(TallyPeopleNames,$B73,TallyDates,$C$3:D$3),0)</f>
        <v>0</v>
      </c>
      <c r="E73" s="95" cm="1">
        <f t="array" ref="E73">SUM(COUNTIFS(TallyPeopleNames,$B73,TallyDates,$C$3:E$3),0)</f>
        <v>0</v>
      </c>
      <c r="F73" s="95" cm="1">
        <f t="array" ref="F73">SUM(COUNTIFS(TallyPeopleNames,$B73,TallyDates,$C$3:F$3),0)</f>
        <v>0</v>
      </c>
      <c r="G73" s="95" cm="1">
        <f t="array" ref="G73">SUM(COUNTIFS(TallyPeopleNames,$B73,TallyDates,$C$3:G$3),0)</f>
        <v>0</v>
      </c>
      <c r="H73" s="95" cm="1">
        <f t="array" ref="H73">SUM(COUNTIFS(TallyPeopleNames,$B73,TallyDates,$C$3:H$3),0)</f>
        <v>3</v>
      </c>
      <c r="I73" s="95" cm="1">
        <f t="array" ref="I73">SUM(COUNTIFS(TallyPeopleNames,$B73,TallyDates,$C$3:I$3),0)</f>
        <v>3</v>
      </c>
      <c r="J73" s="95" cm="1">
        <f t="array" ref="J73">SUM(COUNTIFS(TallyPeopleNames,$B73,TallyDates,$C$3:J$3),0)</f>
        <v>6</v>
      </c>
      <c r="K73" s="95" cm="1">
        <f t="array" ref="K73">SUM(COUNTIFS(TallyPeopleNames,$B73,TallyDates,$C$3:K$3),0)</f>
        <v>6</v>
      </c>
      <c r="L73" s="95" cm="1">
        <f t="array" ref="L73">SUM(COUNTIFS(TallyPeopleNames,$B73,TallyDates,$C$3:L$3),0)</f>
        <v>6</v>
      </c>
      <c r="M73" s="95" cm="1">
        <f t="array" ref="M73">SUM(COUNTIFS(TallyPeopleNames,$B73,TallyDates,$C$3:M$3),0)</f>
        <v>6</v>
      </c>
      <c r="N73" s="95" cm="1">
        <f t="array" ref="N73">SUM(COUNTIFS(TallyPeopleNames,$B73,TallyDates,$C$3:N$3),0)</f>
        <v>6</v>
      </c>
      <c r="O73" s="95" cm="1">
        <f t="array" ref="O73">SUM(COUNTIFS(TallyPeopleNames,$B73,TallyDates,$C$3:O$3),0)</f>
        <v>6</v>
      </c>
      <c r="P73" s="95" cm="1">
        <f t="array" ref="P73">SUM(COUNTIFS(TallyPeopleNames,$B73,TallyDates,$C$3:P$3),0)</f>
        <v>10</v>
      </c>
      <c r="Q73" s="95" cm="1">
        <f t="array" ref="Q73">SUM(COUNTIFS(TallyPeopleNames,$B73,TallyDates,$C$3:Q$3),0)</f>
        <v>10</v>
      </c>
      <c r="R73" s="95" cm="1">
        <f t="array" ref="R73">SUM(COUNTIFS(TallyPeopleNames,$B73,TallyDates,$C$3:R$3),0)</f>
        <v>10</v>
      </c>
      <c r="S73" s="95" cm="1">
        <f t="array" ref="S73">SUM(COUNTIFS(TallyPeopleNames,$B73,TallyDates,$C$3:S$3),0)</f>
        <v>10</v>
      </c>
      <c r="T73" s="95" cm="1">
        <f t="array" ref="T73">SUM(COUNTIFS(TallyPeopleNames,$B73,TallyDates,$C$3:T$3),0)</f>
        <v>10</v>
      </c>
      <c r="U73" s="95" cm="1">
        <f t="array" ref="U73">SUM(COUNTIFS(TallyPeopleNames,$B73,TallyDates,$C$3:U$3),0)</f>
        <v>10</v>
      </c>
      <c r="V73" s="95" cm="1">
        <f t="array" ref="V73">SUM(COUNTIFS(TallyPeopleNames,$B73,TallyDates,$C$3:V$3),0)</f>
        <v>10</v>
      </c>
      <c r="W73" s="95" cm="1">
        <f t="array" ref="W73">SUM(COUNTIFS(TallyPeopleNames,$B73,TallyDates,$C$3:W$3),0)</f>
        <v>10</v>
      </c>
      <c r="X73" s="95" cm="1">
        <f t="array" ref="X73">SUM(COUNTIFS(TallyPeopleNames,$B73,TallyDates,$C$3:X$3),0)</f>
        <v>12</v>
      </c>
      <c r="Y73" s="95" cm="1">
        <f t="array" ref="Y73">SUM(COUNTIFS(TallyPeopleNames,$B73,TallyDates,$C$3:Y$3),0)</f>
        <v>12</v>
      </c>
      <c r="Z73" s="95" cm="1">
        <f t="array" ref="Z73">SUM(COUNTIFS(TallyPeopleNames,$B73,TallyDates,$C$3:Z$3),0)</f>
        <v>12</v>
      </c>
      <c r="AA73" s="95" cm="1">
        <f t="array" ref="AA73">SUM(COUNTIFS(TallyPeopleNames,$B73,TallyDates,$C$3:AA$3),0)</f>
        <v>12</v>
      </c>
      <c r="AB73" s="95"/>
      <c r="AC73" s="239">
        <f t="shared" si="13"/>
        <v>16</v>
      </c>
      <c r="AD73" s="17"/>
    </row>
    <row r="74" spans="1:30" ht="20" customHeight="1" x14ac:dyDescent="0.25">
      <c r="A74" s="92"/>
      <c r="B74" s="94" t="str">
        <f>People!$B22</f>
        <v>Antonia Amaning</v>
      </c>
      <c r="C74" s="95" cm="1">
        <f t="array" ref="C74">SUM(COUNTIFS(TallyPeopleNames,$B74,TallyDates,$C$3:C$3),0)</f>
        <v>0</v>
      </c>
      <c r="D74" s="95" cm="1">
        <f t="array" ref="D74">SUM(COUNTIFS(TallyPeopleNames,$B74,TallyDates,$C$3:D$3),0)</f>
        <v>0</v>
      </c>
      <c r="E74" s="95" cm="1">
        <f t="array" ref="E74">SUM(COUNTIFS(TallyPeopleNames,$B74,TallyDates,$C$3:E$3),0)</f>
        <v>0</v>
      </c>
      <c r="F74" s="95" cm="1">
        <f t="array" ref="F74">SUM(COUNTIFS(TallyPeopleNames,$B74,TallyDates,$C$3:F$3),0)</f>
        <v>0</v>
      </c>
      <c r="G74" s="95" cm="1">
        <f t="array" ref="G74">SUM(COUNTIFS(TallyPeopleNames,$B74,TallyDates,$C$3:G$3),0)</f>
        <v>0</v>
      </c>
      <c r="H74" s="95" cm="1">
        <f t="array" ref="H74">SUM(COUNTIFS(TallyPeopleNames,$B74,TallyDates,$C$3:H$3),0)</f>
        <v>0</v>
      </c>
      <c r="I74" s="95" cm="1">
        <f t="array" ref="I74">SUM(COUNTIFS(TallyPeopleNames,$B74,TallyDates,$C$3:I$3),0)</f>
        <v>0</v>
      </c>
      <c r="J74" s="95" cm="1">
        <f t="array" ref="J74">SUM(COUNTIFS(TallyPeopleNames,$B74,TallyDates,$C$3:J$3),0)</f>
        <v>0</v>
      </c>
      <c r="K74" s="95" cm="1">
        <f t="array" ref="K74">SUM(COUNTIFS(TallyPeopleNames,$B74,TallyDates,$C$3:K$3),0)</f>
        <v>3</v>
      </c>
      <c r="L74" s="95" cm="1">
        <f t="array" ref="L74">SUM(COUNTIFS(TallyPeopleNames,$B74,TallyDates,$C$3:L$3),0)</f>
        <v>3</v>
      </c>
      <c r="M74" s="95" cm="1">
        <f t="array" ref="M74">SUM(COUNTIFS(TallyPeopleNames,$B74,TallyDates,$C$3:M$3),0)</f>
        <v>3</v>
      </c>
      <c r="N74" s="95" cm="1">
        <f t="array" ref="N74">SUM(COUNTIFS(TallyPeopleNames,$B74,TallyDates,$C$3:N$3),0)</f>
        <v>7</v>
      </c>
      <c r="O74" s="95" cm="1">
        <f t="array" ref="O74">SUM(COUNTIFS(TallyPeopleNames,$B74,TallyDates,$C$3:O$3),0)</f>
        <v>7</v>
      </c>
      <c r="P74" s="95" cm="1">
        <f t="array" ref="P74">SUM(COUNTIFS(TallyPeopleNames,$B74,TallyDates,$C$3:P$3),0)</f>
        <v>7</v>
      </c>
      <c r="Q74" s="95" cm="1">
        <f t="array" ref="Q74">SUM(COUNTIFS(TallyPeopleNames,$B74,TallyDates,$C$3:Q$3),0)</f>
        <v>7</v>
      </c>
      <c r="R74" s="95" cm="1">
        <f t="array" ref="R74">SUM(COUNTIFS(TallyPeopleNames,$B74,TallyDates,$C$3:R$3),0)</f>
        <v>7</v>
      </c>
      <c r="S74" s="95" cm="1">
        <f t="array" ref="S74">SUM(COUNTIFS(TallyPeopleNames,$B74,TallyDates,$C$3:S$3),0)</f>
        <v>7</v>
      </c>
      <c r="T74" s="95" cm="1">
        <f t="array" ref="T74">SUM(COUNTIFS(TallyPeopleNames,$B74,TallyDates,$C$3:T$3),0)</f>
        <v>7</v>
      </c>
      <c r="U74" s="95" cm="1">
        <f t="array" ref="U74">SUM(COUNTIFS(TallyPeopleNames,$B74,TallyDates,$C$3:U$3),0)</f>
        <v>7</v>
      </c>
      <c r="V74" s="95" cm="1">
        <f t="array" ref="V74">SUM(COUNTIFS(TallyPeopleNames,$B74,TallyDates,$C$3:V$3),0)</f>
        <v>7</v>
      </c>
      <c r="W74" s="95" cm="1">
        <f t="array" ref="W74">SUM(COUNTIFS(TallyPeopleNames,$B74,TallyDates,$C$3:W$3),0)</f>
        <v>7</v>
      </c>
      <c r="X74" s="95" cm="1">
        <f t="array" ref="X74">SUM(COUNTIFS(TallyPeopleNames,$B74,TallyDates,$C$3:X$3),0)</f>
        <v>7</v>
      </c>
      <c r="Y74" s="95" cm="1">
        <f t="array" ref="Y74">SUM(COUNTIFS(TallyPeopleNames,$B74,TallyDates,$C$3:Y$3),0)</f>
        <v>7</v>
      </c>
      <c r="Z74" s="95" cm="1">
        <f t="array" ref="Z74">SUM(COUNTIFS(TallyPeopleNames,$B74,TallyDates,$C$3:Z$3),0)</f>
        <v>7</v>
      </c>
      <c r="AA74" s="95" cm="1">
        <f t="array" ref="AA74">SUM(COUNTIFS(TallyPeopleNames,$B74,TallyDates,$C$3:AA$3),0)</f>
        <v>7</v>
      </c>
      <c r="AB74" s="95"/>
      <c r="AC74" s="239">
        <f t="shared" si="13"/>
        <v>20</v>
      </c>
      <c r="AD74" s="17"/>
    </row>
    <row r="75" spans="1:30" ht="20" customHeight="1" x14ac:dyDescent="0.25">
      <c r="A75" s="92"/>
      <c r="B75" s="94" t="str">
        <f>People!$B23</f>
        <v>George McLachlan</v>
      </c>
      <c r="C75" s="95" cm="1">
        <f t="array" ref="C75">SUM(COUNTIFS(TallyPeopleNames,$B75,TallyDates,$C$3:C$3),0)</f>
        <v>0</v>
      </c>
      <c r="D75" s="95" cm="1">
        <f t="array" ref="D75">SUM(COUNTIFS(TallyPeopleNames,$B75,TallyDates,$C$3:D$3),0)</f>
        <v>0</v>
      </c>
      <c r="E75" s="95" cm="1">
        <f t="array" ref="E75">SUM(COUNTIFS(TallyPeopleNames,$B75,TallyDates,$C$3:E$3),0)</f>
        <v>0</v>
      </c>
      <c r="F75" s="95" cm="1">
        <f t="array" ref="F75">SUM(COUNTIFS(TallyPeopleNames,$B75,TallyDates,$C$3:F$3),0)</f>
        <v>0</v>
      </c>
      <c r="G75" s="95" cm="1">
        <f t="array" ref="G75">SUM(COUNTIFS(TallyPeopleNames,$B75,TallyDates,$C$3:G$3),0)</f>
        <v>0</v>
      </c>
      <c r="H75" s="95" cm="1">
        <f t="array" ref="H75">SUM(COUNTIFS(TallyPeopleNames,$B75,TallyDates,$C$3:H$3),0)</f>
        <v>0</v>
      </c>
      <c r="I75" s="95" cm="1">
        <f t="array" ref="I75">SUM(COUNTIFS(TallyPeopleNames,$B75,TallyDates,$C$3:I$3),0)</f>
        <v>0</v>
      </c>
      <c r="J75" s="95" cm="1">
        <f t="array" ref="J75">SUM(COUNTIFS(TallyPeopleNames,$B75,TallyDates,$C$3:J$3),0)</f>
        <v>0</v>
      </c>
      <c r="K75" s="95" cm="1">
        <f t="array" ref="K75">SUM(COUNTIFS(TallyPeopleNames,$B75,TallyDates,$C$3:K$3),0)</f>
        <v>3</v>
      </c>
      <c r="L75" s="95" cm="1">
        <f t="array" ref="L75">SUM(COUNTIFS(TallyPeopleNames,$B75,TallyDates,$C$3:L$3),0)</f>
        <v>3</v>
      </c>
      <c r="M75" s="95" cm="1">
        <f t="array" ref="M75">SUM(COUNTIFS(TallyPeopleNames,$B75,TallyDates,$C$3:M$3),0)</f>
        <v>3</v>
      </c>
      <c r="N75" s="95" cm="1">
        <f t="array" ref="N75">SUM(COUNTIFS(TallyPeopleNames,$B75,TallyDates,$C$3:N$3),0)</f>
        <v>9</v>
      </c>
      <c r="O75" s="95" cm="1">
        <f t="array" ref="O75">SUM(COUNTIFS(TallyPeopleNames,$B75,TallyDates,$C$3:O$3),0)</f>
        <v>9</v>
      </c>
      <c r="P75" s="95" cm="1">
        <f t="array" ref="P75">SUM(COUNTIFS(TallyPeopleNames,$B75,TallyDates,$C$3:P$3),0)</f>
        <v>9</v>
      </c>
      <c r="Q75" s="95" cm="1">
        <f t="array" ref="Q75">SUM(COUNTIFS(TallyPeopleNames,$B75,TallyDates,$C$3:Q$3),0)</f>
        <v>9</v>
      </c>
      <c r="R75" s="95" cm="1">
        <f t="array" ref="R75">SUM(COUNTIFS(TallyPeopleNames,$B75,TallyDates,$C$3:R$3),0)</f>
        <v>9</v>
      </c>
      <c r="S75" s="95" cm="1">
        <f t="array" ref="S75">SUM(COUNTIFS(TallyPeopleNames,$B75,TallyDates,$C$3:S$3),0)</f>
        <v>9</v>
      </c>
      <c r="T75" s="95" cm="1">
        <f t="array" ref="T75">SUM(COUNTIFS(TallyPeopleNames,$B75,TallyDates,$C$3:T$3),0)</f>
        <v>9</v>
      </c>
      <c r="U75" s="95" cm="1">
        <f t="array" ref="U75">SUM(COUNTIFS(TallyPeopleNames,$B75,TallyDates,$C$3:U$3),0)</f>
        <v>9</v>
      </c>
      <c r="V75" s="95" cm="1">
        <f t="array" ref="V75">SUM(COUNTIFS(TallyPeopleNames,$B75,TallyDates,$C$3:V$3),0)</f>
        <v>9</v>
      </c>
      <c r="W75" s="95" cm="1">
        <f t="array" ref="W75">SUM(COUNTIFS(TallyPeopleNames,$B75,TallyDates,$C$3:W$3),0)</f>
        <v>9</v>
      </c>
      <c r="X75" s="95" cm="1">
        <f t="array" ref="X75">SUM(COUNTIFS(TallyPeopleNames,$B75,TallyDates,$C$3:X$3),0)</f>
        <v>9</v>
      </c>
      <c r="Y75" s="95" cm="1">
        <f t="array" ref="Y75">SUM(COUNTIFS(TallyPeopleNames,$B75,TallyDates,$C$3:Y$3),0)</f>
        <v>9</v>
      </c>
      <c r="Z75" s="95" cm="1">
        <f t="array" ref="Z75">SUM(COUNTIFS(TallyPeopleNames,$B75,TallyDates,$C$3:Z$3),0)</f>
        <v>9</v>
      </c>
      <c r="AA75" s="95" cm="1">
        <f t="array" ref="AA75">SUM(COUNTIFS(TallyPeopleNames,$B75,TallyDates,$C$3:AA$3),0)</f>
        <v>9</v>
      </c>
      <c r="AB75" s="95"/>
      <c r="AC75" s="239">
        <f t="shared" si="13"/>
        <v>18</v>
      </c>
      <c r="AD75" s="17"/>
    </row>
    <row r="76" spans="1:30" ht="20" customHeight="1" x14ac:dyDescent="0.25">
      <c r="A76" s="92"/>
      <c r="B76" s="94" t="str">
        <f>People!$B24</f>
        <v>Catherine Allen</v>
      </c>
      <c r="C76" s="95" cm="1">
        <f t="array" ref="C76">SUM(COUNTIFS(TallyPeopleNames,$B76,TallyDates,$C$3:C$3),0)</f>
        <v>0</v>
      </c>
      <c r="D76" s="95" cm="1">
        <f t="array" ref="D76">SUM(COUNTIFS(TallyPeopleNames,$B76,TallyDates,$C$3:D$3),0)</f>
        <v>0</v>
      </c>
      <c r="E76" s="95" cm="1">
        <f t="array" ref="E76">SUM(COUNTIFS(TallyPeopleNames,$B76,TallyDates,$C$3:E$3),0)</f>
        <v>0</v>
      </c>
      <c r="F76" s="95" cm="1">
        <f t="array" ref="F76">SUM(COUNTIFS(TallyPeopleNames,$B76,TallyDates,$C$3:F$3),0)</f>
        <v>0</v>
      </c>
      <c r="G76" s="95" cm="1">
        <f t="array" ref="G76">SUM(COUNTIFS(TallyPeopleNames,$B76,TallyDates,$C$3:G$3),0)</f>
        <v>0</v>
      </c>
      <c r="H76" s="95" cm="1">
        <f t="array" ref="H76">SUM(COUNTIFS(TallyPeopleNames,$B76,TallyDates,$C$3:H$3),0)</f>
        <v>0</v>
      </c>
      <c r="I76" s="95" cm="1">
        <f t="array" ref="I76">SUM(COUNTIFS(TallyPeopleNames,$B76,TallyDates,$C$3:I$3),0)</f>
        <v>0</v>
      </c>
      <c r="J76" s="95" cm="1">
        <f t="array" ref="J76">SUM(COUNTIFS(TallyPeopleNames,$B76,TallyDates,$C$3:J$3),0)</f>
        <v>0</v>
      </c>
      <c r="K76" s="95" cm="1">
        <f t="array" ref="K76">SUM(COUNTIFS(TallyPeopleNames,$B76,TallyDates,$C$3:K$3),0)</f>
        <v>0</v>
      </c>
      <c r="L76" s="95" cm="1">
        <f t="array" ref="L76">SUM(COUNTIFS(TallyPeopleNames,$B76,TallyDates,$C$3:L$3),0)</f>
        <v>4</v>
      </c>
      <c r="M76" s="95" cm="1">
        <f t="array" ref="M76">SUM(COUNTIFS(TallyPeopleNames,$B76,TallyDates,$C$3:M$3),0)</f>
        <v>4</v>
      </c>
      <c r="N76" s="95" cm="1">
        <f t="array" ref="N76">SUM(COUNTIFS(TallyPeopleNames,$B76,TallyDates,$C$3:N$3),0)</f>
        <v>4</v>
      </c>
      <c r="O76" s="95" cm="1">
        <f t="array" ref="O76">SUM(COUNTIFS(TallyPeopleNames,$B76,TallyDates,$C$3:O$3),0)</f>
        <v>4</v>
      </c>
      <c r="P76" s="95" cm="1">
        <f t="array" ref="P76">SUM(COUNTIFS(TallyPeopleNames,$B76,TallyDates,$C$3:P$3),0)</f>
        <v>4</v>
      </c>
      <c r="Q76" s="95" cm="1">
        <f t="array" ref="Q76">SUM(COUNTIFS(TallyPeopleNames,$B76,TallyDates,$C$3:Q$3),0)</f>
        <v>4</v>
      </c>
      <c r="R76" s="95" cm="1">
        <f t="array" ref="R76">SUM(COUNTIFS(TallyPeopleNames,$B76,TallyDates,$C$3:R$3),0)</f>
        <v>4</v>
      </c>
      <c r="S76" s="95" cm="1">
        <f t="array" ref="S76">SUM(COUNTIFS(TallyPeopleNames,$B76,TallyDates,$C$3:S$3),0)</f>
        <v>4</v>
      </c>
      <c r="T76" s="95" cm="1">
        <f t="array" ref="T76">SUM(COUNTIFS(TallyPeopleNames,$B76,TallyDates,$C$3:T$3),0)</f>
        <v>4</v>
      </c>
      <c r="U76" s="95" cm="1">
        <f t="array" ref="U76">SUM(COUNTIFS(TallyPeopleNames,$B76,TallyDates,$C$3:U$3),0)</f>
        <v>4</v>
      </c>
      <c r="V76" s="95" cm="1">
        <f t="array" ref="V76">SUM(COUNTIFS(TallyPeopleNames,$B76,TallyDates,$C$3:V$3),0)</f>
        <v>4</v>
      </c>
      <c r="W76" s="95" cm="1">
        <f t="array" ref="W76">SUM(COUNTIFS(TallyPeopleNames,$B76,TallyDates,$C$3:W$3),0)</f>
        <v>4</v>
      </c>
      <c r="X76" s="95" cm="1">
        <f t="array" ref="X76">SUM(COUNTIFS(TallyPeopleNames,$B76,TallyDates,$C$3:X$3),0)</f>
        <v>4</v>
      </c>
      <c r="Y76" s="95" cm="1">
        <f t="array" ref="Y76">SUM(COUNTIFS(TallyPeopleNames,$B76,TallyDates,$C$3:Y$3),0)</f>
        <v>4</v>
      </c>
      <c r="Z76" s="95" cm="1">
        <f t="array" ref="Z76">SUM(COUNTIFS(TallyPeopleNames,$B76,TallyDates,$C$3:Z$3),0)</f>
        <v>4</v>
      </c>
      <c r="AA76" s="95" cm="1">
        <f t="array" ref="AA76">SUM(COUNTIFS(TallyPeopleNames,$B76,TallyDates,$C$3:AA$3),0)</f>
        <v>4</v>
      </c>
      <c r="AB76" s="95"/>
      <c r="AC76" s="239">
        <f t="shared" si="13"/>
        <v>21</v>
      </c>
      <c r="AD76" s="17"/>
    </row>
    <row r="77" spans="1:30" ht="20" customHeight="1" x14ac:dyDescent="0.25">
      <c r="A77" s="92"/>
      <c r="B77" s="94" t="str">
        <f>People!$B25</f>
        <v>Nicholas Draper</v>
      </c>
      <c r="C77" s="95" cm="1">
        <f t="array" ref="C77">SUM(COUNTIFS(TallyPeopleNames,$B77,TallyDates,$C$3:C$3),0)</f>
        <v>0</v>
      </c>
      <c r="D77" s="95" cm="1">
        <f t="array" ref="D77">SUM(COUNTIFS(TallyPeopleNames,$B77,TallyDates,$C$3:D$3),0)</f>
        <v>0</v>
      </c>
      <c r="E77" s="95" cm="1">
        <f t="array" ref="E77">SUM(COUNTIFS(TallyPeopleNames,$B77,TallyDates,$C$3:E$3),0)</f>
        <v>0</v>
      </c>
      <c r="F77" s="95" cm="1">
        <f t="array" ref="F77">SUM(COUNTIFS(TallyPeopleNames,$B77,TallyDates,$C$3:F$3),0)</f>
        <v>0</v>
      </c>
      <c r="G77" s="95" cm="1">
        <f t="array" ref="G77">SUM(COUNTIFS(TallyPeopleNames,$B77,TallyDates,$C$3:G$3),0)</f>
        <v>0</v>
      </c>
      <c r="H77" s="95" cm="1">
        <f t="array" ref="H77">SUM(COUNTIFS(TallyPeopleNames,$B77,TallyDates,$C$3:H$3),0)</f>
        <v>0</v>
      </c>
      <c r="I77" s="95" cm="1">
        <f t="array" ref="I77">SUM(COUNTIFS(TallyPeopleNames,$B77,TallyDates,$C$3:I$3),0)</f>
        <v>0</v>
      </c>
      <c r="J77" s="95" cm="1">
        <f t="array" ref="J77">SUM(COUNTIFS(TallyPeopleNames,$B77,TallyDates,$C$3:J$3),0)</f>
        <v>0</v>
      </c>
      <c r="K77" s="95" cm="1">
        <f t="array" ref="K77">SUM(COUNTIFS(TallyPeopleNames,$B77,TallyDates,$C$3:K$3),0)</f>
        <v>0</v>
      </c>
      <c r="L77" s="95" cm="1">
        <f t="array" ref="L77">SUM(COUNTIFS(TallyPeopleNames,$B77,TallyDates,$C$3:L$3),0)</f>
        <v>0</v>
      </c>
      <c r="M77" s="95" cm="1">
        <f t="array" ref="M77">SUM(COUNTIFS(TallyPeopleNames,$B77,TallyDates,$C$3:M$3),0)</f>
        <v>0</v>
      </c>
      <c r="N77" s="95" cm="1">
        <f t="array" ref="N77">SUM(COUNTIFS(TallyPeopleNames,$B77,TallyDates,$C$3:N$3),0)</f>
        <v>1</v>
      </c>
      <c r="O77" s="95" cm="1">
        <f t="array" ref="O77">SUM(COUNTIFS(TallyPeopleNames,$B77,TallyDates,$C$3:O$3),0)</f>
        <v>1</v>
      </c>
      <c r="P77" s="95" cm="1">
        <f t="array" ref="P77">SUM(COUNTIFS(TallyPeopleNames,$B77,TallyDates,$C$3:P$3),0)</f>
        <v>3</v>
      </c>
      <c r="Q77" s="95" cm="1">
        <f t="array" ref="Q77">SUM(COUNTIFS(TallyPeopleNames,$B77,TallyDates,$C$3:Q$3),0)</f>
        <v>3</v>
      </c>
      <c r="R77" s="95" cm="1">
        <f t="array" ref="R77">SUM(COUNTIFS(TallyPeopleNames,$B77,TallyDates,$C$3:R$3),0)</f>
        <v>3</v>
      </c>
      <c r="S77" s="95" cm="1">
        <f t="array" ref="S77">SUM(COUNTIFS(TallyPeopleNames,$B77,TallyDates,$C$3:S$3),0)</f>
        <v>3</v>
      </c>
      <c r="T77" s="95" cm="1">
        <f t="array" ref="T77">SUM(COUNTIFS(TallyPeopleNames,$B77,TallyDates,$C$3:T$3),0)</f>
        <v>3</v>
      </c>
      <c r="U77" s="95" cm="1">
        <f t="array" ref="U77">SUM(COUNTIFS(TallyPeopleNames,$B77,TallyDates,$C$3:U$3),0)</f>
        <v>3</v>
      </c>
      <c r="V77" s="95" cm="1">
        <f t="array" ref="V77">SUM(COUNTIFS(TallyPeopleNames,$B77,TallyDates,$C$3:V$3),0)</f>
        <v>4</v>
      </c>
      <c r="W77" s="95" cm="1">
        <f t="array" ref="W77">SUM(COUNTIFS(TallyPeopleNames,$B77,TallyDates,$C$3:W$3),0)</f>
        <v>4</v>
      </c>
      <c r="X77" s="95" cm="1">
        <f t="array" ref="X77">SUM(COUNTIFS(TallyPeopleNames,$B77,TallyDates,$C$3:X$3),0)</f>
        <v>4</v>
      </c>
      <c r="Y77" s="95" cm="1">
        <f t="array" ref="Y77">SUM(COUNTIFS(TallyPeopleNames,$B77,TallyDates,$C$3:Y$3),0)</f>
        <v>4</v>
      </c>
      <c r="Z77" s="95" cm="1">
        <f t="array" ref="Z77">SUM(COUNTIFS(TallyPeopleNames,$B77,TallyDates,$C$3:Z$3),0)</f>
        <v>4</v>
      </c>
      <c r="AA77" s="95" cm="1">
        <f t="array" ref="AA77">SUM(COUNTIFS(TallyPeopleNames,$B77,TallyDates,$C$3:AA$3),0)</f>
        <v>4</v>
      </c>
      <c r="AB77" s="95"/>
      <c r="AC77" s="239">
        <f t="shared" si="13"/>
        <v>21</v>
      </c>
      <c r="AD77" s="17"/>
    </row>
    <row r="78" spans="1:30" ht="20" customHeight="1" x14ac:dyDescent="0.25">
      <c r="A78" s="92"/>
      <c r="B78" s="94" t="str">
        <f>People!$B26</f>
        <v>Karol Blanco</v>
      </c>
      <c r="C78" s="95" cm="1">
        <f t="array" ref="C78">SUM(COUNTIFS(TallyPeopleNames,$B78,TallyDates,$C$3:C$3),0)</f>
        <v>0</v>
      </c>
      <c r="D78" s="95" cm="1">
        <f t="array" ref="D78">SUM(COUNTIFS(TallyPeopleNames,$B78,TallyDates,$C$3:D$3),0)</f>
        <v>0</v>
      </c>
      <c r="E78" s="95" cm="1">
        <f t="array" ref="E78">SUM(COUNTIFS(TallyPeopleNames,$B78,TallyDates,$C$3:E$3),0)</f>
        <v>0</v>
      </c>
      <c r="F78" s="95" cm="1">
        <f t="array" ref="F78">SUM(COUNTIFS(TallyPeopleNames,$B78,TallyDates,$C$3:F$3),0)</f>
        <v>0</v>
      </c>
      <c r="G78" s="95" cm="1">
        <f t="array" ref="G78">SUM(COUNTIFS(TallyPeopleNames,$B78,TallyDates,$C$3:G$3),0)</f>
        <v>0</v>
      </c>
      <c r="H78" s="95" cm="1">
        <f t="array" ref="H78">SUM(COUNTIFS(TallyPeopleNames,$B78,TallyDates,$C$3:H$3),0)</f>
        <v>0</v>
      </c>
      <c r="I78" s="95" cm="1">
        <f t="array" ref="I78">SUM(COUNTIFS(TallyPeopleNames,$B78,TallyDates,$C$3:I$3),0)</f>
        <v>0</v>
      </c>
      <c r="J78" s="95" cm="1">
        <f t="array" ref="J78">SUM(COUNTIFS(TallyPeopleNames,$B78,TallyDates,$C$3:J$3),0)</f>
        <v>0</v>
      </c>
      <c r="K78" s="95" cm="1">
        <f t="array" ref="K78">SUM(COUNTIFS(TallyPeopleNames,$B78,TallyDates,$C$3:K$3),0)</f>
        <v>0</v>
      </c>
      <c r="L78" s="95" cm="1">
        <f t="array" ref="L78">SUM(COUNTIFS(TallyPeopleNames,$B78,TallyDates,$C$3:L$3),0)</f>
        <v>0</v>
      </c>
      <c r="M78" s="95" cm="1">
        <f t="array" ref="M78">SUM(COUNTIFS(TallyPeopleNames,$B78,TallyDates,$C$3:M$3),0)</f>
        <v>0</v>
      </c>
      <c r="N78" s="95" cm="1">
        <f t="array" ref="N78">SUM(COUNTIFS(TallyPeopleNames,$B78,TallyDates,$C$3:N$3),0)</f>
        <v>3</v>
      </c>
      <c r="O78" s="95" cm="1">
        <f t="array" ref="O78">SUM(COUNTIFS(TallyPeopleNames,$B78,TallyDates,$C$3:O$3),0)</f>
        <v>3</v>
      </c>
      <c r="P78" s="95" cm="1">
        <f t="array" ref="P78">SUM(COUNTIFS(TallyPeopleNames,$B78,TallyDates,$C$3:P$3),0)</f>
        <v>3</v>
      </c>
      <c r="Q78" s="95" cm="1">
        <f t="array" ref="Q78">SUM(COUNTIFS(TallyPeopleNames,$B78,TallyDates,$C$3:Q$3),0)</f>
        <v>3</v>
      </c>
      <c r="R78" s="95" cm="1">
        <f t="array" ref="R78">SUM(COUNTIFS(TallyPeopleNames,$B78,TallyDates,$C$3:R$3),0)</f>
        <v>3</v>
      </c>
      <c r="S78" s="95" cm="1">
        <f t="array" ref="S78">SUM(COUNTIFS(TallyPeopleNames,$B78,TallyDates,$C$3:S$3),0)</f>
        <v>3</v>
      </c>
      <c r="T78" s="95" cm="1">
        <f t="array" ref="T78">SUM(COUNTIFS(TallyPeopleNames,$B78,TallyDates,$C$3:T$3),0)</f>
        <v>3</v>
      </c>
      <c r="U78" s="95" cm="1">
        <f t="array" ref="U78">SUM(COUNTIFS(TallyPeopleNames,$B78,TallyDates,$C$3:U$3),0)</f>
        <v>3</v>
      </c>
      <c r="V78" s="95" cm="1">
        <f t="array" ref="V78">SUM(COUNTIFS(TallyPeopleNames,$B78,TallyDates,$C$3:V$3),0)</f>
        <v>3</v>
      </c>
      <c r="W78" s="95" cm="1">
        <f t="array" ref="W78">SUM(COUNTIFS(TallyPeopleNames,$B78,TallyDates,$C$3:W$3),0)</f>
        <v>3</v>
      </c>
      <c r="X78" s="95" cm="1">
        <f t="array" ref="X78">SUM(COUNTIFS(TallyPeopleNames,$B78,TallyDates,$C$3:X$3),0)</f>
        <v>4</v>
      </c>
      <c r="Y78" s="95" cm="1">
        <f t="array" ref="Y78">SUM(COUNTIFS(TallyPeopleNames,$B78,TallyDates,$C$3:Y$3),0)</f>
        <v>4</v>
      </c>
      <c r="Z78" s="95" cm="1">
        <f t="array" ref="Z78">SUM(COUNTIFS(TallyPeopleNames,$B78,TallyDates,$C$3:Z$3),0)</f>
        <v>4</v>
      </c>
      <c r="AA78" s="95" cm="1">
        <f t="array" ref="AA78">SUM(COUNTIFS(TallyPeopleNames,$B78,TallyDates,$C$3:AA$3),0)</f>
        <v>4</v>
      </c>
      <c r="AB78" s="95"/>
      <c r="AC78" s="239">
        <f t="shared" si="13"/>
        <v>21</v>
      </c>
      <c r="AD78" s="17"/>
    </row>
    <row r="79" spans="1:30" ht="20" customHeight="1" x14ac:dyDescent="0.25">
      <c r="A79" s="92"/>
      <c r="B79" s="94" t="str">
        <f>People!$B27</f>
        <v>Sean Carey</v>
      </c>
      <c r="C79" s="95" cm="1">
        <f t="array" ref="C79">SUM(COUNTIFS(TallyPeopleNames,$B79,TallyDates,$C$3:C$3),0)</f>
        <v>0</v>
      </c>
      <c r="D79" s="95" cm="1">
        <f t="array" ref="D79">SUM(COUNTIFS(TallyPeopleNames,$B79,TallyDates,$C$3:D$3),0)</f>
        <v>0</v>
      </c>
      <c r="E79" s="95" cm="1">
        <f t="array" ref="E79">SUM(COUNTIFS(TallyPeopleNames,$B79,TallyDates,$C$3:E$3),0)</f>
        <v>0</v>
      </c>
      <c r="F79" s="95" cm="1">
        <f t="array" ref="F79">SUM(COUNTIFS(TallyPeopleNames,$B79,TallyDates,$C$3:F$3),0)</f>
        <v>0</v>
      </c>
      <c r="G79" s="95" cm="1">
        <f t="array" ref="G79">SUM(COUNTIFS(TallyPeopleNames,$B79,TallyDates,$C$3:G$3),0)</f>
        <v>10</v>
      </c>
      <c r="H79" s="95" cm="1">
        <f t="array" ref="H79">SUM(COUNTIFS(TallyPeopleNames,$B79,TallyDates,$C$3:H$3),0)</f>
        <v>17</v>
      </c>
      <c r="I79" s="95" cm="1">
        <f t="array" ref="I79">SUM(COUNTIFS(TallyPeopleNames,$B79,TallyDates,$C$3:I$3),0)</f>
        <v>17</v>
      </c>
      <c r="J79" s="95" cm="1">
        <f t="array" ref="J79">SUM(COUNTIFS(TallyPeopleNames,$B79,TallyDates,$C$3:J$3),0)</f>
        <v>28</v>
      </c>
      <c r="K79" s="95" cm="1">
        <f t="array" ref="K79">SUM(COUNTIFS(TallyPeopleNames,$B79,TallyDates,$C$3:K$3),0)</f>
        <v>28</v>
      </c>
      <c r="L79" s="95" cm="1">
        <f t="array" ref="L79">SUM(COUNTIFS(TallyPeopleNames,$B79,TallyDates,$C$3:L$3),0)</f>
        <v>33</v>
      </c>
      <c r="M79" s="95" cm="1">
        <f t="array" ref="M79">SUM(COUNTIFS(TallyPeopleNames,$B79,TallyDates,$C$3:M$3),0)</f>
        <v>41</v>
      </c>
      <c r="N79" s="95" cm="1">
        <f t="array" ref="N79">SUM(COUNTIFS(TallyPeopleNames,$B79,TallyDates,$C$3:N$3),0)</f>
        <v>52</v>
      </c>
      <c r="O79" s="95" cm="1">
        <f t="array" ref="O79">SUM(COUNTIFS(TallyPeopleNames,$B79,TallyDates,$C$3:O$3),0)</f>
        <v>52</v>
      </c>
      <c r="P79" s="95" cm="1">
        <f t="array" ref="P79">SUM(COUNTIFS(TallyPeopleNames,$B79,TallyDates,$C$3:P$3),0)</f>
        <v>62</v>
      </c>
      <c r="Q79" s="95" cm="1">
        <f t="array" ref="Q79">SUM(COUNTIFS(TallyPeopleNames,$B79,TallyDates,$C$3:Q$3),0)</f>
        <v>71</v>
      </c>
      <c r="R79" s="95" cm="1">
        <f t="array" ref="R79">SUM(COUNTIFS(TallyPeopleNames,$B79,TallyDates,$C$3:R$3),0)</f>
        <v>77</v>
      </c>
      <c r="S79" s="95" cm="1">
        <f t="array" ref="S79">SUM(COUNTIFS(TallyPeopleNames,$B79,TallyDates,$C$3:S$3),0)</f>
        <v>82</v>
      </c>
      <c r="T79" s="95" cm="1">
        <f t="array" ref="T79">SUM(COUNTIFS(TallyPeopleNames,$B79,TallyDates,$C$3:T$3),0)</f>
        <v>83</v>
      </c>
      <c r="U79" s="95" cm="1">
        <f t="array" ref="U79">SUM(COUNTIFS(TallyPeopleNames,$B79,TallyDates,$C$3:U$3),0)</f>
        <v>83</v>
      </c>
      <c r="V79" s="95" cm="1">
        <f t="array" ref="V79">SUM(COUNTIFS(TallyPeopleNames,$B79,TallyDates,$C$3:V$3),0)</f>
        <v>90</v>
      </c>
      <c r="W79" s="95" cm="1">
        <f t="array" ref="W79">SUM(COUNTIFS(TallyPeopleNames,$B79,TallyDates,$C$3:W$3),0)</f>
        <v>94</v>
      </c>
      <c r="X79" s="95" cm="1">
        <f t="array" ref="X79">SUM(COUNTIFS(TallyPeopleNames,$B79,TallyDates,$C$3:X$3),0)</f>
        <v>94</v>
      </c>
      <c r="Y79" s="95" cm="1">
        <f t="array" ref="Y79">SUM(COUNTIFS(TallyPeopleNames,$B79,TallyDates,$C$3:Y$3),0)</f>
        <v>102</v>
      </c>
      <c r="Z79" s="95" cm="1">
        <f t="array" ref="Z79">SUM(COUNTIFS(TallyPeopleNames,$B79,TallyDates,$C$3:Z$3),0)</f>
        <v>110</v>
      </c>
      <c r="AA79" s="95" cm="1">
        <f t="array" ref="AA79">SUM(COUNTIFS(TallyPeopleNames,$B79,TallyDates,$C$3:AA$3),0)</f>
        <v>111</v>
      </c>
      <c r="AB79" s="95"/>
      <c r="AC79" s="239">
        <f t="shared" si="13"/>
        <v>7</v>
      </c>
      <c r="AD79" s="17"/>
    </row>
    <row r="80" spans="1:30" ht="20" customHeight="1" x14ac:dyDescent="0.25">
      <c r="A80" s="92"/>
      <c r="B80" s="94" t="str">
        <f>People!$B28</f>
        <v>Nia Harman</v>
      </c>
      <c r="C80" s="95" cm="1">
        <f t="array" ref="C80">SUM(COUNTIFS(TallyPeopleNames,$B80,TallyDates,$C$3:C$3),0)</f>
        <v>0</v>
      </c>
      <c r="D80" s="95" cm="1">
        <f t="array" ref="D80">SUM(COUNTIFS(TallyPeopleNames,$B80,TallyDates,$C$3:D$3),0)</f>
        <v>0</v>
      </c>
      <c r="E80" s="95" cm="1">
        <f t="array" ref="E80">SUM(COUNTIFS(TallyPeopleNames,$B80,TallyDates,$C$3:E$3),0)</f>
        <v>0</v>
      </c>
      <c r="F80" s="95" cm="1">
        <f t="array" ref="F80">SUM(COUNTIFS(TallyPeopleNames,$B80,TallyDates,$C$3:F$3),0)</f>
        <v>0</v>
      </c>
      <c r="G80" s="95" cm="1">
        <f t="array" ref="G80">SUM(COUNTIFS(TallyPeopleNames,$B80,TallyDates,$C$3:G$3),0)</f>
        <v>0</v>
      </c>
      <c r="H80" s="95" cm="1">
        <f t="array" ref="H80">SUM(COUNTIFS(TallyPeopleNames,$B80,TallyDates,$C$3:H$3),0)</f>
        <v>0</v>
      </c>
      <c r="I80" s="95" cm="1">
        <f t="array" ref="I80">SUM(COUNTIFS(TallyPeopleNames,$B80,TallyDates,$C$3:I$3),0)</f>
        <v>0</v>
      </c>
      <c r="J80" s="95" cm="1">
        <f t="array" ref="J80">SUM(COUNTIFS(TallyPeopleNames,$B80,TallyDates,$C$3:J$3),0)</f>
        <v>0</v>
      </c>
      <c r="K80" s="95" cm="1">
        <f t="array" ref="K80">SUM(COUNTIFS(TallyPeopleNames,$B80,TallyDates,$C$3:K$3),0)</f>
        <v>0</v>
      </c>
      <c r="L80" s="95" cm="1">
        <f t="array" ref="L80">SUM(COUNTIFS(TallyPeopleNames,$B80,TallyDates,$C$3:L$3),0)</f>
        <v>0</v>
      </c>
      <c r="M80" s="95" cm="1">
        <f t="array" ref="M80">SUM(COUNTIFS(TallyPeopleNames,$B80,TallyDates,$C$3:M$3),0)</f>
        <v>0</v>
      </c>
      <c r="N80" s="95" cm="1">
        <f t="array" ref="N80">SUM(COUNTIFS(TallyPeopleNames,$B80,TallyDates,$C$3:N$3),0)</f>
        <v>0</v>
      </c>
      <c r="O80" s="95" cm="1">
        <f t="array" ref="O80">SUM(COUNTIFS(TallyPeopleNames,$B80,TallyDates,$C$3:O$3),0)</f>
        <v>6</v>
      </c>
      <c r="P80" s="95" cm="1">
        <f t="array" ref="P80">SUM(COUNTIFS(TallyPeopleNames,$B80,TallyDates,$C$3:P$3),0)</f>
        <v>13</v>
      </c>
      <c r="Q80" s="95" cm="1">
        <f t="array" ref="Q80">SUM(COUNTIFS(TallyPeopleNames,$B80,TallyDates,$C$3:Q$3),0)</f>
        <v>13</v>
      </c>
      <c r="R80" s="95" cm="1">
        <f t="array" ref="R80">SUM(COUNTIFS(TallyPeopleNames,$B80,TallyDates,$C$3:R$3),0)</f>
        <v>16</v>
      </c>
      <c r="S80" s="95" cm="1">
        <f t="array" ref="S80">SUM(COUNTIFS(TallyPeopleNames,$B80,TallyDates,$C$3:S$3),0)</f>
        <v>18</v>
      </c>
      <c r="T80" s="95" cm="1">
        <f t="array" ref="T80">SUM(COUNTIFS(TallyPeopleNames,$B80,TallyDates,$C$3:T$3),0)</f>
        <v>18</v>
      </c>
      <c r="U80" s="95" cm="1">
        <f t="array" ref="U80">SUM(COUNTIFS(TallyPeopleNames,$B80,TallyDates,$C$3:U$3),0)</f>
        <v>18</v>
      </c>
      <c r="V80" s="95" cm="1">
        <f t="array" ref="V80">SUM(COUNTIFS(TallyPeopleNames,$B80,TallyDates,$C$3:V$3),0)</f>
        <v>18</v>
      </c>
      <c r="W80" s="95" cm="1">
        <f t="array" ref="W80">SUM(COUNTIFS(TallyPeopleNames,$B80,TallyDates,$C$3:W$3),0)</f>
        <v>21</v>
      </c>
      <c r="X80" s="95" cm="1">
        <f t="array" ref="X80">SUM(COUNTIFS(TallyPeopleNames,$B80,TallyDates,$C$3:X$3),0)</f>
        <v>21</v>
      </c>
      <c r="Y80" s="95" cm="1">
        <f t="array" ref="Y80">SUM(COUNTIFS(TallyPeopleNames,$B80,TallyDates,$C$3:Y$3),0)</f>
        <v>21</v>
      </c>
      <c r="Z80" s="95" cm="1">
        <f t="array" ref="Z80">SUM(COUNTIFS(TallyPeopleNames,$B80,TallyDates,$C$3:Z$3),0)</f>
        <v>21</v>
      </c>
      <c r="AA80" s="95" cm="1">
        <f t="array" ref="AA80">SUM(COUNTIFS(TallyPeopleNames,$B80,TallyDates,$C$3:AA$3),0)</f>
        <v>21</v>
      </c>
      <c r="AB80" s="95"/>
      <c r="AC80" s="239">
        <f t="shared" si="13"/>
        <v>13</v>
      </c>
      <c r="AD80" s="17"/>
    </row>
    <row r="81" spans="1:30" ht="20" customHeight="1" x14ac:dyDescent="0.25">
      <c r="A81" s="222"/>
      <c r="B81" s="94" t="s">
        <v>2881</v>
      </c>
      <c r="C81" s="95" cm="1">
        <f t="array" ref="C81">SUM(COUNTIFS(TallyPeopleNames,$B81,TallyDates,$C$3:C$3),0)</f>
        <v>0</v>
      </c>
      <c r="D81" s="95" cm="1">
        <f t="array" ref="D81">SUM(COUNTIFS(TallyPeopleNames,$B81,TallyDates,$C$3:D$3),0)</f>
        <v>0</v>
      </c>
      <c r="E81" s="95" cm="1">
        <f t="array" ref="E81">SUM(COUNTIFS(TallyPeopleNames,$B81,TallyDates,$C$3:E$3),0)</f>
        <v>0</v>
      </c>
      <c r="F81" s="95" cm="1">
        <f t="array" ref="F81">SUM(COUNTIFS(TallyPeopleNames,$B81,TallyDates,$C$3:F$3),0)</f>
        <v>0</v>
      </c>
      <c r="G81" s="95" cm="1">
        <f t="array" ref="G81">SUM(COUNTIFS(TallyPeopleNames,$B81,TallyDates,$C$3:G$3),0)</f>
        <v>0</v>
      </c>
      <c r="H81" s="95" cm="1">
        <f t="array" ref="H81">SUM(COUNTIFS(TallyPeopleNames,$B81,TallyDates,$C$3:H$3),0)</f>
        <v>0</v>
      </c>
      <c r="I81" s="95" cm="1">
        <f t="array" ref="I81">SUM(COUNTIFS(TallyPeopleNames,$B81,TallyDates,$C$3:I$3),0)</f>
        <v>0</v>
      </c>
      <c r="J81" s="95" cm="1">
        <f t="array" ref="J81">SUM(COUNTIFS(TallyPeopleNames,$B81,TallyDates,$C$3:J$3),0)</f>
        <v>0</v>
      </c>
      <c r="K81" s="95" cm="1">
        <f t="array" ref="K81">SUM(COUNTIFS(TallyPeopleNames,$B81,TallyDates,$C$3:K$3),0)</f>
        <v>0</v>
      </c>
      <c r="L81" s="95" cm="1">
        <f t="array" ref="L81">SUM(COUNTIFS(TallyPeopleNames,$B81,TallyDates,$C$3:L$3),0)</f>
        <v>0</v>
      </c>
      <c r="M81" s="95" cm="1">
        <f t="array" ref="M81">SUM(COUNTIFS(TallyPeopleNames,$B81,TallyDates,$C$3:M$3),0)</f>
        <v>0</v>
      </c>
      <c r="N81" s="95" cm="1">
        <f t="array" ref="N81">SUM(COUNTIFS(TallyPeopleNames,$B81,TallyDates,$C$3:N$3),0)</f>
        <v>0</v>
      </c>
      <c r="O81" s="95" cm="1">
        <f t="array" ref="O81">SUM(COUNTIFS(TallyPeopleNames,$B81,TallyDates,$C$3:O$3),0)</f>
        <v>0</v>
      </c>
      <c r="P81" s="95" cm="1">
        <f t="array" ref="P81">SUM(COUNTIFS(TallyPeopleNames,$B81,TallyDates,$C$3:P$3),0)</f>
        <v>0</v>
      </c>
      <c r="Q81" s="95" cm="1">
        <f t="array" ref="Q81">SUM(COUNTIFS(TallyPeopleNames,$B81,TallyDates,$C$3:Q$3),0)</f>
        <v>0</v>
      </c>
      <c r="R81" s="95" cm="1">
        <f t="array" ref="R81">SUM(COUNTIFS(TallyPeopleNames,$B81,TallyDates,$C$3:R$3),0)</f>
        <v>0</v>
      </c>
      <c r="S81" s="95" cm="1">
        <f t="array" ref="S81">SUM(COUNTIFS(TallyPeopleNames,$B81,TallyDates,$C$3:S$3),0)</f>
        <v>0</v>
      </c>
      <c r="T81" s="95" cm="1">
        <f t="array" ref="T81">SUM(COUNTIFS(TallyPeopleNames,$B81,TallyDates,$C$3:T$3),0)</f>
        <v>0</v>
      </c>
      <c r="U81" s="95" cm="1">
        <f t="array" ref="U81">SUM(COUNTIFS(TallyPeopleNames,$B81,TallyDates,$C$3:U$3),0)</f>
        <v>0</v>
      </c>
      <c r="V81" s="95" cm="1">
        <f t="array" ref="V81">SUM(COUNTIFS(TallyPeopleNames,$B81,TallyDates,$C$3:V$3),0)</f>
        <v>0</v>
      </c>
      <c r="W81" s="95" cm="1">
        <f t="array" ref="W81">SUM(COUNTIFS(TallyPeopleNames,$B81,TallyDates,$C$3:W$3),0)</f>
        <v>1</v>
      </c>
      <c r="X81" s="95" cm="1">
        <f t="array" ref="X81">SUM(COUNTIFS(TallyPeopleNames,$B81,TallyDates,$C$3:X$3),0)</f>
        <v>2</v>
      </c>
      <c r="Y81" s="95" cm="1">
        <f t="array" ref="Y81">SUM(COUNTIFS(TallyPeopleNames,$B81,TallyDates,$C$3:Y$3),0)</f>
        <v>2</v>
      </c>
      <c r="Z81" s="95" cm="1">
        <f t="array" ref="Z81">SUM(COUNTIFS(TallyPeopleNames,$B81,TallyDates,$C$3:Z$3),0)</f>
        <v>2</v>
      </c>
      <c r="AA81" s="95" cm="1">
        <f t="array" ref="AA81">SUM(COUNTIFS(TallyPeopleNames,$B81,TallyDates,$C$3:AA$3),0)</f>
        <v>2</v>
      </c>
      <c r="AB81" s="95"/>
      <c r="AC81" s="239">
        <f t="shared" si="13"/>
        <v>25</v>
      </c>
      <c r="AD81" s="17"/>
    </row>
    <row r="82" spans="1:30" ht="20" customHeight="1" x14ac:dyDescent="0.25">
      <c r="A82" s="222"/>
      <c r="B82" s="94" t="s">
        <v>2879</v>
      </c>
      <c r="C82" s="95" cm="1">
        <f t="array" ref="C82">SUM(COUNTIFS(TallyPeopleNames,$B82,TallyDates,$C$3:C$3),0)</f>
        <v>0</v>
      </c>
      <c r="D82" s="95" cm="1">
        <f t="array" ref="D82">SUM(COUNTIFS(TallyPeopleNames,$B82,TallyDates,$C$3:D$3),0)</f>
        <v>0</v>
      </c>
      <c r="E82" s="95" cm="1">
        <f t="array" ref="E82">SUM(COUNTIFS(TallyPeopleNames,$B82,TallyDates,$C$3:E$3),0)</f>
        <v>0</v>
      </c>
      <c r="F82" s="95" cm="1">
        <f t="array" ref="F82">SUM(COUNTIFS(TallyPeopleNames,$B82,TallyDates,$C$3:F$3),0)</f>
        <v>0</v>
      </c>
      <c r="G82" s="95" cm="1">
        <f t="array" ref="G82">SUM(COUNTIFS(TallyPeopleNames,$B82,TallyDates,$C$3:G$3),0)</f>
        <v>0</v>
      </c>
      <c r="H82" s="95" cm="1">
        <f t="array" ref="H82">SUM(COUNTIFS(TallyPeopleNames,$B82,TallyDates,$C$3:H$3),0)</f>
        <v>0</v>
      </c>
      <c r="I82" s="95" cm="1">
        <f t="array" ref="I82">SUM(COUNTIFS(TallyPeopleNames,$B82,TallyDates,$C$3:I$3),0)</f>
        <v>0</v>
      </c>
      <c r="J82" s="95" cm="1">
        <f t="array" ref="J82">SUM(COUNTIFS(TallyPeopleNames,$B82,TallyDates,$C$3:J$3),0)</f>
        <v>0</v>
      </c>
      <c r="K82" s="95" cm="1">
        <f t="array" ref="K82">SUM(COUNTIFS(TallyPeopleNames,$B82,TallyDates,$C$3:K$3),0)</f>
        <v>0</v>
      </c>
      <c r="L82" s="95" cm="1">
        <f t="array" ref="L82">SUM(COUNTIFS(TallyPeopleNames,$B82,TallyDates,$C$3:L$3),0)</f>
        <v>0</v>
      </c>
      <c r="M82" s="95" cm="1">
        <f t="array" ref="M82">SUM(COUNTIFS(TallyPeopleNames,$B82,TallyDates,$C$3:M$3),0)</f>
        <v>0</v>
      </c>
      <c r="N82" s="95" cm="1">
        <f t="array" ref="N82">SUM(COUNTIFS(TallyPeopleNames,$B82,TallyDates,$C$3:N$3),0)</f>
        <v>0</v>
      </c>
      <c r="O82" s="95" cm="1">
        <f t="array" ref="O82">SUM(COUNTIFS(TallyPeopleNames,$B82,TallyDates,$C$3:O$3),0)</f>
        <v>0</v>
      </c>
      <c r="P82" s="95" cm="1">
        <f t="array" ref="P82">SUM(COUNTIFS(TallyPeopleNames,$B82,TallyDates,$C$3:P$3),0)</f>
        <v>0</v>
      </c>
      <c r="Q82" s="95" cm="1">
        <f t="array" ref="Q82">SUM(COUNTIFS(TallyPeopleNames,$B82,TallyDates,$C$3:Q$3),0)</f>
        <v>0</v>
      </c>
      <c r="R82" s="95" cm="1">
        <f t="array" ref="R82">SUM(COUNTIFS(TallyPeopleNames,$B82,TallyDates,$C$3:R$3),0)</f>
        <v>0</v>
      </c>
      <c r="S82" s="95" cm="1">
        <f t="array" ref="S82">SUM(COUNTIFS(TallyPeopleNames,$B82,TallyDates,$C$3:S$3),0)</f>
        <v>0</v>
      </c>
      <c r="T82" s="95" cm="1">
        <f t="array" ref="T82">SUM(COUNTIFS(TallyPeopleNames,$B82,TallyDates,$C$3:T$3),0)</f>
        <v>0</v>
      </c>
      <c r="U82" s="95" cm="1">
        <f t="array" ref="U82">SUM(COUNTIFS(TallyPeopleNames,$B82,TallyDates,$C$3:U$3),0)</f>
        <v>0</v>
      </c>
      <c r="V82" s="95" cm="1">
        <f t="array" ref="V82">SUM(COUNTIFS(TallyPeopleNames,$B82,TallyDates,$C$3:V$3),0)</f>
        <v>0</v>
      </c>
      <c r="W82" s="95" cm="1">
        <f t="array" ref="W82">SUM(COUNTIFS(TallyPeopleNames,$B82,TallyDates,$C$3:W$3),0)</f>
        <v>1</v>
      </c>
      <c r="X82" s="95" cm="1">
        <f t="array" ref="X82">SUM(COUNTIFS(TallyPeopleNames,$B82,TallyDates,$C$3:X$3),0)</f>
        <v>3</v>
      </c>
      <c r="Y82" s="95" cm="1">
        <f t="array" ref="Y82">SUM(COUNTIFS(TallyPeopleNames,$B82,TallyDates,$C$3:Y$3),0)</f>
        <v>3</v>
      </c>
      <c r="Z82" s="95" cm="1">
        <f t="array" ref="Z82">SUM(COUNTIFS(TallyPeopleNames,$B82,TallyDates,$C$3:Z$3),0)</f>
        <v>3</v>
      </c>
      <c r="AA82" s="95" cm="1">
        <f t="array" ref="AA82">SUM(COUNTIFS(TallyPeopleNames,$B82,TallyDates,$C$3:AA$3),0)</f>
        <v>3</v>
      </c>
      <c r="AB82" s="95"/>
      <c r="AC82" s="239">
        <f t="shared" si="13"/>
        <v>24</v>
      </c>
      <c r="AD82" s="17"/>
    </row>
    <row r="83" spans="1:30" ht="50" x14ac:dyDescent="0.3">
      <c r="B83" s="87" t="s">
        <v>1333</v>
      </c>
      <c r="C83" s="88"/>
      <c r="D83" s="88"/>
      <c r="E83" s="88"/>
      <c r="F83" s="88"/>
      <c r="G83" s="88"/>
      <c r="H83" s="88"/>
      <c r="I83" s="88"/>
      <c r="J83" s="88"/>
      <c r="K83" s="88"/>
      <c r="L83" s="88"/>
      <c r="M83" s="88"/>
      <c r="N83" s="88"/>
      <c r="O83" s="88"/>
      <c r="P83" s="90"/>
      <c r="Q83" s="108"/>
      <c r="R83" s="108"/>
      <c r="S83" s="108"/>
      <c r="T83" s="108"/>
      <c r="U83" s="108"/>
      <c r="V83" s="108"/>
      <c r="W83" s="108"/>
      <c r="X83" s="108"/>
      <c r="Y83" s="108"/>
      <c r="Z83" s="108"/>
      <c r="AA83" s="108"/>
      <c r="AB83" s="108"/>
      <c r="AC83" s="108"/>
      <c r="AD83" s="17"/>
    </row>
    <row r="84" spans="1:30" ht="22" x14ac:dyDescent="0.25">
      <c r="B84" s="94" t="s">
        <v>5</v>
      </c>
      <c r="C84" s="93">
        <f>C$3</f>
        <v>43917</v>
      </c>
      <c r="D84" s="93">
        <f t="shared" ref="D84:Q84" si="14">D$3</f>
        <v>43924</v>
      </c>
      <c r="E84" s="93">
        <f t="shared" si="14"/>
        <v>43931</v>
      </c>
      <c r="F84" s="93">
        <f t="shared" si="14"/>
        <v>43938</v>
      </c>
      <c r="G84" s="93">
        <f t="shared" si="14"/>
        <v>43945</v>
      </c>
      <c r="H84" s="93">
        <f t="shared" si="14"/>
        <v>43952</v>
      </c>
      <c r="I84" s="93">
        <f t="shared" si="14"/>
        <v>43959</v>
      </c>
      <c r="J84" s="93">
        <f t="shared" si="14"/>
        <v>43966</v>
      </c>
      <c r="K84" s="93">
        <f t="shared" si="14"/>
        <v>43973</v>
      </c>
      <c r="L84" s="93">
        <f t="shared" si="14"/>
        <v>43980</v>
      </c>
      <c r="M84" s="93">
        <f t="shared" si="14"/>
        <v>43987</v>
      </c>
      <c r="N84" s="93">
        <f t="shared" si="14"/>
        <v>43994</v>
      </c>
      <c r="O84" s="93">
        <f t="shared" si="14"/>
        <v>44001</v>
      </c>
      <c r="P84" s="93">
        <f t="shared" si="14"/>
        <v>44008</v>
      </c>
      <c r="Q84" s="93">
        <f t="shared" si="14"/>
        <v>44015</v>
      </c>
      <c r="R84" s="93">
        <v>44022</v>
      </c>
      <c r="S84" s="148">
        <v>44029</v>
      </c>
      <c r="T84" s="148">
        <v>44036</v>
      </c>
      <c r="U84" s="148">
        <v>44043</v>
      </c>
      <c r="V84" s="148">
        <v>44050</v>
      </c>
      <c r="W84" s="148">
        <v>44057</v>
      </c>
      <c r="X84" s="148">
        <v>44064</v>
      </c>
      <c r="Y84" s="148">
        <v>44071</v>
      </c>
      <c r="Z84" s="148">
        <v>44078</v>
      </c>
      <c r="AA84" s="148">
        <v>44085</v>
      </c>
      <c r="AB84" s="148">
        <v>44092</v>
      </c>
      <c r="AC84"/>
      <c r="AD84" s="17"/>
    </row>
    <row r="85" spans="1:30" ht="22" x14ac:dyDescent="0.25">
      <c r="B85" s="94" t="s">
        <v>6</v>
      </c>
      <c r="C85" s="95">
        <f t="shared" ref="C85:S96" si="15">IF(COUNTIFS(TallyDrinkType,$B85,TallyDates,C$84),COUNTIFS(TallyDrinkType,$B85,TallyDates,C$84),0)</f>
        <v>2</v>
      </c>
      <c r="D85" s="95">
        <f t="shared" si="15"/>
        <v>6</v>
      </c>
      <c r="E85" s="95">
        <f t="shared" si="15"/>
        <v>22</v>
      </c>
      <c r="F85" s="95">
        <f t="shared" si="15"/>
        <v>27</v>
      </c>
      <c r="G85" s="95">
        <f t="shared" si="15"/>
        <v>29</v>
      </c>
      <c r="H85" s="95">
        <f t="shared" si="15"/>
        <v>22</v>
      </c>
      <c r="I85" s="95">
        <f t="shared" si="15"/>
        <v>29</v>
      </c>
      <c r="J85" s="95">
        <f t="shared" si="15"/>
        <v>43</v>
      </c>
      <c r="K85" s="95">
        <f t="shared" si="15"/>
        <v>42</v>
      </c>
      <c r="L85" s="95">
        <f t="shared" si="15"/>
        <v>41</v>
      </c>
      <c r="M85" s="95">
        <f t="shared" si="15"/>
        <v>44</v>
      </c>
      <c r="N85" s="95">
        <f t="shared" si="15"/>
        <v>60</v>
      </c>
      <c r="O85" s="95">
        <f t="shared" si="15"/>
        <v>27</v>
      </c>
      <c r="P85" s="95">
        <f t="shared" si="15"/>
        <v>35</v>
      </c>
      <c r="Q85" s="95">
        <f t="shared" si="15"/>
        <v>20</v>
      </c>
      <c r="R85" s="95">
        <f t="shared" si="15"/>
        <v>18</v>
      </c>
      <c r="S85" s="95">
        <f t="shared" si="15"/>
        <v>10</v>
      </c>
      <c r="T85" s="95">
        <f t="shared" ref="S85:AA96" si="16">IF(COUNTIFS(TallyDrinkType,$B85,TallyDates,T$84),COUNTIFS(TallyDrinkType,$B85,TallyDates,T$84),0)</f>
        <v>4</v>
      </c>
      <c r="U85" s="95">
        <f t="shared" si="16"/>
        <v>8</v>
      </c>
      <c r="V85" s="95">
        <f t="shared" si="16"/>
        <v>22</v>
      </c>
      <c r="W85" s="95">
        <f t="shared" si="16"/>
        <v>7</v>
      </c>
      <c r="X85" s="95">
        <f t="shared" si="16"/>
        <v>12</v>
      </c>
      <c r="Y85" s="95">
        <f t="shared" si="16"/>
        <v>8</v>
      </c>
      <c r="Z85" s="95">
        <f t="shared" si="16"/>
        <v>26</v>
      </c>
      <c r="AA85" s="95">
        <f t="shared" si="16"/>
        <v>12</v>
      </c>
      <c r="AB85" s="95"/>
      <c r="AC85"/>
      <c r="AD85" s="17"/>
    </row>
    <row r="86" spans="1:30" ht="22" x14ac:dyDescent="0.25">
      <c r="B86" s="94" t="s">
        <v>34</v>
      </c>
      <c r="C86" s="95">
        <f t="shared" si="15"/>
        <v>0</v>
      </c>
      <c r="D86" s="95">
        <f t="shared" si="15"/>
        <v>0</v>
      </c>
      <c r="E86" s="95">
        <f t="shared" si="15"/>
        <v>8</v>
      </c>
      <c r="F86" s="95">
        <f t="shared" si="15"/>
        <v>5</v>
      </c>
      <c r="G86" s="95">
        <f t="shared" si="15"/>
        <v>12</v>
      </c>
      <c r="H86" s="95">
        <f t="shared" si="15"/>
        <v>15</v>
      </c>
      <c r="I86" s="95">
        <f t="shared" si="15"/>
        <v>2</v>
      </c>
      <c r="J86" s="95">
        <f t="shared" si="15"/>
        <v>12</v>
      </c>
      <c r="K86" s="95">
        <f t="shared" si="15"/>
        <v>5</v>
      </c>
      <c r="L86" s="95">
        <f t="shared" si="15"/>
        <v>8</v>
      </c>
      <c r="M86" s="95">
        <f t="shared" si="15"/>
        <v>9</v>
      </c>
      <c r="N86" s="95">
        <f t="shared" si="15"/>
        <v>4</v>
      </c>
      <c r="O86" s="95">
        <f t="shared" si="15"/>
        <v>10</v>
      </c>
      <c r="P86" s="95">
        <f t="shared" si="15"/>
        <v>15</v>
      </c>
      <c r="Q86" s="95">
        <f t="shared" si="15"/>
        <v>15</v>
      </c>
      <c r="R86" s="95">
        <f t="shared" si="15"/>
        <v>8</v>
      </c>
      <c r="S86" s="95">
        <f t="shared" si="16"/>
        <v>15</v>
      </c>
      <c r="T86" s="95">
        <f t="shared" si="16"/>
        <v>3</v>
      </c>
      <c r="U86" s="95">
        <f t="shared" si="16"/>
        <v>6</v>
      </c>
      <c r="V86" s="95">
        <f t="shared" si="16"/>
        <v>2</v>
      </c>
      <c r="W86" s="95">
        <f t="shared" si="16"/>
        <v>9</v>
      </c>
      <c r="X86" s="95">
        <f t="shared" si="16"/>
        <v>2</v>
      </c>
      <c r="Y86" s="95">
        <f t="shared" si="16"/>
        <v>6</v>
      </c>
      <c r="Z86" s="95">
        <f t="shared" si="16"/>
        <v>9</v>
      </c>
      <c r="AA86" s="95">
        <f t="shared" si="16"/>
        <v>6</v>
      </c>
      <c r="AB86" s="95"/>
      <c r="AC86"/>
      <c r="AD86" s="17"/>
    </row>
    <row r="87" spans="1:30" ht="22" x14ac:dyDescent="0.25">
      <c r="B87" s="94" t="s">
        <v>42</v>
      </c>
      <c r="C87" s="95">
        <f t="shared" si="15"/>
        <v>2</v>
      </c>
      <c r="D87" s="95">
        <f t="shared" si="15"/>
        <v>1</v>
      </c>
      <c r="E87" s="95">
        <f t="shared" si="15"/>
        <v>3</v>
      </c>
      <c r="F87" s="95">
        <f t="shared" si="15"/>
        <v>3</v>
      </c>
      <c r="G87" s="95">
        <f t="shared" si="15"/>
        <v>2</v>
      </c>
      <c r="H87" s="95">
        <f t="shared" si="15"/>
        <v>1</v>
      </c>
      <c r="I87" s="95">
        <f t="shared" si="15"/>
        <v>1</v>
      </c>
      <c r="J87" s="95">
        <f t="shared" si="15"/>
        <v>2</v>
      </c>
      <c r="K87" s="95">
        <f t="shared" si="15"/>
        <v>1</v>
      </c>
      <c r="L87" s="95">
        <f t="shared" si="15"/>
        <v>7</v>
      </c>
      <c r="M87" s="95">
        <f t="shared" si="15"/>
        <v>2</v>
      </c>
      <c r="N87" s="95">
        <f t="shared" si="15"/>
        <v>4</v>
      </c>
      <c r="O87" s="95">
        <f t="shared" si="15"/>
        <v>4</v>
      </c>
      <c r="P87" s="95">
        <f t="shared" si="15"/>
        <v>18</v>
      </c>
      <c r="Q87" s="95">
        <f t="shared" si="15"/>
        <v>5</v>
      </c>
      <c r="R87" s="95">
        <f t="shared" si="15"/>
        <v>2</v>
      </c>
      <c r="S87" s="95">
        <f t="shared" si="16"/>
        <v>7</v>
      </c>
      <c r="T87" s="95">
        <f t="shared" si="16"/>
        <v>1</v>
      </c>
      <c r="U87" s="95">
        <f t="shared" si="16"/>
        <v>5</v>
      </c>
      <c r="V87" s="95">
        <f t="shared" si="16"/>
        <v>1</v>
      </c>
      <c r="W87" s="95">
        <f t="shared" si="16"/>
        <v>5</v>
      </c>
      <c r="X87" s="95">
        <f t="shared" si="16"/>
        <v>3</v>
      </c>
      <c r="Y87" s="95">
        <f t="shared" si="16"/>
        <v>2</v>
      </c>
      <c r="Z87" s="95">
        <f t="shared" si="16"/>
        <v>5</v>
      </c>
      <c r="AA87" s="95">
        <f t="shared" si="16"/>
        <v>3</v>
      </c>
      <c r="AB87" s="95"/>
      <c r="AC87"/>
      <c r="AD87" s="17"/>
    </row>
    <row r="88" spans="1:30" ht="22" x14ac:dyDescent="0.25">
      <c r="B88" s="94" t="s">
        <v>54</v>
      </c>
      <c r="C88" s="95">
        <f t="shared" si="15"/>
        <v>0</v>
      </c>
      <c r="D88" s="95">
        <f t="shared" si="15"/>
        <v>0</v>
      </c>
      <c r="E88" s="95">
        <f t="shared" si="15"/>
        <v>2</v>
      </c>
      <c r="F88" s="95">
        <f t="shared" si="15"/>
        <v>1</v>
      </c>
      <c r="G88" s="95">
        <f t="shared" si="15"/>
        <v>0</v>
      </c>
      <c r="H88" s="95">
        <f t="shared" si="15"/>
        <v>2</v>
      </c>
      <c r="I88" s="95">
        <f t="shared" si="15"/>
        <v>0</v>
      </c>
      <c r="J88" s="95">
        <f t="shared" si="15"/>
        <v>2</v>
      </c>
      <c r="K88" s="95">
        <f t="shared" si="15"/>
        <v>0</v>
      </c>
      <c r="L88" s="95">
        <f t="shared" si="15"/>
        <v>4</v>
      </c>
      <c r="M88" s="95">
        <f t="shared" si="15"/>
        <v>0</v>
      </c>
      <c r="N88" s="95">
        <f t="shared" si="15"/>
        <v>0</v>
      </c>
      <c r="O88" s="95">
        <f t="shared" si="15"/>
        <v>1</v>
      </c>
      <c r="P88" s="95">
        <f t="shared" si="15"/>
        <v>0</v>
      </c>
      <c r="Q88" s="95">
        <f t="shared" si="15"/>
        <v>1</v>
      </c>
      <c r="R88" s="95">
        <f t="shared" si="15"/>
        <v>0</v>
      </c>
      <c r="S88" s="95">
        <f t="shared" si="16"/>
        <v>1</v>
      </c>
      <c r="T88" s="95">
        <f t="shared" si="16"/>
        <v>0</v>
      </c>
      <c r="U88" s="95">
        <f t="shared" si="16"/>
        <v>0</v>
      </c>
      <c r="V88" s="95">
        <f t="shared" si="16"/>
        <v>1</v>
      </c>
      <c r="W88" s="95">
        <f t="shared" si="16"/>
        <v>2</v>
      </c>
      <c r="X88" s="95">
        <f t="shared" si="16"/>
        <v>6</v>
      </c>
      <c r="Y88" s="95">
        <f t="shared" si="16"/>
        <v>0</v>
      </c>
      <c r="Z88" s="95">
        <f t="shared" si="16"/>
        <v>0</v>
      </c>
      <c r="AA88" s="95">
        <f t="shared" si="16"/>
        <v>0</v>
      </c>
      <c r="AB88" s="95"/>
      <c r="AC88"/>
      <c r="AD88" s="17"/>
    </row>
    <row r="89" spans="1:30" ht="22" x14ac:dyDescent="0.25">
      <c r="B89" s="94" t="s">
        <v>12</v>
      </c>
      <c r="C89" s="95">
        <f t="shared" si="15"/>
        <v>8</v>
      </c>
      <c r="D89" s="95">
        <f t="shared" si="15"/>
        <v>2</v>
      </c>
      <c r="E89" s="95">
        <f t="shared" si="15"/>
        <v>2</v>
      </c>
      <c r="F89" s="95">
        <f t="shared" si="15"/>
        <v>9</v>
      </c>
      <c r="G89" s="95">
        <f t="shared" si="15"/>
        <v>8</v>
      </c>
      <c r="H89" s="95">
        <f t="shared" si="15"/>
        <v>8</v>
      </c>
      <c r="I89" s="95">
        <f t="shared" si="15"/>
        <v>6</v>
      </c>
      <c r="J89" s="95">
        <f t="shared" si="15"/>
        <v>10</v>
      </c>
      <c r="K89" s="95">
        <f t="shared" si="15"/>
        <v>5</v>
      </c>
      <c r="L89" s="95">
        <f t="shared" si="15"/>
        <v>8</v>
      </c>
      <c r="M89" s="95">
        <f t="shared" si="15"/>
        <v>5</v>
      </c>
      <c r="N89" s="95">
        <f t="shared" si="15"/>
        <v>7</v>
      </c>
      <c r="O89" s="95">
        <f t="shared" si="15"/>
        <v>6</v>
      </c>
      <c r="P89" s="95">
        <f t="shared" si="15"/>
        <v>15</v>
      </c>
      <c r="Q89" s="95">
        <f t="shared" si="15"/>
        <v>1</v>
      </c>
      <c r="R89" s="95">
        <f t="shared" si="15"/>
        <v>2</v>
      </c>
      <c r="S89" s="95">
        <f t="shared" si="16"/>
        <v>4</v>
      </c>
      <c r="T89" s="95">
        <f t="shared" si="16"/>
        <v>1</v>
      </c>
      <c r="U89" s="95">
        <f t="shared" si="16"/>
        <v>2</v>
      </c>
      <c r="V89" s="95">
        <f t="shared" si="16"/>
        <v>3</v>
      </c>
      <c r="W89" s="95">
        <f t="shared" si="16"/>
        <v>1</v>
      </c>
      <c r="X89" s="95">
        <f t="shared" si="16"/>
        <v>2</v>
      </c>
      <c r="Y89" s="95">
        <f t="shared" si="16"/>
        <v>5</v>
      </c>
      <c r="Z89" s="95">
        <f t="shared" si="16"/>
        <v>2</v>
      </c>
      <c r="AA89" s="95">
        <f t="shared" si="16"/>
        <v>5</v>
      </c>
      <c r="AB89" s="95"/>
      <c r="AC89"/>
      <c r="AD89" s="17"/>
    </row>
    <row r="90" spans="1:30" ht="22" x14ac:dyDescent="0.25">
      <c r="B90" s="94" t="s">
        <v>32</v>
      </c>
      <c r="C90" s="95">
        <f t="shared" si="15"/>
        <v>2</v>
      </c>
      <c r="D90" s="95">
        <f t="shared" si="15"/>
        <v>2</v>
      </c>
      <c r="E90" s="95">
        <f t="shared" si="15"/>
        <v>4</v>
      </c>
      <c r="F90" s="95">
        <f t="shared" si="15"/>
        <v>1</v>
      </c>
      <c r="G90" s="95">
        <f t="shared" si="15"/>
        <v>9</v>
      </c>
      <c r="H90" s="95">
        <f t="shared" si="15"/>
        <v>4</v>
      </c>
      <c r="I90" s="95">
        <f t="shared" si="15"/>
        <v>8</v>
      </c>
      <c r="J90" s="95">
        <f t="shared" si="15"/>
        <v>8</v>
      </c>
      <c r="K90" s="95">
        <f t="shared" si="15"/>
        <v>6</v>
      </c>
      <c r="L90" s="95">
        <f t="shared" si="15"/>
        <v>8</v>
      </c>
      <c r="M90" s="95">
        <f t="shared" si="15"/>
        <v>6</v>
      </c>
      <c r="N90" s="95">
        <f t="shared" si="15"/>
        <v>14</v>
      </c>
      <c r="O90" s="95">
        <f t="shared" si="15"/>
        <v>14</v>
      </c>
      <c r="P90" s="95">
        <f t="shared" si="15"/>
        <v>5</v>
      </c>
      <c r="Q90" s="95">
        <f t="shared" si="15"/>
        <v>4</v>
      </c>
      <c r="R90" s="95">
        <f t="shared" si="15"/>
        <v>3</v>
      </c>
      <c r="S90" s="95">
        <f t="shared" si="16"/>
        <v>0</v>
      </c>
      <c r="T90" s="95">
        <f t="shared" si="16"/>
        <v>1</v>
      </c>
      <c r="U90" s="95">
        <f t="shared" si="16"/>
        <v>0</v>
      </c>
      <c r="V90" s="95">
        <f t="shared" si="16"/>
        <v>0</v>
      </c>
      <c r="W90" s="95">
        <f t="shared" si="16"/>
        <v>0</v>
      </c>
      <c r="X90" s="95">
        <f t="shared" si="16"/>
        <v>0</v>
      </c>
      <c r="Y90" s="95">
        <f t="shared" si="16"/>
        <v>1</v>
      </c>
      <c r="Z90" s="95">
        <f t="shared" si="16"/>
        <v>4</v>
      </c>
      <c r="AA90" s="95">
        <f t="shared" si="16"/>
        <v>0</v>
      </c>
      <c r="AB90" s="95"/>
      <c r="AC90"/>
      <c r="AD90" s="17"/>
    </row>
    <row r="91" spans="1:30" ht="22" x14ac:dyDescent="0.25">
      <c r="B91" s="94" t="s">
        <v>36</v>
      </c>
      <c r="C91" s="95">
        <f t="shared" si="15"/>
        <v>4</v>
      </c>
      <c r="D91" s="95">
        <f t="shared" si="15"/>
        <v>1</v>
      </c>
      <c r="E91" s="95">
        <f t="shared" si="15"/>
        <v>3</v>
      </c>
      <c r="F91" s="95">
        <f t="shared" si="15"/>
        <v>4</v>
      </c>
      <c r="G91" s="95">
        <f t="shared" si="15"/>
        <v>0</v>
      </c>
      <c r="H91" s="95">
        <f t="shared" si="15"/>
        <v>6</v>
      </c>
      <c r="I91" s="95">
        <f t="shared" si="15"/>
        <v>5</v>
      </c>
      <c r="J91" s="95">
        <f t="shared" si="15"/>
        <v>6</v>
      </c>
      <c r="K91" s="95">
        <f t="shared" si="15"/>
        <v>5</v>
      </c>
      <c r="L91" s="95">
        <f t="shared" si="15"/>
        <v>3</v>
      </c>
      <c r="M91" s="95">
        <f t="shared" si="15"/>
        <v>3</v>
      </c>
      <c r="N91" s="95">
        <f t="shared" si="15"/>
        <v>6</v>
      </c>
      <c r="O91" s="95">
        <f t="shared" si="15"/>
        <v>4</v>
      </c>
      <c r="P91" s="95">
        <f t="shared" si="15"/>
        <v>5</v>
      </c>
      <c r="Q91" s="95">
        <f t="shared" si="15"/>
        <v>1</v>
      </c>
      <c r="R91" s="95">
        <f t="shared" si="15"/>
        <v>1</v>
      </c>
      <c r="S91" s="95">
        <f t="shared" si="16"/>
        <v>0</v>
      </c>
      <c r="T91" s="95">
        <f t="shared" si="16"/>
        <v>0</v>
      </c>
      <c r="U91" s="95">
        <f t="shared" si="16"/>
        <v>2</v>
      </c>
      <c r="V91" s="95">
        <f t="shared" si="16"/>
        <v>3</v>
      </c>
      <c r="W91" s="95">
        <f t="shared" si="16"/>
        <v>1</v>
      </c>
      <c r="X91" s="95">
        <f t="shared" si="16"/>
        <v>1</v>
      </c>
      <c r="Y91" s="95">
        <f t="shared" si="16"/>
        <v>3</v>
      </c>
      <c r="Z91" s="95">
        <f t="shared" si="16"/>
        <v>0</v>
      </c>
      <c r="AA91" s="95">
        <f t="shared" si="16"/>
        <v>1</v>
      </c>
      <c r="AB91" s="95"/>
      <c r="AC91"/>
      <c r="AD91" s="17"/>
    </row>
    <row r="92" spans="1:30" ht="22" x14ac:dyDescent="0.25">
      <c r="B92" s="94" t="s">
        <v>65</v>
      </c>
      <c r="C92" s="95">
        <f t="shared" si="15"/>
        <v>1</v>
      </c>
      <c r="D92" s="95">
        <f t="shared" si="15"/>
        <v>4</v>
      </c>
      <c r="E92" s="95">
        <f t="shared" si="15"/>
        <v>4</v>
      </c>
      <c r="F92" s="95">
        <f t="shared" si="15"/>
        <v>6</v>
      </c>
      <c r="G92" s="95">
        <f t="shared" si="15"/>
        <v>9</v>
      </c>
      <c r="H92" s="95">
        <f t="shared" si="15"/>
        <v>2</v>
      </c>
      <c r="I92" s="95">
        <f t="shared" si="15"/>
        <v>15</v>
      </c>
      <c r="J92" s="95">
        <f t="shared" si="15"/>
        <v>8</v>
      </c>
      <c r="K92" s="95">
        <f t="shared" si="15"/>
        <v>6</v>
      </c>
      <c r="L92" s="95">
        <f t="shared" si="15"/>
        <v>16</v>
      </c>
      <c r="M92" s="95">
        <f t="shared" si="15"/>
        <v>5</v>
      </c>
      <c r="N92" s="95">
        <f t="shared" si="15"/>
        <v>5</v>
      </c>
      <c r="O92" s="95">
        <f t="shared" si="15"/>
        <v>9</v>
      </c>
      <c r="P92" s="95">
        <f t="shared" si="15"/>
        <v>10</v>
      </c>
      <c r="Q92" s="95">
        <f t="shared" si="15"/>
        <v>1</v>
      </c>
      <c r="R92" s="95">
        <f t="shared" si="15"/>
        <v>5</v>
      </c>
      <c r="S92" s="95">
        <f t="shared" si="16"/>
        <v>0</v>
      </c>
      <c r="T92" s="95">
        <f t="shared" si="16"/>
        <v>0</v>
      </c>
      <c r="U92" s="95">
        <f t="shared" si="16"/>
        <v>4</v>
      </c>
      <c r="V92" s="95">
        <f t="shared" si="16"/>
        <v>3</v>
      </c>
      <c r="W92" s="95">
        <f t="shared" si="16"/>
        <v>3</v>
      </c>
      <c r="X92" s="95">
        <f t="shared" si="16"/>
        <v>2</v>
      </c>
      <c r="Y92" s="95">
        <f t="shared" si="16"/>
        <v>1</v>
      </c>
      <c r="Z92" s="95">
        <f t="shared" si="16"/>
        <v>2</v>
      </c>
      <c r="AA92" s="95">
        <f t="shared" si="16"/>
        <v>0</v>
      </c>
      <c r="AB92" s="95"/>
      <c r="AC92"/>
      <c r="AD92" s="17"/>
    </row>
    <row r="93" spans="1:30" ht="22" x14ac:dyDescent="0.25">
      <c r="B93" s="94" t="s">
        <v>48</v>
      </c>
      <c r="C93" s="95">
        <f t="shared" si="15"/>
        <v>1</v>
      </c>
      <c r="D93" s="95">
        <f t="shared" si="15"/>
        <v>0</v>
      </c>
      <c r="E93" s="95">
        <f t="shared" si="15"/>
        <v>1</v>
      </c>
      <c r="F93" s="95">
        <f t="shared" si="15"/>
        <v>0</v>
      </c>
      <c r="G93" s="95">
        <f t="shared" si="15"/>
        <v>0</v>
      </c>
      <c r="H93" s="95">
        <f t="shared" si="15"/>
        <v>0</v>
      </c>
      <c r="I93" s="95">
        <f t="shared" si="15"/>
        <v>1</v>
      </c>
      <c r="J93" s="95">
        <f t="shared" si="15"/>
        <v>0</v>
      </c>
      <c r="K93" s="95">
        <f t="shared" si="15"/>
        <v>0</v>
      </c>
      <c r="L93" s="95">
        <f t="shared" si="15"/>
        <v>0</v>
      </c>
      <c r="M93" s="95">
        <f t="shared" si="15"/>
        <v>0</v>
      </c>
      <c r="N93" s="95">
        <f t="shared" si="15"/>
        <v>0</v>
      </c>
      <c r="O93" s="95">
        <f t="shared" si="15"/>
        <v>0</v>
      </c>
      <c r="P93" s="95">
        <f t="shared" si="15"/>
        <v>1</v>
      </c>
      <c r="Q93" s="95">
        <f t="shared" si="15"/>
        <v>0</v>
      </c>
      <c r="R93" s="95">
        <f t="shared" si="15"/>
        <v>0</v>
      </c>
      <c r="S93" s="95">
        <f t="shared" si="16"/>
        <v>0</v>
      </c>
      <c r="T93" s="95">
        <f t="shared" si="16"/>
        <v>0</v>
      </c>
      <c r="U93" s="95">
        <f t="shared" si="16"/>
        <v>1</v>
      </c>
      <c r="V93" s="95">
        <f t="shared" si="16"/>
        <v>0</v>
      </c>
      <c r="W93" s="95">
        <f t="shared" si="16"/>
        <v>3</v>
      </c>
      <c r="X93" s="95">
        <f t="shared" si="16"/>
        <v>0</v>
      </c>
      <c r="Y93" s="95">
        <f t="shared" si="16"/>
        <v>0</v>
      </c>
      <c r="Z93" s="95">
        <f t="shared" si="16"/>
        <v>0</v>
      </c>
      <c r="AA93" s="95">
        <f t="shared" si="16"/>
        <v>0</v>
      </c>
      <c r="AB93" s="95"/>
      <c r="AC93"/>
      <c r="AD93" s="17"/>
    </row>
    <row r="94" spans="1:30" ht="22" x14ac:dyDescent="0.25">
      <c r="B94" s="94" t="s">
        <v>27</v>
      </c>
      <c r="C94" s="95">
        <f t="shared" si="15"/>
        <v>8</v>
      </c>
      <c r="D94" s="95">
        <f t="shared" si="15"/>
        <v>3</v>
      </c>
      <c r="E94" s="95">
        <f t="shared" si="15"/>
        <v>5</v>
      </c>
      <c r="F94" s="95">
        <f t="shared" si="15"/>
        <v>2</v>
      </c>
      <c r="G94" s="95">
        <f t="shared" si="15"/>
        <v>0</v>
      </c>
      <c r="H94" s="95">
        <f t="shared" si="15"/>
        <v>1</v>
      </c>
      <c r="I94" s="95">
        <f t="shared" si="15"/>
        <v>7</v>
      </c>
      <c r="J94" s="95">
        <f t="shared" si="15"/>
        <v>8</v>
      </c>
      <c r="K94" s="95">
        <f t="shared" si="15"/>
        <v>8</v>
      </c>
      <c r="L94" s="95">
        <f t="shared" si="15"/>
        <v>6</v>
      </c>
      <c r="M94" s="95">
        <f t="shared" si="15"/>
        <v>7</v>
      </c>
      <c r="N94" s="95">
        <f t="shared" si="15"/>
        <v>7</v>
      </c>
      <c r="O94" s="95">
        <f t="shared" si="15"/>
        <v>4</v>
      </c>
      <c r="P94" s="95">
        <f t="shared" si="15"/>
        <v>6</v>
      </c>
      <c r="Q94" s="95">
        <f t="shared" si="15"/>
        <v>1</v>
      </c>
      <c r="R94" s="95">
        <f t="shared" si="15"/>
        <v>1</v>
      </c>
      <c r="S94" s="95">
        <f t="shared" si="16"/>
        <v>1</v>
      </c>
      <c r="T94" s="95">
        <f t="shared" si="16"/>
        <v>2</v>
      </c>
      <c r="U94" s="95">
        <f t="shared" si="16"/>
        <v>2</v>
      </c>
      <c r="V94" s="95">
        <f t="shared" si="16"/>
        <v>2</v>
      </c>
      <c r="W94" s="95">
        <f t="shared" si="16"/>
        <v>3</v>
      </c>
      <c r="X94" s="95">
        <f t="shared" si="16"/>
        <v>1</v>
      </c>
      <c r="Y94" s="95">
        <f t="shared" si="16"/>
        <v>6</v>
      </c>
      <c r="Z94" s="95">
        <f t="shared" si="16"/>
        <v>3</v>
      </c>
      <c r="AA94" s="95">
        <f t="shared" si="16"/>
        <v>2</v>
      </c>
      <c r="AB94" s="95"/>
      <c r="AC94"/>
      <c r="AD94" s="17"/>
    </row>
    <row r="95" spans="1:30" ht="22" x14ac:dyDescent="0.25">
      <c r="B95" s="94" t="s">
        <v>90</v>
      </c>
      <c r="C95" s="95">
        <f t="shared" si="15"/>
        <v>1</v>
      </c>
      <c r="D95" s="95">
        <f t="shared" si="15"/>
        <v>1</v>
      </c>
      <c r="E95" s="95">
        <f t="shared" si="15"/>
        <v>1</v>
      </c>
      <c r="F95" s="95">
        <f t="shared" si="15"/>
        <v>3</v>
      </c>
      <c r="G95" s="95">
        <f t="shared" si="15"/>
        <v>3</v>
      </c>
      <c r="H95" s="95">
        <f t="shared" si="15"/>
        <v>3</v>
      </c>
      <c r="I95" s="95">
        <f t="shared" si="15"/>
        <v>1</v>
      </c>
      <c r="J95" s="95">
        <f t="shared" si="15"/>
        <v>1</v>
      </c>
      <c r="K95" s="95">
        <f t="shared" si="15"/>
        <v>0</v>
      </c>
      <c r="L95" s="95">
        <f t="shared" si="15"/>
        <v>0</v>
      </c>
      <c r="M95" s="95">
        <f t="shared" si="15"/>
        <v>1</v>
      </c>
      <c r="N95" s="95">
        <f t="shared" si="15"/>
        <v>0</v>
      </c>
      <c r="O95" s="95">
        <f t="shared" si="15"/>
        <v>0</v>
      </c>
      <c r="P95" s="95">
        <f t="shared" si="15"/>
        <v>0</v>
      </c>
      <c r="Q95" s="95">
        <f t="shared" si="15"/>
        <v>8</v>
      </c>
      <c r="R95" s="95">
        <f t="shared" si="15"/>
        <v>0</v>
      </c>
      <c r="S95" s="95">
        <f t="shared" si="16"/>
        <v>1</v>
      </c>
      <c r="T95" s="95">
        <f t="shared" si="16"/>
        <v>0</v>
      </c>
      <c r="U95" s="95">
        <f t="shared" si="16"/>
        <v>0</v>
      </c>
      <c r="V95" s="95">
        <f t="shared" si="16"/>
        <v>0</v>
      </c>
      <c r="W95" s="95">
        <f t="shared" si="16"/>
        <v>0</v>
      </c>
      <c r="X95" s="95">
        <f t="shared" si="16"/>
        <v>0</v>
      </c>
      <c r="Y95" s="95">
        <f t="shared" si="16"/>
        <v>0</v>
      </c>
      <c r="Z95" s="95">
        <f t="shared" si="16"/>
        <v>0</v>
      </c>
      <c r="AA95" s="95">
        <f t="shared" si="16"/>
        <v>0</v>
      </c>
      <c r="AB95" s="95"/>
      <c r="AC95"/>
      <c r="AD95" s="17"/>
    </row>
    <row r="96" spans="1:30" ht="22" x14ac:dyDescent="0.25">
      <c r="B96" s="94" t="s">
        <v>59</v>
      </c>
      <c r="C96" s="95">
        <f t="shared" si="15"/>
        <v>2</v>
      </c>
      <c r="D96" s="95">
        <f t="shared" si="15"/>
        <v>1</v>
      </c>
      <c r="E96" s="95">
        <f t="shared" si="15"/>
        <v>4</v>
      </c>
      <c r="F96" s="95">
        <f t="shared" si="15"/>
        <v>3</v>
      </c>
      <c r="G96" s="95">
        <f t="shared" si="15"/>
        <v>2</v>
      </c>
      <c r="H96" s="95">
        <f t="shared" si="15"/>
        <v>0</v>
      </c>
      <c r="I96" s="95">
        <f t="shared" si="15"/>
        <v>0</v>
      </c>
      <c r="J96" s="95">
        <f t="shared" si="15"/>
        <v>1</v>
      </c>
      <c r="K96" s="95">
        <f t="shared" si="15"/>
        <v>4</v>
      </c>
      <c r="L96" s="95">
        <f t="shared" si="15"/>
        <v>3</v>
      </c>
      <c r="M96" s="95">
        <f t="shared" si="15"/>
        <v>1</v>
      </c>
      <c r="N96" s="95">
        <f t="shared" si="15"/>
        <v>3</v>
      </c>
      <c r="O96" s="95">
        <f t="shared" si="15"/>
        <v>4</v>
      </c>
      <c r="P96" s="95">
        <f t="shared" si="15"/>
        <v>3</v>
      </c>
      <c r="Q96" s="95">
        <f t="shared" si="15"/>
        <v>7</v>
      </c>
      <c r="R96" s="95">
        <f t="shared" si="15"/>
        <v>3</v>
      </c>
      <c r="S96" s="95">
        <f t="shared" si="16"/>
        <v>5</v>
      </c>
      <c r="T96" s="95">
        <f t="shared" si="16"/>
        <v>0</v>
      </c>
      <c r="U96" s="95">
        <f t="shared" si="16"/>
        <v>2</v>
      </c>
      <c r="V96" s="95">
        <f t="shared" si="16"/>
        <v>2</v>
      </c>
      <c r="W96" s="95">
        <f t="shared" si="16"/>
        <v>0</v>
      </c>
      <c r="X96" s="95">
        <f t="shared" si="16"/>
        <v>1</v>
      </c>
      <c r="Y96" s="95">
        <f t="shared" si="16"/>
        <v>6</v>
      </c>
      <c r="Z96" s="95">
        <f t="shared" si="16"/>
        <v>2</v>
      </c>
      <c r="AA96" s="95">
        <f t="shared" si="16"/>
        <v>0</v>
      </c>
      <c r="AB96" s="95"/>
      <c r="AC96"/>
      <c r="AD96" s="17"/>
    </row>
    <row r="97" spans="2:30" ht="50" x14ac:dyDescent="0.3">
      <c r="B97" s="87" t="s">
        <v>1329</v>
      </c>
      <c r="C97" s="88"/>
      <c r="D97" s="88"/>
      <c r="E97" s="88"/>
      <c r="F97" s="88"/>
      <c r="G97" s="88"/>
      <c r="H97" s="88"/>
      <c r="I97" s="88"/>
      <c r="J97" s="88"/>
      <c r="K97" s="88"/>
      <c r="L97" s="88"/>
      <c r="M97" s="88"/>
      <c r="N97" s="88"/>
      <c r="O97" s="88"/>
      <c r="P97" s="90"/>
      <c r="Q97" s="108"/>
      <c r="R97" s="108"/>
      <c r="S97" s="108"/>
      <c r="T97" s="108"/>
      <c r="U97" s="108"/>
      <c r="V97" s="108"/>
      <c r="W97" s="108"/>
      <c r="X97" s="108"/>
      <c r="Y97" s="108"/>
      <c r="Z97" s="108"/>
      <c r="AA97" s="108"/>
      <c r="AB97" s="108"/>
      <c r="AC97" s="108"/>
      <c r="AD97" s="17"/>
    </row>
    <row r="98" spans="2:30" ht="22" x14ac:dyDescent="0.25">
      <c r="B98" s="94" t="s">
        <v>5</v>
      </c>
      <c r="C98" s="93">
        <f>C$3</f>
        <v>43917</v>
      </c>
      <c r="D98" s="93">
        <f t="shared" ref="D98:Q98" si="17">D$3</f>
        <v>43924</v>
      </c>
      <c r="E98" s="93">
        <f t="shared" si="17"/>
        <v>43931</v>
      </c>
      <c r="F98" s="93">
        <f t="shared" si="17"/>
        <v>43938</v>
      </c>
      <c r="G98" s="93">
        <f t="shared" si="17"/>
        <v>43945</v>
      </c>
      <c r="H98" s="93">
        <f t="shared" si="17"/>
        <v>43952</v>
      </c>
      <c r="I98" s="93">
        <f t="shared" si="17"/>
        <v>43959</v>
      </c>
      <c r="J98" s="93">
        <f t="shared" si="17"/>
        <v>43966</v>
      </c>
      <c r="K98" s="93">
        <f t="shared" si="17"/>
        <v>43973</v>
      </c>
      <c r="L98" s="93">
        <f t="shared" si="17"/>
        <v>43980</v>
      </c>
      <c r="M98" s="93">
        <f t="shared" si="17"/>
        <v>43987</v>
      </c>
      <c r="N98" s="93">
        <f t="shared" si="17"/>
        <v>43994</v>
      </c>
      <c r="O98" s="93">
        <f t="shared" si="17"/>
        <v>44001</v>
      </c>
      <c r="P98" s="93">
        <f t="shared" si="17"/>
        <v>44008</v>
      </c>
      <c r="Q98" s="93">
        <f t="shared" si="17"/>
        <v>44015</v>
      </c>
      <c r="R98" s="93">
        <v>44022</v>
      </c>
      <c r="S98" s="148">
        <v>44029</v>
      </c>
      <c r="T98" s="148">
        <v>44036</v>
      </c>
      <c r="U98" s="148">
        <v>44043</v>
      </c>
      <c r="V98" s="148">
        <v>44050</v>
      </c>
      <c r="W98" s="148">
        <v>44057</v>
      </c>
      <c r="X98" s="148">
        <v>44064</v>
      </c>
      <c r="Y98" s="148">
        <v>44071</v>
      </c>
      <c r="Z98" s="148">
        <v>44078</v>
      </c>
      <c r="AA98" s="148">
        <v>44085</v>
      </c>
      <c r="AB98" s="148">
        <v>44092</v>
      </c>
      <c r="AC98"/>
      <c r="AD98" s="17"/>
    </row>
    <row r="99" spans="2:30" ht="22" x14ac:dyDescent="0.25">
      <c r="B99" s="94" t="s">
        <v>6</v>
      </c>
      <c r="C99" s="95" cm="1">
        <f t="array" ref="C99">SUM(COUNTIFS(TallyDrinkType,$B99,TallyDates,$C$98:C$98),0)</f>
        <v>2</v>
      </c>
      <c r="D99" s="95" cm="1">
        <f t="array" ref="D99">SUM(COUNTIFS(TallyDrinkType,$B99,TallyDates,$C$98:D$98),0)</f>
        <v>8</v>
      </c>
      <c r="E99" s="95" cm="1">
        <f t="array" ref="E99">SUM(COUNTIFS(TallyDrinkType,$B99,TallyDates,$C$98:E$98),0)</f>
        <v>30</v>
      </c>
      <c r="F99" s="95" cm="1">
        <f t="array" ref="F99">SUM(COUNTIFS(TallyDrinkType,$B99,TallyDates,$C$98:F$98),0)</f>
        <v>57</v>
      </c>
      <c r="G99" s="95" cm="1">
        <f t="array" ref="G99">SUM(COUNTIFS(TallyDrinkType,$B99,TallyDates,$C$98:G$98),0)</f>
        <v>86</v>
      </c>
      <c r="H99" s="95" cm="1">
        <f t="array" ref="H99">SUM(COUNTIFS(TallyDrinkType,$B99,TallyDates,$C$98:H$98),0)</f>
        <v>108</v>
      </c>
      <c r="I99" s="95" cm="1">
        <f t="array" ref="I99">SUM(COUNTIFS(TallyDrinkType,$B99,TallyDates,$C$98:I$98),0)</f>
        <v>137</v>
      </c>
      <c r="J99" s="95" cm="1">
        <f t="array" ref="J99">SUM(COUNTIFS(TallyDrinkType,$B99,TallyDates,$C$98:J$98),0)</f>
        <v>180</v>
      </c>
      <c r="K99" s="95" cm="1">
        <f t="array" ref="K99">SUM(COUNTIFS(TallyDrinkType,$B99,TallyDates,$C$98:K$98),0)</f>
        <v>222</v>
      </c>
      <c r="L99" s="95" cm="1">
        <f t="array" ref="L99">SUM(COUNTIFS(TallyDrinkType,$B99,TallyDates,$C$98:L$98),0)</f>
        <v>263</v>
      </c>
      <c r="M99" s="95" cm="1">
        <f t="array" ref="M99">SUM(COUNTIFS(TallyDrinkType,$B99,TallyDates,$C$98:M$98),0)</f>
        <v>307</v>
      </c>
      <c r="N99" s="95" cm="1">
        <f t="array" ref="N99">SUM(COUNTIFS(TallyDrinkType,$B99,TallyDates,$C$98:N$98),0)</f>
        <v>367</v>
      </c>
      <c r="O99" s="95" cm="1">
        <f t="array" ref="O99">SUM(COUNTIFS(TallyDrinkType,$B99,TallyDates,$C$98:O$98),0)</f>
        <v>394</v>
      </c>
      <c r="P99" s="95" cm="1">
        <f t="array" ref="P99">SUM(COUNTIFS(TallyDrinkType,$B99,TallyDates,$C$98:P$98),0)</f>
        <v>429</v>
      </c>
      <c r="Q99" s="95" cm="1">
        <f t="array" ref="Q99">SUM(COUNTIFS(TallyDrinkType,$B99,TallyDates,$C$98:Q$98),0)</f>
        <v>449</v>
      </c>
      <c r="R99" s="95" cm="1">
        <f t="array" ref="R99">SUM(COUNTIFS(TallyDrinkType,$B99,TallyDates,$C$98:R$98),0)</f>
        <v>467</v>
      </c>
      <c r="S99" s="95" cm="1">
        <f t="array" ref="S99">SUM(COUNTIFS(TallyDrinkType,$B99,TallyDates,$C$98:S$98),0)</f>
        <v>477</v>
      </c>
      <c r="T99" s="95" cm="1">
        <f t="array" ref="T99">SUM(COUNTIFS(TallyDrinkType,$B99,TallyDates,$C$98:T$98),0)</f>
        <v>481</v>
      </c>
      <c r="U99" s="95" cm="1">
        <f t="array" ref="U99">SUM(COUNTIFS(TallyDrinkType,$B99,TallyDates,$C$98:U$98),0)</f>
        <v>489</v>
      </c>
      <c r="V99" s="95" cm="1">
        <f t="array" ref="V99">SUM(COUNTIFS(TallyDrinkType,$B99,TallyDates,$C$98:V$98),0)</f>
        <v>511</v>
      </c>
      <c r="W99" s="95" cm="1">
        <f t="array" ref="W99">SUM(COUNTIFS(TallyDrinkType,$B99,TallyDates,$C$98:W$98),0)</f>
        <v>518</v>
      </c>
      <c r="X99" s="95" cm="1">
        <f t="array" ref="X99">SUM(COUNTIFS(TallyDrinkType,$B99,TallyDates,$C$98:X$98),0)</f>
        <v>530</v>
      </c>
      <c r="Y99" s="95" cm="1">
        <f t="array" ref="Y99">SUM(COUNTIFS(TallyDrinkType,$B99,TallyDates,$C$98:Y$98),0)</f>
        <v>538</v>
      </c>
      <c r="Z99" s="95" cm="1">
        <f t="array" ref="Z99">SUM(COUNTIFS(TallyDrinkType,$B99,TallyDates,$C$98:Z$98),0)</f>
        <v>564</v>
      </c>
      <c r="AA99" s="95" cm="1">
        <f t="array" ref="AA99">SUM(COUNTIFS(TallyDrinkType,$B99,TallyDates,$C$98:AA$98),0)</f>
        <v>576</v>
      </c>
      <c r="AB99" s="95"/>
      <c r="AC99"/>
      <c r="AD99" s="17"/>
    </row>
    <row r="100" spans="2:30" ht="22" x14ac:dyDescent="0.25">
      <c r="B100" s="94" t="s">
        <v>34</v>
      </c>
      <c r="C100" s="95" cm="1">
        <f t="array" ref="C100">SUM(COUNTIFS(TallyDrinkType,$B100,TallyDates,$C$98:C$98),0)</f>
        <v>0</v>
      </c>
      <c r="D100" s="95" cm="1">
        <f t="array" ref="D100">SUM(COUNTIFS(TallyDrinkType,$B100,TallyDates,$C$98:D$98),0)</f>
        <v>0</v>
      </c>
      <c r="E100" s="95" cm="1">
        <f t="array" ref="E100">SUM(COUNTIFS(TallyDrinkType,$B100,TallyDates,$C$98:E$98),0)</f>
        <v>8</v>
      </c>
      <c r="F100" s="95" cm="1">
        <f t="array" ref="F100">SUM(COUNTIFS(TallyDrinkType,$B100,TallyDates,$C$98:F$98),0)</f>
        <v>13</v>
      </c>
      <c r="G100" s="95" cm="1">
        <f t="array" ref="G100">SUM(COUNTIFS(TallyDrinkType,$B100,TallyDates,$C$98:G$98),0)</f>
        <v>25</v>
      </c>
      <c r="H100" s="95" cm="1">
        <f t="array" ref="H100">SUM(COUNTIFS(TallyDrinkType,$B100,TallyDates,$C$98:H$98),0)</f>
        <v>40</v>
      </c>
      <c r="I100" s="95" cm="1">
        <f t="array" ref="I100">SUM(COUNTIFS(TallyDrinkType,$B100,TallyDates,$C$98:I$98),0)</f>
        <v>42</v>
      </c>
      <c r="J100" s="95" cm="1">
        <f t="array" ref="J100">SUM(COUNTIFS(TallyDrinkType,$B100,TallyDates,$C$98:J$98),0)</f>
        <v>54</v>
      </c>
      <c r="K100" s="95" cm="1">
        <f t="array" ref="K100">SUM(COUNTIFS(TallyDrinkType,$B100,TallyDates,$C$98:K$98),0)</f>
        <v>59</v>
      </c>
      <c r="L100" s="95" cm="1">
        <f t="array" ref="L100">SUM(COUNTIFS(TallyDrinkType,$B100,TallyDates,$C$98:L$98),0)</f>
        <v>67</v>
      </c>
      <c r="M100" s="95" cm="1">
        <f t="array" ref="M100">SUM(COUNTIFS(TallyDrinkType,$B100,TallyDates,$C$98:M$98),0)</f>
        <v>76</v>
      </c>
      <c r="N100" s="95" cm="1">
        <f t="array" ref="N100">SUM(COUNTIFS(TallyDrinkType,$B100,TallyDates,$C$98:N$98),0)</f>
        <v>80</v>
      </c>
      <c r="O100" s="95" cm="1">
        <f t="array" ref="O100">SUM(COUNTIFS(TallyDrinkType,$B100,TallyDates,$C$98:O$98),0)</f>
        <v>90</v>
      </c>
      <c r="P100" s="95" cm="1">
        <f t="array" ref="P100">SUM(COUNTIFS(TallyDrinkType,$B100,TallyDates,$C$98:P$98),0)</f>
        <v>105</v>
      </c>
      <c r="Q100" s="95" cm="1">
        <f t="array" ref="Q100">SUM(COUNTIFS(TallyDrinkType,$B100,TallyDates,$C$98:Q$98),0)</f>
        <v>120</v>
      </c>
      <c r="R100" s="95" cm="1">
        <f t="array" ref="R100">SUM(COUNTIFS(TallyDrinkType,$B100,TallyDates,$C$98:R$98),0)</f>
        <v>128</v>
      </c>
      <c r="S100" s="95" cm="1">
        <f t="array" ref="S100">SUM(COUNTIFS(TallyDrinkType,$B100,TallyDates,$C$98:S$98),0)</f>
        <v>143</v>
      </c>
      <c r="T100" s="95" cm="1">
        <f t="array" ref="T100">SUM(COUNTIFS(TallyDrinkType,$B100,TallyDates,$C$98:T$98),0)</f>
        <v>146</v>
      </c>
      <c r="U100" s="95" cm="1">
        <f t="array" ref="U100">SUM(COUNTIFS(TallyDrinkType,$B100,TallyDates,$C$98:U$98),0)</f>
        <v>152</v>
      </c>
      <c r="V100" s="95" cm="1">
        <f t="array" ref="V100">SUM(COUNTIFS(TallyDrinkType,$B100,TallyDates,$C$98:V$98),0)</f>
        <v>154</v>
      </c>
      <c r="W100" s="95" cm="1">
        <f t="array" ref="W100">SUM(COUNTIFS(TallyDrinkType,$B100,TallyDates,$C$98:W$98),0)</f>
        <v>163</v>
      </c>
      <c r="X100" s="95" cm="1">
        <f t="array" ref="X100">SUM(COUNTIFS(TallyDrinkType,$B100,TallyDates,$C$98:X$98),0)</f>
        <v>165</v>
      </c>
      <c r="Y100" s="95" cm="1">
        <f t="array" ref="Y100">SUM(COUNTIFS(TallyDrinkType,$B100,TallyDates,$C$98:Y$98),0)</f>
        <v>171</v>
      </c>
      <c r="Z100" s="95" cm="1">
        <f t="array" ref="Z100">SUM(COUNTIFS(TallyDrinkType,$B100,TallyDates,$C$98:Z$98),0)</f>
        <v>180</v>
      </c>
      <c r="AA100" s="95" cm="1">
        <f t="array" ref="AA100">SUM(COUNTIFS(TallyDrinkType,$B100,TallyDates,$C$98:AA$98),0)</f>
        <v>186</v>
      </c>
      <c r="AB100" s="95"/>
      <c r="AC100"/>
      <c r="AD100" s="17"/>
    </row>
    <row r="101" spans="2:30" ht="22" x14ac:dyDescent="0.25">
      <c r="B101" s="94" t="s">
        <v>42</v>
      </c>
      <c r="C101" s="95" cm="1">
        <f t="array" ref="C101">SUM(COUNTIFS(TallyDrinkType,$B101,TallyDates,$C$98:C$98),0)</f>
        <v>2</v>
      </c>
      <c r="D101" s="95" cm="1">
        <f t="array" ref="D101">SUM(COUNTIFS(TallyDrinkType,$B101,TallyDates,$C$98:D$98),0)</f>
        <v>3</v>
      </c>
      <c r="E101" s="95" cm="1">
        <f t="array" ref="E101">SUM(COUNTIFS(TallyDrinkType,$B101,TallyDates,$C$98:E$98),0)</f>
        <v>6</v>
      </c>
      <c r="F101" s="95" cm="1">
        <f t="array" ref="F101">SUM(COUNTIFS(TallyDrinkType,$B101,TallyDates,$C$98:F$98),0)</f>
        <v>9</v>
      </c>
      <c r="G101" s="95" cm="1">
        <f t="array" ref="G101">SUM(COUNTIFS(TallyDrinkType,$B101,TallyDates,$C$98:G$98),0)</f>
        <v>11</v>
      </c>
      <c r="H101" s="95" cm="1">
        <f t="array" ref="H101">SUM(COUNTIFS(TallyDrinkType,$B101,TallyDates,$C$98:H$98),0)</f>
        <v>12</v>
      </c>
      <c r="I101" s="95" cm="1">
        <f t="array" ref="I101">SUM(COUNTIFS(TallyDrinkType,$B101,TallyDates,$C$98:I$98),0)</f>
        <v>13</v>
      </c>
      <c r="J101" s="95" cm="1">
        <f t="array" ref="J101">SUM(COUNTIFS(TallyDrinkType,$B101,TallyDates,$C$98:J$98),0)</f>
        <v>15</v>
      </c>
      <c r="K101" s="95" cm="1">
        <f t="array" ref="K101">SUM(COUNTIFS(TallyDrinkType,$B101,TallyDates,$C$98:K$98),0)</f>
        <v>16</v>
      </c>
      <c r="L101" s="95" cm="1">
        <f t="array" ref="L101">SUM(COUNTIFS(TallyDrinkType,$B101,TallyDates,$C$98:L$98),0)</f>
        <v>23</v>
      </c>
      <c r="M101" s="95" cm="1">
        <f t="array" ref="M101">SUM(COUNTIFS(TallyDrinkType,$B101,TallyDates,$C$98:M$98),0)</f>
        <v>25</v>
      </c>
      <c r="N101" s="95" cm="1">
        <f t="array" ref="N101">SUM(COUNTIFS(TallyDrinkType,$B101,TallyDates,$C$98:N$98),0)</f>
        <v>29</v>
      </c>
      <c r="O101" s="95" cm="1">
        <f t="array" ref="O101">SUM(COUNTIFS(TallyDrinkType,$B101,TallyDates,$C$98:O$98),0)</f>
        <v>33</v>
      </c>
      <c r="P101" s="95" cm="1">
        <f t="array" ref="P101">SUM(COUNTIFS(TallyDrinkType,$B101,TallyDates,$C$98:P$98),0)</f>
        <v>51</v>
      </c>
      <c r="Q101" s="95" cm="1">
        <f t="array" ref="Q101">SUM(COUNTIFS(TallyDrinkType,$B101,TallyDates,$C$98:Q$98),0)</f>
        <v>56</v>
      </c>
      <c r="R101" s="95" cm="1">
        <f t="array" ref="R101">SUM(COUNTIFS(TallyDrinkType,$B101,TallyDates,$C$98:R$98),0)</f>
        <v>58</v>
      </c>
      <c r="S101" s="95" cm="1">
        <f t="array" ref="S101">SUM(COUNTIFS(TallyDrinkType,$B101,TallyDates,$C$98:S$98),0)</f>
        <v>65</v>
      </c>
      <c r="T101" s="95" cm="1">
        <f t="array" ref="T101">SUM(COUNTIFS(TallyDrinkType,$B101,TallyDates,$C$98:T$98),0)</f>
        <v>66</v>
      </c>
      <c r="U101" s="95" cm="1">
        <f t="array" ref="U101">SUM(COUNTIFS(TallyDrinkType,$B101,TallyDates,$C$98:U$98),0)</f>
        <v>71</v>
      </c>
      <c r="V101" s="95" cm="1">
        <f t="array" ref="V101">SUM(COUNTIFS(TallyDrinkType,$B101,TallyDates,$C$98:V$98),0)</f>
        <v>72</v>
      </c>
      <c r="W101" s="95" cm="1">
        <f t="array" ref="W101">SUM(COUNTIFS(TallyDrinkType,$B101,TallyDates,$C$98:W$98),0)</f>
        <v>77</v>
      </c>
      <c r="X101" s="95" cm="1">
        <f t="array" ref="X101">SUM(COUNTIFS(TallyDrinkType,$B101,TallyDates,$C$98:X$98),0)</f>
        <v>80</v>
      </c>
      <c r="Y101" s="95" cm="1">
        <f t="array" ref="Y101">SUM(COUNTIFS(TallyDrinkType,$B101,TallyDates,$C$98:Y$98),0)</f>
        <v>82</v>
      </c>
      <c r="Z101" s="95" cm="1">
        <f t="array" ref="Z101">SUM(COUNTIFS(TallyDrinkType,$B101,TallyDates,$C$98:Z$98),0)</f>
        <v>87</v>
      </c>
      <c r="AA101" s="95" cm="1">
        <f t="array" ref="AA101">SUM(COUNTIFS(TallyDrinkType,$B101,TallyDates,$C$98:AA$98),0)</f>
        <v>90</v>
      </c>
      <c r="AB101" s="95"/>
      <c r="AC101"/>
      <c r="AD101" s="17"/>
    </row>
    <row r="102" spans="2:30" ht="22" x14ac:dyDescent="0.25">
      <c r="B102" s="94" t="s">
        <v>54</v>
      </c>
      <c r="C102" s="95" cm="1">
        <f t="array" ref="C102">SUM(COUNTIFS(TallyDrinkType,$B102,TallyDates,$C$98:C$98),0)</f>
        <v>0</v>
      </c>
      <c r="D102" s="95" cm="1">
        <f t="array" ref="D102">SUM(COUNTIFS(TallyDrinkType,$B102,TallyDates,$C$98:D$98),0)</f>
        <v>0</v>
      </c>
      <c r="E102" s="95" cm="1">
        <f t="array" ref="E102">SUM(COUNTIFS(TallyDrinkType,$B102,TallyDates,$C$98:E$98),0)</f>
        <v>2</v>
      </c>
      <c r="F102" s="95" cm="1">
        <f t="array" ref="F102">SUM(COUNTIFS(TallyDrinkType,$B102,TallyDates,$C$98:F$98),0)</f>
        <v>3</v>
      </c>
      <c r="G102" s="95" cm="1">
        <f t="array" ref="G102">SUM(COUNTIFS(TallyDrinkType,$B102,TallyDates,$C$98:G$98),0)</f>
        <v>3</v>
      </c>
      <c r="H102" s="95" cm="1">
        <f t="array" ref="H102">SUM(COUNTIFS(TallyDrinkType,$B102,TallyDates,$C$98:H$98),0)</f>
        <v>5</v>
      </c>
      <c r="I102" s="95" cm="1">
        <f t="array" ref="I102">SUM(COUNTIFS(TallyDrinkType,$B102,TallyDates,$C$98:I$98),0)</f>
        <v>5</v>
      </c>
      <c r="J102" s="95" cm="1">
        <f t="array" ref="J102">SUM(COUNTIFS(TallyDrinkType,$B102,TallyDates,$C$98:J$98),0)</f>
        <v>7</v>
      </c>
      <c r="K102" s="95" cm="1">
        <f t="array" ref="K102">SUM(COUNTIFS(TallyDrinkType,$B102,TallyDates,$C$98:K$98),0)</f>
        <v>7</v>
      </c>
      <c r="L102" s="95" cm="1">
        <f t="array" ref="L102">SUM(COUNTIFS(TallyDrinkType,$B102,TallyDates,$C$98:L$98),0)</f>
        <v>11</v>
      </c>
      <c r="M102" s="95" cm="1">
        <f t="array" ref="M102">SUM(COUNTIFS(TallyDrinkType,$B102,TallyDates,$C$98:M$98),0)</f>
        <v>11</v>
      </c>
      <c r="N102" s="95" cm="1">
        <f t="array" ref="N102">SUM(COUNTIFS(TallyDrinkType,$B102,TallyDates,$C$98:N$98),0)</f>
        <v>11</v>
      </c>
      <c r="O102" s="95" cm="1">
        <f t="array" ref="O102">SUM(COUNTIFS(TallyDrinkType,$B102,TallyDates,$C$98:O$98),0)</f>
        <v>12</v>
      </c>
      <c r="P102" s="95" cm="1">
        <f t="array" ref="P102">SUM(COUNTIFS(TallyDrinkType,$B102,TallyDates,$C$98:P$98),0)</f>
        <v>12</v>
      </c>
      <c r="Q102" s="95" cm="1">
        <f t="array" ref="Q102">SUM(COUNTIFS(TallyDrinkType,$B102,TallyDates,$C$98:Q$98),0)</f>
        <v>13</v>
      </c>
      <c r="R102" s="95" cm="1">
        <f t="array" ref="R102">SUM(COUNTIFS(TallyDrinkType,$B102,TallyDates,$C$98:R$98),0)</f>
        <v>13</v>
      </c>
      <c r="S102" s="95" cm="1">
        <f t="array" ref="S102">SUM(COUNTIFS(TallyDrinkType,$B102,TallyDates,$C$98:S$98),0)</f>
        <v>14</v>
      </c>
      <c r="T102" s="95" cm="1">
        <f t="array" ref="T102">SUM(COUNTIFS(TallyDrinkType,$B102,TallyDates,$C$98:T$98),0)</f>
        <v>14</v>
      </c>
      <c r="U102" s="95" cm="1">
        <f t="array" ref="U102">SUM(COUNTIFS(TallyDrinkType,$B102,TallyDates,$C$98:U$98),0)</f>
        <v>14</v>
      </c>
      <c r="V102" s="95" cm="1">
        <f t="array" ref="V102">SUM(COUNTIFS(TallyDrinkType,$B102,TallyDates,$C$98:V$98),0)</f>
        <v>15</v>
      </c>
      <c r="W102" s="95" cm="1">
        <f t="array" ref="W102">SUM(COUNTIFS(TallyDrinkType,$B102,TallyDates,$C$98:W$98),0)</f>
        <v>17</v>
      </c>
      <c r="X102" s="95" cm="1">
        <f t="array" ref="X102">SUM(COUNTIFS(TallyDrinkType,$B102,TallyDates,$C$98:X$98),0)</f>
        <v>23</v>
      </c>
      <c r="Y102" s="95" cm="1">
        <f t="array" ref="Y102">SUM(COUNTIFS(TallyDrinkType,$B102,TallyDates,$C$98:Y$98),0)</f>
        <v>23</v>
      </c>
      <c r="Z102" s="95" cm="1">
        <f t="array" ref="Z102">SUM(COUNTIFS(TallyDrinkType,$B102,TallyDates,$C$98:Z$98),0)</f>
        <v>23</v>
      </c>
      <c r="AA102" s="95" cm="1">
        <f t="array" ref="AA102">SUM(COUNTIFS(TallyDrinkType,$B102,TallyDates,$C$98:AA$98),0)</f>
        <v>23</v>
      </c>
      <c r="AB102" s="95"/>
      <c r="AC102"/>
      <c r="AD102" s="17"/>
    </row>
    <row r="103" spans="2:30" ht="22" x14ac:dyDescent="0.25">
      <c r="B103" s="94" t="s">
        <v>12</v>
      </c>
      <c r="C103" s="95" cm="1">
        <f t="array" ref="C103">SUM(COUNTIFS(TallyDrinkType,$B103,TallyDates,$C$98:C$98),0)</f>
        <v>8</v>
      </c>
      <c r="D103" s="95" cm="1">
        <f t="array" ref="D103">SUM(COUNTIFS(TallyDrinkType,$B103,TallyDates,$C$98:D$98),0)</f>
        <v>10</v>
      </c>
      <c r="E103" s="95" cm="1">
        <f t="array" ref="E103">SUM(COUNTIFS(TallyDrinkType,$B103,TallyDates,$C$98:E$98),0)</f>
        <v>12</v>
      </c>
      <c r="F103" s="95" cm="1">
        <f t="array" ref="F103">SUM(COUNTIFS(TallyDrinkType,$B103,TallyDates,$C$98:F$98),0)</f>
        <v>21</v>
      </c>
      <c r="G103" s="95" cm="1">
        <f t="array" ref="G103">SUM(COUNTIFS(TallyDrinkType,$B103,TallyDates,$C$98:G$98),0)</f>
        <v>29</v>
      </c>
      <c r="H103" s="95" cm="1">
        <f t="array" ref="H103">SUM(COUNTIFS(TallyDrinkType,$B103,TallyDates,$C$98:H$98),0)</f>
        <v>37</v>
      </c>
      <c r="I103" s="95" cm="1">
        <f t="array" ref="I103">SUM(COUNTIFS(TallyDrinkType,$B103,TallyDates,$C$98:I$98),0)</f>
        <v>43</v>
      </c>
      <c r="J103" s="95" cm="1">
        <f t="array" ref="J103">SUM(COUNTIFS(TallyDrinkType,$B103,TallyDates,$C$98:J$98),0)</f>
        <v>53</v>
      </c>
      <c r="K103" s="95" cm="1">
        <f t="array" ref="K103">SUM(COUNTIFS(TallyDrinkType,$B103,TallyDates,$C$98:K$98),0)</f>
        <v>58</v>
      </c>
      <c r="L103" s="95" cm="1">
        <f t="array" ref="L103">SUM(COUNTIFS(TallyDrinkType,$B103,TallyDates,$C$98:L$98),0)</f>
        <v>66</v>
      </c>
      <c r="M103" s="95" cm="1">
        <f t="array" ref="M103">SUM(COUNTIFS(TallyDrinkType,$B103,TallyDates,$C$98:M$98),0)</f>
        <v>71</v>
      </c>
      <c r="N103" s="95" cm="1">
        <f t="array" ref="N103">SUM(COUNTIFS(TallyDrinkType,$B103,TallyDates,$C$98:N$98),0)</f>
        <v>78</v>
      </c>
      <c r="O103" s="95" cm="1">
        <f t="array" ref="O103">SUM(COUNTIFS(TallyDrinkType,$B103,TallyDates,$C$98:O$98),0)</f>
        <v>84</v>
      </c>
      <c r="P103" s="95" cm="1">
        <f t="array" ref="P103">SUM(COUNTIFS(TallyDrinkType,$B103,TallyDates,$C$98:P$98),0)</f>
        <v>99</v>
      </c>
      <c r="Q103" s="95" cm="1">
        <f t="array" ref="Q103">SUM(COUNTIFS(TallyDrinkType,$B103,TallyDates,$C$98:Q$98),0)</f>
        <v>100</v>
      </c>
      <c r="R103" s="95" cm="1">
        <f t="array" ref="R103">SUM(COUNTIFS(TallyDrinkType,$B103,TallyDates,$C$98:R$98),0)</f>
        <v>102</v>
      </c>
      <c r="S103" s="95" cm="1">
        <f t="array" ref="S103">SUM(COUNTIFS(TallyDrinkType,$B103,TallyDates,$C$98:S$98),0)</f>
        <v>106</v>
      </c>
      <c r="T103" s="95" cm="1">
        <f t="array" ref="T103">SUM(COUNTIFS(TallyDrinkType,$B103,TallyDates,$C$98:T$98),0)</f>
        <v>107</v>
      </c>
      <c r="U103" s="95" cm="1">
        <f t="array" ref="U103">SUM(COUNTIFS(TallyDrinkType,$B103,TallyDates,$C$98:U$98),0)</f>
        <v>109</v>
      </c>
      <c r="V103" s="95" cm="1">
        <f t="array" ref="V103">SUM(COUNTIFS(TallyDrinkType,$B103,TallyDates,$C$98:V$98),0)</f>
        <v>112</v>
      </c>
      <c r="W103" s="95" cm="1">
        <f t="array" ref="W103">SUM(COUNTIFS(TallyDrinkType,$B103,TallyDates,$C$98:W$98),0)</f>
        <v>113</v>
      </c>
      <c r="X103" s="95" cm="1">
        <f t="array" ref="X103">SUM(COUNTIFS(TallyDrinkType,$B103,TallyDates,$C$98:X$98),0)</f>
        <v>115</v>
      </c>
      <c r="Y103" s="95" cm="1">
        <f t="array" ref="Y103">SUM(COUNTIFS(TallyDrinkType,$B103,TallyDates,$C$98:Y$98),0)</f>
        <v>120</v>
      </c>
      <c r="Z103" s="95" cm="1">
        <f t="array" ref="Z103">SUM(COUNTIFS(TallyDrinkType,$B103,TallyDates,$C$98:Z$98),0)</f>
        <v>122</v>
      </c>
      <c r="AA103" s="95" cm="1">
        <f t="array" ref="AA103">SUM(COUNTIFS(TallyDrinkType,$B103,TallyDates,$C$98:AA$98),0)</f>
        <v>127</v>
      </c>
      <c r="AB103" s="95"/>
      <c r="AC103"/>
      <c r="AD103" s="17"/>
    </row>
    <row r="104" spans="2:30" ht="22" x14ac:dyDescent="0.25">
      <c r="B104" s="94" t="s">
        <v>32</v>
      </c>
      <c r="C104" s="95" cm="1">
        <f t="array" ref="C104">SUM(COUNTIFS(TallyDrinkType,$B104,TallyDates,$C$98:C$98),0)</f>
        <v>2</v>
      </c>
      <c r="D104" s="95" cm="1">
        <f t="array" ref="D104">SUM(COUNTIFS(TallyDrinkType,$B104,TallyDates,$C$98:D$98),0)</f>
        <v>4</v>
      </c>
      <c r="E104" s="95" cm="1">
        <f t="array" ref="E104">SUM(COUNTIFS(TallyDrinkType,$B104,TallyDates,$C$98:E$98),0)</f>
        <v>8</v>
      </c>
      <c r="F104" s="95" cm="1">
        <f t="array" ref="F104">SUM(COUNTIFS(TallyDrinkType,$B104,TallyDates,$C$98:F$98),0)</f>
        <v>9</v>
      </c>
      <c r="G104" s="95" cm="1">
        <f t="array" ref="G104">SUM(COUNTIFS(TallyDrinkType,$B104,TallyDates,$C$98:G$98),0)</f>
        <v>18</v>
      </c>
      <c r="H104" s="95" cm="1">
        <f t="array" ref="H104">SUM(COUNTIFS(TallyDrinkType,$B104,TallyDates,$C$98:H$98),0)</f>
        <v>22</v>
      </c>
      <c r="I104" s="95" cm="1">
        <f t="array" ref="I104">SUM(COUNTIFS(TallyDrinkType,$B104,TallyDates,$C$98:I$98),0)</f>
        <v>30</v>
      </c>
      <c r="J104" s="95" cm="1">
        <f t="array" ref="J104">SUM(COUNTIFS(TallyDrinkType,$B104,TallyDates,$C$98:J$98),0)</f>
        <v>38</v>
      </c>
      <c r="K104" s="95" cm="1">
        <f t="array" ref="K104">SUM(COUNTIFS(TallyDrinkType,$B104,TallyDates,$C$98:K$98),0)</f>
        <v>44</v>
      </c>
      <c r="L104" s="95" cm="1">
        <f t="array" ref="L104">SUM(COUNTIFS(TallyDrinkType,$B104,TallyDates,$C$98:L$98),0)</f>
        <v>52</v>
      </c>
      <c r="M104" s="95" cm="1">
        <f t="array" ref="M104">SUM(COUNTIFS(TallyDrinkType,$B104,TallyDates,$C$98:M$98),0)</f>
        <v>58</v>
      </c>
      <c r="N104" s="95" cm="1">
        <f t="array" ref="N104">SUM(COUNTIFS(TallyDrinkType,$B104,TallyDates,$C$98:N$98),0)</f>
        <v>72</v>
      </c>
      <c r="O104" s="95" cm="1">
        <f t="array" ref="O104">SUM(COUNTIFS(TallyDrinkType,$B104,TallyDates,$C$98:O$98),0)</f>
        <v>86</v>
      </c>
      <c r="P104" s="95" cm="1">
        <f t="array" ref="P104">SUM(COUNTIFS(TallyDrinkType,$B104,TallyDates,$C$98:P$98),0)</f>
        <v>91</v>
      </c>
      <c r="Q104" s="95" cm="1">
        <f t="array" ref="Q104">SUM(COUNTIFS(TallyDrinkType,$B104,TallyDates,$C$98:Q$98),0)</f>
        <v>95</v>
      </c>
      <c r="R104" s="95" cm="1">
        <f t="array" ref="R104">SUM(COUNTIFS(TallyDrinkType,$B104,TallyDates,$C$98:R$98),0)</f>
        <v>98</v>
      </c>
      <c r="S104" s="95" cm="1">
        <f t="array" ref="S104">SUM(COUNTIFS(TallyDrinkType,$B104,TallyDates,$C$98:S$98),0)</f>
        <v>98</v>
      </c>
      <c r="T104" s="95" cm="1">
        <f t="array" ref="T104">SUM(COUNTIFS(TallyDrinkType,$B104,TallyDates,$C$98:T$98),0)</f>
        <v>99</v>
      </c>
      <c r="U104" s="95" cm="1">
        <f t="array" ref="U104">SUM(COUNTIFS(TallyDrinkType,$B104,TallyDates,$C$98:U$98),0)</f>
        <v>99</v>
      </c>
      <c r="V104" s="95" cm="1">
        <f t="array" ref="V104">SUM(COUNTIFS(TallyDrinkType,$B104,TallyDates,$C$98:V$98),0)</f>
        <v>99</v>
      </c>
      <c r="W104" s="95" cm="1">
        <f t="array" ref="W104">SUM(COUNTIFS(TallyDrinkType,$B104,TallyDates,$C$98:W$98),0)</f>
        <v>99</v>
      </c>
      <c r="X104" s="95" cm="1">
        <f t="array" ref="X104">SUM(COUNTIFS(TallyDrinkType,$B104,TallyDates,$C$98:X$98),0)</f>
        <v>99</v>
      </c>
      <c r="Y104" s="95" cm="1">
        <f t="array" ref="Y104">SUM(COUNTIFS(TallyDrinkType,$B104,TallyDates,$C$98:Y$98),0)</f>
        <v>100</v>
      </c>
      <c r="Z104" s="95" cm="1">
        <f t="array" ref="Z104">SUM(COUNTIFS(TallyDrinkType,$B104,TallyDates,$C$98:Z$98),0)</f>
        <v>104</v>
      </c>
      <c r="AA104" s="95" cm="1">
        <f t="array" ref="AA104">SUM(COUNTIFS(TallyDrinkType,$B104,TallyDates,$C$98:AA$98),0)</f>
        <v>104</v>
      </c>
      <c r="AB104" s="95"/>
      <c r="AC104"/>
      <c r="AD104" s="17"/>
    </row>
    <row r="105" spans="2:30" ht="22" x14ac:dyDescent="0.25">
      <c r="B105" s="94" t="s">
        <v>36</v>
      </c>
      <c r="C105" s="95" cm="1">
        <f t="array" ref="C105">SUM(COUNTIFS(TallyDrinkType,$B105,TallyDates,$C$98:C$98),0)</f>
        <v>4</v>
      </c>
      <c r="D105" s="95" cm="1">
        <f t="array" ref="D105">SUM(COUNTIFS(TallyDrinkType,$B105,TallyDates,$C$98:D$98),0)</f>
        <v>5</v>
      </c>
      <c r="E105" s="95" cm="1">
        <f t="array" ref="E105">SUM(COUNTIFS(TallyDrinkType,$B105,TallyDates,$C$98:E$98),0)</f>
        <v>8</v>
      </c>
      <c r="F105" s="95" cm="1">
        <f t="array" ref="F105">SUM(COUNTIFS(TallyDrinkType,$B105,TallyDates,$C$98:F$98),0)</f>
        <v>12</v>
      </c>
      <c r="G105" s="95" cm="1">
        <f t="array" ref="G105">SUM(COUNTIFS(TallyDrinkType,$B105,TallyDates,$C$98:G$98),0)</f>
        <v>12</v>
      </c>
      <c r="H105" s="95" cm="1">
        <f t="array" ref="H105">SUM(COUNTIFS(TallyDrinkType,$B105,TallyDates,$C$98:H$98),0)</f>
        <v>18</v>
      </c>
      <c r="I105" s="95" cm="1">
        <f t="array" ref="I105">SUM(COUNTIFS(TallyDrinkType,$B105,TallyDates,$C$98:I$98),0)</f>
        <v>23</v>
      </c>
      <c r="J105" s="95" cm="1">
        <f t="array" ref="J105">SUM(COUNTIFS(TallyDrinkType,$B105,TallyDates,$C$98:J$98),0)</f>
        <v>29</v>
      </c>
      <c r="K105" s="95" cm="1">
        <f t="array" ref="K105">SUM(COUNTIFS(TallyDrinkType,$B105,TallyDates,$C$98:K$98),0)</f>
        <v>34</v>
      </c>
      <c r="L105" s="95" cm="1">
        <f t="array" ref="L105">SUM(COUNTIFS(TallyDrinkType,$B105,TallyDates,$C$98:L$98),0)</f>
        <v>37</v>
      </c>
      <c r="M105" s="95" cm="1">
        <f t="array" ref="M105">SUM(COUNTIFS(TallyDrinkType,$B105,TallyDates,$C$98:M$98),0)</f>
        <v>40</v>
      </c>
      <c r="N105" s="95" cm="1">
        <f t="array" ref="N105">SUM(COUNTIFS(TallyDrinkType,$B105,TallyDates,$C$98:N$98),0)</f>
        <v>46</v>
      </c>
      <c r="O105" s="95" cm="1">
        <f t="array" ref="O105">SUM(COUNTIFS(TallyDrinkType,$B105,TallyDates,$C$98:O$98),0)</f>
        <v>50</v>
      </c>
      <c r="P105" s="95" cm="1">
        <f t="array" ref="P105">SUM(COUNTIFS(TallyDrinkType,$B105,TallyDates,$C$98:P$98),0)</f>
        <v>55</v>
      </c>
      <c r="Q105" s="95" cm="1">
        <f t="array" ref="Q105">SUM(COUNTIFS(TallyDrinkType,$B105,TallyDates,$C$98:Q$98),0)</f>
        <v>56</v>
      </c>
      <c r="R105" s="95" cm="1">
        <f t="array" ref="R105">SUM(COUNTIFS(TallyDrinkType,$B105,TallyDates,$C$98:R$98),0)</f>
        <v>57</v>
      </c>
      <c r="S105" s="95" cm="1">
        <f t="array" ref="S105">SUM(COUNTIFS(TallyDrinkType,$B105,TallyDates,$C$98:S$98),0)</f>
        <v>57</v>
      </c>
      <c r="T105" s="95" cm="1">
        <f t="array" ref="T105">SUM(COUNTIFS(TallyDrinkType,$B105,TallyDates,$C$98:T$98),0)</f>
        <v>57</v>
      </c>
      <c r="U105" s="95" cm="1">
        <f t="array" ref="U105">SUM(COUNTIFS(TallyDrinkType,$B105,TallyDates,$C$98:U$98),0)</f>
        <v>59</v>
      </c>
      <c r="V105" s="95" cm="1">
        <f t="array" ref="V105">SUM(COUNTIFS(TallyDrinkType,$B105,TallyDates,$C$98:V$98),0)</f>
        <v>62</v>
      </c>
      <c r="W105" s="95" cm="1">
        <f t="array" ref="W105">SUM(COUNTIFS(TallyDrinkType,$B105,TallyDates,$C$98:W$98),0)</f>
        <v>63</v>
      </c>
      <c r="X105" s="95" cm="1">
        <f t="array" ref="X105">SUM(COUNTIFS(TallyDrinkType,$B105,TallyDates,$C$98:X$98),0)</f>
        <v>64</v>
      </c>
      <c r="Y105" s="95" cm="1">
        <f t="array" ref="Y105">SUM(COUNTIFS(TallyDrinkType,$B105,TallyDates,$C$98:Y$98),0)</f>
        <v>67</v>
      </c>
      <c r="Z105" s="95" cm="1">
        <f t="array" ref="Z105">SUM(COUNTIFS(TallyDrinkType,$B105,TallyDates,$C$98:Z$98),0)</f>
        <v>67</v>
      </c>
      <c r="AA105" s="95" cm="1">
        <f t="array" ref="AA105">SUM(COUNTIFS(TallyDrinkType,$B105,TallyDates,$C$98:AA$98),0)</f>
        <v>68</v>
      </c>
      <c r="AB105" s="95"/>
      <c r="AC105"/>
      <c r="AD105" s="17"/>
    </row>
    <row r="106" spans="2:30" ht="22" x14ac:dyDescent="0.25">
      <c r="B106" s="94" t="s">
        <v>65</v>
      </c>
      <c r="C106" s="95" cm="1">
        <f t="array" ref="C106">SUM(COUNTIFS(TallyDrinkType,$B106,TallyDates,$C$98:C$98),0)</f>
        <v>1</v>
      </c>
      <c r="D106" s="95" cm="1">
        <f t="array" ref="D106">SUM(COUNTIFS(TallyDrinkType,$B106,TallyDates,$C$98:D$98),0)</f>
        <v>5</v>
      </c>
      <c r="E106" s="95" cm="1">
        <f t="array" ref="E106">SUM(COUNTIFS(TallyDrinkType,$B106,TallyDates,$C$98:E$98),0)</f>
        <v>9</v>
      </c>
      <c r="F106" s="95" cm="1">
        <f t="array" ref="F106">SUM(COUNTIFS(TallyDrinkType,$B106,TallyDates,$C$98:F$98),0)</f>
        <v>15</v>
      </c>
      <c r="G106" s="95" cm="1">
        <f t="array" ref="G106">SUM(COUNTIFS(TallyDrinkType,$B106,TallyDates,$C$98:G$98),0)</f>
        <v>24</v>
      </c>
      <c r="H106" s="95" cm="1">
        <f t="array" ref="H106">SUM(COUNTIFS(TallyDrinkType,$B106,TallyDates,$C$98:H$98),0)</f>
        <v>26</v>
      </c>
      <c r="I106" s="95" cm="1">
        <f t="array" ref="I106">SUM(COUNTIFS(TallyDrinkType,$B106,TallyDates,$C$98:I$98),0)</f>
        <v>41</v>
      </c>
      <c r="J106" s="95" cm="1">
        <f t="array" ref="J106">SUM(COUNTIFS(TallyDrinkType,$B106,TallyDates,$C$98:J$98),0)</f>
        <v>49</v>
      </c>
      <c r="K106" s="95" cm="1">
        <f t="array" ref="K106">SUM(COUNTIFS(TallyDrinkType,$B106,TallyDates,$C$98:K$98),0)</f>
        <v>55</v>
      </c>
      <c r="L106" s="95" cm="1">
        <f t="array" ref="L106">SUM(COUNTIFS(TallyDrinkType,$B106,TallyDates,$C$98:L$98),0)</f>
        <v>71</v>
      </c>
      <c r="M106" s="95" cm="1">
        <f t="array" ref="M106">SUM(COUNTIFS(TallyDrinkType,$B106,TallyDates,$C$98:M$98),0)</f>
        <v>76</v>
      </c>
      <c r="N106" s="95" cm="1">
        <f t="array" ref="N106">SUM(COUNTIFS(TallyDrinkType,$B106,TallyDates,$C$98:N$98),0)</f>
        <v>81</v>
      </c>
      <c r="O106" s="95" cm="1">
        <f t="array" ref="O106">SUM(COUNTIFS(TallyDrinkType,$B106,TallyDates,$C$98:O$98),0)</f>
        <v>90</v>
      </c>
      <c r="P106" s="95" cm="1">
        <f t="array" ref="P106">SUM(COUNTIFS(TallyDrinkType,$B106,TallyDates,$C$98:P$98),0)</f>
        <v>100</v>
      </c>
      <c r="Q106" s="95" cm="1">
        <f t="array" ref="Q106">SUM(COUNTIFS(TallyDrinkType,$B106,TallyDates,$C$98:Q$98),0)</f>
        <v>101</v>
      </c>
      <c r="R106" s="95" cm="1">
        <f t="array" ref="R106">SUM(COUNTIFS(TallyDrinkType,$B106,TallyDates,$C$98:R$98),0)</f>
        <v>106</v>
      </c>
      <c r="S106" s="95" cm="1">
        <f t="array" ref="S106">SUM(COUNTIFS(TallyDrinkType,$B106,TallyDates,$C$98:S$98),0)</f>
        <v>106</v>
      </c>
      <c r="T106" s="95" cm="1">
        <f t="array" ref="T106">SUM(COUNTIFS(TallyDrinkType,$B106,TallyDates,$C$98:T$98),0)</f>
        <v>106</v>
      </c>
      <c r="U106" s="95" cm="1">
        <f t="array" ref="U106">SUM(COUNTIFS(TallyDrinkType,$B106,TallyDates,$C$98:U$98),0)</f>
        <v>110</v>
      </c>
      <c r="V106" s="95" cm="1">
        <f t="array" ref="V106">SUM(COUNTIFS(TallyDrinkType,$B106,TallyDates,$C$98:V$98),0)</f>
        <v>113</v>
      </c>
      <c r="W106" s="95" cm="1">
        <f t="array" ref="W106">SUM(COUNTIFS(TallyDrinkType,$B106,TallyDates,$C$98:W$98),0)</f>
        <v>116</v>
      </c>
      <c r="X106" s="95" cm="1">
        <f t="array" ref="X106">SUM(COUNTIFS(TallyDrinkType,$B106,TallyDates,$C$98:X$98),0)</f>
        <v>118</v>
      </c>
      <c r="Y106" s="95" cm="1">
        <f t="array" ref="Y106">SUM(COUNTIFS(TallyDrinkType,$B106,TallyDates,$C$98:Y$98),0)</f>
        <v>119</v>
      </c>
      <c r="Z106" s="95" cm="1">
        <f t="array" ref="Z106">SUM(COUNTIFS(TallyDrinkType,$B106,TallyDates,$C$98:Z$98),0)</f>
        <v>121</v>
      </c>
      <c r="AA106" s="95" cm="1">
        <f t="array" ref="AA106">SUM(COUNTIFS(TallyDrinkType,$B106,TallyDates,$C$98:AA$98),0)</f>
        <v>121</v>
      </c>
      <c r="AB106" s="95"/>
      <c r="AC106"/>
      <c r="AD106" s="17"/>
    </row>
    <row r="107" spans="2:30" ht="22" x14ac:dyDescent="0.25">
      <c r="B107" s="94" t="s">
        <v>48</v>
      </c>
      <c r="C107" s="95" cm="1">
        <f t="array" ref="C107">SUM(COUNTIFS(TallyDrinkType,$B107,TallyDates,$C$98:C$98),0)</f>
        <v>1</v>
      </c>
      <c r="D107" s="95" cm="1">
        <f t="array" ref="D107">SUM(COUNTIFS(TallyDrinkType,$B107,TallyDates,$C$98:D$98),0)</f>
        <v>1</v>
      </c>
      <c r="E107" s="95" cm="1">
        <f t="array" ref="E107">SUM(COUNTIFS(TallyDrinkType,$B107,TallyDates,$C$98:E$98),0)</f>
        <v>2</v>
      </c>
      <c r="F107" s="95" cm="1">
        <f t="array" ref="F107">SUM(COUNTIFS(TallyDrinkType,$B107,TallyDates,$C$98:F$98),0)</f>
        <v>2</v>
      </c>
      <c r="G107" s="95" cm="1">
        <f t="array" ref="G107">SUM(COUNTIFS(TallyDrinkType,$B107,TallyDates,$C$98:G$98),0)</f>
        <v>2</v>
      </c>
      <c r="H107" s="95" cm="1">
        <f t="array" ref="H107">SUM(COUNTIFS(TallyDrinkType,$B107,TallyDates,$C$98:H$98),0)</f>
        <v>2</v>
      </c>
      <c r="I107" s="95" cm="1">
        <f t="array" ref="I107">SUM(COUNTIFS(TallyDrinkType,$B107,TallyDates,$C$98:I$98),0)</f>
        <v>3</v>
      </c>
      <c r="J107" s="95" cm="1">
        <f t="array" ref="J107">SUM(COUNTIFS(TallyDrinkType,$B107,TallyDates,$C$98:J$98),0)</f>
        <v>3</v>
      </c>
      <c r="K107" s="95" cm="1">
        <f t="array" ref="K107">SUM(COUNTIFS(TallyDrinkType,$B107,TallyDates,$C$98:K$98),0)</f>
        <v>3</v>
      </c>
      <c r="L107" s="95" cm="1">
        <f t="array" ref="L107">SUM(COUNTIFS(TallyDrinkType,$B107,TallyDates,$C$98:L$98),0)</f>
        <v>3</v>
      </c>
      <c r="M107" s="95" cm="1">
        <f t="array" ref="M107">SUM(COUNTIFS(TallyDrinkType,$B107,TallyDates,$C$98:M$98),0)</f>
        <v>3</v>
      </c>
      <c r="N107" s="95" cm="1">
        <f t="array" ref="N107">SUM(COUNTIFS(TallyDrinkType,$B107,TallyDates,$C$98:N$98),0)</f>
        <v>3</v>
      </c>
      <c r="O107" s="95" cm="1">
        <f t="array" ref="O107">SUM(COUNTIFS(TallyDrinkType,$B107,TallyDates,$C$98:O$98),0)</f>
        <v>3</v>
      </c>
      <c r="P107" s="95" cm="1">
        <f t="array" ref="P107">SUM(COUNTIFS(TallyDrinkType,$B107,TallyDates,$C$98:P$98),0)</f>
        <v>4</v>
      </c>
      <c r="Q107" s="95" cm="1">
        <f t="array" ref="Q107">SUM(COUNTIFS(TallyDrinkType,$B107,TallyDates,$C$98:Q$98),0)</f>
        <v>4</v>
      </c>
      <c r="R107" s="95" cm="1">
        <f t="array" ref="R107">SUM(COUNTIFS(TallyDrinkType,$B107,TallyDates,$C$98:R$98),0)</f>
        <v>4</v>
      </c>
      <c r="S107" s="95" cm="1">
        <f t="array" ref="S107">SUM(COUNTIFS(TallyDrinkType,$B107,TallyDates,$C$98:S$98),0)</f>
        <v>4</v>
      </c>
      <c r="T107" s="95" cm="1">
        <f t="array" ref="T107">SUM(COUNTIFS(TallyDrinkType,$B107,TallyDates,$C$98:T$98),0)</f>
        <v>4</v>
      </c>
      <c r="U107" s="95" cm="1">
        <f t="array" ref="U107">SUM(COUNTIFS(TallyDrinkType,$B107,TallyDates,$C$98:U$98),0)</f>
        <v>5</v>
      </c>
      <c r="V107" s="95" cm="1">
        <f t="array" ref="V107">SUM(COUNTIFS(TallyDrinkType,$B107,TallyDates,$C$98:V$98),0)</f>
        <v>5</v>
      </c>
      <c r="W107" s="95" cm="1">
        <f t="array" ref="W107">SUM(COUNTIFS(TallyDrinkType,$B107,TallyDates,$C$98:W$98),0)</f>
        <v>8</v>
      </c>
      <c r="X107" s="95" cm="1">
        <f t="array" ref="X107">SUM(COUNTIFS(TallyDrinkType,$B107,TallyDates,$C$98:X$98),0)</f>
        <v>8</v>
      </c>
      <c r="Y107" s="95" cm="1">
        <f t="array" ref="Y107">SUM(COUNTIFS(TallyDrinkType,$B107,TallyDates,$C$98:Y$98),0)</f>
        <v>8</v>
      </c>
      <c r="Z107" s="95" cm="1">
        <f t="array" ref="Z107">SUM(COUNTIFS(TallyDrinkType,$B107,TallyDates,$C$98:Z$98),0)</f>
        <v>8</v>
      </c>
      <c r="AA107" s="95" cm="1">
        <f t="array" ref="AA107">SUM(COUNTIFS(TallyDrinkType,$B107,TallyDates,$C$98:AA$98),0)</f>
        <v>8</v>
      </c>
      <c r="AB107" s="95"/>
      <c r="AC107"/>
      <c r="AD107" s="17"/>
    </row>
    <row r="108" spans="2:30" ht="22" x14ac:dyDescent="0.25">
      <c r="B108" s="94" t="s">
        <v>27</v>
      </c>
      <c r="C108" s="95" cm="1">
        <f t="array" ref="C108">SUM(COUNTIFS(TallyDrinkType,$B108,TallyDates,$C$98:C$98),0)</f>
        <v>8</v>
      </c>
      <c r="D108" s="95" cm="1">
        <f t="array" ref="D108">SUM(COUNTIFS(TallyDrinkType,$B108,TallyDates,$C$98:D$98),0)</f>
        <v>11</v>
      </c>
      <c r="E108" s="95" cm="1">
        <f t="array" ref="E108">SUM(COUNTIFS(TallyDrinkType,$B108,TallyDates,$C$98:E$98),0)</f>
        <v>16</v>
      </c>
      <c r="F108" s="95" cm="1">
        <f t="array" ref="F108">SUM(COUNTIFS(TallyDrinkType,$B108,TallyDates,$C$98:F$98),0)</f>
        <v>18</v>
      </c>
      <c r="G108" s="95" cm="1">
        <f t="array" ref="G108">SUM(COUNTIFS(TallyDrinkType,$B108,TallyDates,$C$98:G$98),0)</f>
        <v>18</v>
      </c>
      <c r="H108" s="95" cm="1">
        <f t="array" ref="H108">SUM(COUNTIFS(TallyDrinkType,$B108,TallyDates,$C$98:H$98),0)</f>
        <v>19</v>
      </c>
      <c r="I108" s="95" cm="1">
        <f t="array" ref="I108">SUM(COUNTIFS(TallyDrinkType,$B108,TallyDates,$C$98:I$98),0)</f>
        <v>26</v>
      </c>
      <c r="J108" s="95" cm="1">
        <f t="array" ref="J108">SUM(COUNTIFS(TallyDrinkType,$B108,TallyDates,$C$98:J$98),0)</f>
        <v>34</v>
      </c>
      <c r="K108" s="95" cm="1">
        <f t="array" ref="K108">SUM(COUNTIFS(TallyDrinkType,$B108,TallyDates,$C$98:K$98),0)</f>
        <v>42</v>
      </c>
      <c r="L108" s="95" cm="1">
        <f t="array" ref="L108">SUM(COUNTIFS(TallyDrinkType,$B108,TallyDates,$C$98:L$98),0)</f>
        <v>48</v>
      </c>
      <c r="M108" s="95" cm="1">
        <f t="array" ref="M108">SUM(COUNTIFS(TallyDrinkType,$B108,TallyDates,$C$98:M$98),0)</f>
        <v>55</v>
      </c>
      <c r="N108" s="95" cm="1">
        <f t="array" ref="N108">SUM(COUNTIFS(TallyDrinkType,$B108,TallyDates,$C$98:N$98),0)</f>
        <v>62</v>
      </c>
      <c r="O108" s="95" cm="1">
        <f t="array" ref="O108">SUM(COUNTIFS(TallyDrinkType,$B108,TallyDates,$C$98:O$98),0)</f>
        <v>66</v>
      </c>
      <c r="P108" s="95" cm="1">
        <f t="array" ref="P108">SUM(COUNTIFS(TallyDrinkType,$B108,TallyDates,$C$98:P$98),0)</f>
        <v>72</v>
      </c>
      <c r="Q108" s="95" cm="1">
        <f t="array" ref="Q108">SUM(COUNTIFS(TallyDrinkType,$B108,TallyDates,$C$98:Q$98),0)</f>
        <v>73</v>
      </c>
      <c r="R108" s="95" cm="1">
        <f t="array" ref="R108">SUM(COUNTIFS(TallyDrinkType,$B108,TallyDates,$C$98:R$98),0)</f>
        <v>74</v>
      </c>
      <c r="S108" s="95" cm="1">
        <f t="array" ref="S108">SUM(COUNTIFS(TallyDrinkType,$B108,TallyDates,$C$98:S$98),0)</f>
        <v>75</v>
      </c>
      <c r="T108" s="95" cm="1">
        <f t="array" ref="T108">SUM(COUNTIFS(TallyDrinkType,$B108,TallyDates,$C$98:T$98),0)</f>
        <v>77</v>
      </c>
      <c r="U108" s="95" cm="1">
        <f t="array" ref="U108">SUM(COUNTIFS(TallyDrinkType,$B108,TallyDates,$C$98:U$98),0)</f>
        <v>79</v>
      </c>
      <c r="V108" s="95" cm="1">
        <f t="array" ref="V108">SUM(COUNTIFS(TallyDrinkType,$B108,TallyDates,$C$98:V$98),0)</f>
        <v>81</v>
      </c>
      <c r="W108" s="95" cm="1">
        <f t="array" ref="W108">SUM(COUNTIFS(TallyDrinkType,$B108,TallyDates,$C$98:W$98),0)</f>
        <v>84</v>
      </c>
      <c r="X108" s="95" cm="1">
        <f t="array" ref="X108">SUM(COUNTIFS(TallyDrinkType,$B108,TallyDates,$C$98:X$98),0)</f>
        <v>85</v>
      </c>
      <c r="Y108" s="95" cm="1">
        <f t="array" ref="Y108">SUM(COUNTIFS(TallyDrinkType,$B108,TallyDates,$C$98:Y$98),0)</f>
        <v>91</v>
      </c>
      <c r="Z108" s="95" cm="1">
        <f t="array" ref="Z108">SUM(COUNTIFS(TallyDrinkType,$B108,TallyDates,$C$98:Z$98),0)</f>
        <v>94</v>
      </c>
      <c r="AA108" s="95" cm="1">
        <f t="array" ref="AA108">SUM(COUNTIFS(TallyDrinkType,$B108,TallyDates,$C$98:AA$98),0)</f>
        <v>96</v>
      </c>
      <c r="AB108" s="95"/>
      <c r="AC108"/>
      <c r="AD108" s="17"/>
    </row>
    <row r="109" spans="2:30" ht="22" x14ac:dyDescent="0.25">
      <c r="B109" s="94" t="s">
        <v>90</v>
      </c>
      <c r="C109" s="95" cm="1">
        <f t="array" ref="C109">SUM(COUNTIFS(TallyDrinkType,$B109,TallyDates,$C$98:C$98),0)</f>
        <v>1</v>
      </c>
      <c r="D109" s="95" cm="1">
        <f t="array" ref="D109">SUM(COUNTIFS(TallyDrinkType,$B109,TallyDates,$C$98:D$98),0)</f>
        <v>2</v>
      </c>
      <c r="E109" s="95" cm="1">
        <f t="array" ref="E109">SUM(COUNTIFS(TallyDrinkType,$B109,TallyDates,$C$98:E$98),0)</f>
        <v>3</v>
      </c>
      <c r="F109" s="95" cm="1">
        <f t="array" ref="F109">SUM(COUNTIFS(TallyDrinkType,$B109,TallyDates,$C$98:F$98),0)</f>
        <v>6</v>
      </c>
      <c r="G109" s="95" cm="1">
        <f t="array" ref="G109">SUM(COUNTIFS(TallyDrinkType,$B109,TallyDates,$C$98:G$98),0)</f>
        <v>9</v>
      </c>
      <c r="H109" s="95" cm="1">
        <f t="array" ref="H109">SUM(COUNTIFS(TallyDrinkType,$B109,TallyDates,$C$98:H$98),0)</f>
        <v>12</v>
      </c>
      <c r="I109" s="95" cm="1">
        <f t="array" ref="I109">SUM(COUNTIFS(TallyDrinkType,$B109,TallyDates,$C$98:I$98),0)</f>
        <v>13</v>
      </c>
      <c r="J109" s="95" cm="1">
        <f t="array" ref="J109">SUM(COUNTIFS(TallyDrinkType,$B109,TallyDates,$C$98:J$98),0)</f>
        <v>14</v>
      </c>
      <c r="K109" s="95" cm="1">
        <f t="array" ref="K109">SUM(COUNTIFS(TallyDrinkType,$B109,TallyDates,$C$98:K$98),0)</f>
        <v>14</v>
      </c>
      <c r="L109" s="95" cm="1">
        <f t="array" ref="L109">SUM(COUNTIFS(TallyDrinkType,$B109,TallyDates,$C$98:L$98),0)</f>
        <v>14</v>
      </c>
      <c r="M109" s="95" cm="1">
        <f t="array" ref="M109">SUM(COUNTIFS(TallyDrinkType,$B109,TallyDates,$C$98:M$98),0)</f>
        <v>15</v>
      </c>
      <c r="N109" s="95" cm="1">
        <f t="array" ref="N109">SUM(COUNTIFS(TallyDrinkType,$B109,TallyDates,$C$98:N$98),0)</f>
        <v>15</v>
      </c>
      <c r="O109" s="95" cm="1">
        <f t="array" ref="O109">SUM(COUNTIFS(TallyDrinkType,$B109,TallyDates,$C$98:O$98),0)</f>
        <v>15</v>
      </c>
      <c r="P109" s="95" cm="1">
        <f t="array" ref="P109">SUM(COUNTIFS(TallyDrinkType,$B109,TallyDates,$C$98:P$98),0)</f>
        <v>15</v>
      </c>
      <c r="Q109" s="95" cm="1">
        <f t="array" ref="Q109">SUM(COUNTIFS(TallyDrinkType,$B109,TallyDates,$C$98:Q$98),0)</f>
        <v>23</v>
      </c>
      <c r="R109" s="95" cm="1">
        <f t="array" ref="R109">SUM(COUNTIFS(TallyDrinkType,$B109,TallyDates,$C$98:R$98),0)</f>
        <v>23</v>
      </c>
      <c r="S109" s="95" cm="1">
        <f t="array" ref="S109">SUM(COUNTIFS(TallyDrinkType,$B109,TallyDates,$C$98:S$98),0)</f>
        <v>24</v>
      </c>
      <c r="T109" s="95" cm="1">
        <f t="array" ref="T109">SUM(COUNTIFS(TallyDrinkType,$B109,TallyDates,$C$98:T$98),0)</f>
        <v>24</v>
      </c>
      <c r="U109" s="95" cm="1">
        <f t="array" ref="U109">SUM(COUNTIFS(TallyDrinkType,$B109,TallyDates,$C$98:U$98),0)</f>
        <v>24</v>
      </c>
      <c r="V109" s="95" cm="1">
        <f t="array" ref="V109">SUM(COUNTIFS(TallyDrinkType,$B109,TallyDates,$C$98:V$98),0)</f>
        <v>24</v>
      </c>
      <c r="W109" s="95" cm="1">
        <f t="array" ref="W109">SUM(COUNTIFS(TallyDrinkType,$B109,TallyDates,$C$98:W$98),0)</f>
        <v>24</v>
      </c>
      <c r="X109" s="95" cm="1">
        <f t="array" ref="X109">SUM(COUNTIFS(TallyDrinkType,$B109,TallyDates,$C$98:X$98),0)</f>
        <v>24</v>
      </c>
      <c r="Y109" s="95" cm="1">
        <f t="array" ref="Y109">SUM(COUNTIFS(TallyDrinkType,$B109,TallyDates,$C$98:Y$98),0)</f>
        <v>24</v>
      </c>
      <c r="Z109" s="95" cm="1">
        <f t="array" ref="Z109">SUM(COUNTIFS(TallyDrinkType,$B109,TallyDates,$C$98:Z$98),0)</f>
        <v>24</v>
      </c>
      <c r="AA109" s="95" cm="1">
        <f t="array" ref="AA109">SUM(COUNTIFS(TallyDrinkType,$B109,TallyDates,$C$98:AA$98),0)</f>
        <v>24</v>
      </c>
      <c r="AB109" s="95"/>
      <c r="AC109"/>
      <c r="AD109" s="17"/>
    </row>
    <row r="110" spans="2:30" ht="22" x14ac:dyDescent="0.25">
      <c r="B110" s="94" t="s">
        <v>59</v>
      </c>
      <c r="C110" s="95" cm="1">
        <f t="array" ref="C110">SUM(COUNTIFS(TallyDrinkType,$B110,TallyDates,$C$98:C$98),0)</f>
        <v>2</v>
      </c>
      <c r="D110" s="95" cm="1">
        <f t="array" ref="D110">SUM(COUNTIFS(TallyDrinkType,$B110,TallyDates,$C$98:D$98),0)</f>
        <v>3</v>
      </c>
      <c r="E110" s="95" cm="1">
        <f t="array" ref="E110">SUM(COUNTIFS(TallyDrinkType,$B110,TallyDates,$C$98:E$98),0)</f>
        <v>7</v>
      </c>
      <c r="F110" s="95" cm="1">
        <f t="array" ref="F110">SUM(COUNTIFS(TallyDrinkType,$B110,TallyDates,$C$98:F$98),0)</f>
        <v>10</v>
      </c>
      <c r="G110" s="95" cm="1">
        <f t="array" ref="G110">SUM(COUNTIFS(TallyDrinkType,$B110,TallyDates,$C$98:G$98),0)</f>
        <v>12</v>
      </c>
      <c r="H110" s="95" cm="1">
        <f t="array" ref="H110">SUM(COUNTIFS(TallyDrinkType,$B110,TallyDates,$C$98:H$98),0)</f>
        <v>12</v>
      </c>
      <c r="I110" s="95" cm="1">
        <f t="array" ref="I110">SUM(COUNTIFS(TallyDrinkType,$B110,TallyDates,$C$98:I$98),0)</f>
        <v>12</v>
      </c>
      <c r="J110" s="95" cm="1">
        <f t="array" ref="J110">SUM(COUNTIFS(TallyDrinkType,$B110,TallyDates,$C$98:J$98),0)</f>
        <v>13</v>
      </c>
      <c r="K110" s="95" cm="1">
        <f t="array" ref="K110">SUM(COUNTIFS(TallyDrinkType,$B110,TallyDates,$C$98:K$98),0)</f>
        <v>17</v>
      </c>
      <c r="L110" s="95" cm="1">
        <f t="array" ref="L110">SUM(COUNTIFS(TallyDrinkType,$B110,TallyDates,$C$98:L$98),0)</f>
        <v>20</v>
      </c>
      <c r="M110" s="95" cm="1">
        <f t="array" ref="M110">SUM(COUNTIFS(TallyDrinkType,$B110,TallyDates,$C$98:M$98),0)</f>
        <v>21</v>
      </c>
      <c r="N110" s="95" cm="1">
        <f t="array" ref="N110">SUM(COUNTIFS(TallyDrinkType,$B110,TallyDates,$C$98:N$98),0)</f>
        <v>24</v>
      </c>
      <c r="O110" s="95" cm="1">
        <f t="array" ref="O110">SUM(COUNTIFS(TallyDrinkType,$B110,TallyDates,$C$98:O$98),0)</f>
        <v>28</v>
      </c>
      <c r="P110" s="95" cm="1">
        <f t="array" ref="P110">SUM(COUNTIFS(TallyDrinkType,$B110,TallyDates,$C$98:P$98),0)</f>
        <v>31</v>
      </c>
      <c r="Q110" s="95" cm="1">
        <f t="array" ref="Q110">SUM(COUNTIFS(TallyDrinkType,$B110,TallyDates,$C$98:Q$98),0)</f>
        <v>38</v>
      </c>
      <c r="R110" s="95" cm="1">
        <f t="array" ref="R110">SUM(COUNTIFS(TallyDrinkType,$B110,TallyDates,$C$98:R$98),0)</f>
        <v>41</v>
      </c>
      <c r="S110" s="95" cm="1">
        <f t="array" ref="S110">SUM(COUNTIFS(TallyDrinkType,$B110,TallyDates,$C$98:S$98),0)</f>
        <v>46</v>
      </c>
      <c r="T110" s="95" cm="1">
        <f t="array" ref="T110">SUM(COUNTIFS(TallyDrinkType,$B110,TallyDates,$C$98:T$98),0)</f>
        <v>46</v>
      </c>
      <c r="U110" s="95" cm="1">
        <f t="array" ref="U110">SUM(COUNTIFS(TallyDrinkType,$B110,TallyDates,$C$98:U$98),0)</f>
        <v>48</v>
      </c>
      <c r="V110" s="95" cm="1">
        <f t="array" ref="V110">SUM(COUNTIFS(TallyDrinkType,$B110,TallyDates,$C$98:V$98),0)</f>
        <v>50</v>
      </c>
      <c r="W110" s="95" cm="1">
        <f t="array" ref="W110">SUM(COUNTIFS(TallyDrinkType,$B110,TallyDates,$C$98:W$98),0)</f>
        <v>50</v>
      </c>
      <c r="X110" s="95" cm="1">
        <f t="array" ref="X110">SUM(COUNTIFS(TallyDrinkType,$B110,TallyDates,$C$98:X$98),0)</f>
        <v>51</v>
      </c>
      <c r="Y110" s="95" cm="1">
        <f t="array" ref="Y110">SUM(COUNTIFS(TallyDrinkType,$B110,TallyDates,$C$98:Y$98),0)</f>
        <v>57</v>
      </c>
      <c r="Z110" s="95" cm="1">
        <f t="array" ref="Z110">SUM(COUNTIFS(TallyDrinkType,$B110,TallyDates,$C$98:Z$98),0)</f>
        <v>59</v>
      </c>
      <c r="AA110" s="95" cm="1">
        <f t="array" ref="AA110">SUM(COUNTIFS(TallyDrinkType,$B110,TallyDates,$C$98:AA$98),0)</f>
        <v>59</v>
      </c>
      <c r="AB110" s="95"/>
      <c r="AC110"/>
      <c r="AD110" s="17"/>
    </row>
    <row r="111" spans="2:30" ht="15.75" customHeight="1" x14ac:dyDescent="0.2">
      <c r="B111" s="2"/>
      <c r="AC111"/>
      <c r="AD111" s="17"/>
    </row>
    <row r="112" spans="2:30" ht="15.75" customHeight="1" x14ac:dyDescent="0.2">
      <c r="B112" s="2"/>
      <c r="AC112"/>
      <c r="AD112" s="17"/>
    </row>
    <row r="113" spans="2:30" ht="15.75" customHeight="1" x14ac:dyDescent="0.2">
      <c r="B113" s="2"/>
      <c r="AC113"/>
      <c r="AD113" s="17"/>
    </row>
    <row r="114" spans="2:30" ht="15.75" customHeight="1" x14ac:dyDescent="0.2">
      <c r="B114" s="2"/>
      <c r="AC114"/>
      <c r="AD114" s="17"/>
    </row>
    <row r="115" spans="2:30" ht="15.75" customHeight="1" x14ac:dyDescent="0.2">
      <c r="B115" s="2"/>
      <c r="AC115"/>
      <c r="AD115" s="17"/>
    </row>
    <row r="116" spans="2:30" ht="15.75" customHeight="1" x14ac:dyDescent="0.2">
      <c r="B116" s="2"/>
      <c r="AC116"/>
      <c r="AD116" s="17"/>
    </row>
    <row r="117" spans="2:30" ht="15.75" customHeight="1" x14ac:dyDescent="0.2">
      <c r="B117" s="2"/>
      <c r="AC117"/>
      <c r="AD117" s="17"/>
    </row>
    <row r="118" spans="2:30" ht="15.75" customHeight="1" x14ac:dyDescent="0.2">
      <c r="B118" s="2"/>
      <c r="AC118"/>
      <c r="AD118" s="17"/>
    </row>
    <row r="119" spans="2:30" ht="15.75" customHeight="1" x14ac:dyDescent="0.2">
      <c r="B119" s="2"/>
      <c r="AC119"/>
      <c r="AD119" s="17"/>
    </row>
    <row r="120" spans="2:30" ht="15.75" customHeight="1" x14ac:dyDescent="0.2">
      <c r="B120" s="2"/>
      <c r="AC120"/>
      <c r="AD120" s="17"/>
    </row>
    <row r="121" spans="2:30" ht="15.75" customHeight="1" x14ac:dyDescent="0.2">
      <c r="B121" s="2"/>
      <c r="AC121"/>
      <c r="AD121" s="17"/>
    </row>
    <row r="122" spans="2:30" ht="15.75" customHeight="1" x14ac:dyDescent="0.2">
      <c r="B122" s="2"/>
      <c r="AC122"/>
      <c r="AD122" s="17"/>
    </row>
    <row r="123" spans="2:30" ht="15.75" customHeight="1" x14ac:dyDescent="0.2">
      <c r="B123" s="2"/>
      <c r="AC123"/>
      <c r="AD123" s="17"/>
    </row>
    <row r="124" spans="2:30" ht="15.75" customHeight="1" x14ac:dyDescent="0.2">
      <c r="B124" s="2"/>
      <c r="AC124"/>
      <c r="AD124" s="17"/>
    </row>
    <row r="125" spans="2:30" ht="15.75" customHeight="1" x14ac:dyDescent="0.2">
      <c r="B125" s="2"/>
      <c r="AC125"/>
      <c r="AD125" s="17"/>
    </row>
    <row r="126" spans="2:30" ht="15.75" customHeight="1" x14ac:dyDescent="0.2">
      <c r="B126" s="2"/>
      <c r="AC126"/>
      <c r="AD126" s="17"/>
    </row>
    <row r="127" spans="2:30" ht="15.75" customHeight="1" x14ac:dyDescent="0.2">
      <c r="B127" s="2"/>
      <c r="AC127"/>
      <c r="AD127" s="17"/>
    </row>
    <row r="128" spans="2:30" ht="15.75" customHeight="1" x14ac:dyDescent="0.2">
      <c r="B128" s="2"/>
      <c r="AC128"/>
      <c r="AD128" s="17"/>
    </row>
    <row r="129" spans="2:30" ht="15.75" customHeight="1" x14ac:dyDescent="0.2">
      <c r="B129" s="2"/>
      <c r="AC129"/>
      <c r="AD129" s="17"/>
    </row>
    <row r="130" spans="2:30" ht="15.75" customHeight="1" x14ac:dyDescent="0.2">
      <c r="B130" s="2"/>
      <c r="AC130"/>
      <c r="AD130" s="17"/>
    </row>
    <row r="131" spans="2:30" ht="15.75" customHeight="1" x14ac:dyDescent="0.2">
      <c r="B131" s="2"/>
      <c r="AC131"/>
      <c r="AD131" s="17"/>
    </row>
    <row r="132" spans="2:30" ht="15.75" customHeight="1" x14ac:dyDescent="0.2">
      <c r="B132" s="2"/>
      <c r="AC132"/>
      <c r="AD132" s="17"/>
    </row>
    <row r="133" spans="2:30" ht="15.75" customHeight="1" x14ac:dyDescent="0.2">
      <c r="B133" s="2"/>
      <c r="AC133"/>
      <c r="AD133" s="17"/>
    </row>
    <row r="134" spans="2:30" ht="15.75" customHeight="1" x14ac:dyDescent="0.2">
      <c r="B134" s="2"/>
      <c r="AC134"/>
      <c r="AD134" s="17"/>
    </row>
    <row r="135" spans="2:30" ht="15.75" customHeight="1" x14ac:dyDescent="0.2">
      <c r="B135" s="2"/>
      <c r="AC135"/>
      <c r="AD135" s="17"/>
    </row>
    <row r="136" spans="2:30" ht="15.75" customHeight="1" x14ac:dyDescent="0.2">
      <c r="B136" s="2"/>
      <c r="AC136"/>
      <c r="AD136" s="17"/>
    </row>
    <row r="137" spans="2:30" ht="15.75" customHeight="1" x14ac:dyDescent="0.2">
      <c r="B137" s="2"/>
      <c r="AC137"/>
      <c r="AD137" s="17"/>
    </row>
    <row r="138" spans="2:30" ht="15.75" customHeight="1" x14ac:dyDescent="0.2">
      <c r="B138" s="2"/>
      <c r="AC138"/>
      <c r="AD138" s="17"/>
    </row>
    <row r="139" spans="2:30" ht="15.75" customHeight="1" x14ac:dyDescent="0.2">
      <c r="B139" s="2"/>
      <c r="AC139"/>
      <c r="AD139" s="17"/>
    </row>
    <row r="140" spans="2:30" ht="15.75" customHeight="1" x14ac:dyDescent="0.2">
      <c r="B140" s="2"/>
      <c r="AC140"/>
      <c r="AD140" s="17"/>
    </row>
    <row r="141" spans="2:30" ht="15.75" customHeight="1" x14ac:dyDescent="0.2">
      <c r="B141" s="2"/>
      <c r="AC141"/>
      <c r="AD141" s="17"/>
    </row>
    <row r="142" spans="2:30" ht="15.75" customHeight="1" x14ac:dyDescent="0.2">
      <c r="B142" s="2"/>
      <c r="AC142"/>
      <c r="AD142" s="17"/>
    </row>
    <row r="143" spans="2:30" ht="15.75" customHeight="1" x14ac:dyDescent="0.2">
      <c r="B143" s="2"/>
      <c r="AC143"/>
      <c r="AD143" s="17"/>
    </row>
    <row r="144" spans="2:30" ht="15.75" customHeight="1" x14ac:dyDescent="0.2">
      <c r="B144" s="2"/>
      <c r="AC144"/>
      <c r="AD144" s="17"/>
    </row>
    <row r="145" spans="2:30" ht="15.75" customHeight="1" x14ac:dyDescent="0.2">
      <c r="B145" s="2"/>
      <c r="AC145"/>
      <c r="AD145" s="17"/>
    </row>
    <row r="146" spans="2:30" ht="15.75" customHeight="1" x14ac:dyDescent="0.2">
      <c r="B146" s="2"/>
      <c r="AC146"/>
      <c r="AD146" s="17"/>
    </row>
    <row r="147" spans="2:30" ht="15.75" customHeight="1" x14ac:dyDescent="0.2">
      <c r="B147" s="2"/>
      <c r="AC147"/>
      <c r="AD147" s="17"/>
    </row>
    <row r="148" spans="2:30" ht="15.75" customHeight="1" x14ac:dyDescent="0.2">
      <c r="B148" s="2"/>
      <c r="AC148"/>
      <c r="AD148" s="17"/>
    </row>
    <row r="149" spans="2:30" ht="15.75" customHeight="1" x14ac:dyDescent="0.2">
      <c r="B149" s="2"/>
      <c r="AC149"/>
      <c r="AD149" s="17"/>
    </row>
    <row r="150" spans="2:30" ht="15.75" customHeight="1" x14ac:dyDescent="0.2">
      <c r="B150" s="2"/>
      <c r="AC150"/>
      <c r="AD150" s="17"/>
    </row>
    <row r="151" spans="2:30" ht="15.75" customHeight="1" x14ac:dyDescent="0.2">
      <c r="B151" s="2"/>
      <c r="AC151"/>
      <c r="AD151" s="17"/>
    </row>
    <row r="152" spans="2:30" ht="15.75" customHeight="1" x14ac:dyDescent="0.2">
      <c r="B152" s="2"/>
      <c r="AC152"/>
      <c r="AD152" s="17"/>
    </row>
    <row r="153" spans="2:30" ht="15.75" customHeight="1" x14ac:dyDescent="0.2">
      <c r="B153" s="2"/>
      <c r="AC153"/>
      <c r="AD153" s="17"/>
    </row>
    <row r="154" spans="2:30" ht="15.75" customHeight="1" x14ac:dyDescent="0.2">
      <c r="B154" s="2"/>
      <c r="AC154"/>
      <c r="AD154" s="17"/>
    </row>
    <row r="155" spans="2:30" ht="15.75" customHeight="1" x14ac:dyDescent="0.2">
      <c r="B155" s="2"/>
      <c r="AC155"/>
      <c r="AD155" s="17"/>
    </row>
    <row r="156" spans="2:30" ht="15.75" customHeight="1" x14ac:dyDescent="0.2">
      <c r="B156" s="2"/>
      <c r="AC156"/>
      <c r="AD156" s="17"/>
    </row>
    <row r="157" spans="2:30" ht="15.75" customHeight="1" x14ac:dyDescent="0.2">
      <c r="B157" s="2"/>
      <c r="AC157"/>
      <c r="AD157" s="17"/>
    </row>
    <row r="158" spans="2:30" ht="15.75" customHeight="1" x14ac:dyDescent="0.2">
      <c r="B158" s="2"/>
      <c r="AC158"/>
      <c r="AD158" s="17"/>
    </row>
    <row r="159" spans="2:30" ht="15.75" customHeight="1" x14ac:dyDescent="0.2">
      <c r="B159" s="2"/>
      <c r="AC159"/>
      <c r="AD159" s="17"/>
    </row>
    <row r="160" spans="2:30" ht="15.75" customHeight="1" x14ac:dyDescent="0.2">
      <c r="B160" s="2"/>
      <c r="AC160"/>
      <c r="AD160" s="17"/>
    </row>
    <row r="161" spans="2:30" ht="15.75" customHeight="1" x14ac:dyDescent="0.2">
      <c r="B161" s="2"/>
      <c r="AC161"/>
      <c r="AD161" s="17"/>
    </row>
    <row r="162" spans="2:30" ht="15.75" customHeight="1" x14ac:dyDescent="0.2">
      <c r="B162" s="2"/>
      <c r="AC162"/>
      <c r="AD162" s="17"/>
    </row>
    <row r="163" spans="2:30" ht="15.75" customHeight="1" x14ac:dyDescent="0.2">
      <c r="B163" s="2"/>
      <c r="AC163"/>
      <c r="AD163" s="17"/>
    </row>
    <row r="164" spans="2:30" ht="15.75" customHeight="1" x14ac:dyDescent="0.2">
      <c r="B164" s="2"/>
      <c r="AC164"/>
      <c r="AD164" s="17"/>
    </row>
    <row r="165" spans="2:30" ht="15.75" customHeight="1" x14ac:dyDescent="0.2">
      <c r="B165" s="2"/>
      <c r="AC165"/>
      <c r="AD165" s="17"/>
    </row>
    <row r="166" spans="2:30" ht="15.75" customHeight="1" x14ac:dyDescent="0.2">
      <c r="B166" s="2"/>
      <c r="AC166"/>
      <c r="AD166" s="17"/>
    </row>
    <row r="167" spans="2:30" ht="15.75" customHeight="1" x14ac:dyDescent="0.2">
      <c r="B167" s="2"/>
      <c r="AC167"/>
      <c r="AD167" s="17"/>
    </row>
    <row r="168" spans="2:30" ht="15.75" customHeight="1" x14ac:dyDescent="0.2">
      <c r="B168" s="2"/>
      <c r="AC168"/>
      <c r="AD168" s="17"/>
    </row>
    <row r="169" spans="2:30" ht="15.75" customHeight="1" x14ac:dyDescent="0.2">
      <c r="B169" s="2"/>
      <c r="AC169"/>
      <c r="AD169" s="17"/>
    </row>
    <row r="170" spans="2:30" ht="15.75" customHeight="1" x14ac:dyDescent="0.2">
      <c r="B170" s="2"/>
      <c r="AC170"/>
      <c r="AD170" s="17"/>
    </row>
    <row r="171" spans="2:30" ht="15.75" customHeight="1" x14ac:dyDescent="0.2">
      <c r="B171" s="2"/>
      <c r="AC171"/>
      <c r="AD171" s="17"/>
    </row>
    <row r="172" spans="2:30" ht="15.75" customHeight="1" x14ac:dyDescent="0.2">
      <c r="B172" s="2"/>
      <c r="AC172"/>
      <c r="AD172" s="17"/>
    </row>
    <row r="173" spans="2:30" ht="15.75" customHeight="1" x14ac:dyDescent="0.2">
      <c r="B173" s="2"/>
      <c r="AC173"/>
      <c r="AD173" s="17"/>
    </row>
    <row r="174" spans="2:30" ht="15.75" customHeight="1" x14ac:dyDescent="0.2">
      <c r="B174" s="2"/>
      <c r="AC174"/>
      <c r="AD174" s="17"/>
    </row>
    <row r="175" spans="2:30" ht="15.75" customHeight="1" x14ac:dyDescent="0.2">
      <c r="B175" s="2"/>
      <c r="AC175"/>
      <c r="AD175" s="17"/>
    </row>
    <row r="176" spans="2:30" ht="15.75" customHeight="1" x14ac:dyDescent="0.2">
      <c r="B176" s="2"/>
      <c r="AC176"/>
      <c r="AD176" s="17"/>
    </row>
    <row r="177" spans="2:30" ht="15.75" customHeight="1" x14ac:dyDescent="0.2">
      <c r="B177" s="2"/>
      <c r="AC177"/>
      <c r="AD177" s="17"/>
    </row>
    <row r="178" spans="2:30" ht="15.75" customHeight="1" x14ac:dyDescent="0.2">
      <c r="B178" s="2"/>
      <c r="AC178"/>
      <c r="AD178" s="17"/>
    </row>
    <row r="179" spans="2:30" ht="15.75" customHeight="1" x14ac:dyDescent="0.2">
      <c r="B179" s="2"/>
      <c r="AC179"/>
      <c r="AD179" s="17"/>
    </row>
    <row r="180" spans="2:30" ht="15.75" customHeight="1" x14ac:dyDescent="0.2">
      <c r="B180" s="2"/>
      <c r="AC180"/>
      <c r="AD180" s="17"/>
    </row>
    <row r="181" spans="2:30" ht="15.75" customHeight="1" x14ac:dyDescent="0.2">
      <c r="B181" s="2"/>
      <c r="AC181"/>
      <c r="AD181" s="17"/>
    </row>
    <row r="182" spans="2:30" ht="15.75" customHeight="1" x14ac:dyDescent="0.2">
      <c r="B182" s="2"/>
      <c r="AC182"/>
      <c r="AD182" s="17"/>
    </row>
    <row r="183" spans="2:30" ht="15.75" customHeight="1" x14ac:dyDescent="0.2">
      <c r="B183" s="2"/>
      <c r="AC183"/>
      <c r="AD183" s="17"/>
    </row>
    <row r="184" spans="2:30" ht="15.75" customHeight="1" x14ac:dyDescent="0.2">
      <c r="B184" s="2"/>
      <c r="AC184"/>
      <c r="AD184" s="17"/>
    </row>
    <row r="185" spans="2:30" ht="15.75" customHeight="1" x14ac:dyDescent="0.2">
      <c r="B185" s="2"/>
      <c r="AC185"/>
      <c r="AD185" s="17"/>
    </row>
    <row r="186" spans="2:30" ht="15.75" customHeight="1" x14ac:dyDescent="0.2">
      <c r="B186" s="2"/>
      <c r="AC186"/>
      <c r="AD186" s="17"/>
    </row>
    <row r="187" spans="2:30" ht="15.75" customHeight="1" x14ac:dyDescent="0.2">
      <c r="B187" s="2"/>
      <c r="AC187"/>
      <c r="AD187" s="17"/>
    </row>
    <row r="188" spans="2:30" ht="15.75" customHeight="1" x14ac:dyDescent="0.2">
      <c r="B188" s="2"/>
      <c r="AC188"/>
      <c r="AD188" s="17"/>
    </row>
    <row r="189" spans="2:30" ht="15.75" customHeight="1" x14ac:dyDescent="0.2">
      <c r="B189" s="2"/>
      <c r="AC189"/>
      <c r="AD189" s="17"/>
    </row>
    <row r="190" spans="2:30" ht="15.75" customHeight="1" x14ac:dyDescent="0.2">
      <c r="B190" s="2"/>
      <c r="AC190"/>
      <c r="AD190" s="17"/>
    </row>
    <row r="191" spans="2:30" ht="15.75" customHeight="1" x14ac:dyDescent="0.2">
      <c r="B191" s="2"/>
      <c r="AC191"/>
      <c r="AD191" s="17"/>
    </row>
    <row r="192" spans="2:30" ht="15.75" customHeight="1" x14ac:dyDescent="0.2">
      <c r="B192" s="2"/>
      <c r="AC192"/>
      <c r="AD192" s="17"/>
    </row>
    <row r="193" spans="2:30" ht="15.75" customHeight="1" x14ac:dyDescent="0.2">
      <c r="B193" s="2"/>
      <c r="AC193"/>
      <c r="AD193" s="17"/>
    </row>
    <row r="194" spans="2:30" ht="15.75" customHeight="1" x14ac:dyDescent="0.2">
      <c r="B194" s="2"/>
      <c r="AC194"/>
      <c r="AD194" s="17"/>
    </row>
    <row r="195" spans="2:30" ht="15.75" customHeight="1" x14ac:dyDescent="0.2">
      <c r="B195" s="2"/>
      <c r="AC195"/>
      <c r="AD195" s="17"/>
    </row>
    <row r="196" spans="2:30" ht="15.75" customHeight="1" x14ac:dyDescent="0.2">
      <c r="B196" s="2"/>
      <c r="AC196"/>
      <c r="AD196" s="17"/>
    </row>
    <row r="197" spans="2:30" ht="15.75" customHeight="1" x14ac:dyDescent="0.2">
      <c r="B197" s="2"/>
      <c r="AC197"/>
      <c r="AD197" s="17"/>
    </row>
    <row r="198" spans="2:30" ht="15.75" customHeight="1" x14ac:dyDescent="0.2">
      <c r="B198" s="2"/>
      <c r="AC198"/>
      <c r="AD198" s="17"/>
    </row>
    <row r="199" spans="2:30" ht="15.75" customHeight="1" x14ac:dyDescent="0.2">
      <c r="B199" s="2"/>
      <c r="AC199"/>
      <c r="AD199" s="17"/>
    </row>
    <row r="200" spans="2:30" ht="15.75" customHeight="1" x14ac:dyDescent="0.2">
      <c r="B200" s="2"/>
      <c r="AC200"/>
      <c r="AD200" s="17"/>
    </row>
    <row r="201" spans="2:30" ht="15.75" customHeight="1" x14ac:dyDescent="0.2">
      <c r="B201" s="2"/>
      <c r="AC201"/>
      <c r="AD201" s="17"/>
    </row>
    <row r="202" spans="2:30" ht="15.75" customHeight="1" x14ac:dyDescent="0.2">
      <c r="B202" s="2"/>
      <c r="AC202"/>
      <c r="AD202" s="17"/>
    </row>
    <row r="203" spans="2:30" ht="15.75" customHeight="1" x14ac:dyDescent="0.2">
      <c r="B203" s="2"/>
      <c r="AC203"/>
      <c r="AD203" s="17"/>
    </row>
    <row r="204" spans="2:30" ht="15.75" customHeight="1" x14ac:dyDescent="0.2">
      <c r="B204" s="2"/>
      <c r="AC204"/>
      <c r="AD204" s="17"/>
    </row>
    <row r="205" spans="2:30" ht="15.75" customHeight="1" x14ac:dyDescent="0.2">
      <c r="B205" s="2"/>
      <c r="AC205"/>
      <c r="AD205" s="17"/>
    </row>
    <row r="206" spans="2:30" ht="15.75" customHeight="1" x14ac:dyDescent="0.2">
      <c r="B206" s="2"/>
      <c r="AC206"/>
      <c r="AD206" s="17"/>
    </row>
    <row r="207" spans="2:30" ht="15.75" customHeight="1" x14ac:dyDescent="0.2">
      <c r="B207" s="2"/>
      <c r="AC207"/>
      <c r="AD207" s="17"/>
    </row>
    <row r="208" spans="2:30" ht="15.75" customHeight="1" x14ac:dyDescent="0.2">
      <c r="B208" s="2"/>
      <c r="AC208"/>
      <c r="AD208" s="17"/>
    </row>
    <row r="209" spans="2:30" ht="15.75" customHeight="1" x14ac:dyDescent="0.2">
      <c r="B209" s="2"/>
      <c r="AC209"/>
      <c r="AD209" s="17"/>
    </row>
    <row r="210" spans="2:30" ht="15.75" customHeight="1" x14ac:dyDescent="0.2">
      <c r="B210" s="2"/>
      <c r="AC210"/>
      <c r="AD210" s="17"/>
    </row>
    <row r="211" spans="2:30" ht="15.75" customHeight="1" x14ac:dyDescent="0.2">
      <c r="B211" s="2"/>
      <c r="AC211"/>
      <c r="AD211" s="17"/>
    </row>
    <row r="212" spans="2:30" ht="15.75" customHeight="1" x14ac:dyDescent="0.2">
      <c r="B212" s="2"/>
      <c r="AC212"/>
      <c r="AD212" s="17"/>
    </row>
    <row r="213" spans="2:30" ht="15.75" customHeight="1" x14ac:dyDescent="0.2">
      <c r="B213" s="2"/>
      <c r="AC213"/>
      <c r="AD213" s="17"/>
    </row>
    <row r="214" spans="2:30" ht="15.75" customHeight="1" x14ac:dyDescent="0.2">
      <c r="B214" s="2"/>
      <c r="AC214"/>
      <c r="AD214" s="17"/>
    </row>
    <row r="215" spans="2:30" ht="15.75" customHeight="1" x14ac:dyDescent="0.2">
      <c r="B215" s="2"/>
      <c r="AC215"/>
      <c r="AD215" s="17"/>
    </row>
    <row r="216" spans="2:30" ht="15.75" customHeight="1" x14ac:dyDescent="0.2">
      <c r="B216" s="2"/>
      <c r="AC216"/>
      <c r="AD216" s="17"/>
    </row>
    <row r="217" spans="2:30" ht="15.75" customHeight="1" x14ac:dyDescent="0.2">
      <c r="B217" s="2"/>
      <c r="AC217"/>
      <c r="AD217" s="17"/>
    </row>
    <row r="218" spans="2:30" ht="15.75" customHeight="1" x14ac:dyDescent="0.2">
      <c r="B218" s="2"/>
      <c r="AC218"/>
      <c r="AD218" s="17"/>
    </row>
    <row r="219" spans="2:30" ht="15.75" customHeight="1" x14ac:dyDescent="0.2">
      <c r="B219" s="2"/>
      <c r="AC219"/>
      <c r="AD219" s="17"/>
    </row>
    <row r="220" spans="2:30" ht="15.75" customHeight="1" x14ac:dyDescent="0.2">
      <c r="B220" s="2"/>
      <c r="AC220"/>
      <c r="AD220" s="17"/>
    </row>
    <row r="221" spans="2:30" ht="15.75" customHeight="1" x14ac:dyDescent="0.2">
      <c r="B221" s="2"/>
      <c r="AC221"/>
      <c r="AD221" s="17"/>
    </row>
    <row r="222" spans="2:30" ht="15.75" customHeight="1" x14ac:dyDescent="0.2">
      <c r="B222" s="2"/>
      <c r="AC222"/>
      <c r="AD222" s="17"/>
    </row>
    <row r="223" spans="2:30" ht="15.75" customHeight="1" x14ac:dyDescent="0.2">
      <c r="B223" s="2"/>
      <c r="AC223"/>
      <c r="AD223" s="17"/>
    </row>
    <row r="224" spans="2:30" ht="15.75" customHeight="1" x14ac:dyDescent="0.2">
      <c r="B224" s="2"/>
      <c r="AC224"/>
      <c r="AD224" s="17"/>
    </row>
    <row r="225" spans="2:30" ht="15.75" customHeight="1" x14ac:dyDescent="0.2">
      <c r="B225" s="2"/>
      <c r="AC225"/>
      <c r="AD225" s="17"/>
    </row>
    <row r="226" spans="2:30" ht="15.75" customHeight="1" x14ac:dyDescent="0.2">
      <c r="B226" s="2"/>
      <c r="AC226"/>
      <c r="AD226" s="17"/>
    </row>
    <row r="227" spans="2:30" ht="15.75" customHeight="1" x14ac:dyDescent="0.2">
      <c r="B227" s="2"/>
      <c r="AC227"/>
      <c r="AD227" s="17"/>
    </row>
    <row r="228" spans="2:30" ht="15.75" customHeight="1" x14ac:dyDescent="0.2">
      <c r="B228" s="2"/>
      <c r="AC228"/>
      <c r="AD228" s="17"/>
    </row>
    <row r="229" spans="2:30" ht="15.75" customHeight="1" x14ac:dyDescent="0.2">
      <c r="B229" s="2"/>
      <c r="AC229"/>
      <c r="AD229" s="17"/>
    </row>
    <row r="230" spans="2:30" ht="15.75" customHeight="1" x14ac:dyDescent="0.2">
      <c r="B230" s="2"/>
      <c r="AC230"/>
      <c r="AD230" s="17"/>
    </row>
    <row r="231" spans="2:30" ht="15.75" customHeight="1" x14ac:dyDescent="0.2">
      <c r="B231" s="2"/>
      <c r="AC231"/>
      <c r="AD231" s="17"/>
    </row>
    <row r="232" spans="2:30" ht="15.75" customHeight="1" x14ac:dyDescent="0.2">
      <c r="B232" s="2"/>
      <c r="AC232"/>
      <c r="AD232" s="17"/>
    </row>
    <row r="233" spans="2:30" ht="15.75" customHeight="1" x14ac:dyDescent="0.2">
      <c r="B233" s="2"/>
      <c r="AC233"/>
      <c r="AD233" s="17"/>
    </row>
    <row r="234" spans="2:30" ht="15.75" customHeight="1" x14ac:dyDescent="0.2">
      <c r="B234" s="2"/>
      <c r="AC234"/>
      <c r="AD234" s="17"/>
    </row>
    <row r="235" spans="2:30" ht="15.75" customHeight="1" x14ac:dyDescent="0.2">
      <c r="B235" s="2"/>
      <c r="AC235"/>
      <c r="AD235" s="17"/>
    </row>
    <row r="236" spans="2:30" ht="15.75" customHeight="1" x14ac:dyDescent="0.2">
      <c r="B236" s="2"/>
      <c r="AC236"/>
      <c r="AD236" s="17"/>
    </row>
    <row r="237" spans="2:30" ht="15.75" customHeight="1" x14ac:dyDescent="0.2">
      <c r="B237" s="2"/>
      <c r="AC237"/>
      <c r="AD237" s="17"/>
    </row>
    <row r="238" spans="2:30" ht="15.75" customHeight="1" x14ac:dyDescent="0.2">
      <c r="B238" s="2"/>
      <c r="AC238"/>
      <c r="AD238" s="17"/>
    </row>
    <row r="239" spans="2:30" ht="15.75" customHeight="1" x14ac:dyDescent="0.2">
      <c r="B239" s="2"/>
      <c r="AC239"/>
      <c r="AD239" s="17"/>
    </row>
    <row r="240" spans="2:30" ht="15.75" customHeight="1" x14ac:dyDescent="0.2">
      <c r="B240" s="2"/>
      <c r="AC240"/>
      <c r="AD240" s="17"/>
    </row>
    <row r="241" spans="2:30" ht="15.75" customHeight="1" x14ac:dyDescent="0.2">
      <c r="B241" s="2"/>
      <c r="AC241"/>
      <c r="AD241" s="17"/>
    </row>
    <row r="242" spans="2:30" ht="15.75" customHeight="1" x14ac:dyDescent="0.2">
      <c r="B242" s="2"/>
      <c r="AC242"/>
      <c r="AD242" s="17"/>
    </row>
    <row r="243" spans="2:30" ht="15.75" customHeight="1" x14ac:dyDescent="0.2">
      <c r="B243" s="2"/>
      <c r="AC243"/>
      <c r="AD243" s="17"/>
    </row>
    <row r="244" spans="2:30" ht="15.75" customHeight="1" x14ac:dyDescent="0.2">
      <c r="B244" s="2"/>
      <c r="AC244"/>
      <c r="AD244" s="17"/>
    </row>
    <row r="245" spans="2:30" ht="15.75" customHeight="1" x14ac:dyDescent="0.2">
      <c r="B245" s="2"/>
      <c r="AC245"/>
      <c r="AD245" s="17"/>
    </row>
    <row r="246" spans="2:30" ht="15.75" customHeight="1" x14ac:dyDescent="0.2">
      <c r="B246" s="2"/>
      <c r="AC246"/>
      <c r="AD246" s="17"/>
    </row>
    <row r="247" spans="2:30" ht="15.75" customHeight="1" x14ac:dyDescent="0.2">
      <c r="B247" s="2"/>
      <c r="AC247"/>
      <c r="AD247" s="17"/>
    </row>
    <row r="248" spans="2:30" ht="15.75" customHeight="1" x14ac:dyDescent="0.2">
      <c r="B248" s="2"/>
      <c r="AC248"/>
      <c r="AD248" s="17"/>
    </row>
    <row r="249" spans="2:30" ht="15.75" customHeight="1" x14ac:dyDescent="0.2">
      <c r="B249" s="2"/>
      <c r="AC249"/>
      <c r="AD249" s="17"/>
    </row>
    <row r="250" spans="2:30" ht="15.75" customHeight="1" x14ac:dyDescent="0.2">
      <c r="B250" s="2"/>
      <c r="AC250"/>
      <c r="AD250" s="17"/>
    </row>
    <row r="251" spans="2:30" ht="15.75" customHeight="1" x14ac:dyDescent="0.2">
      <c r="B251" s="2"/>
      <c r="AC251"/>
      <c r="AD251" s="17"/>
    </row>
    <row r="252" spans="2:30" ht="15.75" customHeight="1" x14ac:dyDescent="0.2">
      <c r="B252" s="2"/>
      <c r="AC252"/>
      <c r="AD252" s="17"/>
    </row>
    <row r="253" spans="2:30" ht="15.75" customHeight="1" x14ac:dyDescent="0.2">
      <c r="B253" s="2"/>
      <c r="AC253"/>
      <c r="AD253" s="17"/>
    </row>
    <row r="254" spans="2:30" ht="15.75" customHeight="1" x14ac:dyDescent="0.2">
      <c r="B254" s="2"/>
      <c r="AC254"/>
      <c r="AD254" s="17"/>
    </row>
    <row r="255" spans="2:30" ht="15.75" customHeight="1" x14ac:dyDescent="0.2">
      <c r="B255" s="2"/>
      <c r="AC255"/>
      <c r="AD255" s="17"/>
    </row>
    <row r="256" spans="2:30" ht="15.75" customHeight="1" x14ac:dyDescent="0.2">
      <c r="B256" s="2"/>
      <c r="AC256"/>
      <c r="AD256" s="17"/>
    </row>
    <row r="257" spans="2:30" ht="15.75" customHeight="1" x14ac:dyDescent="0.2">
      <c r="B257" s="2"/>
      <c r="AC257"/>
      <c r="AD257" s="17"/>
    </row>
    <row r="258" spans="2:30" ht="15.75" customHeight="1" x14ac:dyDescent="0.2">
      <c r="B258" s="2"/>
      <c r="AC258"/>
      <c r="AD258" s="17"/>
    </row>
    <row r="259" spans="2:30" ht="15.75" customHeight="1" x14ac:dyDescent="0.2">
      <c r="B259" s="2"/>
      <c r="AC259"/>
      <c r="AD259" s="17"/>
    </row>
    <row r="260" spans="2:30" ht="15.75" customHeight="1" x14ac:dyDescent="0.2">
      <c r="B260" s="2"/>
      <c r="AC260"/>
      <c r="AD260" s="17"/>
    </row>
    <row r="261" spans="2:30" ht="15.75" customHeight="1" x14ac:dyDescent="0.2">
      <c r="B261" s="2"/>
      <c r="AC261"/>
      <c r="AD261" s="17"/>
    </row>
    <row r="262" spans="2:30" ht="15.75" customHeight="1" x14ac:dyDescent="0.2">
      <c r="B262" s="2"/>
      <c r="AC262"/>
      <c r="AD262" s="17"/>
    </row>
    <row r="263" spans="2:30" ht="15.75" customHeight="1" x14ac:dyDescent="0.2">
      <c r="B263" s="2"/>
      <c r="AC263"/>
      <c r="AD263" s="17"/>
    </row>
    <row r="264" spans="2:30" ht="15.75" customHeight="1" x14ac:dyDescent="0.2">
      <c r="B264" s="2"/>
      <c r="AC264"/>
      <c r="AD264" s="17"/>
    </row>
    <row r="265" spans="2:30" ht="15.75" customHeight="1" x14ac:dyDescent="0.2">
      <c r="B265" s="2"/>
      <c r="AC265"/>
      <c r="AD265" s="17"/>
    </row>
    <row r="266" spans="2:30" ht="15.75" customHeight="1" x14ac:dyDescent="0.2">
      <c r="B266" s="2"/>
      <c r="AC266"/>
      <c r="AD266" s="17"/>
    </row>
    <row r="267" spans="2:30" ht="15.75" customHeight="1" x14ac:dyDescent="0.2">
      <c r="B267" s="2"/>
      <c r="AC267"/>
      <c r="AD267" s="17"/>
    </row>
    <row r="268" spans="2:30" ht="15.75" customHeight="1" x14ac:dyDescent="0.2">
      <c r="B268" s="2"/>
    </row>
    <row r="269" spans="2:30" ht="15.75" customHeight="1" x14ac:dyDescent="0.2">
      <c r="B269" s="2"/>
    </row>
    <row r="270" spans="2:30" ht="15.75" customHeight="1" x14ac:dyDescent="0.2">
      <c r="B270" s="2"/>
    </row>
    <row r="271" spans="2:30" ht="15.75" customHeight="1" x14ac:dyDescent="0.2">
      <c r="B271" s="2"/>
    </row>
    <row r="272" spans="2:30"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row r="1001" spans="2:2" ht="15.75" customHeight="1" x14ac:dyDescent="0.2">
      <c r="B1001" s="2"/>
    </row>
    <row r="1002" spans="2:2" ht="15.75" customHeight="1" x14ac:dyDescent="0.2">
      <c r="B1002" s="2"/>
    </row>
    <row r="1003" spans="2:2" ht="15.75" customHeight="1" x14ac:dyDescent="0.2">
      <c r="B1003" s="2"/>
    </row>
    <row r="1004" spans="2:2" ht="15.75" customHeight="1" x14ac:dyDescent="0.2">
      <c r="B1004" s="2"/>
    </row>
    <row r="1005" spans="2:2" ht="15.75" customHeight="1" x14ac:dyDescent="0.2">
      <c r="B1005" s="2"/>
    </row>
    <row r="1006" spans="2:2" ht="15.75" customHeight="1" x14ac:dyDescent="0.2">
      <c r="B1006" s="2"/>
    </row>
    <row r="1007" spans="2:2" ht="15.75" customHeight="1" x14ac:dyDescent="0.2">
      <c r="B1007" s="2"/>
    </row>
    <row r="1008" spans="2:2" ht="15.75" customHeight="1" x14ac:dyDescent="0.2">
      <c r="B1008" s="2"/>
    </row>
    <row r="1009" spans="2:2" ht="15.75" customHeight="1" x14ac:dyDescent="0.2">
      <c r="B1009" s="2"/>
    </row>
    <row r="1010" spans="2:2" ht="15.75" customHeight="1" x14ac:dyDescent="0.2">
      <c r="B1010" s="2"/>
    </row>
    <row r="1011" spans="2:2" ht="15.75" customHeight="1" x14ac:dyDescent="0.2">
      <c r="B1011" s="2"/>
    </row>
    <row r="1012" spans="2:2" ht="15.75" customHeight="1" x14ac:dyDescent="0.2">
      <c r="B1012" s="2"/>
    </row>
    <row r="1013" spans="2:2" ht="15.75" customHeight="1" x14ac:dyDescent="0.2">
      <c r="B1013" s="2"/>
    </row>
    <row r="1014" spans="2:2" ht="15.75" customHeight="1" x14ac:dyDescent="0.2">
      <c r="B1014" s="2"/>
    </row>
    <row r="1015" spans="2:2" ht="15.75" customHeight="1" x14ac:dyDescent="0.2">
      <c r="B1015" s="2"/>
    </row>
    <row r="1016" spans="2:2" ht="15.75" customHeight="1" x14ac:dyDescent="0.2">
      <c r="B1016" s="2"/>
    </row>
    <row r="1017" spans="2:2" ht="15.75" customHeight="1" x14ac:dyDescent="0.2">
      <c r="B1017" s="2"/>
    </row>
  </sheetData>
  <sortState xmlns:xlrd2="http://schemas.microsoft.com/office/spreadsheetml/2017/richdata2" ref="A25:A49">
    <sortCondition ref="A25:A49"/>
  </sortState>
  <mergeCells count="2">
    <mergeCell ref="B7:AC7"/>
    <mergeCell ref="B15:AC15"/>
  </mergeCells>
  <conditionalFormatting sqref="C85:AB96">
    <cfRule type="dataBar" priority="33">
      <dataBar>
        <cfvo type="min"/>
        <cfvo type="max"/>
        <color rgb="FF008AEF"/>
      </dataBar>
      <extLst>
        <ext xmlns:x14="http://schemas.microsoft.com/office/spreadsheetml/2009/9/main" uri="{B025F937-C7B1-47D3-B67F-A62EFF666E3E}">
          <x14:id>{8F5026A2-9BFD-5347-A534-E83EFC892834}</x14:id>
        </ext>
      </extLst>
    </cfRule>
  </conditionalFormatting>
  <conditionalFormatting sqref="D85:D96">
    <cfRule type="dataBar" priority="14">
      <dataBar>
        <cfvo type="min"/>
        <cfvo type="max"/>
        <color rgb="FF008AEF"/>
      </dataBar>
      <extLst>
        <ext xmlns:x14="http://schemas.microsoft.com/office/spreadsheetml/2009/9/main" uri="{B025F937-C7B1-47D3-B67F-A62EFF666E3E}">
          <x14:id>{99C35D00-72C9-B840-BF22-3FC5AE2B3F14}</x14:id>
        </ext>
      </extLst>
    </cfRule>
  </conditionalFormatting>
  <conditionalFormatting sqref="E85:E96">
    <cfRule type="dataBar" priority="31">
      <dataBar>
        <cfvo type="min"/>
        <cfvo type="max"/>
        <color rgb="FF008AEF"/>
      </dataBar>
      <extLst>
        <ext xmlns:x14="http://schemas.microsoft.com/office/spreadsheetml/2009/9/main" uri="{B025F937-C7B1-47D3-B67F-A62EFF666E3E}">
          <x14:id>{30A991D2-DA14-8448-A10A-908CF6A25E81}</x14:id>
        </ext>
      </extLst>
    </cfRule>
  </conditionalFormatting>
  <conditionalFormatting sqref="F85:F96">
    <cfRule type="dataBar" priority="30">
      <dataBar>
        <cfvo type="min"/>
        <cfvo type="max"/>
        <color rgb="FF008AEF"/>
      </dataBar>
      <extLst>
        <ext xmlns:x14="http://schemas.microsoft.com/office/spreadsheetml/2009/9/main" uri="{B025F937-C7B1-47D3-B67F-A62EFF666E3E}">
          <x14:id>{BE78DE04-8205-0942-AE99-F997792C0F33}</x14:id>
        </ext>
      </extLst>
    </cfRule>
  </conditionalFormatting>
  <conditionalFormatting sqref="G85:G96">
    <cfRule type="dataBar" priority="29">
      <dataBar>
        <cfvo type="min"/>
        <cfvo type="max"/>
        <color rgb="FF008AEF"/>
      </dataBar>
      <extLst>
        <ext xmlns:x14="http://schemas.microsoft.com/office/spreadsheetml/2009/9/main" uri="{B025F937-C7B1-47D3-B67F-A62EFF666E3E}">
          <x14:id>{11D9764C-8227-2C44-A3D1-BE078F7D05BB}</x14:id>
        </ext>
      </extLst>
    </cfRule>
  </conditionalFormatting>
  <conditionalFormatting sqref="H85:AB96">
    <cfRule type="dataBar" priority="28">
      <dataBar>
        <cfvo type="min"/>
        <cfvo type="max"/>
        <color rgb="FF008AEF"/>
      </dataBar>
      <extLst>
        <ext xmlns:x14="http://schemas.microsoft.com/office/spreadsheetml/2009/9/main" uri="{B025F937-C7B1-47D3-B67F-A62EFF666E3E}">
          <x14:id>{FBC08340-CF0E-CB4B-BA35-A53D4C30244B}</x14:id>
        </ext>
      </extLst>
    </cfRule>
  </conditionalFormatting>
  <conditionalFormatting sqref="I85:I96">
    <cfRule type="dataBar" priority="27">
      <dataBar>
        <cfvo type="min"/>
        <cfvo type="max"/>
        <color rgb="FF008AEF"/>
      </dataBar>
      <extLst>
        <ext xmlns:x14="http://schemas.microsoft.com/office/spreadsheetml/2009/9/main" uri="{B025F937-C7B1-47D3-B67F-A62EFF666E3E}">
          <x14:id>{F1CF286E-8DFA-084C-A1A1-723D85E45DDF}</x14:id>
        </ext>
      </extLst>
    </cfRule>
  </conditionalFormatting>
  <conditionalFormatting sqref="J85:J96">
    <cfRule type="dataBar" priority="26">
      <dataBar>
        <cfvo type="min"/>
        <cfvo type="max"/>
        <color rgb="FF008AEF"/>
      </dataBar>
      <extLst>
        <ext xmlns:x14="http://schemas.microsoft.com/office/spreadsheetml/2009/9/main" uri="{B025F937-C7B1-47D3-B67F-A62EFF666E3E}">
          <x14:id>{57288E5A-2F95-BE46-8211-97B55F9AB143}</x14:id>
        </ext>
      </extLst>
    </cfRule>
  </conditionalFormatting>
  <conditionalFormatting sqref="K85:K96">
    <cfRule type="dataBar" priority="25">
      <dataBar>
        <cfvo type="min"/>
        <cfvo type="max"/>
        <color rgb="FF008AEF"/>
      </dataBar>
      <extLst>
        <ext xmlns:x14="http://schemas.microsoft.com/office/spreadsheetml/2009/9/main" uri="{B025F937-C7B1-47D3-B67F-A62EFF666E3E}">
          <x14:id>{15A1741A-41A4-5D43-A9E0-911E471C2D09}</x14:id>
        </ext>
      </extLst>
    </cfRule>
  </conditionalFormatting>
  <conditionalFormatting sqref="L85:L96">
    <cfRule type="dataBar" priority="24">
      <dataBar>
        <cfvo type="min"/>
        <cfvo type="max"/>
        <color rgb="FF008AEF"/>
      </dataBar>
      <extLst>
        <ext xmlns:x14="http://schemas.microsoft.com/office/spreadsheetml/2009/9/main" uri="{B025F937-C7B1-47D3-B67F-A62EFF666E3E}">
          <x14:id>{8F24AB13-B983-0946-B0D2-7B03EAAFD868}</x14:id>
        </ext>
      </extLst>
    </cfRule>
  </conditionalFormatting>
  <conditionalFormatting sqref="M85:M96">
    <cfRule type="dataBar" priority="23">
      <dataBar>
        <cfvo type="min"/>
        <cfvo type="max"/>
        <color rgb="FF008AEF"/>
      </dataBar>
      <extLst>
        <ext xmlns:x14="http://schemas.microsoft.com/office/spreadsheetml/2009/9/main" uri="{B025F937-C7B1-47D3-B67F-A62EFF666E3E}">
          <x14:id>{1B53B0D7-9E67-3240-A904-17DD3A302425}</x14:id>
        </ext>
      </extLst>
    </cfRule>
  </conditionalFormatting>
  <conditionalFormatting sqref="N85:N96">
    <cfRule type="dataBar" priority="22">
      <dataBar>
        <cfvo type="min"/>
        <cfvo type="max"/>
        <color rgb="FF008AEF"/>
      </dataBar>
      <extLst>
        <ext xmlns:x14="http://schemas.microsoft.com/office/spreadsheetml/2009/9/main" uri="{B025F937-C7B1-47D3-B67F-A62EFF666E3E}">
          <x14:id>{46C92E8F-8EE4-384B-A75B-6091D1D64D55}</x14:id>
        </ext>
      </extLst>
    </cfRule>
  </conditionalFormatting>
  <conditionalFormatting sqref="O85:O96">
    <cfRule type="dataBar" priority="21">
      <dataBar>
        <cfvo type="min"/>
        <cfvo type="max"/>
        <color rgb="FF008AEF"/>
      </dataBar>
      <extLst>
        <ext xmlns:x14="http://schemas.microsoft.com/office/spreadsheetml/2009/9/main" uri="{B025F937-C7B1-47D3-B67F-A62EFF666E3E}">
          <x14:id>{A8E2A4C6-E171-404D-B2BE-57695B0A3056}</x14:id>
        </ext>
      </extLst>
    </cfRule>
  </conditionalFormatting>
  <conditionalFormatting sqref="P85:AB96">
    <cfRule type="dataBar" priority="20">
      <dataBar>
        <cfvo type="min"/>
        <cfvo type="max"/>
        <color rgb="FF008AEF"/>
      </dataBar>
      <extLst>
        <ext xmlns:x14="http://schemas.microsoft.com/office/spreadsheetml/2009/9/main" uri="{B025F937-C7B1-47D3-B67F-A62EFF666E3E}">
          <x14:id>{014DA6D5-A774-B344-B1DC-1614822D3F5B}</x14:id>
        </ext>
      </extLst>
    </cfRule>
  </conditionalFormatting>
  <conditionalFormatting sqref="C55:AB82">
    <cfRule type="dataBar" priority="18">
      <dataBar>
        <cfvo type="min"/>
        <cfvo type="max"/>
        <color rgb="FF008AEF"/>
      </dataBar>
      <extLst>
        <ext xmlns:x14="http://schemas.microsoft.com/office/spreadsheetml/2009/9/main" uri="{B025F937-C7B1-47D3-B67F-A62EFF666E3E}">
          <x14:id>{8746C227-89AD-3648-81F9-5601F2BF9C0D}</x14:id>
        </ext>
      </extLst>
    </cfRule>
  </conditionalFormatting>
  <conditionalFormatting sqref="C25:AB52">
    <cfRule type="dataBar" priority="17">
      <dataBar>
        <cfvo type="min"/>
        <cfvo type="max"/>
        <color rgb="FF008AEF"/>
      </dataBar>
      <extLst>
        <ext xmlns:x14="http://schemas.microsoft.com/office/spreadsheetml/2009/9/main" uri="{B025F937-C7B1-47D3-B67F-A62EFF666E3E}">
          <x14:id>{99CE0334-921F-0647-B4F5-E8688B1D0618}</x14:id>
        </ext>
      </extLst>
    </cfRule>
  </conditionalFormatting>
  <conditionalFormatting sqref="C99:AB110">
    <cfRule type="dataBar" priority="16">
      <dataBar>
        <cfvo type="min"/>
        <cfvo type="max"/>
        <color rgb="FF008AEF"/>
      </dataBar>
      <extLst>
        <ext xmlns:x14="http://schemas.microsoft.com/office/spreadsheetml/2009/9/main" uri="{B025F937-C7B1-47D3-B67F-A62EFF666E3E}">
          <x14:id>{12F40CE1-1EF4-1E42-A39C-541D7DC1BDE5}</x14:id>
        </ext>
      </extLst>
    </cfRule>
  </conditionalFormatting>
  <conditionalFormatting sqref="C85:AB96">
    <cfRule type="dataBar" priority="15">
      <dataBar>
        <cfvo type="min"/>
        <cfvo type="max"/>
        <color rgb="FF008AEF"/>
      </dataBar>
      <extLst>
        <ext xmlns:x14="http://schemas.microsoft.com/office/spreadsheetml/2009/9/main" uri="{B025F937-C7B1-47D3-B67F-A62EFF666E3E}">
          <x14:id>{59285275-4695-2640-9359-317455559C34}</x14:id>
        </ext>
      </extLst>
    </cfRule>
  </conditionalFormatting>
  <conditionalFormatting sqref="C25:AB52">
    <cfRule type="dataBar" priority="13">
      <dataBar>
        <cfvo type="min"/>
        <cfvo type="max"/>
        <color rgb="FF008AEF"/>
      </dataBar>
      <extLst>
        <ext xmlns:x14="http://schemas.microsoft.com/office/spreadsheetml/2009/9/main" uri="{B025F937-C7B1-47D3-B67F-A62EFF666E3E}">
          <x14:id>{EDE87F84-B15D-E745-B5F9-4F141A435F4E}</x14:id>
        </ext>
      </extLst>
    </cfRule>
  </conditionalFormatting>
  <conditionalFormatting sqref="D25:D52">
    <cfRule type="dataBar" priority="12">
      <dataBar>
        <cfvo type="min"/>
        <cfvo type="max"/>
        <color rgb="FF008AEF"/>
      </dataBar>
      <extLst>
        <ext xmlns:x14="http://schemas.microsoft.com/office/spreadsheetml/2009/9/main" uri="{B025F937-C7B1-47D3-B67F-A62EFF666E3E}">
          <x14:id>{1778A0D5-75BF-DB4E-995E-07BB2C095070}</x14:id>
        </ext>
      </extLst>
    </cfRule>
  </conditionalFormatting>
  <conditionalFormatting sqref="E25:E52">
    <cfRule type="dataBar" priority="11">
      <dataBar>
        <cfvo type="min"/>
        <cfvo type="max"/>
        <color rgb="FF008AEF"/>
      </dataBar>
      <extLst>
        <ext xmlns:x14="http://schemas.microsoft.com/office/spreadsheetml/2009/9/main" uri="{B025F937-C7B1-47D3-B67F-A62EFF666E3E}">
          <x14:id>{90B2FB4C-25CB-6046-9495-52CE6D7AF85D}</x14:id>
        </ext>
      </extLst>
    </cfRule>
  </conditionalFormatting>
  <conditionalFormatting sqref="F25:F52">
    <cfRule type="dataBar" priority="10">
      <dataBar>
        <cfvo type="min"/>
        <cfvo type="max"/>
        <color rgb="FF008AEF"/>
      </dataBar>
      <extLst>
        <ext xmlns:x14="http://schemas.microsoft.com/office/spreadsheetml/2009/9/main" uri="{B025F937-C7B1-47D3-B67F-A62EFF666E3E}">
          <x14:id>{E38F1FF5-6449-014F-8B5C-BE844B0458A9}</x14:id>
        </ext>
      </extLst>
    </cfRule>
  </conditionalFormatting>
  <conditionalFormatting sqref="G25:G52">
    <cfRule type="dataBar" priority="9">
      <dataBar>
        <cfvo type="min"/>
        <cfvo type="max"/>
        <color rgb="FF008AEF"/>
      </dataBar>
      <extLst>
        <ext xmlns:x14="http://schemas.microsoft.com/office/spreadsheetml/2009/9/main" uri="{B025F937-C7B1-47D3-B67F-A62EFF666E3E}">
          <x14:id>{0F1A1A50-C280-2C40-8743-3E8CF530B444}</x14:id>
        </ext>
      </extLst>
    </cfRule>
  </conditionalFormatting>
  <conditionalFormatting sqref="H25:AB52">
    <cfRule type="dataBar" priority="8">
      <dataBar>
        <cfvo type="min"/>
        <cfvo type="max"/>
        <color rgb="FF008AEF"/>
      </dataBar>
      <extLst>
        <ext xmlns:x14="http://schemas.microsoft.com/office/spreadsheetml/2009/9/main" uri="{B025F937-C7B1-47D3-B67F-A62EFF666E3E}">
          <x14:id>{DA103F9D-7B1B-ED4B-95AC-9F554E34EC60}</x14:id>
        </ext>
      </extLst>
    </cfRule>
  </conditionalFormatting>
  <conditionalFormatting sqref="I25:I52">
    <cfRule type="dataBar" priority="7">
      <dataBar>
        <cfvo type="min"/>
        <cfvo type="max"/>
        <color rgb="FF008AEF"/>
      </dataBar>
      <extLst>
        <ext xmlns:x14="http://schemas.microsoft.com/office/spreadsheetml/2009/9/main" uri="{B025F937-C7B1-47D3-B67F-A62EFF666E3E}">
          <x14:id>{13B043D3-E18D-E945-91E1-6CB1B616835F}</x14:id>
        </ext>
      </extLst>
    </cfRule>
  </conditionalFormatting>
  <conditionalFormatting sqref="J25:J52">
    <cfRule type="dataBar" priority="6">
      <dataBar>
        <cfvo type="min"/>
        <cfvo type="max"/>
        <color rgb="FF008AEF"/>
      </dataBar>
      <extLst>
        <ext xmlns:x14="http://schemas.microsoft.com/office/spreadsheetml/2009/9/main" uri="{B025F937-C7B1-47D3-B67F-A62EFF666E3E}">
          <x14:id>{EEB561AD-3BE3-0346-A40E-44F6E6CBAD31}</x14:id>
        </ext>
      </extLst>
    </cfRule>
  </conditionalFormatting>
  <conditionalFormatting sqref="K25:K52">
    <cfRule type="dataBar" priority="5">
      <dataBar>
        <cfvo type="min"/>
        <cfvo type="max"/>
        <color rgb="FF008AEF"/>
      </dataBar>
      <extLst>
        <ext xmlns:x14="http://schemas.microsoft.com/office/spreadsheetml/2009/9/main" uri="{B025F937-C7B1-47D3-B67F-A62EFF666E3E}">
          <x14:id>{A1DC4089-8D6F-8E48-BE02-6933E45A09B1}</x14:id>
        </ext>
      </extLst>
    </cfRule>
  </conditionalFormatting>
  <conditionalFormatting sqref="L25:L52">
    <cfRule type="dataBar" priority="4">
      <dataBar>
        <cfvo type="min"/>
        <cfvo type="max"/>
        <color rgb="FF008AEF"/>
      </dataBar>
      <extLst>
        <ext xmlns:x14="http://schemas.microsoft.com/office/spreadsheetml/2009/9/main" uri="{B025F937-C7B1-47D3-B67F-A62EFF666E3E}">
          <x14:id>{B01BBC0C-BCA4-1648-B96E-DD0167A3D2ED}</x14:id>
        </ext>
      </extLst>
    </cfRule>
  </conditionalFormatting>
  <conditionalFormatting sqref="N25:AB52">
    <cfRule type="dataBar" priority="3">
      <dataBar>
        <cfvo type="min"/>
        <cfvo type="max"/>
        <color rgb="FF008AEF"/>
      </dataBar>
      <extLst>
        <ext xmlns:x14="http://schemas.microsoft.com/office/spreadsheetml/2009/9/main" uri="{B025F937-C7B1-47D3-B67F-A62EFF666E3E}">
          <x14:id>{3F1761AF-3022-4940-AE9F-A75FDFC755B2}</x14:id>
        </ext>
      </extLst>
    </cfRule>
  </conditionalFormatting>
  <conditionalFormatting sqref="O25:O52">
    <cfRule type="dataBar" priority="2">
      <dataBar>
        <cfvo type="min"/>
        <cfvo type="max"/>
        <color rgb="FF008AEF"/>
      </dataBar>
      <extLst>
        <ext xmlns:x14="http://schemas.microsoft.com/office/spreadsheetml/2009/9/main" uri="{B025F937-C7B1-47D3-B67F-A62EFF666E3E}">
          <x14:id>{328A817B-ED21-B24A-80E7-16D12A488B20}</x14:id>
        </ext>
      </extLst>
    </cfRule>
  </conditionalFormatting>
  <conditionalFormatting sqref="P25:AB52">
    <cfRule type="dataBar" priority="1">
      <dataBar>
        <cfvo type="min"/>
        <cfvo type="max"/>
        <color rgb="FF008AEF"/>
      </dataBar>
      <extLst>
        <ext xmlns:x14="http://schemas.microsoft.com/office/spreadsheetml/2009/9/main" uri="{B025F937-C7B1-47D3-B67F-A62EFF666E3E}">
          <x14:id>{D7A97928-1973-5647-8FBB-35845A6A6A05}</x14:id>
        </ext>
      </extLst>
    </cfRule>
  </conditionalFormatting>
  <pageMargins left="0.7" right="0.7" top="0.75" bottom="0.75" header="0" footer="0"/>
  <pageSetup orientation="landscape" r:id="rId1"/>
  <extLst>
    <ext xmlns:x14="http://schemas.microsoft.com/office/spreadsheetml/2009/9/main" uri="{78C0D931-6437-407d-A8EE-F0AAD7539E65}">
      <x14:conditionalFormattings>
        <x14:conditionalFormatting xmlns:xm="http://schemas.microsoft.com/office/excel/2006/main">
          <x14:cfRule type="dataBar" id="{8F5026A2-9BFD-5347-A534-E83EFC892834}">
            <x14:dataBar minLength="0" maxLength="100" border="1" negativeBarBorderColorSameAsPositive="0">
              <x14:cfvo type="autoMin"/>
              <x14:cfvo type="autoMax"/>
              <x14:borderColor rgb="FF008AEF"/>
              <x14:negativeFillColor rgb="FFFF0000"/>
              <x14:negativeBorderColor rgb="FFFF0000"/>
              <x14:axisColor rgb="FF000000"/>
            </x14:dataBar>
          </x14:cfRule>
          <xm:sqref>C85:AB96</xm:sqref>
        </x14:conditionalFormatting>
        <x14:conditionalFormatting xmlns:xm="http://schemas.microsoft.com/office/excel/2006/main">
          <x14:cfRule type="dataBar" id="{99C35D00-72C9-B840-BF22-3FC5AE2B3F14}">
            <x14:dataBar minLength="0" maxLength="100" border="1" negativeBarBorderColorSameAsPositive="0">
              <x14:cfvo type="autoMin"/>
              <x14:cfvo type="autoMax"/>
              <x14:borderColor rgb="FF008AEF"/>
              <x14:negativeFillColor rgb="FFFF0000"/>
              <x14:negativeBorderColor rgb="FFFF0000"/>
              <x14:axisColor rgb="FF000000"/>
            </x14:dataBar>
          </x14:cfRule>
          <xm:sqref>D85:D96</xm:sqref>
        </x14:conditionalFormatting>
        <x14:conditionalFormatting xmlns:xm="http://schemas.microsoft.com/office/excel/2006/main">
          <x14:cfRule type="dataBar" id="{30A991D2-DA14-8448-A10A-908CF6A25E81}">
            <x14:dataBar minLength="0" maxLength="100" border="1" negativeBarBorderColorSameAsPositive="0">
              <x14:cfvo type="autoMin"/>
              <x14:cfvo type="autoMax"/>
              <x14:borderColor rgb="FF008AEF"/>
              <x14:negativeFillColor rgb="FFFF0000"/>
              <x14:negativeBorderColor rgb="FFFF0000"/>
              <x14:axisColor rgb="FF000000"/>
            </x14:dataBar>
          </x14:cfRule>
          <xm:sqref>E85:E96</xm:sqref>
        </x14:conditionalFormatting>
        <x14:conditionalFormatting xmlns:xm="http://schemas.microsoft.com/office/excel/2006/main">
          <x14:cfRule type="dataBar" id="{BE78DE04-8205-0942-AE99-F997792C0F33}">
            <x14:dataBar minLength="0" maxLength="100" border="1" negativeBarBorderColorSameAsPositive="0">
              <x14:cfvo type="autoMin"/>
              <x14:cfvo type="autoMax"/>
              <x14:borderColor rgb="FF008AEF"/>
              <x14:negativeFillColor rgb="FFFF0000"/>
              <x14:negativeBorderColor rgb="FFFF0000"/>
              <x14:axisColor rgb="FF000000"/>
            </x14:dataBar>
          </x14:cfRule>
          <xm:sqref>F85:F96</xm:sqref>
        </x14:conditionalFormatting>
        <x14:conditionalFormatting xmlns:xm="http://schemas.microsoft.com/office/excel/2006/main">
          <x14:cfRule type="dataBar" id="{11D9764C-8227-2C44-A3D1-BE078F7D05BB}">
            <x14:dataBar minLength="0" maxLength="100" border="1" negativeBarBorderColorSameAsPositive="0">
              <x14:cfvo type="autoMin"/>
              <x14:cfvo type="autoMax"/>
              <x14:borderColor rgb="FF008AEF"/>
              <x14:negativeFillColor rgb="FFFF0000"/>
              <x14:negativeBorderColor rgb="FFFF0000"/>
              <x14:axisColor rgb="FF000000"/>
            </x14:dataBar>
          </x14:cfRule>
          <xm:sqref>G85:G96</xm:sqref>
        </x14:conditionalFormatting>
        <x14:conditionalFormatting xmlns:xm="http://schemas.microsoft.com/office/excel/2006/main">
          <x14:cfRule type="dataBar" id="{FBC08340-CF0E-CB4B-BA35-A53D4C30244B}">
            <x14:dataBar minLength="0" maxLength="100" border="1" negativeBarBorderColorSameAsPositive="0">
              <x14:cfvo type="autoMin"/>
              <x14:cfvo type="autoMax"/>
              <x14:borderColor rgb="FF008AEF"/>
              <x14:negativeFillColor rgb="FFFF0000"/>
              <x14:negativeBorderColor rgb="FFFF0000"/>
              <x14:axisColor rgb="FF000000"/>
            </x14:dataBar>
          </x14:cfRule>
          <xm:sqref>H85:AB96</xm:sqref>
        </x14:conditionalFormatting>
        <x14:conditionalFormatting xmlns:xm="http://schemas.microsoft.com/office/excel/2006/main">
          <x14:cfRule type="dataBar" id="{F1CF286E-8DFA-084C-A1A1-723D85E45DDF}">
            <x14:dataBar minLength="0" maxLength="100" border="1" negativeBarBorderColorSameAsPositive="0">
              <x14:cfvo type="autoMin"/>
              <x14:cfvo type="autoMax"/>
              <x14:borderColor rgb="FF008AEF"/>
              <x14:negativeFillColor rgb="FFFF0000"/>
              <x14:negativeBorderColor rgb="FFFF0000"/>
              <x14:axisColor rgb="FF000000"/>
            </x14:dataBar>
          </x14:cfRule>
          <xm:sqref>I85:I96</xm:sqref>
        </x14:conditionalFormatting>
        <x14:conditionalFormatting xmlns:xm="http://schemas.microsoft.com/office/excel/2006/main">
          <x14:cfRule type="dataBar" id="{57288E5A-2F95-BE46-8211-97B55F9AB143}">
            <x14:dataBar minLength="0" maxLength="100" border="1" negativeBarBorderColorSameAsPositive="0">
              <x14:cfvo type="autoMin"/>
              <x14:cfvo type="autoMax"/>
              <x14:borderColor rgb="FF008AEF"/>
              <x14:negativeFillColor rgb="FFFF0000"/>
              <x14:negativeBorderColor rgb="FFFF0000"/>
              <x14:axisColor rgb="FF000000"/>
            </x14:dataBar>
          </x14:cfRule>
          <xm:sqref>J85:J96</xm:sqref>
        </x14:conditionalFormatting>
        <x14:conditionalFormatting xmlns:xm="http://schemas.microsoft.com/office/excel/2006/main">
          <x14:cfRule type="dataBar" id="{15A1741A-41A4-5D43-A9E0-911E471C2D09}">
            <x14:dataBar minLength="0" maxLength="100" border="1" negativeBarBorderColorSameAsPositive="0">
              <x14:cfvo type="autoMin"/>
              <x14:cfvo type="autoMax"/>
              <x14:borderColor rgb="FF008AEF"/>
              <x14:negativeFillColor rgb="FFFF0000"/>
              <x14:negativeBorderColor rgb="FFFF0000"/>
              <x14:axisColor rgb="FF000000"/>
            </x14:dataBar>
          </x14:cfRule>
          <xm:sqref>K85:K96</xm:sqref>
        </x14:conditionalFormatting>
        <x14:conditionalFormatting xmlns:xm="http://schemas.microsoft.com/office/excel/2006/main">
          <x14:cfRule type="dataBar" id="{8F24AB13-B983-0946-B0D2-7B03EAAFD868}">
            <x14:dataBar minLength="0" maxLength="100" border="1" negativeBarBorderColorSameAsPositive="0">
              <x14:cfvo type="autoMin"/>
              <x14:cfvo type="autoMax"/>
              <x14:borderColor rgb="FF008AEF"/>
              <x14:negativeFillColor rgb="FFFF0000"/>
              <x14:negativeBorderColor rgb="FFFF0000"/>
              <x14:axisColor rgb="FF000000"/>
            </x14:dataBar>
          </x14:cfRule>
          <xm:sqref>L85:L96</xm:sqref>
        </x14:conditionalFormatting>
        <x14:conditionalFormatting xmlns:xm="http://schemas.microsoft.com/office/excel/2006/main">
          <x14:cfRule type="dataBar" id="{1B53B0D7-9E67-3240-A904-17DD3A302425}">
            <x14:dataBar minLength="0" maxLength="100" border="1" negativeBarBorderColorSameAsPositive="0">
              <x14:cfvo type="autoMin"/>
              <x14:cfvo type="autoMax"/>
              <x14:borderColor rgb="FF008AEF"/>
              <x14:negativeFillColor rgb="FFFF0000"/>
              <x14:negativeBorderColor rgb="FFFF0000"/>
              <x14:axisColor rgb="FF000000"/>
            </x14:dataBar>
          </x14:cfRule>
          <xm:sqref>M85:M96</xm:sqref>
        </x14:conditionalFormatting>
        <x14:conditionalFormatting xmlns:xm="http://schemas.microsoft.com/office/excel/2006/main">
          <x14:cfRule type="dataBar" id="{46C92E8F-8EE4-384B-A75B-6091D1D64D55}">
            <x14:dataBar minLength="0" maxLength="100" border="1" negativeBarBorderColorSameAsPositive="0">
              <x14:cfvo type="autoMin"/>
              <x14:cfvo type="autoMax"/>
              <x14:borderColor rgb="FF008AEF"/>
              <x14:negativeFillColor rgb="FFFF0000"/>
              <x14:negativeBorderColor rgb="FFFF0000"/>
              <x14:axisColor rgb="FF000000"/>
            </x14:dataBar>
          </x14:cfRule>
          <xm:sqref>N85:N96</xm:sqref>
        </x14:conditionalFormatting>
        <x14:conditionalFormatting xmlns:xm="http://schemas.microsoft.com/office/excel/2006/main">
          <x14:cfRule type="dataBar" id="{A8E2A4C6-E171-404D-B2BE-57695B0A3056}">
            <x14:dataBar minLength="0" maxLength="100" border="1" negativeBarBorderColorSameAsPositive="0">
              <x14:cfvo type="autoMin"/>
              <x14:cfvo type="autoMax"/>
              <x14:borderColor rgb="FF008AEF"/>
              <x14:negativeFillColor rgb="FFFF0000"/>
              <x14:negativeBorderColor rgb="FFFF0000"/>
              <x14:axisColor rgb="FF000000"/>
            </x14:dataBar>
          </x14:cfRule>
          <xm:sqref>O85:O96</xm:sqref>
        </x14:conditionalFormatting>
        <x14:conditionalFormatting xmlns:xm="http://schemas.microsoft.com/office/excel/2006/main">
          <x14:cfRule type="dataBar" id="{014DA6D5-A774-B344-B1DC-1614822D3F5B}">
            <x14:dataBar minLength="0" maxLength="100" border="1" negativeBarBorderColorSameAsPositive="0">
              <x14:cfvo type="autoMin"/>
              <x14:cfvo type="autoMax"/>
              <x14:borderColor rgb="FF008AEF"/>
              <x14:negativeFillColor rgb="FFFF0000"/>
              <x14:negativeBorderColor rgb="FFFF0000"/>
              <x14:axisColor rgb="FF000000"/>
            </x14:dataBar>
          </x14:cfRule>
          <xm:sqref>P85:AB96</xm:sqref>
        </x14:conditionalFormatting>
        <x14:conditionalFormatting xmlns:xm="http://schemas.microsoft.com/office/excel/2006/main">
          <x14:cfRule type="dataBar" id="{8746C227-89AD-3648-81F9-5601F2BF9C0D}">
            <x14:dataBar minLength="0" maxLength="100" border="1" negativeBarBorderColorSameAsPositive="0">
              <x14:cfvo type="autoMin"/>
              <x14:cfvo type="autoMax"/>
              <x14:borderColor rgb="FF008AEF"/>
              <x14:negativeFillColor rgb="FFFF0000"/>
              <x14:negativeBorderColor rgb="FFFF0000"/>
              <x14:axisColor rgb="FF000000"/>
            </x14:dataBar>
          </x14:cfRule>
          <xm:sqref>C55:AB82</xm:sqref>
        </x14:conditionalFormatting>
        <x14:conditionalFormatting xmlns:xm="http://schemas.microsoft.com/office/excel/2006/main">
          <x14:cfRule type="dataBar" id="{99CE0334-921F-0647-B4F5-E8688B1D0618}">
            <x14:dataBar minLength="0" maxLength="100" border="1" negativeBarBorderColorSameAsPositive="0">
              <x14:cfvo type="autoMin"/>
              <x14:cfvo type="autoMax"/>
              <x14:borderColor rgb="FF008AEF"/>
              <x14:negativeFillColor rgb="FFFF0000"/>
              <x14:negativeBorderColor rgb="FFFF0000"/>
              <x14:axisColor rgb="FF000000"/>
            </x14:dataBar>
          </x14:cfRule>
          <xm:sqref>C25:AB52</xm:sqref>
        </x14:conditionalFormatting>
        <x14:conditionalFormatting xmlns:xm="http://schemas.microsoft.com/office/excel/2006/main">
          <x14:cfRule type="dataBar" id="{12F40CE1-1EF4-1E42-A39C-541D7DC1BDE5}">
            <x14:dataBar minLength="0" maxLength="100" border="1" negativeBarBorderColorSameAsPositive="0">
              <x14:cfvo type="autoMin"/>
              <x14:cfvo type="autoMax"/>
              <x14:borderColor rgb="FF008AEF"/>
              <x14:negativeFillColor rgb="FFFF0000"/>
              <x14:negativeBorderColor rgb="FFFF0000"/>
              <x14:axisColor rgb="FF000000"/>
            </x14:dataBar>
          </x14:cfRule>
          <xm:sqref>C99:AB110</xm:sqref>
        </x14:conditionalFormatting>
        <x14:conditionalFormatting xmlns:xm="http://schemas.microsoft.com/office/excel/2006/main">
          <x14:cfRule type="dataBar" id="{59285275-4695-2640-9359-317455559C34}">
            <x14:dataBar minLength="0" maxLength="100" border="1" negativeBarBorderColorSameAsPositive="0">
              <x14:cfvo type="autoMin"/>
              <x14:cfvo type="autoMax"/>
              <x14:borderColor rgb="FF008AEF"/>
              <x14:negativeFillColor rgb="FFFF0000"/>
              <x14:negativeBorderColor rgb="FFFF0000"/>
              <x14:axisColor rgb="FF000000"/>
            </x14:dataBar>
          </x14:cfRule>
          <xm:sqref>C85:AB96</xm:sqref>
        </x14:conditionalFormatting>
        <x14:conditionalFormatting xmlns:xm="http://schemas.microsoft.com/office/excel/2006/main">
          <x14:cfRule type="dataBar" id="{EDE87F84-B15D-E745-B5F9-4F141A435F4E}">
            <x14:dataBar minLength="0" maxLength="100" border="1" negativeBarBorderColorSameAsPositive="0">
              <x14:cfvo type="autoMin"/>
              <x14:cfvo type="autoMax"/>
              <x14:borderColor rgb="FF008AEF"/>
              <x14:negativeFillColor rgb="FFFF0000"/>
              <x14:negativeBorderColor rgb="FFFF0000"/>
              <x14:axisColor rgb="FF000000"/>
            </x14:dataBar>
          </x14:cfRule>
          <xm:sqref>C25:AB52</xm:sqref>
        </x14:conditionalFormatting>
        <x14:conditionalFormatting xmlns:xm="http://schemas.microsoft.com/office/excel/2006/main">
          <x14:cfRule type="dataBar" id="{1778A0D5-75BF-DB4E-995E-07BB2C095070}">
            <x14:dataBar minLength="0" maxLength="100" border="1" negativeBarBorderColorSameAsPositive="0">
              <x14:cfvo type="autoMin"/>
              <x14:cfvo type="autoMax"/>
              <x14:borderColor rgb="FF008AEF"/>
              <x14:negativeFillColor rgb="FFFF0000"/>
              <x14:negativeBorderColor rgb="FFFF0000"/>
              <x14:axisColor rgb="FF000000"/>
            </x14:dataBar>
          </x14:cfRule>
          <xm:sqref>D25:D52</xm:sqref>
        </x14:conditionalFormatting>
        <x14:conditionalFormatting xmlns:xm="http://schemas.microsoft.com/office/excel/2006/main">
          <x14:cfRule type="dataBar" id="{90B2FB4C-25CB-6046-9495-52CE6D7AF85D}">
            <x14:dataBar minLength="0" maxLength="100" border="1" negativeBarBorderColorSameAsPositive="0">
              <x14:cfvo type="autoMin"/>
              <x14:cfvo type="autoMax"/>
              <x14:borderColor rgb="FF008AEF"/>
              <x14:negativeFillColor rgb="FFFF0000"/>
              <x14:negativeBorderColor rgb="FFFF0000"/>
              <x14:axisColor rgb="FF000000"/>
            </x14:dataBar>
          </x14:cfRule>
          <xm:sqref>E25:E52</xm:sqref>
        </x14:conditionalFormatting>
        <x14:conditionalFormatting xmlns:xm="http://schemas.microsoft.com/office/excel/2006/main">
          <x14:cfRule type="dataBar" id="{E38F1FF5-6449-014F-8B5C-BE844B0458A9}">
            <x14:dataBar minLength="0" maxLength="100" border="1" negativeBarBorderColorSameAsPositive="0">
              <x14:cfvo type="autoMin"/>
              <x14:cfvo type="autoMax"/>
              <x14:borderColor rgb="FF008AEF"/>
              <x14:negativeFillColor rgb="FFFF0000"/>
              <x14:negativeBorderColor rgb="FFFF0000"/>
              <x14:axisColor rgb="FF000000"/>
            </x14:dataBar>
          </x14:cfRule>
          <xm:sqref>F25:F52</xm:sqref>
        </x14:conditionalFormatting>
        <x14:conditionalFormatting xmlns:xm="http://schemas.microsoft.com/office/excel/2006/main">
          <x14:cfRule type="dataBar" id="{0F1A1A50-C280-2C40-8743-3E8CF530B444}">
            <x14:dataBar minLength="0" maxLength="100" border="1" negativeBarBorderColorSameAsPositive="0">
              <x14:cfvo type="autoMin"/>
              <x14:cfvo type="autoMax"/>
              <x14:borderColor rgb="FF008AEF"/>
              <x14:negativeFillColor rgb="FFFF0000"/>
              <x14:negativeBorderColor rgb="FFFF0000"/>
              <x14:axisColor rgb="FF000000"/>
            </x14:dataBar>
          </x14:cfRule>
          <xm:sqref>G25:G52</xm:sqref>
        </x14:conditionalFormatting>
        <x14:conditionalFormatting xmlns:xm="http://schemas.microsoft.com/office/excel/2006/main">
          <x14:cfRule type="dataBar" id="{DA103F9D-7B1B-ED4B-95AC-9F554E34EC60}">
            <x14:dataBar minLength="0" maxLength="100" border="1" negativeBarBorderColorSameAsPositive="0">
              <x14:cfvo type="autoMin"/>
              <x14:cfvo type="autoMax"/>
              <x14:borderColor rgb="FF008AEF"/>
              <x14:negativeFillColor rgb="FFFF0000"/>
              <x14:negativeBorderColor rgb="FFFF0000"/>
              <x14:axisColor rgb="FF000000"/>
            </x14:dataBar>
          </x14:cfRule>
          <xm:sqref>H25:AB52</xm:sqref>
        </x14:conditionalFormatting>
        <x14:conditionalFormatting xmlns:xm="http://schemas.microsoft.com/office/excel/2006/main">
          <x14:cfRule type="dataBar" id="{13B043D3-E18D-E945-91E1-6CB1B616835F}">
            <x14:dataBar minLength="0" maxLength="100" border="1" negativeBarBorderColorSameAsPositive="0">
              <x14:cfvo type="autoMin"/>
              <x14:cfvo type="autoMax"/>
              <x14:borderColor rgb="FF008AEF"/>
              <x14:negativeFillColor rgb="FFFF0000"/>
              <x14:negativeBorderColor rgb="FFFF0000"/>
              <x14:axisColor rgb="FF000000"/>
            </x14:dataBar>
          </x14:cfRule>
          <xm:sqref>I25:I52</xm:sqref>
        </x14:conditionalFormatting>
        <x14:conditionalFormatting xmlns:xm="http://schemas.microsoft.com/office/excel/2006/main">
          <x14:cfRule type="dataBar" id="{EEB561AD-3BE3-0346-A40E-44F6E6CBAD31}">
            <x14:dataBar minLength="0" maxLength="100" border="1" negativeBarBorderColorSameAsPositive="0">
              <x14:cfvo type="autoMin"/>
              <x14:cfvo type="autoMax"/>
              <x14:borderColor rgb="FF008AEF"/>
              <x14:negativeFillColor rgb="FFFF0000"/>
              <x14:negativeBorderColor rgb="FFFF0000"/>
              <x14:axisColor rgb="FF000000"/>
            </x14:dataBar>
          </x14:cfRule>
          <xm:sqref>J25:J52</xm:sqref>
        </x14:conditionalFormatting>
        <x14:conditionalFormatting xmlns:xm="http://schemas.microsoft.com/office/excel/2006/main">
          <x14:cfRule type="dataBar" id="{A1DC4089-8D6F-8E48-BE02-6933E45A09B1}">
            <x14:dataBar minLength="0" maxLength="100" border="1" negativeBarBorderColorSameAsPositive="0">
              <x14:cfvo type="autoMin"/>
              <x14:cfvo type="autoMax"/>
              <x14:borderColor rgb="FF008AEF"/>
              <x14:negativeFillColor rgb="FFFF0000"/>
              <x14:negativeBorderColor rgb="FFFF0000"/>
              <x14:axisColor rgb="FF000000"/>
            </x14:dataBar>
          </x14:cfRule>
          <xm:sqref>K25:K52</xm:sqref>
        </x14:conditionalFormatting>
        <x14:conditionalFormatting xmlns:xm="http://schemas.microsoft.com/office/excel/2006/main">
          <x14:cfRule type="dataBar" id="{B01BBC0C-BCA4-1648-B96E-DD0167A3D2ED}">
            <x14:dataBar minLength="0" maxLength="100" border="1" negativeBarBorderColorSameAsPositive="0">
              <x14:cfvo type="autoMin"/>
              <x14:cfvo type="autoMax"/>
              <x14:borderColor rgb="FF008AEF"/>
              <x14:negativeFillColor rgb="FFFF0000"/>
              <x14:negativeBorderColor rgb="FFFF0000"/>
              <x14:axisColor rgb="FF000000"/>
            </x14:dataBar>
          </x14:cfRule>
          <xm:sqref>L25:L52</xm:sqref>
        </x14:conditionalFormatting>
        <x14:conditionalFormatting xmlns:xm="http://schemas.microsoft.com/office/excel/2006/main">
          <x14:cfRule type="dataBar" id="{3F1761AF-3022-4940-AE9F-A75FDFC755B2}">
            <x14:dataBar minLength="0" maxLength="100" border="1" negativeBarBorderColorSameAsPositive="0">
              <x14:cfvo type="autoMin"/>
              <x14:cfvo type="autoMax"/>
              <x14:borderColor rgb="FF008AEF"/>
              <x14:negativeFillColor rgb="FFFF0000"/>
              <x14:negativeBorderColor rgb="FFFF0000"/>
              <x14:axisColor rgb="FF000000"/>
            </x14:dataBar>
          </x14:cfRule>
          <xm:sqref>N25:AB52</xm:sqref>
        </x14:conditionalFormatting>
        <x14:conditionalFormatting xmlns:xm="http://schemas.microsoft.com/office/excel/2006/main">
          <x14:cfRule type="dataBar" id="{328A817B-ED21-B24A-80E7-16D12A488B20}">
            <x14:dataBar minLength="0" maxLength="100" border="1" negativeBarBorderColorSameAsPositive="0">
              <x14:cfvo type="autoMin"/>
              <x14:cfvo type="autoMax"/>
              <x14:borderColor rgb="FF008AEF"/>
              <x14:negativeFillColor rgb="FFFF0000"/>
              <x14:negativeBorderColor rgb="FFFF0000"/>
              <x14:axisColor rgb="FF000000"/>
            </x14:dataBar>
          </x14:cfRule>
          <xm:sqref>O25:O52</xm:sqref>
        </x14:conditionalFormatting>
        <x14:conditionalFormatting xmlns:xm="http://schemas.microsoft.com/office/excel/2006/main">
          <x14:cfRule type="dataBar" id="{D7A97928-1973-5647-8FBB-35845A6A6A05}">
            <x14:dataBar minLength="0" maxLength="100" border="1" negativeBarBorderColorSameAsPositive="0">
              <x14:cfvo type="autoMin"/>
              <x14:cfvo type="autoMax"/>
              <x14:borderColor rgb="FF008AEF"/>
              <x14:negativeFillColor rgb="FFFF0000"/>
              <x14:negativeBorderColor rgb="FFFF0000"/>
              <x14:axisColor rgb="FF000000"/>
            </x14:dataBar>
          </x14:cfRule>
          <xm:sqref>P25:AB52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A88A-654A-41EA-9C00-6159B6D7C8E0}">
  <dimension ref="B91:E107"/>
  <sheetViews>
    <sheetView topLeftCell="F78" zoomScale="131" workbookViewId="0">
      <selection activeCell="B91" sqref="B91"/>
    </sheetView>
  </sheetViews>
  <sheetFormatPr baseColWidth="10" defaultColWidth="8.83203125" defaultRowHeight="14" x14ac:dyDescent="0.15"/>
  <cols>
    <col min="2" max="2" width="14" bestFit="1" customWidth="1"/>
    <col min="3" max="3" width="17" bestFit="1" customWidth="1"/>
    <col min="4" max="4" width="14.83203125" bestFit="1" customWidth="1"/>
    <col min="5" max="5" width="11.6640625" bestFit="1" customWidth="1"/>
    <col min="6" max="6" width="43.33203125" bestFit="1" customWidth="1"/>
    <col min="7" max="7" width="18" bestFit="1" customWidth="1"/>
    <col min="8" max="8" width="48.5" bestFit="1" customWidth="1"/>
    <col min="9" max="9" width="6.1640625" bestFit="1" customWidth="1"/>
    <col min="10" max="10" width="5.33203125" bestFit="1" customWidth="1"/>
    <col min="11" max="11" width="10" bestFit="1" customWidth="1"/>
    <col min="12" max="12" width="6.6640625" bestFit="1" customWidth="1"/>
    <col min="13" max="13" width="8.5" bestFit="1" customWidth="1"/>
    <col min="14" max="14" width="5.5" bestFit="1" customWidth="1"/>
    <col min="15" max="16" width="11.6640625" bestFit="1" customWidth="1"/>
    <col min="17" max="20" width="4.1640625" bestFit="1" customWidth="1"/>
    <col min="21" max="21" width="3.1640625" bestFit="1" customWidth="1"/>
    <col min="22" max="22" width="4.1640625" bestFit="1" customWidth="1"/>
    <col min="23" max="23" width="3.1640625" bestFit="1" customWidth="1"/>
    <col min="24" max="24" width="7.33203125" bestFit="1" customWidth="1"/>
    <col min="25" max="25" width="11.6640625" bestFit="1" customWidth="1"/>
    <col min="26" max="26" width="47.5" bestFit="1" customWidth="1"/>
    <col min="27" max="27" width="20.5" bestFit="1" customWidth="1"/>
    <col min="28" max="28" width="22.83203125" bestFit="1" customWidth="1"/>
    <col min="29" max="29" width="15" bestFit="1" customWidth="1"/>
    <col min="30" max="30" width="15.1640625" bestFit="1" customWidth="1"/>
    <col min="31" max="31" width="36" bestFit="1" customWidth="1"/>
    <col min="32" max="32" width="30" bestFit="1" customWidth="1"/>
    <col min="33" max="33" width="12" bestFit="1" customWidth="1"/>
    <col min="34" max="34" width="32.33203125" bestFit="1" customWidth="1"/>
    <col min="35" max="35" width="24" bestFit="1" customWidth="1"/>
    <col min="36" max="37" width="18.33203125" bestFit="1" customWidth="1"/>
    <col min="38" max="38" width="46.6640625" bestFit="1" customWidth="1"/>
    <col min="39" max="39" width="29.83203125" bestFit="1" customWidth="1"/>
    <col min="40" max="40" width="17.33203125" bestFit="1" customWidth="1"/>
    <col min="41" max="41" width="15.83203125" bestFit="1" customWidth="1"/>
    <col min="42" max="42" width="14.6640625" bestFit="1" customWidth="1"/>
    <col min="43" max="43" width="47" bestFit="1" customWidth="1"/>
    <col min="44" max="44" width="33.6640625" bestFit="1" customWidth="1"/>
    <col min="45" max="45" width="21.6640625" bestFit="1" customWidth="1"/>
    <col min="46" max="46" width="13.33203125" bestFit="1" customWidth="1"/>
    <col min="47" max="47" width="18.83203125" bestFit="1" customWidth="1"/>
    <col min="48" max="48" width="21.6640625" bestFit="1" customWidth="1"/>
    <col min="49" max="49" width="29.33203125" bestFit="1" customWidth="1"/>
    <col min="50" max="50" width="28.1640625" bestFit="1" customWidth="1"/>
    <col min="51" max="51" width="20.83203125" bestFit="1" customWidth="1"/>
    <col min="52" max="52" width="20.1640625" bestFit="1" customWidth="1"/>
    <col min="53" max="53" width="7.83203125" bestFit="1" customWidth="1"/>
    <col min="54" max="54" width="18.1640625" bestFit="1" customWidth="1"/>
    <col min="55" max="55" width="20.1640625" bestFit="1" customWidth="1"/>
    <col min="56" max="56" width="40.6640625" bestFit="1" customWidth="1"/>
    <col min="57" max="57" width="26" bestFit="1" customWidth="1"/>
    <col min="58" max="58" width="8" bestFit="1" customWidth="1"/>
    <col min="59" max="59" width="25.83203125" bestFit="1" customWidth="1"/>
    <col min="60" max="60" width="15.5" bestFit="1" customWidth="1"/>
    <col min="61" max="61" width="22.5" bestFit="1" customWidth="1"/>
    <col min="62" max="62" width="14.5" bestFit="1" customWidth="1"/>
    <col min="63" max="63" width="11" bestFit="1" customWidth="1"/>
    <col min="64" max="64" width="37.33203125" bestFit="1" customWidth="1"/>
    <col min="65" max="65" width="40" bestFit="1" customWidth="1"/>
    <col min="66" max="66" width="24" bestFit="1" customWidth="1"/>
    <col min="67" max="67" width="23.6640625" bestFit="1" customWidth="1"/>
    <col min="68" max="68" width="30.5" bestFit="1" customWidth="1"/>
    <col min="69" max="69" width="53.1640625" bestFit="1" customWidth="1"/>
    <col min="70" max="70" width="21.83203125" bestFit="1" customWidth="1"/>
    <col min="71" max="71" width="27.6640625" bestFit="1" customWidth="1"/>
    <col min="72" max="72" width="20.5" bestFit="1" customWidth="1"/>
    <col min="73" max="73" width="12.33203125" bestFit="1" customWidth="1"/>
    <col min="74" max="74" width="17" bestFit="1" customWidth="1"/>
    <col min="75" max="75" width="32.1640625" bestFit="1" customWidth="1"/>
    <col min="76" max="76" width="36.1640625" bestFit="1" customWidth="1"/>
    <col min="77" max="77" width="22.6640625" bestFit="1" customWidth="1"/>
    <col min="78" max="78" width="44.1640625" bestFit="1" customWidth="1"/>
    <col min="79" max="79" width="27.6640625" bestFit="1" customWidth="1"/>
    <col min="80" max="80" width="24.33203125" bestFit="1" customWidth="1"/>
    <col min="81" max="81" width="28" bestFit="1" customWidth="1"/>
    <col min="82" max="82" width="23.33203125" bestFit="1" customWidth="1"/>
    <col min="83" max="83" width="25.5" bestFit="1" customWidth="1"/>
    <col min="84" max="84" width="31.1640625" bestFit="1" customWidth="1"/>
    <col min="85" max="85" width="48.1640625" bestFit="1" customWidth="1"/>
    <col min="86" max="86" width="15.33203125" bestFit="1" customWidth="1"/>
    <col min="87" max="87" width="22" bestFit="1" customWidth="1"/>
    <col min="88" max="88" width="26.6640625" bestFit="1" customWidth="1"/>
    <col min="89" max="89" width="10.6640625" bestFit="1" customWidth="1"/>
    <col min="90" max="90" width="27.33203125" bestFit="1" customWidth="1"/>
    <col min="91" max="91" width="39.1640625" bestFit="1" customWidth="1"/>
    <col min="92" max="92" width="11.1640625" bestFit="1" customWidth="1"/>
    <col min="93" max="93" width="10" bestFit="1" customWidth="1"/>
    <col min="94" max="94" width="10.83203125" bestFit="1" customWidth="1"/>
    <col min="95" max="95" width="20.6640625" bestFit="1" customWidth="1"/>
    <col min="96" max="96" width="14.6640625" bestFit="1" customWidth="1"/>
    <col min="97" max="97" width="20.5" bestFit="1" customWidth="1"/>
    <col min="98" max="98" width="22" bestFit="1" customWidth="1"/>
    <col min="99" max="99" width="23" bestFit="1" customWidth="1"/>
    <col min="100" max="100" width="20" bestFit="1" customWidth="1"/>
    <col min="101" max="101" width="30.33203125" bestFit="1" customWidth="1"/>
    <col min="102" max="102" width="30.5" bestFit="1" customWidth="1"/>
    <col min="103" max="103" width="28.83203125" bestFit="1" customWidth="1"/>
    <col min="104" max="104" width="21.1640625" bestFit="1" customWidth="1"/>
    <col min="105" max="105" width="24.1640625" bestFit="1" customWidth="1"/>
    <col min="106" max="106" width="36.1640625" bestFit="1" customWidth="1"/>
    <col min="107" max="107" width="19.1640625" bestFit="1" customWidth="1"/>
    <col min="108" max="108" width="45.1640625" bestFit="1" customWidth="1"/>
    <col min="109" max="109" width="18.83203125" bestFit="1" customWidth="1"/>
    <col min="110" max="110" width="18.33203125" bestFit="1" customWidth="1"/>
    <col min="111" max="111" width="16.83203125" bestFit="1" customWidth="1"/>
    <col min="112" max="112" width="22.5" bestFit="1" customWidth="1"/>
    <col min="113" max="113" width="17.83203125" bestFit="1" customWidth="1"/>
    <col min="114" max="114" width="19.83203125" bestFit="1" customWidth="1"/>
    <col min="115" max="115" width="27.33203125" bestFit="1" customWidth="1"/>
    <col min="116" max="116" width="25.83203125" bestFit="1" customWidth="1"/>
    <col min="117" max="117" width="43.6640625" bestFit="1" customWidth="1"/>
    <col min="118" max="118" width="15.1640625" bestFit="1" customWidth="1"/>
    <col min="119" max="119" width="14.6640625" bestFit="1" customWidth="1"/>
    <col min="120" max="120" width="21.83203125" bestFit="1" customWidth="1"/>
    <col min="121" max="121" width="21.5" bestFit="1" customWidth="1"/>
    <col min="122" max="122" width="10.83203125" bestFit="1" customWidth="1"/>
    <col min="123" max="123" width="7.5" bestFit="1" customWidth="1"/>
    <col min="124" max="124" width="10.5" bestFit="1" customWidth="1"/>
    <col min="125" max="125" width="13.5" bestFit="1" customWidth="1"/>
    <col min="126" max="126" width="14.1640625" bestFit="1" customWidth="1"/>
    <col min="127" max="127" width="29.5" bestFit="1" customWidth="1"/>
    <col min="128" max="128" width="20" bestFit="1" customWidth="1"/>
    <col min="129" max="129" width="29" bestFit="1" customWidth="1"/>
    <col min="130" max="130" width="22.1640625" bestFit="1" customWidth="1"/>
    <col min="131" max="131" width="48.1640625" bestFit="1" customWidth="1"/>
    <col min="132" max="132" width="35.33203125" bestFit="1" customWidth="1"/>
    <col min="133" max="133" width="39.5" bestFit="1" customWidth="1"/>
    <col min="134" max="134" width="36.6640625" bestFit="1" customWidth="1"/>
    <col min="135" max="135" width="34.1640625" bestFit="1" customWidth="1"/>
    <col min="136" max="136" width="32.6640625" bestFit="1" customWidth="1"/>
    <col min="137" max="137" width="36.5" bestFit="1" customWidth="1"/>
    <col min="138" max="138" width="23.6640625" bestFit="1" customWidth="1"/>
    <col min="139" max="139" width="31" bestFit="1" customWidth="1"/>
    <col min="140" max="140" width="18.5" bestFit="1" customWidth="1"/>
    <col min="141" max="141" width="11.6640625" bestFit="1" customWidth="1"/>
    <col min="142" max="142" width="20.1640625" bestFit="1" customWidth="1"/>
    <col min="143" max="143" width="14.33203125" bestFit="1" customWidth="1"/>
    <col min="144" max="144" width="20.83203125" bestFit="1" customWidth="1"/>
    <col min="145" max="145" width="38.33203125" bestFit="1" customWidth="1"/>
    <col min="146" max="146" width="8.5" bestFit="1" customWidth="1"/>
    <col min="147" max="147" width="14.5" bestFit="1" customWidth="1"/>
    <col min="148" max="148" width="26.1640625" bestFit="1" customWidth="1"/>
    <col min="149" max="149" width="23.6640625" bestFit="1" customWidth="1"/>
    <col min="150" max="150" width="27.5" bestFit="1" customWidth="1"/>
    <col min="151" max="151" width="22.1640625" bestFit="1" customWidth="1"/>
    <col min="152" max="152" width="19.6640625" bestFit="1" customWidth="1"/>
    <col min="153" max="153" width="10.5" bestFit="1" customWidth="1"/>
    <col min="154" max="154" width="27" bestFit="1" customWidth="1"/>
    <col min="155" max="155" width="19.6640625" bestFit="1" customWidth="1"/>
    <col min="156" max="156" width="26.83203125" bestFit="1" customWidth="1"/>
    <col min="157" max="157" width="22.5" bestFit="1" customWidth="1"/>
    <col min="158" max="158" width="44" bestFit="1" customWidth="1"/>
    <col min="159" max="159" width="14.33203125" bestFit="1" customWidth="1"/>
    <col min="160" max="160" width="22.33203125" bestFit="1" customWidth="1"/>
    <col min="161" max="161" width="15.83203125" bestFit="1" customWidth="1"/>
    <col min="162" max="162" width="23" bestFit="1" customWidth="1"/>
    <col min="163" max="163" width="13" bestFit="1" customWidth="1"/>
    <col min="164" max="164" width="13.6640625" bestFit="1" customWidth="1"/>
    <col min="165" max="165" width="20.6640625" bestFit="1" customWidth="1"/>
    <col min="166" max="166" width="21.5" bestFit="1" customWidth="1"/>
    <col min="167" max="167" width="17.83203125" bestFit="1" customWidth="1"/>
    <col min="168" max="168" width="16.83203125" bestFit="1" customWidth="1"/>
    <col min="169" max="169" width="22.5" bestFit="1" customWidth="1"/>
    <col min="170" max="170" width="18.83203125" bestFit="1" customWidth="1"/>
    <col min="171" max="171" width="34.83203125" bestFit="1" customWidth="1"/>
    <col min="172" max="172" width="11.6640625" bestFit="1" customWidth="1"/>
    <col min="173" max="173" width="13" bestFit="1" customWidth="1"/>
    <col min="174" max="174" width="12.6640625" bestFit="1" customWidth="1"/>
    <col min="175" max="175" width="21.5" bestFit="1" customWidth="1"/>
    <col min="176" max="176" width="24.6640625" bestFit="1" customWidth="1"/>
    <col min="177" max="177" width="27.1640625" bestFit="1" customWidth="1"/>
    <col min="178" max="178" width="18.6640625" bestFit="1" customWidth="1"/>
    <col min="179" max="179" width="20.1640625" bestFit="1" customWidth="1"/>
    <col min="180" max="180" width="33.33203125" bestFit="1" customWidth="1"/>
    <col min="181" max="181" width="32.6640625" bestFit="1" customWidth="1"/>
    <col min="182" max="182" width="27.83203125" bestFit="1" customWidth="1"/>
    <col min="183" max="183" width="12.5" bestFit="1" customWidth="1"/>
    <col min="184" max="184" width="19.1640625" bestFit="1" customWidth="1"/>
    <col min="185" max="185" width="17.83203125" bestFit="1" customWidth="1"/>
    <col min="186" max="186" width="14.5" bestFit="1" customWidth="1"/>
    <col min="187" max="187" width="9.6640625" bestFit="1" customWidth="1"/>
    <col min="188" max="188" width="31.5" bestFit="1" customWidth="1"/>
    <col min="189" max="189" width="38.6640625" bestFit="1" customWidth="1"/>
    <col min="190" max="190" width="28" bestFit="1" customWidth="1"/>
    <col min="191" max="191" width="29.1640625" bestFit="1" customWidth="1"/>
    <col min="192" max="192" width="25.5" bestFit="1" customWidth="1"/>
    <col min="193" max="193" width="11.6640625" bestFit="1" customWidth="1"/>
    <col min="194" max="194" width="8.1640625" bestFit="1" customWidth="1"/>
    <col min="195" max="195" width="19.1640625" bestFit="1" customWidth="1"/>
    <col min="196" max="196" width="18" bestFit="1" customWidth="1"/>
    <col min="197" max="197" width="9.33203125" bestFit="1" customWidth="1"/>
    <col min="198" max="198" width="10.83203125" bestFit="1" customWidth="1"/>
    <col min="199" max="199" width="48.5" bestFit="1" customWidth="1"/>
    <col min="200" max="200" width="48" bestFit="1" customWidth="1"/>
    <col min="201" max="201" width="19.5" bestFit="1" customWidth="1"/>
    <col min="202" max="202" width="19.6640625" bestFit="1" customWidth="1"/>
    <col min="203" max="203" width="12.5" bestFit="1" customWidth="1"/>
    <col min="204" max="204" width="33" bestFit="1" customWidth="1"/>
    <col min="205" max="205" width="15.33203125" bestFit="1" customWidth="1"/>
    <col min="206" max="206" width="21.83203125" bestFit="1" customWidth="1"/>
    <col min="207" max="207" width="26.83203125" bestFit="1" customWidth="1"/>
    <col min="208" max="208" width="31.1640625" bestFit="1" customWidth="1"/>
    <col min="209" max="209" width="6.1640625" bestFit="1" customWidth="1"/>
    <col min="210" max="210" width="6.6640625" bestFit="1" customWidth="1"/>
    <col min="211" max="211" width="27.5" bestFit="1" customWidth="1"/>
    <col min="212" max="212" width="9.1640625" bestFit="1" customWidth="1"/>
    <col min="213" max="213" width="14.1640625" bestFit="1" customWidth="1"/>
    <col min="214" max="214" width="32.6640625" bestFit="1" customWidth="1"/>
    <col min="215" max="215" width="27.83203125" bestFit="1" customWidth="1"/>
    <col min="216" max="216" width="36.33203125" bestFit="1" customWidth="1"/>
    <col min="217" max="217" width="23.83203125" bestFit="1" customWidth="1"/>
    <col min="218" max="218" width="15.83203125" bestFit="1" customWidth="1"/>
    <col min="219" max="219" width="7.6640625" bestFit="1" customWidth="1"/>
    <col min="220" max="220" width="29.1640625" bestFit="1" customWidth="1"/>
    <col min="221" max="221" width="15.33203125" bestFit="1" customWidth="1"/>
    <col min="222" max="222" width="24.6640625" bestFit="1" customWidth="1"/>
    <col min="223" max="223" width="32.6640625" bestFit="1" customWidth="1"/>
    <col min="224" max="224" width="26.83203125" bestFit="1" customWidth="1"/>
    <col min="225" max="225" width="20.33203125" bestFit="1" customWidth="1"/>
    <col min="226" max="226" width="27.1640625" bestFit="1" customWidth="1"/>
    <col min="227" max="227" width="18.83203125" bestFit="1" customWidth="1"/>
    <col min="228" max="228" width="24" bestFit="1" customWidth="1"/>
    <col min="229" max="229" width="29.83203125" bestFit="1" customWidth="1"/>
    <col min="230" max="230" width="38" bestFit="1" customWidth="1"/>
    <col min="231" max="231" width="28" bestFit="1" customWidth="1"/>
    <col min="232" max="232" width="32.5" bestFit="1" customWidth="1"/>
    <col min="233" max="233" width="18.6640625" bestFit="1" customWidth="1"/>
    <col min="234" max="234" width="28.1640625" bestFit="1" customWidth="1"/>
    <col min="235" max="235" width="25.83203125" bestFit="1" customWidth="1"/>
    <col min="236" max="236" width="20.5" bestFit="1" customWidth="1"/>
    <col min="237" max="237" width="27.83203125" bestFit="1" customWidth="1"/>
    <col min="238" max="238" width="26.6640625" bestFit="1" customWidth="1"/>
    <col min="239" max="239" width="32.6640625" bestFit="1" customWidth="1"/>
    <col min="240" max="240" width="21" bestFit="1" customWidth="1"/>
    <col min="241" max="241" width="25.33203125" bestFit="1" customWidth="1"/>
    <col min="242" max="242" width="27.6640625" bestFit="1" customWidth="1"/>
    <col min="243" max="243" width="19.83203125" bestFit="1" customWidth="1"/>
    <col min="244" max="244" width="10.5" bestFit="1" customWidth="1"/>
    <col min="245" max="245" width="21.83203125" bestFit="1" customWidth="1"/>
    <col min="246" max="246" width="9.33203125" bestFit="1" customWidth="1"/>
    <col min="247" max="247" width="24.5" bestFit="1" customWidth="1"/>
    <col min="248" max="248" width="21" bestFit="1" customWidth="1"/>
    <col min="249" max="249" width="20.83203125" bestFit="1" customWidth="1"/>
    <col min="250" max="250" width="22.83203125" bestFit="1" customWidth="1"/>
    <col min="251" max="251" width="12" bestFit="1" customWidth="1"/>
    <col min="252" max="252" width="35" bestFit="1" customWidth="1"/>
    <col min="253" max="253" width="21.1640625" bestFit="1" customWidth="1"/>
    <col min="254" max="254" width="18" bestFit="1" customWidth="1"/>
    <col min="255" max="255" width="37.6640625" bestFit="1" customWidth="1"/>
    <col min="256" max="256" width="47.6640625" bestFit="1" customWidth="1"/>
    <col min="257" max="257" width="27.1640625" bestFit="1" customWidth="1"/>
    <col min="258" max="258" width="19.83203125" bestFit="1" customWidth="1"/>
    <col min="259" max="259" width="28.6640625" bestFit="1" customWidth="1"/>
    <col min="260" max="260" width="4.33203125" bestFit="1" customWidth="1"/>
    <col min="261" max="261" width="35" bestFit="1" customWidth="1"/>
    <col min="262" max="262" width="17.33203125" bestFit="1" customWidth="1"/>
    <col min="263" max="263" width="19.1640625" bestFit="1" customWidth="1"/>
    <col min="264" max="264" width="27.83203125" bestFit="1" customWidth="1"/>
    <col min="265" max="265" width="28.33203125" bestFit="1" customWidth="1"/>
    <col min="266" max="266" width="16.5" bestFit="1" customWidth="1"/>
    <col min="267" max="267" width="9" bestFit="1" customWidth="1"/>
    <col min="268" max="268" width="21.5" bestFit="1" customWidth="1"/>
    <col min="269" max="269" width="25.1640625" bestFit="1" customWidth="1"/>
    <col min="270" max="270" width="17.83203125" bestFit="1" customWidth="1"/>
    <col min="271" max="271" width="33.1640625" bestFit="1" customWidth="1"/>
    <col min="272" max="272" width="16.5" bestFit="1" customWidth="1"/>
    <col min="273" max="273" width="13.1640625" bestFit="1" customWidth="1"/>
    <col min="274" max="274" width="17.6640625" bestFit="1" customWidth="1"/>
    <col min="275" max="275" width="24.83203125" bestFit="1" customWidth="1"/>
    <col min="276" max="276" width="27.1640625" bestFit="1" customWidth="1"/>
    <col min="277" max="277" width="23.83203125" bestFit="1" customWidth="1"/>
    <col min="278" max="278" width="13.6640625" bestFit="1" customWidth="1"/>
    <col min="279" max="279" width="16.33203125" bestFit="1" customWidth="1"/>
    <col min="280" max="280" width="23" bestFit="1" customWidth="1"/>
    <col min="281" max="281" width="17.6640625" bestFit="1" customWidth="1"/>
    <col min="282" max="282" width="22.33203125" bestFit="1" customWidth="1"/>
    <col min="283" max="283" width="20.1640625" bestFit="1" customWidth="1"/>
    <col min="284" max="284" width="33.83203125" bestFit="1" customWidth="1"/>
    <col min="285" max="285" width="10.83203125" bestFit="1" customWidth="1"/>
    <col min="286" max="286" width="27.83203125" bestFit="1" customWidth="1"/>
    <col min="287" max="287" width="32.33203125" bestFit="1" customWidth="1"/>
    <col min="288" max="288" width="23.5" bestFit="1" customWidth="1"/>
    <col min="289" max="289" width="12.83203125" bestFit="1" customWidth="1"/>
    <col min="290" max="290" width="32.33203125" bestFit="1" customWidth="1"/>
    <col min="291" max="291" width="49.5" bestFit="1" customWidth="1"/>
    <col min="292" max="292" width="27.83203125" bestFit="1" customWidth="1"/>
    <col min="293" max="293" width="10.33203125" bestFit="1" customWidth="1"/>
    <col min="294" max="294" width="13.6640625" bestFit="1" customWidth="1"/>
    <col min="295" max="295" width="12.33203125" bestFit="1" customWidth="1"/>
    <col min="296" max="296" width="19.83203125" bestFit="1" customWidth="1"/>
    <col min="297" max="297" width="21.83203125" bestFit="1" customWidth="1"/>
    <col min="298" max="298" width="36.5" bestFit="1" customWidth="1"/>
    <col min="299" max="299" width="34.6640625" bestFit="1" customWidth="1"/>
    <col min="300" max="300" width="26.83203125" bestFit="1" customWidth="1"/>
    <col min="301" max="301" width="12.5" bestFit="1" customWidth="1"/>
    <col min="302" max="302" width="25.6640625" bestFit="1" customWidth="1"/>
    <col min="303" max="303" width="10.83203125" bestFit="1" customWidth="1"/>
    <col min="304" max="304" width="16" bestFit="1" customWidth="1"/>
    <col min="305" max="305" width="10.83203125" bestFit="1" customWidth="1"/>
    <col min="306" max="306" width="19.33203125" bestFit="1" customWidth="1"/>
    <col min="307" max="307" width="15.5" bestFit="1" customWidth="1"/>
    <col min="308" max="308" width="22" bestFit="1" customWidth="1"/>
    <col min="309" max="309" width="15.33203125" bestFit="1" customWidth="1"/>
    <col min="310" max="310" width="25.33203125" bestFit="1" customWidth="1"/>
    <col min="311" max="311" width="28.6640625" bestFit="1" customWidth="1"/>
    <col min="312" max="312" width="20.83203125" bestFit="1" customWidth="1"/>
    <col min="313" max="313" width="22.83203125" bestFit="1" customWidth="1"/>
    <col min="314" max="314" width="20.83203125" bestFit="1" customWidth="1"/>
    <col min="315" max="315" width="12.1640625" bestFit="1" customWidth="1"/>
    <col min="316" max="316" width="23" bestFit="1" customWidth="1"/>
    <col min="317" max="317" width="26" bestFit="1" customWidth="1"/>
    <col min="318" max="318" width="30.33203125" bestFit="1" customWidth="1"/>
    <col min="319" max="319" width="13.6640625" bestFit="1" customWidth="1"/>
    <col min="320" max="320" width="40.1640625" bestFit="1" customWidth="1"/>
    <col min="321" max="321" width="27.1640625" bestFit="1" customWidth="1"/>
    <col min="322" max="322" width="40" bestFit="1" customWidth="1"/>
    <col min="323" max="323" width="8.33203125" bestFit="1" customWidth="1"/>
    <col min="324" max="324" width="13.6640625" bestFit="1" customWidth="1"/>
    <col min="325" max="325" width="13" bestFit="1" customWidth="1"/>
    <col min="326" max="326" width="45" bestFit="1" customWidth="1"/>
    <col min="327" max="327" width="17.6640625" bestFit="1" customWidth="1"/>
    <col min="328" max="328" width="45.1640625" bestFit="1" customWidth="1"/>
    <col min="329" max="329" width="14.83203125" bestFit="1" customWidth="1"/>
    <col min="330" max="330" width="14.33203125" bestFit="1" customWidth="1"/>
    <col min="331" max="331" width="23.83203125" bestFit="1" customWidth="1"/>
    <col min="332" max="332" width="27.33203125" bestFit="1" customWidth="1"/>
    <col min="333" max="333" width="35.5" bestFit="1" customWidth="1"/>
    <col min="334" max="334" width="12.6640625" bestFit="1" customWidth="1"/>
    <col min="335" max="335" width="12.1640625" bestFit="1" customWidth="1"/>
    <col min="336" max="336" width="24.1640625" bestFit="1" customWidth="1"/>
    <col min="337" max="337" width="12.5" bestFit="1" customWidth="1"/>
    <col min="338" max="338" width="10.6640625" bestFit="1" customWidth="1"/>
    <col min="339" max="339" width="20" bestFit="1" customWidth="1"/>
    <col min="340" max="340" width="24.83203125" bestFit="1" customWidth="1"/>
    <col min="341" max="341" width="16.33203125" bestFit="1" customWidth="1"/>
    <col min="342" max="342" width="16.5" bestFit="1" customWidth="1"/>
    <col min="343" max="343" width="7.33203125" bestFit="1" customWidth="1"/>
    <col min="344" max="344" width="22.83203125" bestFit="1" customWidth="1"/>
    <col min="345" max="345" width="19.33203125" bestFit="1" customWidth="1"/>
    <col min="346" max="346" width="41.83203125" bestFit="1" customWidth="1"/>
    <col min="347" max="347" width="38.83203125" bestFit="1" customWidth="1"/>
    <col min="348" max="348" width="17.6640625" bestFit="1" customWidth="1"/>
    <col min="349" max="349" width="7.33203125" bestFit="1" customWidth="1"/>
    <col min="350" max="350" width="32.1640625" bestFit="1" customWidth="1"/>
    <col min="351" max="351" width="44.33203125" bestFit="1" customWidth="1"/>
    <col min="352" max="352" width="17.5" bestFit="1" customWidth="1"/>
    <col min="353" max="353" width="14.6640625" bestFit="1" customWidth="1"/>
    <col min="354" max="354" width="26" bestFit="1" customWidth="1"/>
    <col min="355" max="355" width="25.33203125" bestFit="1" customWidth="1"/>
    <col min="356" max="356" width="27" bestFit="1" customWidth="1"/>
    <col min="357" max="357" width="22.6640625" bestFit="1" customWidth="1"/>
    <col min="358" max="359" width="20.6640625" bestFit="1" customWidth="1"/>
    <col min="360" max="360" width="19.33203125" bestFit="1" customWidth="1"/>
    <col min="361" max="361" width="16" bestFit="1" customWidth="1"/>
    <col min="362" max="362" width="27.5" bestFit="1" customWidth="1"/>
    <col min="363" max="363" width="22.83203125" bestFit="1" customWidth="1"/>
    <col min="364" max="364" width="12" bestFit="1" customWidth="1"/>
    <col min="365" max="365" width="14.5" bestFit="1" customWidth="1"/>
    <col min="366" max="366" width="11.5" bestFit="1" customWidth="1"/>
    <col min="367" max="367" width="11.1640625" bestFit="1" customWidth="1"/>
    <col min="368" max="368" width="11" bestFit="1" customWidth="1"/>
    <col min="369" max="369" width="27.6640625" bestFit="1" customWidth="1"/>
    <col min="370" max="370" width="36.5" bestFit="1" customWidth="1"/>
    <col min="371" max="371" width="29.6640625" bestFit="1" customWidth="1"/>
    <col min="372" max="372" width="19.83203125" bestFit="1" customWidth="1"/>
    <col min="373" max="373" width="18" bestFit="1" customWidth="1"/>
    <col min="374" max="374" width="16" bestFit="1" customWidth="1"/>
    <col min="375" max="375" width="13.83203125" bestFit="1" customWidth="1"/>
    <col min="376" max="376" width="15.5" bestFit="1" customWidth="1"/>
    <col min="377" max="377" width="22.83203125" bestFit="1" customWidth="1"/>
    <col min="378" max="378" width="11" bestFit="1" customWidth="1"/>
    <col min="379" max="379" width="27.1640625" bestFit="1" customWidth="1"/>
    <col min="380" max="380" width="22.5" bestFit="1" customWidth="1"/>
    <col min="381" max="381" width="43.33203125" bestFit="1" customWidth="1"/>
    <col min="382" max="382" width="12.83203125" bestFit="1" customWidth="1"/>
    <col min="383" max="383" width="11.1640625" bestFit="1" customWidth="1"/>
    <col min="384" max="384" width="42.33203125" bestFit="1" customWidth="1"/>
    <col min="385" max="385" width="27.83203125" bestFit="1" customWidth="1"/>
    <col min="386" max="386" width="28.6640625" bestFit="1" customWidth="1"/>
    <col min="387" max="387" width="39.83203125" bestFit="1" customWidth="1"/>
    <col min="388" max="388" width="55.6640625" bestFit="1" customWidth="1"/>
    <col min="389" max="389" width="27.1640625" bestFit="1" customWidth="1"/>
    <col min="390" max="390" width="38.5" bestFit="1" customWidth="1"/>
    <col min="391" max="391" width="41.33203125" bestFit="1" customWidth="1"/>
    <col min="392" max="392" width="13.5" bestFit="1" customWidth="1"/>
    <col min="393" max="393" width="30.1640625" bestFit="1" customWidth="1"/>
    <col min="394" max="394" width="14.5" bestFit="1" customWidth="1"/>
    <col min="395" max="395" width="11.6640625" bestFit="1" customWidth="1"/>
    <col min="396" max="396" width="21.1640625" bestFit="1" customWidth="1"/>
    <col min="397" max="397" width="25.33203125" bestFit="1" customWidth="1"/>
    <col min="398" max="398" width="13.83203125" bestFit="1" customWidth="1"/>
    <col min="399" max="399" width="22.6640625" bestFit="1" customWidth="1"/>
    <col min="400" max="400" width="13.1640625" bestFit="1" customWidth="1"/>
    <col min="401" max="401" width="7.33203125" bestFit="1" customWidth="1"/>
    <col min="402" max="402" width="11.5" bestFit="1" customWidth="1"/>
    <col min="403" max="403" width="30" bestFit="1" customWidth="1"/>
    <col min="404" max="404" width="15.1640625" bestFit="1" customWidth="1"/>
    <col min="405" max="405" width="24.6640625" bestFit="1" customWidth="1"/>
    <col min="406" max="406" width="30.33203125" bestFit="1" customWidth="1"/>
    <col min="407" max="407" width="24" bestFit="1" customWidth="1"/>
    <col min="408" max="408" width="32.6640625" bestFit="1" customWidth="1"/>
    <col min="409" max="409" width="20.1640625" bestFit="1" customWidth="1"/>
    <col min="410" max="410" width="23.5" bestFit="1" customWidth="1"/>
    <col min="411" max="411" width="18.1640625" bestFit="1" customWidth="1"/>
    <col min="412" max="412" width="37" bestFit="1" customWidth="1"/>
    <col min="413" max="413" width="36.33203125" bestFit="1" customWidth="1"/>
    <col min="414" max="414" width="22.1640625" bestFit="1" customWidth="1"/>
    <col min="415" max="415" width="10" bestFit="1" customWidth="1"/>
    <col min="416" max="416" width="20.6640625" bestFit="1" customWidth="1"/>
    <col min="417" max="417" width="11.6640625" bestFit="1" customWidth="1"/>
    <col min="418" max="418" width="13.83203125" bestFit="1" customWidth="1"/>
    <col min="419" max="419" width="42.6640625" bestFit="1" customWidth="1"/>
    <col min="420" max="420" width="29.33203125" bestFit="1" customWidth="1"/>
    <col min="421" max="421" width="32.1640625" bestFit="1" customWidth="1"/>
    <col min="422" max="422" width="30.5" bestFit="1" customWidth="1"/>
    <col min="423" max="423" width="29.6640625" bestFit="1" customWidth="1"/>
    <col min="424" max="424" width="33.5" bestFit="1" customWidth="1"/>
    <col min="425" max="425" width="40.33203125" bestFit="1" customWidth="1"/>
    <col min="426" max="426" width="41" bestFit="1" customWidth="1"/>
    <col min="427" max="427" width="30.33203125" bestFit="1" customWidth="1"/>
    <col min="428" max="428" width="32.6640625" bestFit="1" customWidth="1"/>
    <col min="429" max="429" width="32.33203125" bestFit="1" customWidth="1"/>
    <col min="430" max="430" width="29.1640625" bestFit="1" customWidth="1"/>
    <col min="431" max="431" width="26.83203125" bestFit="1" customWidth="1"/>
    <col min="432" max="432" width="39.6640625" bestFit="1" customWidth="1"/>
    <col min="433" max="433" width="29.5" bestFit="1" customWidth="1"/>
    <col min="434" max="434" width="41.5" bestFit="1" customWidth="1"/>
    <col min="435" max="435" width="40.83203125" bestFit="1" customWidth="1"/>
    <col min="436" max="436" width="44.5" bestFit="1" customWidth="1"/>
    <col min="437" max="437" width="30.5" bestFit="1" customWidth="1"/>
    <col min="438" max="438" width="24.33203125" bestFit="1" customWidth="1"/>
    <col min="439" max="439" width="36.1640625" bestFit="1" customWidth="1"/>
    <col min="440" max="440" width="19.33203125" bestFit="1" customWidth="1"/>
    <col min="441" max="441" width="37.33203125" bestFit="1" customWidth="1"/>
    <col min="442" max="442" width="36" bestFit="1" customWidth="1"/>
    <col min="443" max="443" width="13.1640625" bestFit="1" customWidth="1"/>
    <col min="444" max="444" width="10.1640625" bestFit="1" customWidth="1"/>
    <col min="445" max="445" width="29" bestFit="1" customWidth="1"/>
    <col min="446" max="446" width="27.83203125" bestFit="1" customWidth="1"/>
    <col min="447" max="448" width="20.5" bestFit="1" customWidth="1"/>
    <col min="449" max="449" width="30.33203125" bestFit="1" customWidth="1"/>
    <col min="450" max="450" width="11.83203125" bestFit="1" customWidth="1"/>
    <col min="451" max="451" width="28.1640625" bestFit="1" customWidth="1"/>
    <col min="452" max="452" width="18.83203125" bestFit="1" customWidth="1"/>
    <col min="453" max="453" width="6.1640625" bestFit="1" customWidth="1"/>
    <col min="454" max="454" width="15.83203125" bestFit="1" customWidth="1"/>
    <col min="455" max="455" width="23.83203125" bestFit="1" customWidth="1"/>
    <col min="456" max="456" width="9" bestFit="1" customWidth="1"/>
    <col min="457" max="457" width="14.33203125" bestFit="1" customWidth="1"/>
    <col min="458" max="458" width="7.5" bestFit="1" customWidth="1"/>
    <col min="460" max="460" width="32.83203125" bestFit="1" customWidth="1"/>
    <col min="461" max="461" width="7.5" bestFit="1" customWidth="1"/>
    <col min="462" max="462" width="6.83203125" bestFit="1" customWidth="1"/>
    <col min="463" max="463" width="25.5" bestFit="1" customWidth="1"/>
    <col min="464" max="464" width="20.83203125" bestFit="1" customWidth="1"/>
    <col min="465" max="465" width="14" bestFit="1" customWidth="1"/>
    <col min="466" max="466" width="7.1640625" bestFit="1" customWidth="1"/>
    <col min="467" max="467" width="18" bestFit="1" customWidth="1"/>
    <col min="468" max="468" width="34.83203125" bestFit="1" customWidth="1"/>
    <col min="469" max="469" width="33" bestFit="1" customWidth="1"/>
    <col min="470" max="470" width="24.6640625" bestFit="1" customWidth="1"/>
    <col min="471" max="471" width="21.6640625" bestFit="1" customWidth="1"/>
    <col min="472" max="472" width="24.5" bestFit="1" customWidth="1"/>
    <col min="473" max="473" width="13.33203125" bestFit="1" customWidth="1"/>
    <col min="474" max="474" width="31.83203125" bestFit="1" customWidth="1"/>
    <col min="475" max="475" width="20" bestFit="1" customWidth="1"/>
    <col min="476" max="476" width="43.6640625" bestFit="1" customWidth="1"/>
    <col min="477" max="477" width="30.83203125" bestFit="1" customWidth="1"/>
    <col min="478" max="478" width="12.33203125" bestFit="1" customWidth="1"/>
    <col min="479" max="479" width="28.6640625" bestFit="1" customWidth="1"/>
    <col min="480" max="480" width="18" bestFit="1" customWidth="1"/>
    <col min="481" max="481" width="20.5" bestFit="1" customWidth="1"/>
    <col min="482" max="482" width="19" bestFit="1" customWidth="1"/>
    <col min="483" max="483" width="16.33203125" bestFit="1" customWidth="1"/>
    <col min="484" max="484" width="12.1640625" bestFit="1" customWidth="1"/>
    <col min="485" max="485" width="17.6640625" bestFit="1" customWidth="1"/>
    <col min="486" max="486" width="10.33203125" bestFit="1" customWidth="1"/>
    <col min="487" max="487" width="35.1640625" bestFit="1" customWidth="1"/>
    <col min="488" max="488" width="28.5" bestFit="1" customWidth="1"/>
    <col min="489" max="489" width="31.83203125" bestFit="1" customWidth="1"/>
    <col min="490" max="490" width="28.1640625" bestFit="1" customWidth="1"/>
    <col min="491" max="491" width="21" bestFit="1" customWidth="1"/>
    <col min="492" max="492" width="32.83203125" bestFit="1" customWidth="1"/>
    <col min="493" max="493" width="32.6640625" bestFit="1" customWidth="1"/>
    <col min="494" max="494" width="31.33203125" bestFit="1" customWidth="1"/>
    <col min="495" max="495" width="19.6640625" bestFit="1" customWidth="1"/>
    <col min="496" max="496" width="25.1640625" bestFit="1" customWidth="1"/>
    <col min="497" max="497" width="36.1640625" bestFit="1" customWidth="1"/>
    <col min="498" max="498" width="17.33203125" bestFit="1" customWidth="1"/>
    <col min="499" max="499" width="21.1640625" bestFit="1" customWidth="1"/>
    <col min="500" max="500" width="24.5" bestFit="1" customWidth="1"/>
    <col min="501" max="501" width="24.6640625" bestFit="1" customWidth="1"/>
    <col min="502" max="502" width="37.83203125" bestFit="1" customWidth="1"/>
    <col min="503" max="503" width="23.33203125" bestFit="1" customWidth="1"/>
    <col min="504" max="504" width="31.5" bestFit="1" customWidth="1"/>
    <col min="505" max="505" width="22.1640625" bestFit="1" customWidth="1"/>
    <col min="506" max="506" width="30.33203125" bestFit="1" customWidth="1"/>
    <col min="507" max="507" width="41.6640625" bestFit="1" customWidth="1"/>
    <col min="508" max="508" width="17.6640625" bestFit="1" customWidth="1"/>
    <col min="509" max="509" width="22" bestFit="1" customWidth="1"/>
    <col min="510" max="510" width="20.1640625" bestFit="1" customWidth="1"/>
    <col min="511" max="511" width="17.33203125" bestFit="1" customWidth="1"/>
    <col min="512" max="512" width="27.5" bestFit="1" customWidth="1"/>
    <col min="513" max="513" width="15.33203125" bestFit="1" customWidth="1"/>
    <col min="514" max="514" width="21.6640625" bestFit="1" customWidth="1"/>
    <col min="515" max="515" width="33.1640625" bestFit="1" customWidth="1"/>
    <col min="516" max="516" width="21.5" bestFit="1" customWidth="1"/>
    <col min="517" max="517" width="43" bestFit="1" customWidth="1"/>
    <col min="518" max="518" width="32.1640625" bestFit="1" customWidth="1"/>
    <col min="519" max="519" width="31.83203125" bestFit="1" customWidth="1"/>
    <col min="520" max="520" width="12.1640625" bestFit="1" customWidth="1"/>
    <col min="521" max="521" width="15.6640625" bestFit="1" customWidth="1"/>
    <col min="522" max="522" width="24.83203125" bestFit="1" customWidth="1"/>
    <col min="523" max="523" width="13.5" bestFit="1" customWidth="1"/>
    <col min="524" max="524" width="36.6640625" bestFit="1" customWidth="1"/>
    <col min="525" max="525" width="33.5" bestFit="1" customWidth="1"/>
    <col min="526" max="526" width="32.5" bestFit="1" customWidth="1"/>
    <col min="527" max="527" width="23.33203125" bestFit="1" customWidth="1"/>
    <col min="528" max="528" width="26.33203125" bestFit="1" customWidth="1"/>
    <col min="529" max="529" width="31.1640625" bestFit="1" customWidth="1"/>
    <col min="530" max="530" width="46.6640625" bestFit="1" customWidth="1"/>
    <col min="531" max="531" width="22.1640625" bestFit="1" customWidth="1"/>
    <col min="532" max="532" width="16.6640625" bestFit="1" customWidth="1"/>
    <col min="533" max="533" width="26" bestFit="1" customWidth="1"/>
    <col min="534" max="534" width="11" bestFit="1" customWidth="1"/>
    <col min="535" max="535" width="13" bestFit="1" customWidth="1"/>
    <col min="536" max="536" width="26.6640625" bestFit="1" customWidth="1"/>
    <col min="537" max="537" width="16.83203125" bestFit="1" customWidth="1"/>
    <col min="538" max="538" width="13.1640625" bestFit="1" customWidth="1"/>
    <col min="539" max="539" width="21.1640625" bestFit="1" customWidth="1"/>
    <col min="540" max="540" width="7.33203125" bestFit="1" customWidth="1"/>
    <col min="541" max="541" width="12.6640625" bestFit="1" customWidth="1"/>
    <col min="542" max="542" width="10" bestFit="1" customWidth="1"/>
    <col min="543" max="543" width="27.33203125" bestFit="1" customWidth="1"/>
    <col min="544" max="544" width="34.5" bestFit="1" customWidth="1"/>
    <col min="545" max="545" width="29" bestFit="1" customWidth="1"/>
    <col min="546" max="546" width="24.1640625" bestFit="1" customWidth="1"/>
    <col min="547" max="547" width="38.33203125" bestFit="1" customWidth="1"/>
    <col min="548" max="548" width="20.1640625" bestFit="1" customWidth="1"/>
    <col min="549" max="549" width="26.83203125" bestFit="1" customWidth="1"/>
    <col min="550" max="550" width="20.6640625" bestFit="1" customWidth="1"/>
    <col min="551" max="551" width="11.83203125" bestFit="1" customWidth="1"/>
    <col min="552" max="552" width="23.5" bestFit="1" customWidth="1"/>
    <col min="553" max="553" width="14.83203125" bestFit="1" customWidth="1"/>
    <col min="554" max="554" width="30" bestFit="1" customWidth="1"/>
    <col min="555" max="555" width="25" bestFit="1" customWidth="1"/>
    <col min="556" max="556" width="33" bestFit="1" customWidth="1"/>
    <col min="557" max="557" width="29.6640625" bestFit="1" customWidth="1"/>
    <col min="558" max="558" width="17.33203125" bestFit="1" customWidth="1"/>
    <col min="559" max="559" width="37.1640625" bestFit="1" customWidth="1"/>
    <col min="560" max="560" width="7.5" bestFit="1" customWidth="1"/>
    <col min="561" max="561" width="18" bestFit="1" customWidth="1"/>
    <col min="562" max="562" width="21.83203125" bestFit="1" customWidth="1"/>
    <col min="563" max="563" width="27.6640625" bestFit="1" customWidth="1"/>
    <col min="564" max="564" width="17.6640625" bestFit="1" customWidth="1"/>
    <col min="565" max="565" width="20.83203125" bestFit="1" customWidth="1"/>
    <col min="566" max="566" width="17.6640625" bestFit="1" customWidth="1"/>
    <col min="567" max="567" width="18.6640625" bestFit="1" customWidth="1"/>
    <col min="568" max="568" width="23.83203125" bestFit="1" customWidth="1"/>
    <col min="569" max="569" width="21" bestFit="1" customWidth="1"/>
    <col min="570" max="570" width="14.33203125" bestFit="1" customWidth="1"/>
    <col min="571" max="571" width="43.5" bestFit="1" customWidth="1"/>
    <col min="572" max="572" width="26.83203125" bestFit="1" customWidth="1"/>
    <col min="573" max="573" width="25" bestFit="1" customWidth="1"/>
    <col min="574" max="574" width="11.33203125" bestFit="1" customWidth="1"/>
    <col min="575" max="575" width="28.33203125" bestFit="1" customWidth="1"/>
    <col min="576" max="576" width="25.1640625" bestFit="1" customWidth="1"/>
    <col min="577" max="577" width="17.1640625" bestFit="1" customWidth="1"/>
    <col min="578" max="578" width="22.83203125" bestFit="1" customWidth="1"/>
    <col min="579" max="579" width="14.83203125" bestFit="1" customWidth="1"/>
    <col min="580" max="580" width="17.5" bestFit="1" customWidth="1"/>
    <col min="581" max="581" width="9.33203125" bestFit="1" customWidth="1"/>
    <col min="582" max="582" width="17" bestFit="1" customWidth="1"/>
    <col min="583" max="583" width="12.33203125" bestFit="1" customWidth="1"/>
    <col min="584" max="584" width="44.83203125" bestFit="1" customWidth="1"/>
    <col min="585" max="585" width="12.6640625" bestFit="1" customWidth="1"/>
    <col min="586" max="586" width="25" bestFit="1" customWidth="1"/>
    <col min="587" max="587" width="8.1640625" bestFit="1" customWidth="1"/>
    <col min="588" max="588" width="18" bestFit="1" customWidth="1"/>
    <col min="589" max="589" width="43.6640625" bestFit="1" customWidth="1"/>
    <col min="590" max="590" width="44.5" bestFit="1" customWidth="1"/>
    <col min="591" max="591" width="24.1640625" bestFit="1" customWidth="1"/>
    <col min="592" max="593" width="15.33203125" bestFit="1" customWidth="1"/>
    <col min="594" max="594" width="15" bestFit="1" customWidth="1"/>
    <col min="595" max="595" width="22.33203125" bestFit="1" customWidth="1"/>
    <col min="596" max="596" width="17" bestFit="1" customWidth="1"/>
    <col min="597" max="597" width="19" bestFit="1" customWidth="1"/>
    <col min="598" max="598" width="38.6640625" bestFit="1" customWidth="1"/>
    <col min="599" max="599" width="34.6640625" bestFit="1" customWidth="1"/>
    <col min="600" max="600" width="40.6640625" bestFit="1" customWidth="1"/>
    <col min="601" max="601" width="50.83203125" bestFit="1" customWidth="1"/>
    <col min="602" max="602" width="12.83203125" bestFit="1" customWidth="1"/>
    <col min="603" max="603" width="9" bestFit="1" customWidth="1"/>
    <col min="604" max="604" width="5.6640625" bestFit="1" customWidth="1"/>
    <col min="605" max="605" width="16.33203125" bestFit="1" customWidth="1"/>
    <col min="606" max="606" width="18.6640625" bestFit="1" customWidth="1"/>
    <col min="607" max="607" width="41.33203125" bestFit="1" customWidth="1"/>
    <col min="608" max="609" width="32" bestFit="1" customWidth="1"/>
    <col min="610" max="610" width="27.6640625" bestFit="1" customWidth="1"/>
    <col min="611" max="611" width="29" bestFit="1" customWidth="1"/>
    <col min="612" max="612" width="18.83203125" bestFit="1" customWidth="1"/>
    <col min="613" max="613" width="11.6640625" bestFit="1" customWidth="1"/>
    <col min="614" max="614" width="14.83203125" bestFit="1" customWidth="1"/>
    <col min="615" max="615" width="10.33203125" bestFit="1" customWidth="1"/>
    <col min="616" max="616" width="33.6640625" bestFit="1" customWidth="1"/>
    <col min="617" max="617" width="9.1640625" bestFit="1" customWidth="1"/>
    <col min="618" max="618" width="14.5" bestFit="1" customWidth="1"/>
    <col min="619" max="619" width="30" bestFit="1" customWidth="1"/>
    <col min="620" max="620" width="34.5" bestFit="1" customWidth="1"/>
    <col min="621" max="621" width="20.1640625" bestFit="1" customWidth="1"/>
    <col min="622" max="622" width="41.1640625" bestFit="1" customWidth="1"/>
    <col min="623" max="623" width="32" bestFit="1" customWidth="1"/>
    <col min="624" max="624" width="6.83203125" bestFit="1" customWidth="1"/>
    <col min="625" max="625" width="66.1640625" bestFit="1" customWidth="1"/>
    <col min="626" max="626" width="31.5" bestFit="1" customWidth="1"/>
    <col min="627" max="627" width="27.83203125" bestFit="1" customWidth="1"/>
    <col min="628" max="628" width="13" bestFit="1" customWidth="1"/>
    <col min="629" max="629" width="19.6640625" bestFit="1" customWidth="1"/>
    <col min="630" max="630" width="24.1640625" bestFit="1" customWidth="1"/>
    <col min="631" max="631" width="25.6640625" bestFit="1" customWidth="1"/>
    <col min="632" max="632" width="26" bestFit="1" customWidth="1"/>
    <col min="633" max="633" width="30.33203125" bestFit="1" customWidth="1"/>
    <col min="634" max="634" width="25.6640625" bestFit="1" customWidth="1"/>
    <col min="635" max="635" width="26" bestFit="1" customWidth="1"/>
    <col min="636" max="636" width="23.6640625" bestFit="1" customWidth="1"/>
    <col min="637" max="637" width="12.5" bestFit="1" customWidth="1"/>
    <col min="638" max="638" width="24.1640625" bestFit="1" customWidth="1"/>
    <col min="639" max="639" width="19.6640625" bestFit="1" customWidth="1"/>
    <col min="640" max="640" width="6.6640625" bestFit="1" customWidth="1"/>
    <col min="641" max="642" width="27.5" bestFit="1" customWidth="1"/>
    <col min="643" max="643" width="20.33203125" bestFit="1" customWidth="1"/>
    <col min="644" max="644" width="21.5" bestFit="1" customWidth="1"/>
    <col min="645" max="645" width="6.1640625" bestFit="1" customWidth="1"/>
    <col min="646" max="646" width="34.1640625" bestFit="1" customWidth="1"/>
    <col min="647" max="647" width="45.5" bestFit="1" customWidth="1"/>
    <col min="648" max="648" width="19" bestFit="1" customWidth="1"/>
    <col min="649" max="649" width="34.5" bestFit="1" customWidth="1"/>
    <col min="650" max="650" width="28.6640625" bestFit="1" customWidth="1"/>
    <col min="651" max="651" width="34" bestFit="1" customWidth="1"/>
    <col min="652" max="652" width="11" bestFit="1" customWidth="1"/>
    <col min="653" max="653" width="29" bestFit="1" customWidth="1"/>
    <col min="654" max="654" width="24.5" bestFit="1" customWidth="1"/>
    <col min="655" max="655" width="25.5" bestFit="1" customWidth="1"/>
    <col min="656" max="656" width="22.1640625" bestFit="1" customWidth="1"/>
    <col min="657" max="657" width="34.6640625" bestFit="1" customWidth="1"/>
    <col min="658" max="658" width="19" bestFit="1" customWidth="1"/>
    <col min="659" max="659" width="19.5" bestFit="1" customWidth="1"/>
    <col min="660" max="660" width="25.1640625" bestFit="1" customWidth="1"/>
    <col min="661" max="661" width="28.1640625" bestFit="1" customWidth="1"/>
    <col min="662" max="662" width="23.5" bestFit="1" customWidth="1"/>
    <col min="663" max="663" width="19.83203125" bestFit="1" customWidth="1"/>
    <col min="664" max="664" width="18.33203125" bestFit="1" customWidth="1"/>
    <col min="665" max="665" width="27.5" bestFit="1" customWidth="1"/>
    <col min="666" max="666" width="19.5" bestFit="1" customWidth="1"/>
    <col min="667" max="667" width="22" bestFit="1" customWidth="1"/>
    <col min="668" max="668" width="42.1640625" bestFit="1" customWidth="1"/>
    <col min="669" max="669" width="26.1640625" bestFit="1" customWidth="1"/>
    <col min="670" max="670" width="20.83203125" bestFit="1" customWidth="1"/>
    <col min="671" max="671" width="25.1640625" bestFit="1" customWidth="1"/>
    <col min="672" max="672" width="22.33203125" bestFit="1" customWidth="1"/>
    <col min="673" max="673" width="17.33203125" bestFit="1" customWidth="1"/>
    <col min="674" max="674" width="23.6640625" bestFit="1" customWidth="1"/>
    <col min="675" max="675" width="33.6640625" bestFit="1" customWidth="1"/>
    <col min="676" max="676" width="47.33203125" bestFit="1" customWidth="1"/>
    <col min="677" max="677" width="55.5" bestFit="1" customWidth="1"/>
    <col min="678" max="678" width="55.6640625" bestFit="1" customWidth="1"/>
    <col min="679" max="679" width="50.6640625" bestFit="1" customWidth="1"/>
    <col min="680" max="680" width="37.6640625" bestFit="1" customWidth="1"/>
    <col min="681" max="681" width="32.1640625" bestFit="1" customWidth="1"/>
    <col min="682" max="682" width="34.1640625" bestFit="1" customWidth="1"/>
    <col min="683" max="683" width="33.5" bestFit="1" customWidth="1"/>
    <col min="684" max="684" width="34.5" bestFit="1" customWidth="1"/>
    <col min="685" max="685" width="14.1640625" bestFit="1" customWidth="1"/>
    <col min="686" max="686" width="14.6640625" bestFit="1" customWidth="1"/>
    <col min="687" max="687" width="13.5" bestFit="1" customWidth="1"/>
    <col min="688" max="688" width="17.6640625" bestFit="1" customWidth="1"/>
    <col min="689" max="689" width="28.6640625" bestFit="1" customWidth="1"/>
    <col min="690" max="690" width="22.5" bestFit="1" customWidth="1"/>
    <col min="691" max="691" width="27.83203125" bestFit="1" customWidth="1"/>
    <col min="692" max="692" width="7.33203125" bestFit="1" customWidth="1"/>
    <col min="693" max="693" width="11.6640625" bestFit="1" customWidth="1"/>
  </cols>
  <sheetData>
    <row r="91" spans="2:5" x14ac:dyDescent="0.15">
      <c r="B91" s="34" t="s">
        <v>1309</v>
      </c>
      <c r="C91" s="34" t="s">
        <v>1310</v>
      </c>
    </row>
    <row r="92" spans="2:5" x14ac:dyDescent="0.15">
      <c r="B92" s="34" t="s">
        <v>1312</v>
      </c>
      <c r="C92" t="s">
        <v>35</v>
      </c>
      <c r="D92" t="s">
        <v>61</v>
      </c>
      <c r="E92" t="s">
        <v>1311</v>
      </c>
    </row>
    <row r="93" spans="2:5" x14ac:dyDescent="0.15">
      <c r="B93" s="35" t="s">
        <v>1313</v>
      </c>
      <c r="C93" s="19">
        <v>52.5</v>
      </c>
      <c r="D93" s="19"/>
      <c r="E93" s="19">
        <v>52.5</v>
      </c>
    </row>
    <row r="94" spans="2:5" x14ac:dyDescent="0.15">
      <c r="B94" s="35" t="s">
        <v>1314</v>
      </c>
      <c r="C94" s="19">
        <v>30.5</v>
      </c>
      <c r="D94" s="19"/>
      <c r="E94" s="19">
        <v>30.5</v>
      </c>
    </row>
    <row r="95" spans="2:5" x14ac:dyDescent="0.15">
      <c r="B95" s="35" t="s">
        <v>1315</v>
      </c>
      <c r="C95" s="19">
        <v>68</v>
      </c>
      <c r="D95" s="19">
        <v>32.5</v>
      </c>
      <c r="E95" s="19">
        <v>100.5</v>
      </c>
    </row>
    <row r="96" spans="2:5" x14ac:dyDescent="0.15">
      <c r="B96" s="35" t="s">
        <v>1316</v>
      </c>
      <c r="C96" s="19">
        <v>46</v>
      </c>
      <c r="D96" s="19">
        <v>38</v>
      </c>
      <c r="E96" s="19">
        <v>84</v>
      </c>
    </row>
    <row r="97" spans="2:5" x14ac:dyDescent="0.15">
      <c r="B97" s="35" t="s">
        <v>1317</v>
      </c>
      <c r="C97" s="19">
        <v>34</v>
      </c>
      <c r="D97" s="19">
        <v>40.5</v>
      </c>
      <c r="E97" s="19">
        <v>74.5</v>
      </c>
    </row>
    <row r="98" spans="2:5" x14ac:dyDescent="0.15">
      <c r="B98" s="35" t="s">
        <v>1318</v>
      </c>
      <c r="C98" s="19">
        <v>38</v>
      </c>
      <c r="D98" s="19">
        <v>28.5</v>
      </c>
      <c r="E98" s="19">
        <v>66.5</v>
      </c>
    </row>
    <row r="99" spans="2:5" x14ac:dyDescent="0.15">
      <c r="B99" s="35" t="s">
        <v>1319</v>
      </c>
      <c r="C99" s="19">
        <v>82.5</v>
      </c>
      <c r="D99" s="19">
        <v>51</v>
      </c>
      <c r="E99" s="19">
        <v>133.5</v>
      </c>
    </row>
    <row r="100" spans="2:5" x14ac:dyDescent="0.15">
      <c r="B100" s="35" t="s">
        <v>1320</v>
      </c>
      <c r="C100" s="19">
        <v>62</v>
      </c>
      <c r="D100" s="19">
        <v>35</v>
      </c>
      <c r="E100" s="19">
        <v>97</v>
      </c>
    </row>
    <row r="101" spans="2:5" x14ac:dyDescent="0.15">
      <c r="B101" s="35" t="s">
        <v>1321</v>
      </c>
      <c r="C101" s="19">
        <v>52.5</v>
      </c>
      <c r="D101" s="19">
        <v>35.5</v>
      </c>
      <c r="E101" s="19">
        <v>88</v>
      </c>
    </row>
    <row r="102" spans="2:5" x14ac:dyDescent="0.15">
      <c r="B102" s="35" t="s">
        <v>1322</v>
      </c>
      <c r="C102" s="19">
        <v>86</v>
      </c>
      <c r="D102" s="19">
        <v>40.5</v>
      </c>
      <c r="E102" s="19">
        <v>126.5</v>
      </c>
    </row>
    <row r="103" spans="2:5" x14ac:dyDescent="0.15">
      <c r="B103" s="35" t="s">
        <v>1323</v>
      </c>
      <c r="C103" s="19">
        <v>59.5</v>
      </c>
      <c r="D103" s="19">
        <v>40</v>
      </c>
      <c r="E103" s="19">
        <v>99.5</v>
      </c>
    </row>
    <row r="104" spans="2:5" x14ac:dyDescent="0.15">
      <c r="B104" s="35" t="s">
        <v>1324</v>
      </c>
      <c r="C104" s="19">
        <v>66</v>
      </c>
      <c r="D104" s="19">
        <v>43.5</v>
      </c>
      <c r="E104" s="19">
        <v>109.5</v>
      </c>
    </row>
    <row r="105" spans="2:5" x14ac:dyDescent="0.15">
      <c r="B105" s="35" t="s">
        <v>1325</v>
      </c>
      <c r="C105" s="19">
        <v>50.5</v>
      </c>
      <c r="D105" s="19">
        <v>32.5</v>
      </c>
      <c r="E105" s="19">
        <v>83</v>
      </c>
    </row>
    <row r="106" spans="2:5" x14ac:dyDescent="0.15">
      <c r="B106" s="35" t="s">
        <v>1326</v>
      </c>
      <c r="C106" s="19">
        <v>74</v>
      </c>
      <c r="D106" s="19">
        <v>44</v>
      </c>
      <c r="E106" s="19">
        <v>118</v>
      </c>
    </row>
    <row r="107" spans="2:5" x14ac:dyDescent="0.15">
      <c r="B107" s="35" t="s">
        <v>1311</v>
      </c>
      <c r="C107" s="19">
        <v>802</v>
      </c>
      <c r="D107" s="19">
        <v>461.5</v>
      </c>
      <c r="E107" s="19">
        <v>1263.5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Friday Spreadsheet CSV</vt:lpstr>
      <vt:lpstr>People</vt:lpstr>
      <vt:lpstr>Brand - Brewery</vt:lpstr>
      <vt:lpstr>Drinks</vt:lpstr>
      <vt:lpstr>Drinks Vs People</vt:lpstr>
      <vt:lpstr>Descriptions</vt:lpstr>
      <vt:lpstr>By Week</vt:lpstr>
      <vt:lpstr>Graphs &amp; Charts</vt:lpstr>
      <vt:lpstr>Brands_All_Brands</vt:lpstr>
      <vt:lpstr>Brands_Average_Score</vt:lpstr>
      <vt:lpstr>Brands_Brand_Name</vt:lpstr>
      <vt:lpstr>Brands_Brewery_Names</vt:lpstr>
      <vt:lpstr>Brands_Main_Table</vt:lpstr>
      <vt:lpstr>Brands_Number_Of_Drinks</vt:lpstr>
      <vt:lpstr>ByWeekWeeks</vt:lpstr>
      <vt:lpstr>PeopleDrinksRank</vt:lpstr>
      <vt:lpstr>PeopleNames</vt:lpstr>
      <vt:lpstr>Tally_All_Data</vt:lpstr>
      <vt:lpstr>TallyABV</vt:lpstr>
      <vt:lpstr>TallyAllBrands</vt:lpstr>
      <vt:lpstr>TallyBrands</vt:lpstr>
      <vt:lpstr>TallyBrands2</vt:lpstr>
      <vt:lpstr>TallyBrands3</vt:lpstr>
      <vt:lpstr>TallyDates</vt:lpstr>
      <vt:lpstr>TallyDrinkNames</vt:lpstr>
      <vt:lpstr>TallyDrinkType</vt:lpstr>
      <vt:lpstr>TallyMixer1</vt:lpstr>
      <vt:lpstr>TallyMixer2</vt:lpstr>
      <vt:lpstr>TallyPeopleNames</vt:lpstr>
      <vt:lpstr>TallyRatingWord1</vt:lpstr>
      <vt:lpstr>TallyRatingWord2</vt:lpstr>
      <vt:lpstr>TallyScore</vt:lpstr>
      <vt:lpstr>WeeklyDrinkIncrease</vt:lpstr>
      <vt:lpstr>WeeklyDrinkIncreaseName</vt:lpstr>
      <vt:lpstr>WeeklyIndividualDrinksTotalChart</vt:lpstr>
      <vt:lpstr>WeeklyIndividualDrinksTotalPeoplesNames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Wallace Crescent Manager</dc:creator>
  <cp:lastModifiedBy>Ross Savill</cp:lastModifiedBy>
  <dcterms:created xsi:type="dcterms:W3CDTF">2020-04-17T09:05:03Z</dcterms:created>
  <dcterms:modified xsi:type="dcterms:W3CDTF">2020-10-16T18:28:06Z</dcterms:modified>
</cp:coreProperties>
</file>